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INedu\Exc_vysk_2022\Exc2023\"/>
    </mc:Choice>
  </mc:AlternateContent>
  <bookViews>
    <workbookView xWindow="-90" yWindow="-90" windowWidth="19380" windowHeight="10380" activeTab="3"/>
  </bookViews>
  <sheets>
    <sheet name="E1_alokácia" sheetId="33" r:id="rId1"/>
    <sheet name="E2_zamestnanci_2021" sheetId="2" r:id="rId2"/>
    <sheet name="E3_oblasti" sheetId="35" r:id="rId3"/>
    <sheet name="E4a_M1_prirodne" sheetId="27" r:id="rId4"/>
    <sheet name="E4b_M2_technicke" sheetId="28" r:id="rId5"/>
    <sheet name="E4c_M3_lekarske" sheetId="29" r:id="rId6"/>
    <sheet name="E4d_M4_polno_les_vet" sheetId="30" r:id="rId7"/>
    <sheet name="E4e_M5_spolocenske" sheetId="31" r:id="rId8"/>
    <sheet name="E4f_M6_humanitne" sheetId="32" r:id="rId9"/>
    <sheet name="E4g_M6_umenie" sheetId="34" r:id="rId10"/>
  </sheets>
  <calcPr calcId="191029"/>
</workbook>
</file>

<file path=xl/calcChain.xml><?xml version="1.0" encoding="utf-8"?>
<calcChain xmlns="http://schemas.openxmlformats.org/spreadsheetml/2006/main">
  <c r="BH2" i="29" l="1"/>
  <c r="BV49" i="32" l="1"/>
  <c r="CD49" i="32" s="1"/>
  <c r="BV48" i="32"/>
  <c r="CD48" i="32" s="1"/>
  <c r="BV47" i="32"/>
  <c r="CD47" i="32" s="1"/>
  <c r="BV46" i="32"/>
  <c r="CD46" i="32" s="1"/>
  <c r="BV45" i="32"/>
  <c r="CD45" i="32" s="1"/>
  <c r="BV44" i="32"/>
  <c r="CD44" i="32" s="1"/>
  <c r="BV43" i="32"/>
  <c r="CD43" i="32" s="1"/>
  <c r="BV42" i="32"/>
  <c r="CD42" i="32" s="1"/>
  <c r="BV41" i="32"/>
  <c r="CD41" i="32" s="1"/>
  <c r="BV40" i="32"/>
  <c r="CD40" i="32" s="1"/>
  <c r="BV39" i="32"/>
  <c r="CD39" i="32" s="1"/>
  <c r="BV38" i="32"/>
  <c r="CD38" i="32" s="1"/>
  <c r="BV37" i="32"/>
  <c r="CD37" i="32" s="1"/>
  <c r="BV36" i="32"/>
  <c r="CD36" i="32" s="1"/>
  <c r="BV35" i="32"/>
  <c r="CD35" i="32" s="1"/>
  <c r="BV34" i="32"/>
  <c r="CD34" i="32" s="1"/>
  <c r="BV33" i="32"/>
  <c r="CD33" i="32" s="1"/>
  <c r="BV32" i="32"/>
  <c r="CD32" i="32" s="1"/>
  <c r="BV31" i="32"/>
  <c r="CD31" i="32" s="1"/>
  <c r="BV30" i="32"/>
  <c r="CD30" i="32" s="1"/>
  <c r="BV29" i="32"/>
  <c r="CD29" i="32" s="1"/>
  <c r="BV28" i="32"/>
  <c r="CD28" i="32" s="1"/>
  <c r="BV27" i="32"/>
  <c r="CD27" i="32" s="1"/>
  <c r="BV26" i="32"/>
  <c r="CD26" i="32" s="1"/>
  <c r="BV25" i="32"/>
  <c r="CD25" i="32" s="1"/>
  <c r="BV24" i="32"/>
  <c r="CD24" i="32" s="1"/>
  <c r="BV23" i="32"/>
  <c r="CD23" i="32" s="1"/>
  <c r="BV22" i="32"/>
  <c r="CD22" i="32" s="1"/>
  <c r="BV21" i="32"/>
  <c r="CD21" i="32" s="1"/>
  <c r="BV20" i="32"/>
  <c r="CD20" i="32" s="1"/>
  <c r="BV19" i="32"/>
  <c r="CD19" i="32" s="1"/>
  <c r="BV18" i="32"/>
  <c r="CD18" i="32" s="1"/>
  <c r="BV17" i="32"/>
  <c r="CD17" i="32" s="1"/>
  <c r="BV16" i="32"/>
  <c r="CD16" i="32" s="1"/>
  <c r="BV15" i="32"/>
  <c r="CD15" i="32" s="1"/>
  <c r="BV14" i="32"/>
  <c r="CD14" i="32" s="1"/>
  <c r="BV13" i="32"/>
  <c r="CD13" i="32" s="1"/>
  <c r="BV12" i="32"/>
  <c r="CD12" i="32" s="1"/>
  <c r="BV11" i="32"/>
  <c r="CD11" i="32" s="1"/>
  <c r="BV10" i="32"/>
  <c r="CD10" i="32" s="1"/>
  <c r="BV9" i="32"/>
  <c r="CD9" i="32" s="1"/>
  <c r="BV8" i="32"/>
  <c r="CD8" i="32" s="1"/>
  <c r="BV7" i="32"/>
  <c r="CD7" i="32" s="1"/>
  <c r="BV6" i="32"/>
  <c r="CD6" i="32" s="1"/>
  <c r="BV5" i="32"/>
  <c r="CD5" i="32" s="1"/>
  <c r="BV4" i="32"/>
  <c r="CD4" i="32" s="1"/>
  <c r="BV3" i="32"/>
  <c r="CD3" i="32" s="1"/>
  <c r="BD49" i="32"/>
  <c r="BE49" i="32" s="1"/>
  <c r="BD48" i="32"/>
  <c r="BE48" i="32" s="1"/>
  <c r="BD47" i="32"/>
  <c r="BE47" i="32" s="1"/>
  <c r="BD46" i="32"/>
  <c r="BE46" i="32" s="1"/>
  <c r="BD45" i="32"/>
  <c r="BE45" i="32" s="1"/>
  <c r="BD44" i="32"/>
  <c r="BE44" i="32" s="1"/>
  <c r="BD43" i="32"/>
  <c r="BE43" i="32" s="1"/>
  <c r="BD42" i="32"/>
  <c r="BE42" i="32" s="1"/>
  <c r="BD41" i="32"/>
  <c r="BE41" i="32" s="1"/>
  <c r="BD40" i="32"/>
  <c r="BE40" i="32" s="1"/>
  <c r="BD39" i="32"/>
  <c r="BE39" i="32" s="1"/>
  <c r="BD38" i="32"/>
  <c r="BE38" i="32" s="1"/>
  <c r="BD37" i="32"/>
  <c r="BE37" i="32" s="1"/>
  <c r="BD36" i="32"/>
  <c r="BE36" i="32" s="1"/>
  <c r="BD35" i="32"/>
  <c r="BE35" i="32" s="1"/>
  <c r="BD34" i="32"/>
  <c r="BE34" i="32" s="1"/>
  <c r="BD33" i="32"/>
  <c r="BE33" i="32" s="1"/>
  <c r="BD32" i="32"/>
  <c r="BE32" i="32" s="1"/>
  <c r="BD31" i="32"/>
  <c r="BE31" i="32" s="1"/>
  <c r="BD30" i="32"/>
  <c r="BE30" i="32" s="1"/>
  <c r="BD29" i="32"/>
  <c r="BE29" i="32" s="1"/>
  <c r="BD28" i="32"/>
  <c r="BE28" i="32" s="1"/>
  <c r="BD27" i="32"/>
  <c r="BE27" i="32" s="1"/>
  <c r="BD26" i="32"/>
  <c r="BE26" i="32" s="1"/>
  <c r="BD25" i="32"/>
  <c r="BE25" i="32" s="1"/>
  <c r="BD24" i="32"/>
  <c r="BE24" i="32" s="1"/>
  <c r="BD23" i="32"/>
  <c r="BE23" i="32" s="1"/>
  <c r="BD22" i="32"/>
  <c r="BE22" i="32" s="1"/>
  <c r="BD21" i="32"/>
  <c r="BE21" i="32" s="1"/>
  <c r="BD20" i="32"/>
  <c r="BE20" i="32" s="1"/>
  <c r="BD19" i="32"/>
  <c r="BE19" i="32" s="1"/>
  <c r="BD18" i="32"/>
  <c r="BE18" i="32" s="1"/>
  <c r="BD17" i="32"/>
  <c r="BE17" i="32" s="1"/>
  <c r="BD16" i="32"/>
  <c r="BE16" i="32" s="1"/>
  <c r="BD15" i="32"/>
  <c r="BE15" i="32" s="1"/>
  <c r="BD14" i="32"/>
  <c r="BE14" i="32" s="1"/>
  <c r="BD13" i="32"/>
  <c r="BE13" i="32" s="1"/>
  <c r="BD12" i="32"/>
  <c r="BE12" i="32" s="1"/>
  <c r="BD11" i="32"/>
  <c r="BE11" i="32" s="1"/>
  <c r="BD10" i="32"/>
  <c r="BE10" i="32" s="1"/>
  <c r="BD9" i="32"/>
  <c r="BE9" i="32" s="1"/>
  <c r="BD8" i="32"/>
  <c r="BE8" i="32" s="1"/>
  <c r="BD7" i="32"/>
  <c r="BE7" i="32" s="1"/>
  <c r="BD6" i="32"/>
  <c r="BE6" i="32" s="1"/>
  <c r="BD5" i="32"/>
  <c r="BE5" i="32" s="1"/>
  <c r="BD4" i="32"/>
  <c r="BE4" i="32" s="1"/>
  <c r="BD3" i="32"/>
  <c r="BE3" i="32" s="1"/>
  <c r="AN73" i="31"/>
  <c r="AN72" i="31"/>
  <c r="AN61" i="31"/>
  <c r="AN56" i="31"/>
  <c r="AN55" i="31"/>
  <c r="AN49" i="31"/>
  <c r="AN48" i="31"/>
  <c r="AN44" i="31"/>
  <c r="AN42" i="31"/>
  <c r="AN41" i="31"/>
  <c r="AN35" i="31"/>
  <c r="AN33" i="31"/>
  <c r="AN31" i="31"/>
  <c r="AN30" i="31"/>
  <c r="AN28" i="31"/>
  <c r="AN25" i="31"/>
  <c r="AN24" i="31"/>
  <c r="AN18" i="31"/>
  <c r="AN13" i="31"/>
  <c r="AN11" i="31"/>
  <c r="AN10" i="31"/>
  <c r="AN6" i="31"/>
  <c r="AM72" i="31"/>
  <c r="AM49" i="31"/>
  <c r="AM42" i="31"/>
  <c r="BO72" i="31"/>
  <c r="BW72" i="31" s="1"/>
  <c r="BO71" i="31"/>
  <c r="BW71" i="31" s="1"/>
  <c r="BO70" i="31"/>
  <c r="BW70" i="31" s="1"/>
  <c r="BO69" i="31"/>
  <c r="BW69" i="31" s="1"/>
  <c r="BO68" i="31"/>
  <c r="BW68" i="31" s="1"/>
  <c r="BO67" i="31"/>
  <c r="BW67" i="31" s="1"/>
  <c r="BO66" i="31"/>
  <c r="BW66" i="31" s="1"/>
  <c r="BO65" i="31"/>
  <c r="BW65" i="31" s="1"/>
  <c r="BO64" i="31"/>
  <c r="BW64" i="31" s="1"/>
  <c r="BO63" i="31"/>
  <c r="BW63" i="31" s="1"/>
  <c r="BO62" i="31"/>
  <c r="BW62" i="31" s="1"/>
  <c r="BO61" i="31"/>
  <c r="BW61" i="31" s="1"/>
  <c r="BO60" i="31"/>
  <c r="BW60" i="31" s="1"/>
  <c r="BO59" i="31"/>
  <c r="BW59" i="31" s="1"/>
  <c r="BO58" i="31"/>
  <c r="BW58" i="31" s="1"/>
  <c r="BO57" i="31"/>
  <c r="BW57" i="31" s="1"/>
  <c r="BO56" i="31"/>
  <c r="BW56" i="31" s="1"/>
  <c r="BO55" i="31"/>
  <c r="BW55" i="31" s="1"/>
  <c r="BO54" i="31"/>
  <c r="BW54" i="31" s="1"/>
  <c r="BO53" i="31"/>
  <c r="BW53" i="31" s="1"/>
  <c r="BO52" i="31"/>
  <c r="BW52" i="31" s="1"/>
  <c r="BO51" i="31"/>
  <c r="BW51" i="31" s="1"/>
  <c r="BO50" i="31"/>
  <c r="BW50" i="31" s="1"/>
  <c r="BO49" i="31"/>
  <c r="BW49" i="31" s="1"/>
  <c r="BO48" i="31"/>
  <c r="BW48" i="31" s="1"/>
  <c r="BO47" i="31"/>
  <c r="BW47" i="31" s="1"/>
  <c r="BO46" i="31"/>
  <c r="BW46" i="31" s="1"/>
  <c r="BO45" i="31"/>
  <c r="BW45" i="31" s="1"/>
  <c r="BO44" i="31"/>
  <c r="BW44" i="31" s="1"/>
  <c r="BO43" i="31"/>
  <c r="BW43" i="31" s="1"/>
  <c r="BO42" i="31"/>
  <c r="BW42" i="31" s="1"/>
  <c r="BO41" i="31"/>
  <c r="BW41" i="31" s="1"/>
  <c r="BO40" i="31"/>
  <c r="BW40" i="31" s="1"/>
  <c r="BO39" i="31"/>
  <c r="BW39" i="31" s="1"/>
  <c r="BO38" i="31"/>
  <c r="BW38" i="31" s="1"/>
  <c r="BO37" i="31"/>
  <c r="BW37" i="31" s="1"/>
  <c r="BO36" i="31"/>
  <c r="BW36" i="31" s="1"/>
  <c r="BO35" i="31"/>
  <c r="BW35" i="31" s="1"/>
  <c r="BO34" i="31"/>
  <c r="BW34" i="31" s="1"/>
  <c r="BO33" i="31"/>
  <c r="BW33" i="31" s="1"/>
  <c r="BO32" i="31"/>
  <c r="BW32" i="31" s="1"/>
  <c r="BO31" i="31"/>
  <c r="BW31" i="31" s="1"/>
  <c r="BO30" i="31"/>
  <c r="BW30" i="31" s="1"/>
  <c r="BO29" i="31"/>
  <c r="BW29" i="31" s="1"/>
  <c r="BO28" i="31"/>
  <c r="BW28" i="31" s="1"/>
  <c r="BO27" i="31"/>
  <c r="BW27" i="31" s="1"/>
  <c r="BO26" i="31"/>
  <c r="BW26" i="31" s="1"/>
  <c r="BO25" i="31"/>
  <c r="BW25" i="31" s="1"/>
  <c r="BO24" i="31"/>
  <c r="BW24" i="31" s="1"/>
  <c r="BO23" i="31"/>
  <c r="BW23" i="31" s="1"/>
  <c r="BO22" i="31"/>
  <c r="BW22" i="31" s="1"/>
  <c r="BO21" i="31"/>
  <c r="BW21" i="31" s="1"/>
  <c r="BO20" i="31"/>
  <c r="BW20" i="31" s="1"/>
  <c r="BO19" i="31"/>
  <c r="BW19" i="31" s="1"/>
  <c r="BO18" i="31"/>
  <c r="BW18" i="31" s="1"/>
  <c r="BO17" i="31"/>
  <c r="BW17" i="31" s="1"/>
  <c r="BO16" i="31"/>
  <c r="BW16" i="31" s="1"/>
  <c r="BO15" i="31"/>
  <c r="BW15" i="31" s="1"/>
  <c r="BO14" i="31"/>
  <c r="BW14" i="31" s="1"/>
  <c r="BO13" i="31"/>
  <c r="BW13" i="31" s="1"/>
  <c r="BO12" i="31"/>
  <c r="BW12" i="31" s="1"/>
  <c r="BO11" i="31"/>
  <c r="BW11" i="31" s="1"/>
  <c r="BO10" i="31"/>
  <c r="BW10" i="31" s="1"/>
  <c r="BO9" i="31"/>
  <c r="BW9" i="31" s="1"/>
  <c r="BO8" i="31"/>
  <c r="BW8" i="31" s="1"/>
  <c r="BO7" i="31"/>
  <c r="BW7" i="31" s="1"/>
  <c r="BO6" i="31"/>
  <c r="BW6" i="31" s="1"/>
  <c r="BO5" i="31"/>
  <c r="BW5" i="31" s="1"/>
  <c r="BO4" i="31"/>
  <c r="BW4" i="31" s="1"/>
  <c r="BO3" i="31"/>
  <c r="BW3" i="31" s="1"/>
  <c r="AE73" i="31"/>
  <c r="AO14" i="30"/>
  <c r="AO10" i="30"/>
  <c r="AO5" i="30"/>
  <c r="AN15" i="30"/>
  <c r="AL14" i="30"/>
  <c r="BL12" i="30"/>
  <c r="BO12" i="30" s="1"/>
  <c r="BL11" i="30"/>
  <c r="BO11" i="30" s="1"/>
  <c r="BL10" i="30"/>
  <c r="BO10" i="30" s="1"/>
  <c r="BL9" i="30"/>
  <c r="BO9" i="30" s="1"/>
  <c r="BL8" i="30"/>
  <c r="BO8" i="30" s="1"/>
  <c r="BL7" i="30"/>
  <c r="BO7" i="30" s="1"/>
  <c r="BL6" i="30"/>
  <c r="BO6" i="30" s="1"/>
  <c r="BL5" i="30"/>
  <c r="BO5" i="30" s="1"/>
  <c r="BL4" i="30"/>
  <c r="BO4" i="30" s="1"/>
  <c r="BL3" i="30"/>
  <c r="BO3" i="30" s="1"/>
  <c r="AK8" i="29"/>
  <c r="BT13" i="29"/>
  <c r="BU13" i="29" s="1"/>
  <c r="BT12" i="29"/>
  <c r="BU12" i="29" s="1"/>
  <c r="BT11" i="29"/>
  <c r="BU11" i="29" s="1"/>
  <c r="BT10" i="29"/>
  <c r="BU10" i="29" s="1"/>
  <c r="BT9" i="29"/>
  <c r="BU9" i="29" s="1"/>
  <c r="BT8" i="29"/>
  <c r="BU8" i="29" s="1"/>
  <c r="BT7" i="29"/>
  <c r="BU7" i="29" s="1"/>
  <c r="BT6" i="29"/>
  <c r="BU6" i="29" s="1"/>
  <c r="BT5" i="29"/>
  <c r="BU5" i="29" s="1"/>
  <c r="BT4" i="29"/>
  <c r="BU4" i="29" s="1"/>
  <c r="BT3" i="29"/>
  <c r="BU3" i="29" s="1"/>
  <c r="AS33" i="28"/>
  <c r="AS20" i="28"/>
  <c r="AS11" i="28"/>
  <c r="BM42" i="28"/>
  <c r="BQ42" i="28" s="1"/>
  <c r="BM41" i="28"/>
  <c r="BQ41" i="28" s="1"/>
  <c r="BM40" i="28"/>
  <c r="BQ40" i="28" s="1"/>
  <c r="BM39" i="28"/>
  <c r="BQ39" i="28" s="1"/>
  <c r="BM38" i="28"/>
  <c r="BQ38" i="28" s="1"/>
  <c r="BM37" i="28"/>
  <c r="BQ37" i="28" s="1"/>
  <c r="BM36" i="28"/>
  <c r="BQ36" i="28" s="1"/>
  <c r="BM35" i="28"/>
  <c r="BQ35" i="28" s="1"/>
  <c r="BM34" i="28"/>
  <c r="BQ34" i="28" s="1"/>
  <c r="BM33" i="28"/>
  <c r="BQ33" i="28" s="1"/>
  <c r="BM32" i="28"/>
  <c r="BQ32" i="28" s="1"/>
  <c r="BM31" i="28"/>
  <c r="BQ31" i="28" s="1"/>
  <c r="BM30" i="28"/>
  <c r="BQ30" i="28" s="1"/>
  <c r="BM29" i="28"/>
  <c r="BQ29" i="28" s="1"/>
  <c r="BM28" i="28"/>
  <c r="BQ28" i="28" s="1"/>
  <c r="BM27" i="28"/>
  <c r="BQ27" i="28" s="1"/>
  <c r="BM26" i="28"/>
  <c r="BQ26" i="28" s="1"/>
  <c r="BM25" i="28"/>
  <c r="BQ25" i="28" s="1"/>
  <c r="BM24" i="28"/>
  <c r="BQ24" i="28" s="1"/>
  <c r="BM23" i="28"/>
  <c r="BQ23" i="28" s="1"/>
  <c r="BM22" i="28"/>
  <c r="BQ22" i="28" s="1"/>
  <c r="BM21" i="28"/>
  <c r="BQ21" i="28" s="1"/>
  <c r="BM20" i="28"/>
  <c r="BQ20" i="28" s="1"/>
  <c r="BM19" i="28"/>
  <c r="BQ19" i="28" s="1"/>
  <c r="BM18" i="28"/>
  <c r="BQ18" i="28" s="1"/>
  <c r="BM17" i="28"/>
  <c r="BQ17" i="28" s="1"/>
  <c r="BM16" i="28"/>
  <c r="BQ16" i="28" s="1"/>
  <c r="BM15" i="28"/>
  <c r="BQ15" i="28" s="1"/>
  <c r="BM14" i="28"/>
  <c r="BQ14" i="28" s="1"/>
  <c r="BM13" i="28"/>
  <c r="BQ13" i="28" s="1"/>
  <c r="BM12" i="28"/>
  <c r="BQ12" i="28" s="1"/>
  <c r="BM11" i="28"/>
  <c r="BQ11" i="28" s="1"/>
  <c r="BM10" i="28"/>
  <c r="BQ10" i="28" s="1"/>
  <c r="BM9" i="28"/>
  <c r="BQ9" i="28" s="1"/>
  <c r="BM8" i="28"/>
  <c r="BQ8" i="28" s="1"/>
  <c r="BM7" i="28"/>
  <c r="BQ7" i="28" s="1"/>
  <c r="BM6" i="28"/>
  <c r="BQ6" i="28" s="1"/>
  <c r="BM5" i="28"/>
  <c r="BQ5" i="28" s="1"/>
  <c r="BM4" i="28"/>
  <c r="BQ4" i="28" s="1"/>
  <c r="BM3" i="28"/>
  <c r="BQ3" i="28" s="1"/>
  <c r="AE44" i="28"/>
  <c r="CD51" i="32" l="1"/>
  <c r="CD50" i="32"/>
  <c r="BE51" i="32"/>
  <c r="BE50" i="32"/>
  <c r="BW74" i="31"/>
  <c r="BW73" i="31"/>
  <c r="BO13" i="30"/>
  <c r="BO14" i="30"/>
  <c r="BU17" i="29"/>
  <c r="BU16" i="29"/>
  <c r="BQ44" i="28"/>
  <c r="BQ43" i="28"/>
  <c r="BR21" i="28" l="1"/>
  <c r="CE11" i="32"/>
  <c r="BT47" i="32"/>
  <c r="CE46" i="32"/>
  <c r="CE17" i="32"/>
  <c r="CE32" i="32"/>
  <c r="CE31" i="32"/>
  <c r="CE13" i="32"/>
  <c r="CE44" i="32"/>
  <c r="CE14" i="32"/>
  <c r="CE9" i="32"/>
  <c r="CE24" i="32"/>
  <c r="CE7" i="32"/>
  <c r="CE5" i="32"/>
  <c r="CE3" i="32"/>
  <c r="CE20" i="32"/>
  <c r="CE42" i="32"/>
  <c r="CE39" i="32"/>
  <c r="CE30" i="32"/>
  <c r="CE8" i="32"/>
  <c r="CE22" i="32"/>
  <c r="CE28" i="32"/>
  <c r="CE10" i="32"/>
  <c r="CE40" i="32"/>
  <c r="CE4" i="32"/>
  <c r="CE35" i="32"/>
  <c r="CE34" i="32"/>
  <c r="CE49" i="32"/>
  <c r="CE43" i="32"/>
  <c r="CE15" i="32"/>
  <c r="CE45" i="32"/>
  <c r="CE47" i="32"/>
  <c r="CE25" i="32"/>
  <c r="CE21" i="32"/>
  <c r="CE27" i="32"/>
  <c r="CE16" i="32"/>
  <c r="CE26" i="32"/>
  <c r="CE41" i="32"/>
  <c r="CE36" i="32"/>
  <c r="CE38" i="32"/>
  <c r="CE37" i="32"/>
  <c r="CE12" i="32"/>
  <c r="CE19" i="32"/>
  <c r="CE23" i="32"/>
  <c r="CE18" i="32"/>
  <c r="CE33" i="32"/>
  <c r="CE48" i="32"/>
  <c r="CE6" i="32"/>
  <c r="CE29" i="32"/>
  <c r="BT6" i="32"/>
  <c r="BT40" i="32"/>
  <c r="BT37" i="32"/>
  <c r="BT28" i="32"/>
  <c r="BT43" i="32"/>
  <c r="CF43" i="32" s="1"/>
  <c r="BT34" i="32"/>
  <c r="BT33" i="32"/>
  <c r="BT32" i="32"/>
  <c r="CF32" i="32" s="1"/>
  <c r="BT48" i="32"/>
  <c r="BT41" i="32"/>
  <c r="BT29" i="32"/>
  <c r="BT20" i="32"/>
  <c r="BT35" i="32"/>
  <c r="BT26" i="32"/>
  <c r="BT25" i="32"/>
  <c r="BT24" i="32"/>
  <c r="CF24" i="32" s="1"/>
  <c r="DF24" i="32" s="1"/>
  <c r="BT44" i="32"/>
  <c r="BT23" i="32"/>
  <c r="BT21" i="32"/>
  <c r="BT12" i="32"/>
  <c r="BT27" i="32"/>
  <c r="BT18" i="32"/>
  <c r="BT17" i="32"/>
  <c r="CF17" i="32" s="1"/>
  <c r="BT16" i="32"/>
  <c r="CF16" i="32" s="1"/>
  <c r="DF16" i="32" s="1"/>
  <c r="BT5" i="32"/>
  <c r="CF5" i="32" s="1"/>
  <c r="BT42" i="32"/>
  <c r="BT13" i="32"/>
  <c r="BT4" i="32"/>
  <c r="BT19" i="32"/>
  <c r="BT10" i="32"/>
  <c r="CF10" i="32" s="1"/>
  <c r="BT9" i="32"/>
  <c r="BT8" i="32"/>
  <c r="CF8" i="32" s="1"/>
  <c r="BT22" i="32"/>
  <c r="CF22" i="32" s="1"/>
  <c r="BT36" i="32"/>
  <c r="CF36" i="32" s="1"/>
  <c r="BT46" i="32"/>
  <c r="CF46" i="32" s="1"/>
  <c r="BT3" i="32"/>
  <c r="BT11" i="32"/>
  <c r="BT39" i="32"/>
  <c r="BT7" i="32"/>
  <c r="CF7" i="32" s="1"/>
  <c r="DF7" i="32" s="1"/>
  <c r="BT15" i="32"/>
  <c r="CF15" i="32" s="1"/>
  <c r="DF15" i="32" s="1"/>
  <c r="BT49" i="32"/>
  <c r="BT45" i="32"/>
  <c r="CF45" i="32" s="1"/>
  <c r="BT31" i="32"/>
  <c r="BT38" i="32"/>
  <c r="BT30" i="32"/>
  <c r="BT14" i="32"/>
  <c r="BX7" i="31"/>
  <c r="BX30" i="31"/>
  <c r="BX27" i="31"/>
  <c r="BX61" i="31"/>
  <c r="BX36" i="31"/>
  <c r="BX8" i="31"/>
  <c r="BX34" i="31"/>
  <c r="BX41" i="31"/>
  <c r="BX48" i="31"/>
  <c r="BX67" i="31"/>
  <c r="BX22" i="31"/>
  <c r="BX43" i="31"/>
  <c r="BX53" i="31"/>
  <c r="BX51" i="31"/>
  <c r="BX63" i="31"/>
  <c r="BX26" i="31"/>
  <c r="BX33" i="31"/>
  <c r="BX40" i="31"/>
  <c r="BX69" i="31"/>
  <c r="BX42" i="31"/>
  <c r="BX45" i="31"/>
  <c r="BX32" i="31"/>
  <c r="BX70" i="31"/>
  <c r="BX6" i="31"/>
  <c r="BX16" i="31"/>
  <c r="BX37" i="31"/>
  <c r="BX71" i="31"/>
  <c r="BX20" i="31"/>
  <c r="BX10" i="31"/>
  <c r="BX17" i="31"/>
  <c r="BX24" i="31"/>
  <c r="BX12" i="31"/>
  <c r="BX4" i="31"/>
  <c r="BX56" i="31"/>
  <c r="BX59" i="31"/>
  <c r="BX19" i="31"/>
  <c r="BX11" i="31"/>
  <c r="BX25" i="31"/>
  <c r="BX62" i="31"/>
  <c r="BX13" i="31"/>
  <c r="BX47" i="31"/>
  <c r="BX29" i="31"/>
  <c r="BX15" i="31"/>
  <c r="BX66" i="31"/>
  <c r="BX3" i="31"/>
  <c r="BX9" i="31"/>
  <c r="BX55" i="31"/>
  <c r="BX23" i="31"/>
  <c r="BX54" i="31"/>
  <c r="BX68" i="31"/>
  <c r="BX31" i="31"/>
  <c r="BX21" i="31"/>
  <c r="BX35" i="31"/>
  <c r="BX58" i="31"/>
  <c r="BX65" i="31"/>
  <c r="BX72" i="31"/>
  <c r="BX39" i="31"/>
  <c r="BX38" i="31"/>
  <c r="BX60" i="31"/>
  <c r="BX49" i="31"/>
  <c r="BX14" i="31"/>
  <c r="BX18" i="31"/>
  <c r="BX46" i="31"/>
  <c r="BX28" i="31"/>
  <c r="BX52" i="31"/>
  <c r="BX5" i="31"/>
  <c r="BX44" i="31"/>
  <c r="BX50" i="31"/>
  <c r="BX57" i="31"/>
  <c r="BX64" i="31"/>
  <c r="BS6" i="30"/>
  <c r="BS4" i="30"/>
  <c r="BS9" i="30"/>
  <c r="CR9" i="30" s="1"/>
  <c r="BS7" i="30"/>
  <c r="BS12" i="30"/>
  <c r="BS8" i="30"/>
  <c r="CR8" i="30" s="1"/>
  <c r="BS3" i="30"/>
  <c r="BS11" i="30"/>
  <c r="BS5" i="30"/>
  <c r="BS10" i="30"/>
  <c r="BW6" i="29"/>
  <c r="BW13" i="29"/>
  <c r="BW5" i="29"/>
  <c r="BW12" i="29"/>
  <c r="BW4" i="29"/>
  <c r="BW8" i="29"/>
  <c r="BW3" i="29"/>
  <c r="BW11" i="29"/>
  <c r="BW9" i="29"/>
  <c r="BW7" i="29"/>
  <c r="BW10" i="29"/>
  <c r="BR10" i="28"/>
  <c r="BR27" i="28"/>
  <c r="BR33" i="28"/>
  <c r="BR31" i="28"/>
  <c r="BR18" i="28"/>
  <c r="BR17" i="28"/>
  <c r="BR24" i="28"/>
  <c r="BR16" i="28"/>
  <c r="BR30" i="28"/>
  <c r="BR42" i="28"/>
  <c r="BR3" i="28"/>
  <c r="BR19" i="28"/>
  <c r="BR7" i="28"/>
  <c r="BR5" i="28"/>
  <c r="BR35" i="28"/>
  <c r="BR6" i="28"/>
  <c r="BR41" i="28"/>
  <c r="BR8" i="28"/>
  <c r="BR15" i="28"/>
  <c r="BR22" i="28"/>
  <c r="BR38" i="28"/>
  <c r="BR25" i="28"/>
  <c r="BR12" i="28"/>
  <c r="BR11" i="28"/>
  <c r="BR37" i="28"/>
  <c r="BR34" i="28"/>
  <c r="BR40" i="28"/>
  <c r="BR20" i="28"/>
  <c r="BR23" i="28"/>
  <c r="BR29" i="28"/>
  <c r="BR26" i="28"/>
  <c r="BR32" i="28"/>
  <c r="BR36" i="28"/>
  <c r="BR4" i="28"/>
  <c r="BR13" i="28"/>
  <c r="BR9" i="28"/>
  <c r="BR28" i="28"/>
  <c r="BR39" i="28"/>
  <c r="BR14" i="28"/>
  <c r="CF30" i="32" l="1"/>
  <c r="DF30" i="32" s="1"/>
  <c r="CF3" i="32"/>
  <c r="CF31" i="32"/>
  <c r="CF49" i="32"/>
  <c r="CF9" i="32"/>
  <c r="DF9" i="32" s="1"/>
  <c r="CF14" i="32"/>
  <c r="DF14" i="32" s="1"/>
  <c r="CF18" i="32"/>
  <c r="CF26" i="32"/>
  <c r="CF34" i="32"/>
  <c r="CF11" i="32"/>
  <c r="CF19" i="32"/>
  <c r="CF27" i="32"/>
  <c r="CF38" i="32"/>
  <c r="CF4" i="32"/>
  <c r="CF20" i="32"/>
  <c r="DF20" i="32" s="1"/>
  <c r="CF25" i="32"/>
  <c r="DF25" i="32" s="1"/>
  <c r="CF13" i="32"/>
  <c r="CF29" i="32"/>
  <c r="CF37" i="32"/>
  <c r="CF42" i="32"/>
  <c r="DF42" i="32" s="1"/>
  <c r="CF44" i="32"/>
  <c r="DF44" i="32" s="1"/>
  <c r="CF48" i="32"/>
  <c r="CF6" i="32"/>
  <c r="DF6" i="32" s="1"/>
  <c r="CF33" i="32"/>
  <c r="DF33" i="32" s="1"/>
  <c r="CF39" i="32"/>
  <c r="CF35" i="32"/>
  <c r="CF12" i="32"/>
  <c r="DF12" i="32" s="1"/>
  <c r="CF28" i="32"/>
  <c r="CF21" i="32"/>
  <c r="DF21" i="32" s="1"/>
  <c r="CF23" i="32"/>
  <c r="CF41" i="32"/>
  <c r="DF41" i="32" s="1"/>
  <c r="CF40" i="32"/>
  <c r="DF40" i="32" s="1"/>
  <c r="CF47" i="32"/>
  <c r="AR27" i="27" l="1"/>
  <c r="AR23" i="27"/>
  <c r="AR19" i="27"/>
  <c r="AR18" i="27"/>
  <c r="AR11" i="27"/>
  <c r="AR4" i="27"/>
  <c r="AR3" i="27"/>
  <c r="CJ26" i="27"/>
  <c r="CK26" i="27" s="1"/>
  <c r="CJ25" i="27"/>
  <c r="CK25" i="27" s="1"/>
  <c r="CJ24" i="27"/>
  <c r="CK24" i="27" s="1"/>
  <c r="CJ23" i="27"/>
  <c r="CK23" i="27" s="1"/>
  <c r="CJ22" i="27"/>
  <c r="CK22" i="27" s="1"/>
  <c r="CJ21" i="27"/>
  <c r="CK21" i="27" s="1"/>
  <c r="CJ20" i="27"/>
  <c r="CK20" i="27" s="1"/>
  <c r="CJ19" i="27"/>
  <c r="CK19" i="27" s="1"/>
  <c r="CJ18" i="27"/>
  <c r="CK18" i="27" s="1"/>
  <c r="CJ17" i="27"/>
  <c r="CK17" i="27" s="1"/>
  <c r="CJ16" i="27"/>
  <c r="CK16" i="27" s="1"/>
  <c r="CJ15" i="27"/>
  <c r="CK15" i="27" s="1"/>
  <c r="CJ14" i="27"/>
  <c r="CK14" i="27" s="1"/>
  <c r="CJ13" i="27"/>
  <c r="CK13" i="27" s="1"/>
  <c r="CJ12" i="27"/>
  <c r="CK12" i="27" s="1"/>
  <c r="CJ11" i="27"/>
  <c r="CK11" i="27" s="1"/>
  <c r="CJ10" i="27"/>
  <c r="CK10" i="27" s="1"/>
  <c r="CJ9" i="27"/>
  <c r="CK9" i="27" s="1"/>
  <c r="CJ8" i="27"/>
  <c r="CK8" i="27" s="1"/>
  <c r="CJ7" i="27"/>
  <c r="CK7" i="27" s="1"/>
  <c r="CJ6" i="27"/>
  <c r="CK6" i="27" s="1"/>
  <c r="CJ5" i="27"/>
  <c r="CK5" i="27" s="1"/>
  <c r="CJ4" i="27"/>
  <c r="CK4" i="27" s="1"/>
  <c r="CJ3" i="27"/>
  <c r="CK3" i="27" s="1"/>
  <c r="CK28" i="27" l="1"/>
  <c r="CK27" i="27"/>
  <c r="N12" i="33"/>
  <c r="I12" i="33"/>
  <c r="K7" i="33" s="1"/>
  <c r="BB50" i="32"/>
  <c r="BN73" i="31"/>
  <c r="BK13" i="30"/>
  <c r="BO14" i="29"/>
  <c r="BJ43" i="28"/>
  <c r="BQ27" i="27"/>
  <c r="CL12" i="27" l="1"/>
  <c r="CL10" i="27"/>
  <c r="CL17" i="27"/>
  <c r="CL4" i="27"/>
  <c r="CL15" i="27"/>
  <c r="CL9" i="27"/>
  <c r="CL23" i="27"/>
  <c r="CL19" i="27"/>
  <c r="CL24" i="27"/>
  <c r="CL8" i="27"/>
  <c r="CL22" i="27"/>
  <c r="CL16" i="27"/>
  <c r="CL6" i="27"/>
  <c r="CL14" i="27"/>
  <c r="CL3" i="27"/>
  <c r="CL25" i="27"/>
  <c r="CL26" i="27"/>
  <c r="CL5" i="27"/>
  <c r="CL13" i="27"/>
  <c r="CL21" i="27"/>
  <c r="CL7" i="27"/>
  <c r="CL18" i="27"/>
  <c r="CL11" i="27"/>
  <c r="CL20" i="27"/>
  <c r="K8" i="33"/>
  <c r="K9" i="33"/>
  <c r="K10" i="33"/>
  <c r="K11" i="33"/>
  <c r="K6" i="33"/>
  <c r="CT49" i="32"/>
  <c r="CU49" i="32" s="1"/>
  <c r="CT48" i="32"/>
  <c r="CU48" i="32" s="1"/>
  <c r="CT47" i="32"/>
  <c r="CU47" i="32" s="1"/>
  <c r="CT46" i="32"/>
  <c r="CU46" i="32" s="1"/>
  <c r="CT45" i="32"/>
  <c r="CU45" i="32" s="1"/>
  <c r="CT44" i="32"/>
  <c r="CU44" i="32" s="1"/>
  <c r="CT43" i="32"/>
  <c r="CU43" i="32" s="1"/>
  <c r="CT42" i="32"/>
  <c r="CU42" i="32" s="1"/>
  <c r="CT41" i="32"/>
  <c r="CU41" i="32" s="1"/>
  <c r="CT40" i="32"/>
  <c r="CU40" i="32" s="1"/>
  <c r="CT39" i="32"/>
  <c r="CU39" i="32" s="1"/>
  <c r="CT38" i="32"/>
  <c r="CU38" i="32" s="1"/>
  <c r="CT37" i="32"/>
  <c r="CU37" i="32" s="1"/>
  <c r="CT36" i="32"/>
  <c r="CU36" i="32" s="1"/>
  <c r="CT35" i="32"/>
  <c r="CU35" i="32" s="1"/>
  <c r="CT34" i="32"/>
  <c r="CU34" i="32" s="1"/>
  <c r="CT33" i="32"/>
  <c r="CU33" i="32" s="1"/>
  <c r="CT32" i="32"/>
  <c r="CU32" i="32" s="1"/>
  <c r="CT31" i="32"/>
  <c r="CU31" i="32" s="1"/>
  <c r="CT30" i="32"/>
  <c r="CU30" i="32" s="1"/>
  <c r="CT29" i="32"/>
  <c r="CU29" i="32" s="1"/>
  <c r="CT28" i="32"/>
  <c r="CU28" i="32" s="1"/>
  <c r="CT27" i="32"/>
  <c r="CU27" i="32" s="1"/>
  <c r="CT26" i="32"/>
  <c r="CU26" i="32" s="1"/>
  <c r="CT25" i="32"/>
  <c r="CU25" i="32" s="1"/>
  <c r="CT24" i="32"/>
  <c r="CU24" i="32" s="1"/>
  <c r="CT23" i="32"/>
  <c r="CU23" i="32" s="1"/>
  <c r="CT22" i="32"/>
  <c r="CU22" i="32" s="1"/>
  <c r="CT21" i="32"/>
  <c r="CU21" i="32" s="1"/>
  <c r="CT20" i="32"/>
  <c r="CU20" i="32" s="1"/>
  <c r="CT19" i="32"/>
  <c r="CU19" i="32" s="1"/>
  <c r="CT18" i="32"/>
  <c r="CU18" i="32" s="1"/>
  <c r="CT17" i="32"/>
  <c r="CU17" i="32" s="1"/>
  <c r="CT16" i="32"/>
  <c r="CU16" i="32" s="1"/>
  <c r="CT15" i="32"/>
  <c r="CU15" i="32" s="1"/>
  <c r="CT14" i="32"/>
  <c r="CU14" i="32" s="1"/>
  <c r="CT13" i="32"/>
  <c r="CU13" i="32" s="1"/>
  <c r="CT12" i="32"/>
  <c r="CU12" i="32" s="1"/>
  <c r="CT11" i="32"/>
  <c r="CU11" i="32" s="1"/>
  <c r="CT10" i="32"/>
  <c r="CU10" i="32" s="1"/>
  <c r="CT9" i="32"/>
  <c r="CU9" i="32" s="1"/>
  <c r="CT8" i="32"/>
  <c r="CU8" i="32" s="1"/>
  <c r="CT7" i="32"/>
  <c r="CU7" i="32" s="1"/>
  <c r="CT6" i="32"/>
  <c r="CU6" i="32" s="1"/>
  <c r="CT5" i="32"/>
  <c r="CU5" i="32" s="1"/>
  <c r="CT4" i="32"/>
  <c r="CU4" i="32" s="1"/>
  <c r="CT3" i="32"/>
  <c r="CU3" i="32" s="1"/>
  <c r="BX49" i="32"/>
  <c r="BY49" i="32" s="1"/>
  <c r="BX48" i="32"/>
  <c r="BY48" i="32" s="1"/>
  <c r="BX47" i="32"/>
  <c r="BY47" i="32" s="1"/>
  <c r="BX46" i="32"/>
  <c r="BY46" i="32" s="1"/>
  <c r="BX45" i="32"/>
  <c r="BY45" i="32" s="1"/>
  <c r="BX44" i="32"/>
  <c r="BY44" i="32" s="1"/>
  <c r="BX43" i="32"/>
  <c r="BY43" i="32" s="1"/>
  <c r="BX42" i="32"/>
  <c r="BY42" i="32" s="1"/>
  <c r="BX41" i="32"/>
  <c r="BY41" i="32" s="1"/>
  <c r="BX40" i="32"/>
  <c r="BY40" i="32" s="1"/>
  <c r="BX39" i="32"/>
  <c r="BY39" i="32" s="1"/>
  <c r="BX38" i="32"/>
  <c r="BY38" i="32" s="1"/>
  <c r="BX37" i="32"/>
  <c r="BY37" i="32" s="1"/>
  <c r="BX36" i="32"/>
  <c r="BY36" i="32" s="1"/>
  <c r="BX35" i="32"/>
  <c r="BY35" i="32" s="1"/>
  <c r="BX34" i="32"/>
  <c r="BY34" i="32" s="1"/>
  <c r="BX33" i="32"/>
  <c r="BY33" i="32" s="1"/>
  <c r="BX32" i="32"/>
  <c r="BY32" i="32" s="1"/>
  <c r="BX31" i="32"/>
  <c r="BY31" i="32" s="1"/>
  <c r="BX30" i="32"/>
  <c r="BY30" i="32" s="1"/>
  <c r="BX29" i="32"/>
  <c r="BY29" i="32" s="1"/>
  <c r="BX28" i="32"/>
  <c r="BY28" i="32" s="1"/>
  <c r="BX27" i="32"/>
  <c r="BY27" i="32" s="1"/>
  <c r="BX26" i="32"/>
  <c r="BY26" i="32" s="1"/>
  <c r="BX25" i="32"/>
  <c r="BY25" i="32" s="1"/>
  <c r="BX24" i="32"/>
  <c r="BY24" i="32" s="1"/>
  <c r="BX23" i="32"/>
  <c r="BY23" i="32" s="1"/>
  <c r="BX22" i="32"/>
  <c r="BY22" i="32" s="1"/>
  <c r="BX21" i="32"/>
  <c r="BY21" i="32" s="1"/>
  <c r="BX20" i="32"/>
  <c r="BY20" i="32" s="1"/>
  <c r="BX19" i="32"/>
  <c r="BY19" i="32" s="1"/>
  <c r="BX18" i="32"/>
  <c r="BY18" i="32" s="1"/>
  <c r="BX17" i="32"/>
  <c r="BY17" i="32" s="1"/>
  <c r="BX16" i="32"/>
  <c r="BY16" i="32" s="1"/>
  <c r="BX15" i="32"/>
  <c r="BY15" i="32" s="1"/>
  <c r="BX14" i="32"/>
  <c r="BY14" i="32" s="1"/>
  <c r="BX13" i="32"/>
  <c r="BY13" i="32" s="1"/>
  <c r="BX12" i="32"/>
  <c r="BY12" i="32" s="1"/>
  <c r="BX11" i="32"/>
  <c r="BY11" i="32" s="1"/>
  <c r="BX10" i="32"/>
  <c r="BY10" i="32" s="1"/>
  <c r="BX9" i="32"/>
  <c r="BY9" i="32" s="1"/>
  <c r="BX8" i="32"/>
  <c r="BY8" i="32" s="1"/>
  <c r="BX7" i="32"/>
  <c r="BY7" i="32" s="1"/>
  <c r="BX6" i="32"/>
  <c r="BY6" i="32" s="1"/>
  <c r="BX5" i="32"/>
  <c r="BY5" i="32" s="1"/>
  <c r="BX4" i="32"/>
  <c r="BY4" i="32" s="1"/>
  <c r="BX3" i="32"/>
  <c r="BY3" i="32" s="1"/>
  <c r="BC49" i="32"/>
  <c r="BF49" i="32" s="1"/>
  <c r="BC48" i="32"/>
  <c r="BF48" i="32" s="1"/>
  <c r="BC47" i="32"/>
  <c r="BF47" i="32" s="1"/>
  <c r="BC46" i="32"/>
  <c r="BF46" i="32" s="1"/>
  <c r="BC45" i="32"/>
  <c r="BF45" i="32" s="1"/>
  <c r="BC44" i="32"/>
  <c r="BF44" i="32" s="1"/>
  <c r="BC43" i="32"/>
  <c r="BF43" i="32" s="1"/>
  <c r="BC42" i="32"/>
  <c r="BF42" i="32" s="1"/>
  <c r="BC41" i="32"/>
  <c r="BF41" i="32" s="1"/>
  <c r="BC40" i="32"/>
  <c r="BF40" i="32" s="1"/>
  <c r="BC39" i="32"/>
  <c r="BF39" i="32" s="1"/>
  <c r="BC38" i="32"/>
  <c r="BF38" i="32" s="1"/>
  <c r="BC37" i="32"/>
  <c r="BF37" i="32" s="1"/>
  <c r="BC36" i="32"/>
  <c r="BF36" i="32" s="1"/>
  <c r="BC35" i="32"/>
  <c r="BF35" i="32" s="1"/>
  <c r="BC34" i="32"/>
  <c r="BF34" i="32" s="1"/>
  <c r="BC33" i="32"/>
  <c r="BF33" i="32" s="1"/>
  <c r="BC32" i="32"/>
  <c r="BF32" i="32" s="1"/>
  <c r="BC31" i="32"/>
  <c r="BF31" i="32" s="1"/>
  <c r="BC30" i="32"/>
  <c r="BF30" i="32" s="1"/>
  <c r="BC29" i="32"/>
  <c r="BF29" i="32" s="1"/>
  <c r="BC28" i="32"/>
  <c r="BF28" i="32" s="1"/>
  <c r="BC27" i="32"/>
  <c r="BF27" i="32" s="1"/>
  <c r="BC26" i="32"/>
  <c r="BF26" i="32" s="1"/>
  <c r="BC25" i="32"/>
  <c r="BF25" i="32" s="1"/>
  <c r="BC24" i="32"/>
  <c r="BF24" i="32" s="1"/>
  <c r="BC23" i="32"/>
  <c r="BF23" i="32" s="1"/>
  <c r="BC22" i="32"/>
  <c r="BF22" i="32" s="1"/>
  <c r="BC21" i="32"/>
  <c r="BF21" i="32" s="1"/>
  <c r="BC20" i="32"/>
  <c r="BF20" i="32" s="1"/>
  <c r="BC19" i="32"/>
  <c r="BF19" i="32" s="1"/>
  <c r="BC18" i="32"/>
  <c r="BF18" i="32" s="1"/>
  <c r="BC17" i="32"/>
  <c r="BF17" i="32" s="1"/>
  <c r="BC16" i="32"/>
  <c r="BF16" i="32" s="1"/>
  <c r="BC15" i="32"/>
  <c r="BF15" i="32" s="1"/>
  <c r="BC14" i="32"/>
  <c r="BF14" i="32" s="1"/>
  <c r="BC13" i="32"/>
  <c r="BF13" i="32" s="1"/>
  <c r="BC12" i="32"/>
  <c r="BF12" i="32" s="1"/>
  <c r="BC11" i="32"/>
  <c r="BF11" i="32" s="1"/>
  <c r="BC10" i="32"/>
  <c r="BF10" i="32" s="1"/>
  <c r="BC9" i="32"/>
  <c r="BF9" i="32" s="1"/>
  <c r="BC8" i="32"/>
  <c r="BF8" i="32" s="1"/>
  <c r="BC7" i="32"/>
  <c r="BF7" i="32" s="1"/>
  <c r="BC6" i="32"/>
  <c r="BF6" i="32" s="1"/>
  <c r="BC5" i="32"/>
  <c r="BF5" i="32" s="1"/>
  <c r="BC4" i="32"/>
  <c r="BF4" i="32" s="1"/>
  <c r="BC3" i="32"/>
  <c r="BF3" i="32" s="1"/>
  <c r="K12" i="33" l="1"/>
  <c r="BY50" i="32"/>
  <c r="BY51" i="32"/>
  <c r="CU51" i="32"/>
  <c r="CU50" i="32"/>
  <c r="BF50" i="32"/>
  <c r="BF51" i="32"/>
  <c r="BK15" i="32" s="1"/>
  <c r="DE72" i="31"/>
  <c r="DG72" i="31" s="1"/>
  <c r="DE71" i="31"/>
  <c r="DG71" i="31" s="1"/>
  <c r="DE70" i="31"/>
  <c r="DG70" i="31" s="1"/>
  <c r="DE69" i="31"/>
  <c r="DG69" i="31" s="1"/>
  <c r="DE68" i="31"/>
  <c r="DG68" i="31" s="1"/>
  <c r="DE67" i="31"/>
  <c r="DG67" i="31" s="1"/>
  <c r="DE66" i="31"/>
  <c r="DG66" i="31" s="1"/>
  <c r="DE65" i="31"/>
  <c r="DG65" i="31" s="1"/>
  <c r="DE64" i="31"/>
  <c r="DG64" i="31" s="1"/>
  <c r="DE63" i="31"/>
  <c r="DG63" i="31" s="1"/>
  <c r="DE62" i="31"/>
  <c r="DG62" i="31" s="1"/>
  <c r="DE61" i="31"/>
  <c r="DG61" i="31" s="1"/>
  <c r="DE60" i="31"/>
  <c r="DG60" i="31" s="1"/>
  <c r="DE59" i="31"/>
  <c r="DG59" i="31" s="1"/>
  <c r="DE58" i="31"/>
  <c r="DG58" i="31" s="1"/>
  <c r="DE57" i="31"/>
  <c r="DG57" i="31" s="1"/>
  <c r="DE56" i="31"/>
  <c r="DG56" i="31" s="1"/>
  <c r="DE55" i="31"/>
  <c r="DG55" i="31" s="1"/>
  <c r="DE54" i="31"/>
  <c r="DG54" i="31" s="1"/>
  <c r="DE53" i="31"/>
  <c r="DG53" i="31" s="1"/>
  <c r="DE52" i="31"/>
  <c r="DG52" i="31" s="1"/>
  <c r="DE51" i="31"/>
  <c r="DG51" i="31" s="1"/>
  <c r="DE50" i="31"/>
  <c r="DG50" i="31" s="1"/>
  <c r="DE49" i="31"/>
  <c r="DG49" i="31" s="1"/>
  <c r="DE48" i="31"/>
  <c r="DG48" i="31" s="1"/>
  <c r="DE47" i="31"/>
  <c r="DG47" i="31" s="1"/>
  <c r="DE46" i="31"/>
  <c r="DG46" i="31" s="1"/>
  <c r="DE45" i="31"/>
  <c r="DG45" i="31" s="1"/>
  <c r="DE44" i="31"/>
  <c r="DG44" i="31" s="1"/>
  <c r="DE43" i="31"/>
  <c r="DG43" i="31" s="1"/>
  <c r="DE42" i="31"/>
  <c r="DG42" i="31" s="1"/>
  <c r="DE41" i="31"/>
  <c r="DG41" i="31" s="1"/>
  <c r="DE40" i="31"/>
  <c r="DG40" i="31" s="1"/>
  <c r="DE39" i="31"/>
  <c r="DG39" i="31" s="1"/>
  <c r="DE38" i="31"/>
  <c r="DG38" i="31" s="1"/>
  <c r="DE37" i="31"/>
  <c r="DG37" i="31" s="1"/>
  <c r="DE36" i="31"/>
  <c r="DG36" i="31" s="1"/>
  <c r="DE35" i="31"/>
  <c r="DG35" i="31" s="1"/>
  <c r="DE34" i="31"/>
  <c r="DG34" i="31" s="1"/>
  <c r="DE33" i="31"/>
  <c r="DG33" i="31" s="1"/>
  <c r="DE32" i="31"/>
  <c r="DG32" i="31" s="1"/>
  <c r="DE31" i="31"/>
  <c r="DG31" i="31" s="1"/>
  <c r="DE30" i="31"/>
  <c r="DG30" i="31" s="1"/>
  <c r="DE29" i="31"/>
  <c r="DG29" i="31" s="1"/>
  <c r="DE28" i="31"/>
  <c r="DG28" i="31" s="1"/>
  <c r="DE27" i="31"/>
  <c r="DG27" i="31" s="1"/>
  <c r="DE26" i="31"/>
  <c r="DG26" i="31" s="1"/>
  <c r="DE25" i="31"/>
  <c r="DG25" i="31" s="1"/>
  <c r="DE24" i="31"/>
  <c r="DG24" i="31" s="1"/>
  <c r="DE23" i="31"/>
  <c r="DG23" i="31" s="1"/>
  <c r="DE22" i="31"/>
  <c r="DG22" i="31" s="1"/>
  <c r="DE21" i="31"/>
  <c r="DG21" i="31" s="1"/>
  <c r="DE20" i="31"/>
  <c r="DG20" i="31" s="1"/>
  <c r="DE19" i="31"/>
  <c r="DG19" i="31" s="1"/>
  <c r="DE18" i="31"/>
  <c r="DG18" i="31" s="1"/>
  <c r="DE17" i="31"/>
  <c r="DG17" i="31" s="1"/>
  <c r="DE16" i="31"/>
  <c r="DG16" i="31" s="1"/>
  <c r="DE15" i="31"/>
  <c r="DG15" i="31" s="1"/>
  <c r="DE14" i="31"/>
  <c r="DG14" i="31" s="1"/>
  <c r="DE13" i="31"/>
  <c r="DG13" i="31" s="1"/>
  <c r="DE12" i="31"/>
  <c r="DG12" i="31" s="1"/>
  <c r="DE11" i="31"/>
  <c r="DG11" i="31" s="1"/>
  <c r="DE10" i="31"/>
  <c r="DG10" i="31" s="1"/>
  <c r="DE9" i="31"/>
  <c r="DG9" i="31" s="1"/>
  <c r="DE8" i="31"/>
  <c r="DG8" i="31" s="1"/>
  <c r="DE7" i="31"/>
  <c r="DG7" i="31" s="1"/>
  <c r="DE6" i="31"/>
  <c r="DG6" i="31" s="1"/>
  <c r="DE5" i="31"/>
  <c r="DG5" i="31" s="1"/>
  <c r="DE4" i="31"/>
  <c r="DG4" i="31" s="1"/>
  <c r="DE3" i="31"/>
  <c r="DG3" i="31" s="1"/>
  <c r="CB28" i="32" l="1"/>
  <c r="CW6" i="32"/>
  <c r="BK46" i="32"/>
  <c r="CW26" i="32"/>
  <c r="CB23" i="32"/>
  <c r="CW16" i="32"/>
  <c r="BK33" i="32"/>
  <c r="CB13" i="32"/>
  <c r="CW9" i="32"/>
  <c r="BK5" i="32"/>
  <c r="BK25" i="32"/>
  <c r="CW25" i="32"/>
  <c r="CW47" i="32"/>
  <c r="CB48" i="32"/>
  <c r="CW44" i="32"/>
  <c r="BK24" i="32"/>
  <c r="CB39" i="32"/>
  <c r="CW15" i="32"/>
  <c r="CB43" i="32"/>
  <c r="BK49" i="32"/>
  <c r="CW41" i="32"/>
  <c r="CW34" i="32"/>
  <c r="BK3" i="32"/>
  <c r="BK37" i="32"/>
  <c r="CW13" i="32"/>
  <c r="CW36" i="32"/>
  <c r="CW35" i="32"/>
  <c r="BK35" i="32"/>
  <c r="CW48" i="32"/>
  <c r="CB15" i="32"/>
  <c r="CG15" i="32" s="1"/>
  <c r="CW43" i="32"/>
  <c r="BK8" i="32"/>
  <c r="BK27" i="32"/>
  <c r="CW29" i="32"/>
  <c r="CB21" i="32"/>
  <c r="CW22" i="32"/>
  <c r="CW32" i="32"/>
  <c r="CB26" i="32"/>
  <c r="CW24" i="32"/>
  <c r="CW23" i="32"/>
  <c r="CB36" i="32"/>
  <c r="CB44" i="32"/>
  <c r="CW31" i="32"/>
  <c r="CB18" i="32"/>
  <c r="BK6" i="32"/>
  <c r="CW17" i="32"/>
  <c r="CW38" i="32"/>
  <c r="CB10" i="32"/>
  <c r="CW3" i="32"/>
  <c r="BK39" i="32"/>
  <c r="CW12" i="32"/>
  <c r="CW11" i="32"/>
  <c r="BK11" i="32"/>
  <c r="CW8" i="32"/>
  <c r="CW20" i="32"/>
  <c r="CB27" i="32"/>
  <c r="BK18" i="32"/>
  <c r="CB49" i="32"/>
  <c r="BK45" i="32"/>
  <c r="CB11" i="32"/>
  <c r="CB20" i="32"/>
  <c r="CW7" i="32"/>
  <c r="CW40" i="32"/>
  <c r="BK28" i="32"/>
  <c r="CW5" i="32"/>
  <c r="CB31" i="32"/>
  <c r="CB42" i="32"/>
  <c r="CB3" i="32"/>
  <c r="BK21" i="32"/>
  <c r="CB25" i="32"/>
  <c r="BK9" i="32"/>
  <c r="BK10" i="32"/>
  <c r="CB8" i="32"/>
  <c r="CB38" i="32"/>
  <c r="CW14" i="32"/>
  <c r="BK16" i="32"/>
  <c r="CB41" i="32"/>
  <c r="CB7" i="32"/>
  <c r="BK43" i="32"/>
  <c r="CG43" i="32" s="1"/>
  <c r="DE43" i="32" s="1"/>
  <c r="BK41" i="32"/>
  <c r="CB34" i="32"/>
  <c r="BK38" i="32"/>
  <c r="CB19" i="32"/>
  <c r="BK47" i="32"/>
  <c r="BK30" i="32"/>
  <c r="CB14" i="32"/>
  <c r="CW42" i="32"/>
  <c r="CW46" i="32"/>
  <c r="CB29" i="32"/>
  <c r="CB40" i="32"/>
  <c r="CW33" i="32"/>
  <c r="CB46" i="32"/>
  <c r="CG46" i="32" s="1"/>
  <c r="BK36" i="32"/>
  <c r="BK17" i="32"/>
  <c r="CB22" i="32"/>
  <c r="CB47" i="32"/>
  <c r="CB32" i="32"/>
  <c r="CW19" i="32"/>
  <c r="BK19" i="32"/>
  <c r="CG19" i="32" s="1"/>
  <c r="BK40" i="32"/>
  <c r="BK12" i="32"/>
  <c r="BK29" i="32"/>
  <c r="CW30" i="32"/>
  <c r="CB17" i="32"/>
  <c r="CW4" i="32"/>
  <c r="BK20" i="32"/>
  <c r="CW21" i="32"/>
  <c r="BK14" i="32"/>
  <c r="CB24" i="32"/>
  <c r="CW18" i="32"/>
  <c r="BK44" i="32"/>
  <c r="CG44" i="32" s="1"/>
  <c r="DE44" i="32" s="1"/>
  <c r="CB5" i="32"/>
  <c r="CB16" i="32"/>
  <c r="CB30" i="32"/>
  <c r="CW28" i="32"/>
  <c r="CB45" i="32"/>
  <c r="BK32" i="32"/>
  <c r="CB9" i="32"/>
  <c r="BK23" i="32"/>
  <c r="CB6" i="32"/>
  <c r="CW49" i="32"/>
  <c r="BK7" i="32"/>
  <c r="BK13" i="32"/>
  <c r="CB12" i="32"/>
  <c r="CW10" i="32"/>
  <c r="BK22" i="32"/>
  <c r="BK34" i="32"/>
  <c r="BK31" i="32"/>
  <c r="CG31" i="32" s="1"/>
  <c r="DE31" i="32" s="1"/>
  <c r="BK48" i="32"/>
  <c r="CW45" i="32"/>
  <c r="CB33" i="32"/>
  <c r="BK4" i="32"/>
  <c r="CB37" i="32"/>
  <c r="CW39" i="32"/>
  <c r="BK26" i="32"/>
  <c r="CB4" i="32"/>
  <c r="BK42" i="32"/>
  <c r="CG42" i="32" s="1"/>
  <c r="CW37" i="32"/>
  <c r="CW27" i="32"/>
  <c r="CB35" i="32"/>
  <c r="DG73" i="31"/>
  <c r="DG74" i="31"/>
  <c r="CL72" i="31"/>
  <c r="CN72" i="31" s="1"/>
  <c r="CL71" i="31"/>
  <c r="CN71" i="31" s="1"/>
  <c r="CL70" i="31"/>
  <c r="CN70" i="31" s="1"/>
  <c r="CL69" i="31"/>
  <c r="CN69" i="31" s="1"/>
  <c r="CL68" i="31"/>
  <c r="CN68" i="31" s="1"/>
  <c r="CL67" i="31"/>
  <c r="CN67" i="31" s="1"/>
  <c r="CL66" i="31"/>
  <c r="CN66" i="31" s="1"/>
  <c r="CL65" i="31"/>
  <c r="CN65" i="31" s="1"/>
  <c r="CL64" i="31"/>
  <c r="CN64" i="31" s="1"/>
  <c r="CL63" i="31"/>
  <c r="CN63" i="31" s="1"/>
  <c r="CL62" i="31"/>
  <c r="CN62" i="31" s="1"/>
  <c r="CL61" i="31"/>
  <c r="CN61" i="31" s="1"/>
  <c r="CL60" i="31"/>
  <c r="CN60" i="31" s="1"/>
  <c r="CL59" i="31"/>
  <c r="CN59" i="31" s="1"/>
  <c r="CL58" i="31"/>
  <c r="CN58" i="31" s="1"/>
  <c r="CL57" i="31"/>
  <c r="CN57" i="31" s="1"/>
  <c r="CL56" i="31"/>
  <c r="CN56" i="31" s="1"/>
  <c r="CL55" i="31"/>
  <c r="CN55" i="31" s="1"/>
  <c r="CL54" i="31"/>
  <c r="CN54" i="31" s="1"/>
  <c r="CL53" i="31"/>
  <c r="CN53" i="31" s="1"/>
  <c r="CL52" i="31"/>
  <c r="CN52" i="31" s="1"/>
  <c r="CL51" i="31"/>
  <c r="CN51" i="31" s="1"/>
  <c r="CL50" i="31"/>
  <c r="CN50" i="31" s="1"/>
  <c r="CL49" i="31"/>
  <c r="CN49" i="31" s="1"/>
  <c r="CL48" i="31"/>
  <c r="CN48" i="31" s="1"/>
  <c r="CL47" i="31"/>
  <c r="CN47" i="31" s="1"/>
  <c r="CL46" i="31"/>
  <c r="CN46" i="31" s="1"/>
  <c r="CL45" i="31"/>
  <c r="CN45" i="31" s="1"/>
  <c r="CL44" i="31"/>
  <c r="CN44" i="31" s="1"/>
  <c r="CL43" i="31"/>
  <c r="CN43" i="31" s="1"/>
  <c r="CL42" i="31"/>
  <c r="CN42" i="31" s="1"/>
  <c r="CL41" i="31"/>
  <c r="CN41" i="31" s="1"/>
  <c r="CL40" i="31"/>
  <c r="CN40" i="31" s="1"/>
  <c r="CL39" i="31"/>
  <c r="CN39" i="31" s="1"/>
  <c r="CL38" i="31"/>
  <c r="CN38" i="31" s="1"/>
  <c r="CL37" i="31"/>
  <c r="CN37" i="31" s="1"/>
  <c r="CL36" i="31"/>
  <c r="CN36" i="31" s="1"/>
  <c r="CL35" i="31"/>
  <c r="CN35" i="31" s="1"/>
  <c r="CL34" i="31"/>
  <c r="CN34" i="31" s="1"/>
  <c r="CL33" i="31"/>
  <c r="CN33" i="31" s="1"/>
  <c r="CL32" i="31"/>
  <c r="CN32" i="31" s="1"/>
  <c r="CL31" i="31"/>
  <c r="CN31" i="31" s="1"/>
  <c r="CL30" i="31"/>
  <c r="CN30" i="31" s="1"/>
  <c r="CL29" i="31"/>
  <c r="CN29" i="31" s="1"/>
  <c r="CL28" i="31"/>
  <c r="CN28" i="31" s="1"/>
  <c r="CL27" i="31"/>
  <c r="CN27" i="31" s="1"/>
  <c r="CL26" i="31"/>
  <c r="CN26" i="31" s="1"/>
  <c r="CL25" i="31"/>
  <c r="CN25" i="31" s="1"/>
  <c r="CL24" i="31"/>
  <c r="CN24" i="31" s="1"/>
  <c r="CL23" i="31"/>
  <c r="CN23" i="31" s="1"/>
  <c r="CL22" i="31"/>
  <c r="CN22" i="31" s="1"/>
  <c r="CL21" i="31"/>
  <c r="CN21" i="31" s="1"/>
  <c r="CL20" i="31"/>
  <c r="CN20" i="31" s="1"/>
  <c r="CL19" i="31"/>
  <c r="CN19" i="31" s="1"/>
  <c r="CL18" i="31"/>
  <c r="CN18" i="31" s="1"/>
  <c r="CL17" i="31"/>
  <c r="CN17" i="31" s="1"/>
  <c r="CL16" i="31"/>
  <c r="CN16" i="31" s="1"/>
  <c r="CL15" i="31"/>
  <c r="CN15" i="31" s="1"/>
  <c r="CL14" i="31"/>
  <c r="CN14" i="31" s="1"/>
  <c r="CL13" i="31"/>
  <c r="CN13" i="31" s="1"/>
  <c r="CL12" i="31"/>
  <c r="CN12" i="31" s="1"/>
  <c r="CL11" i="31"/>
  <c r="CN11" i="31" s="1"/>
  <c r="CL10" i="31"/>
  <c r="CN10" i="31" s="1"/>
  <c r="CL9" i="31"/>
  <c r="CN9" i="31" s="1"/>
  <c r="CL8" i="31"/>
  <c r="CN8" i="31" s="1"/>
  <c r="CL7" i="31"/>
  <c r="CN7" i="31" s="1"/>
  <c r="CL6" i="31"/>
  <c r="CN6" i="31" s="1"/>
  <c r="CL5" i="31"/>
  <c r="CN5" i="31" s="1"/>
  <c r="CL4" i="31"/>
  <c r="CN4" i="31" s="1"/>
  <c r="CL3" i="31"/>
  <c r="CN3" i="31" s="1"/>
  <c r="BP72" i="31"/>
  <c r="BY72" i="31" s="1"/>
  <c r="BP71" i="31"/>
  <c r="BY71" i="31" s="1"/>
  <c r="BP70" i="31"/>
  <c r="BY70" i="31" s="1"/>
  <c r="BP69" i="31"/>
  <c r="BY69" i="31" s="1"/>
  <c r="BP68" i="31"/>
  <c r="BY68" i="31" s="1"/>
  <c r="BP67" i="31"/>
  <c r="BY67" i="31" s="1"/>
  <c r="BP66" i="31"/>
  <c r="BY66" i="31" s="1"/>
  <c r="BP65" i="31"/>
  <c r="BY65" i="31" s="1"/>
  <c r="BP64" i="31"/>
  <c r="BY64" i="31" s="1"/>
  <c r="BP63" i="31"/>
  <c r="BY63" i="31" s="1"/>
  <c r="BP62" i="31"/>
  <c r="BY62" i="31" s="1"/>
  <c r="BP61" i="31"/>
  <c r="BY61" i="31" s="1"/>
  <c r="BP60" i="31"/>
  <c r="BY60" i="31" s="1"/>
  <c r="BP59" i="31"/>
  <c r="BY59" i="31" s="1"/>
  <c r="BP58" i="31"/>
  <c r="BY58" i="31" s="1"/>
  <c r="BP57" i="31"/>
  <c r="BY57" i="31" s="1"/>
  <c r="BP56" i="31"/>
  <c r="BY56" i="31" s="1"/>
  <c r="BP55" i="31"/>
  <c r="BY55" i="31" s="1"/>
  <c r="BP54" i="31"/>
  <c r="BY54" i="31" s="1"/>
  <c r="BP53" i="31"/>
  <c r="BY53" i="31" s="1"/>
  <c r="BP52" i="31"/>
  <c r="BY52" i="31" s="1"/>
  <c r="BP51" i="31"/>
  <c r="BY51" i="31" s="1"/>
  <c r="BP50" i="31"/>
  <c r="BY50" i="31" s="1"/>
  <c r="BP49" i="31"/>
  <c r="BY49" i="31" s="1"/>
  <c r="BP48" i="31"/>
  <c r="BY48" i="31" s="1"/>
  <c r="BP47" i="31"/>
  <c r="BY47" i="31" s="1"/>
  <c r="BP46" i="31"/>
  <c r="BY46" i="31" s="1"/>
  <c r="BP45" i="31"/>
  <c r="BY45" i="31" s="1"/>
  <c r="BP44" i="31"/>
  <c r="BY44" i="31" s="1"/>
  <c r="BP43" i="31"/>
  <c r="BY43" i="31" s="1"/>
  <c r="BP42" i="31"/>
  <c r="BY42" i="31" s="1"/>
  <c r="BP41" i="31"/>
  <c r="BY41" i="31" s="1"/>
  <c r="BP40" i="31"/>
  <c r="BY40" i="31" s="1"/>
  <c r="BP39" i="31"/>
  <c r="BY39" i="31" s="1"/>
  <c r="BP38" i="31"/>
  <c r="BY38" i="31" s="1"/>
  <c r="BP37" i="31"/>
  <c r="BY37" i="31" s="1"/>
  <c r="BP36" i="31"/>
  <c r="BY36" i="31" s="1"/>
  <c r="BP35" i="31"/>
  <c r="BY35" i="31" s="1"/>
  <c r="BP34" i="31"/>
  <c r="BY34" i="31" s="1"/>
  <c r="BP33" i="31"/>
  <c r="BY33" i="31" s="1"/>
  <c r="BP32" i="31"/>
  <c r="BY32" i="31" s="1"/>
  <c r="BP31" i="31"/>
  <c r="BY31" i="31" s="1"/>
  <c r="BP30" i="31"/>
  <c r="BY30" i="31" s="1"/>
  <c r="BP29" i="31"/>
  <c r="BY29" i="31" s="1"/>
  <c r="BP28" i="31"/>
  <c r="BY28" i="31" s="1"/>
  <c r="BP27" i="31"/>
  <c r="BY27" i="31" s="1"/>
  <c r="BP26" i="31"/>
  <c r="BY26" i="31" s="1"/>
  <c r="BP25" i="31"/>
  <c r="BY25" i="31" s="1"/>
  <c r="BP24" i="31"/>
  <c r="BY24" i="31" s="1"/>
  <c r="BP23" i="31"/>
  <c r="BY23" i="31" s="1"/>
  <c r="BP22" i="31"/>
  <c r="BY22" i="31" s="1"/>
  <c r="BP21" i="31"/>
  <c r="BY21" i="31" s="1"/>
  <c r="BP20" i="31"/>
  <c r="BY20" i="31" s="1"/>
  <c r="BP19" i="31"/>
  <c r="BY19" i="31" s="1"/>
  <c r="BP18" i="31"/>
  <c r="BY18" i="31" s="1"/>
  <c r="BP17" i="31"/>
  <c r="BY17" i="31" s="1"/>
  <c r="BP16" i="31"/>
  <c r="BY16" i="31" s="1"/>
  <c r="BP15" i="31"/>
  <c r="BY15" i="31" s="1"/>
  <c r="BP14" i="31"/>
  <c r="BY14" i="31" s="1"/>
  <c r="BP13" i="31"/>
  <c r="BY13" i="31" s="1"/>
  <c r="BP12" i="31"/>
  <c r="BY12" i="31" s="1"/>
  <c r="BP11" i="31"/>
  <c r="BY11" i="31" s="1"/>
  <c r="BP10" i="31"/>
  <c r="BY10" i="31" s="1"/>
  <c r="BP9" i="31"/>
  <c r="BY9" i="31" s="1"/>
  <c r="BP8" i="31"/>
  <c r="BY8" i="31" s="1"/>
  <c r="BP7" i="31"/>
  <c r="BY7" i="31" s="1"/>
  <c r="BP6" i="31"/>
  <c r="BY6" i="31" s="1"/>
  <c r="BP5" i="31"/>
  <c r="BY5" i="31" s="1"/>
  <c r="BP4" i="31"/>
  <c r="BY4" i="31" s="1"/>
  <c r="BP3" i="31"/>
  <c r="BY3" i="31" s="1"/>
  <c r="CH9" i="30"/>
  <c r="CH8" i="30"/>
  <c r="CF12" i="30"/>
  <c r="CH12" i="30" s="1"/>
  <c r="CF11" i="30"/>
  <c r="CH11" i="30" s="1"/>
  <c r="CF10" i="30"/>
  <c r="CH10" i="30" s="1"/>
  <c r="CF7" i="30"/>
  <c r="CH7" i="30" s="1"/>
  <c r="CF6" i="30"/>
  <c r="CH6" i="30" s="1"/>
  <c r="CF5" i="30"/>
  <c r="CH5" i="30" s="1"/>
  <c r="CF4" i="30"/>
  <c r="CH4" i="30" s="1"/>
  <c r="CF3" i="30"/>
  <c r="CH3" i="30" s="1"/>
  <c r="BN12" i="30"/>
  <c r="BQ12" i="30" s="1"/>
  <c r="BN11" i="30"/>
  <c r="BQ11" i="30" s="1"/>
  <c r="BN10" i="30"/>
  <c r="BQ10" i="30" s="1"/>
  <c r="BN9" i="30"/>
  <c r="BQ9" i="30" s="1"/>
  <c r="BN8" i="30"/>
  <c r="BQ8" i="30" s="1"/>
  <c r="BN7" i="30"/>
  <c r="BQ7" i="30" s="1"/>
  <c r="BN6" i="30"/>
  <c r="BQ6" i="30" s="1"/>
  <c r="BN5" i="30"/>
  <c r="BQ5" i="30" s="1"/>
  <c r="BN4" i="30"/>
  <c r="BQ4" i="30" s="1"/>
  <c r="BN3" i="30"/>
  <c r="BQ3" i="30" s="1"/>
  <c r="CJ13" i="29"/>
  <c r="CK13" i="29" s="1"/>
  <c r="CJ12" i="29"/>
  <c r="CK12" i="29" s="1"/>
  <c r="CJ11" i="29"/>
  <c r="CK11" i="29" s="1"/>
  <c r="CJ10" i="29"/>
  <c r="CK10" i="29" s="1"/>
  <c r="CJ9" i="29"/>
  <c r="CK9" i="29" s="1"/>
  <c r="CJ8" i="29"/>
  <c r="CK8" i="29" s="1"/>
  <c r="CJ7" i="29"/>
  <c r="CK7" i="29" s="1"/>
  <c r="CJ6" i="29"/>
  <c r="CK6" i="29" s="1"/>
  <c r="CJ5" i="29"/>
  <c r="CK5" i="29" s="1"/>
  <c r="CJ4" i="29"/>
  <c r="CK4" i="29" s="1"/>
  <c r="CJ3" i="29"/>
  <c r="CK3" i="29" s="1"/>
  <c r="BQ13" i="29"/>
  <c r="BR13" i="29" s="1"/>
  <c r="BQ12" i="29"/>
  <c r="BR12" i="29" s="1"/>
  <c r="BQ11" i="29"/>
  <c r="BR11" i="29" s="1"/>
  <c r="BQ10" i="29"/>
  <c r="BR10" i="29" s="1"/>
  <c r="BQ9" i="29"/>
  <c r="BR9" i="29" s="1"/>
  <c r="BQ8" i="29"/>
  <c r="BR8" i="29" s="1"/>
  <c r="BQ7" i="29"/>
  <c r="BR7" i="29" s="1"/>
  <c r="BQ6" i="29"/>
  <c r="BR6" i="29" s="1"/>
  <c r="BQ5" i="29"/>
  <c r="BR5" i="29" s="1"/>
  <c r="BQ4" i="29"/>
  <c r="BR4" i="29" s="1"/>
  <c r="BQ3" i="29"/>
  <c r="BR3" i="29" s="1"/>
  <c r="AV21" i="28"/>
  <c r="R12" i="33"/>
  <c r="T11" i="33" s="1"/>
  <c r="H12" i="33"/>
  <c r="L10" i="33" s="1"/>
  <c r="CD13" i="30"/>
  <c r="CH14" i="29"/>
  <c r="CG18" i="32" l="1"/>
  <c r="DE18" i="32" s="1"/>
  <c r="CG28" i="32"/>
  <c r="CG23" i="32"/>
  <c r="DE23" i="32" s="1"/>
  <c r="CG41" i="32"/>
  <c r="DE41" i="32" s="1"/>
  <c r="CG20" i="32"/>
  <c r="DE20" i="32" s="1"/>
  <c r="CG26" i="32"/>
  <c r="DE26" i="32" s="1"/>
  <c r="CG13" i="32"/>
  <c r="DE13" i="32" s="1"/>
  <c r="CG7" i="32"/>
  <c r="DE7" i="32" s="1"/>
  <c r="DE15" i="32"/>
  <c r="CG39" i="32"/>
  <c r="DE39" i="32" s="1"/>
  <c r="CG37" i="32"/>
  <c r="DE37" i="32" s="1"/>
  <c r="CG3" i="32"/>
  <c r="DE3" i="32" s="1"/>
  <c r="CG32" i="32"/>
  <c r="DE32" i="32" s="1"/>
  <c r="CG36" i="32"/>
  <c r="DE36" i="32" s="1"/>
  <c r="CG30" i="32"/>
  <c r="DE30" i="32" s="1"/>
  <c r="CG4" i="32"/>
  <c r="DE4" i="32" s="1"/>
  <c r="CG40" i="32"/>
  <c r="DE40" i="32" s="1"/>
  <c r="DE46" i="32"/>
  <c r="CG47" i="32"/>
  <c r="DE47" i="32" s="1"/>
  <c r="CG16" i="32"/>
  <c r="DE16" i="32" s="1"/>
  <c r="DE19" i="32"/>
  <c r="CG9" i="32"/>
  <c r="DE9" i="32" s="1"/>
  <c r="CG45" i="32"/>
  <c r="DE45" i="32" s="1"/>
  <c r="CG25" i="32"/>
  <c r="DE25" i="32" s="1"/>
  <c r="CG10" i="32"/>
  <c r="DE10" i="32" s="1"/>
  <c r="CG17" i="32"/>
  <c r="DE17" i="32" s="1"/>
  <c r="CG38" i="32"/>
  <c r="CG5" i="32"/>
  <c r="DE5" i="32" s="1"/>
  <c r="CG48" i="32"/>
  <c r="AQ4" i="32"/>
  <c r="AK4" i="32" s="1"/>
  <c r="CG21" i="32"/>
  <c r="DE21" i="32" s="1"/>
  <c r="CG6" i="32"/>
  <c r="DE6" i="32" s="1"/>
  <c r="CG27" i="32"/>
  <c r="DE27" i="32" s="1"/>
  <c r="CG8" i="32"/>
  <c r="DE8" i="32" s="1"/>
  <c r="CG49" i="32"/>
  <c r="DE49" i="32" s="1"/>
  <c r="CG34" i="32"/>
  <c r="DE34" i="32" s="1"/>
  <c r="CG33" i="32"/>
  <c r="DE33" i="32" s="1"/>
  <c r="CG22" i="32"/>
  <c r="DE22" i="32" s="1"/>
  <c r="CG29" i="32"/>
  <c r="DE42" i="32"/>
  <c r="CG12" i="32"/>
  <c r="DE12" i="32" s="1"/>
  <c r="CG11" i="32"/>
  <c r="DE11" i="32" s="1"/>
  <c r="CG14" i="32"/>
  <c r="DE14" i="32" s="1"/>
  <c r="DE28" i="32"/>
  <c r="CG35" i="32"/>
  <c r="DE35" i="32" s="1"/>
  <c r="CG24" i="32"/>
  <c r="DE24" i="32" s="1"/>
  <c r="DJ17" i="31"/>
  <c r="CN73" i="31"/>
  <c r="DJ72" i="31"/>
  <c r="DJ23" i="31"/>
  <c r="DJ28" i="31"/>
  <c r="DJ69" i="31"/>
  <c r="DJ31" i="31"/>
  <c r="DJ65" i="31"/>
  <c r="DJ9" i="31"/>
  <c r="DJ46" i="31"/>
  <c r="DJ10" i="31"/>
  <c r="DJ48" i="31"/>
  <c r="DJ6" i="31"/>
  <c r="DJ39" i="31"/>
  <c r="DJ55" i="31"/>
  <c r="DJ5" i="31"/>
  <c r="DJ32" i="31"/>
  <c r="DJ53" i="31"/>
  <c r="DJ26" i="31"/>
  <c r="CN74" i="31"/>
  <c r="DJ36" i="31"/>
  <c r="DJ59" i="31"/>
  <c r="DJ40" i="31"/>
  <c r="DJ4" i="31"/>
  <c r="DJ42" i="31"/>
  <c r="DJ41" i="31"/>
  <c r="DJ33" i="31"/>
  <c r="DJ38" i="31"/>
  <c r="DJ67" i="31"/>
  <c r="DJ61" i="31"/>
  <c r="DJ47" i="31"/>
  <c r="DJ34" i="31"/>
  <c r="DJ21" i="31"/>
  <c r="DJ35" i="31"/>
  <c r="DJ50" i="31"/>
  <c r="DJ45" i="31"/>
  <c r="DJ58" i="31"/>
  <c r="DJ22" i="31"/>
  <c r="DJ60" i="31"/>
  <c r="DJ18" i="31"/>
  <c r="DJ57" i="31"/>
  <c r="DJ3" i="31"/>
  <c r="DJ37" i="31"/>
  <c r="DJ13" i="31"/>
  <c r="DJ71" i="31"/>
  <c r="DJ25" i="31"/>
  <c r="DJ56" i="31"/>
  <c r="DJ43" i="31"/>
  <c r="DJ19" i="31"/>
  <c r="DJ7" i="31"/>
  <c r="DJ30" i="31"/>
  <c r="DJ49" i="31"/>
  <c r="DJ64" i="31"/>
  <c r="DJ24" i="31"/>
  <c r="DJ15" i="31"/>
  <c r="DJ29" i="31"/>
  <c r="DJ27" i="31"/>
  <c r="DJ52" i="31"/>
  <c r="DJ16" i="31"/>
  <c r="DJ54" i="31"/>
  <c r="DJ12" i="31"/>
  <c r="DJ51" i="31"/>
  <c r="DJ68" i="31"/>
  <c r="DJ20" i="31"/>
  <c r="DJ62" i="31"/>
  <c r="DJ11" i="31"/>
  <c r="DJ70" i="31"/>
  <c r="DJ8" i="31"/>
  <c r="DJ44" i="31"/>
  <c r="DJ63" i="31"/>
  <c r="DJ66" i="31"/>
  <c r="DJ14" i="31"/>
  <c r="BY74" i="31"/>
  <c r="BY73" i="31"/>
  <c r="CH14" i="30"/>
  <c r="CH13" i="30"/>
  <c r="BQ14" i="30"/>
  <c r="BQ13" i="30"/>
  <c r="CK17" i="29"/>
  <c r="CK16" i="29"/>
  <c r="BR17" i="29"/>
  <c r="BR16" i="29"/>
  <c r="AV26" i="28"/>
  <c r="AQ26" i="28" s="1"/>
  <c r="AV23" i="28"/>
  <c r="AV3" i="28"/>
  <c r="AV34" i="28"/>
  <c r="AV10" i="28"/>
  <c r="AV36" i="28"/>
  <c r="AV22" i="28"/>
  <c r="AV17" i="28"/>
  <c r="AV20" i="28"/>
  <c r="T6" i="33"/>
  <c r="T7" i="33"/>
  <c r="T8" i="33"/>
  <c r="T9" i="33"/>
  <c r="T10" i="33"/>
  <c r="Z10" i="33" s="1"/>
  <c r="L6" i="33"/>
  <c r="L7" i="33"/>
  <c r="L11" i="33"/>
  <c r="L8" i="33"/>
  <c r="L9" i="33"/>
  <c r="BJ13" i="30"/>
  <c r="C8" i="30"/>
  <c r="R8" i="30"/>
  <c r="S8" i="30"/>
  <c r="C9" i="30"/>
  <c r="R9" i="30"/>
  <c r="S9" i="30"/>
  <c r="BN14" i="29"/>
  <c r="CR50" i="32"/>
  <c r="BW50" i="32"/>
  <c r="BA50" i="32"/>
  <c r="C6" i="32"/>
  <c r="C7" i="32"/>
  <c r="AX7" i="32"/>
  <c r="BO7" i="32"/>
  <c r="BP7" i="32"/>
  <c r="CJ7" i="32"/>
  <c r="CZ7" i="32"/>
  <c r="CK73" i="31"/>
  <c r="AQ46" i="32" l="1"/>
  <c r="AK46" i="32" s="1"/>
  <c r="AP37" i="32"/>
  <c r="AJ37" i="32" s="1"/>
  <c r="AQ37" i="32"/>
  <c r="AK37" i="32" s="1"/>
  <c r="CP39" i="31"/>
  <c r="CP62" i="31"/>
  <c r="CP49" i="31"/>
  <c r="Z8" i="33"/>
  <c r="AQ27" i="32"/>
  <c r="AK27" i="32" s="1"/>
  <c r="Z11" i="33"/>
  <c r="DE48" i="32"/>
  <c r="DE29" i="32"/>
  <c r="Z7" i="33"/>
  <c r="AY6" i="31"/>
  <c r="AS6" i="31" s="1"/>
  <c r="DE38" i="32"/>
  <c r="CP40" i="31"/>
  <c r="CP26" i="31"/>
  <c r="CP36" i="31"/>
  <c r="CP69" i="31"/>
  <c r="CP52" i="31"/>
  <c r="CP30" i="31"/>
  <c r="CP24" i="31"/>
  <c r="CP11" i="31"/>
  <c r="CP42" i="31"/>
  <c r="CP7" i="31"/>
  <c r="CP70" i="31"/>
  <c r="CP47" i="31"/>
  <c r="CP37" i="31"/>
  <c r="CP10" i="31"/>
  <c r="CP71" i="31"/>
  <c r="CP35" i="31"/>
  <c r="CP45" i="31"/>
  <c r="CP50" i="31"/>
  <c r="CP20" i="31"/>
  <c r="CP72" i="31"/>
  <c r="CP6" i="31"/>
  <c r="CP22" i="31"/>
  <c r="CP33" i="31"/>
  <c r="CP43" i="31"/>
  <c r="CP12" i="31"/>
  <c r="CP5" i="31"/>
  <c r="CP56" i="31"/>
  <c r="CP18" i="31"/>
  <c r="CP67" i="31"/>
  <c r="CP25" i="31"/>
  <c r="CP65" i="31"/>
  <c r="CP29" i="31"/>
  <c r="CP28" i="31"/>
  <c r="CP27" i="31"/>
  <c r="CP44" i="31"/>
  <c r="CP14" i="31"/>
  <c r="CP54" i="31"/>
  <c r="CP4" i="31"/>
  <c r="CP15" i="31"/>
  <c r="CP46" i="31"/>
  <c r="CP61" i="31"/>
  <c r="CP13" i="31"/>
  <c r="CP59" i="31"/>
  <c r="CP23" i="31"/>
  <c r="CP21" i="31"/>
  <c r="CP38" i="31"/>
  <c r="CP8" i="31"/>
  <c r="CP31" i="31"/>
  <c r="CP48" i="31"/>
  <c r="CP3" i="31"/>
  <c r="CP16" i="31"/>
  <c r="CP34" i="31"/>
  <c r="CP41" i="31"/>
  <c r="CP63" i="31"/>
  <c r="CP51" i="31"/>
  <c r="CP55" i="31"/>
  <c r="CP60" i="31"/>
  <c r="CP58" i="31"/>
  <c r="CP57" i="31"/>
  <c r="CP66" i="31"/>
  <c r="CP64" i="31"/>
  <c r="CP53" i="31"/>
  <c r="CP17" i="31"/>
  <c r="CP9" i="31"/>
  <c r="CP68" i="31"/>
  <c r="CP32" i="31"/>
  <c r="CP19" i="31"/>
  <c r="BZ41" i="31"/>
  <c r="BZ39" i="31"/>
  <c r="CR39" i="31" s="1"/>
  <c r="DQ39" i="31" s="1"/>
  <c r="BZ25" i="31"/>
  <c r="BZ35" i="31"/>
  <c r="BZ32" i="31"/>
  <c r="BZ22" i="31"/>
  <c r="BZ34" i="31"/>
  <c r="BZ12" i="31"/>
  <c r="BZ27" i="31"/>
  <c r="BZ24" i="31"/>
  <c r="BZ23" i="31"/>
  <c r="BZ50" i="31"/>
  <c r="BZ14" i="31"/>
  <c r="BZ68" i="31"/>
  <c r="BZ4" i="31"/>
  <c r="BZ19" i="31"/>
  <c r="CR19" i="31" s="1"/>
  <c r="BZ17" i="31"/>
  <c r="BZ66" i="31"/>
  <c r="BZ16" i="31"/>
  <c r="BZ53" i="31"/>
  <c r="BZ15" i="31"/>
  <c r="BZ70" i="31"/>
  <c r="BZ6" i="31"/>
  <c r="BZ60" i="31"/>
  <c r="BZ21" i="31"/>
  <c r="BZ11" i="31"/>
  <c r="BZ40" i="31"/>
  <c r="BZ33" i="31"/>
  <c r="CR33" i="31" s="1"/>
  <c r="BZ65" i="31"/>
  <c r="BZ5" i="31"/>
  <c r="BZ72" i="31"/>
  <c r="CR72" i="31" s="1"/>
  <c r="DQ72" i="31" s="1"/>
  <c r="BZ62" i="31"/>
  <c r="BZ3" i="31"/>
  <c r="BZ64" i="31"/>
  <c r="CR64" i="31" s="1"/>
  <c r="DQ64" i="31" s="1"/>
  <c r="BZ7" i="31"/>
  <c r="BZ63" i="31"/>
  <c r="BZ18" i="31"/>
  <c r="BZ54" i="31"/>
  <c r="BZ13" i="31"/>
  <c r="BZ44" i="31"/>
  <c r="CR44" i="31" s="1"/>
  <c r="BZ59" i="31"/>
  <c r="BZ58" i="31"/>
  <c r="BZ9" i="31"/>
  <c r="BZ71" i="31"/>
  <c r="CR71" i="31" s="1"/>
  <c r="DQ71" i="31" s="1"/>
  <c r="BZ52" i="31"/>
  <c r="BZ55" i="31"/>
  <c r="BZ10" i="31"/>
  <c r="BZ42" i="31"/>
  <c r="BZ36" i="31"/>
  <c r="BZ51" i="31"/>
  <c r="BZ69" i="31"/>
  <c r="BZ26" i="31"/>
  <c r="BZ30" i="31"/>
  <c r="CR30" i="31" s="1"/>
  <c r="BZ20" i="31"/>
  <c r="BZ31" i="31"/>
  <c r="BZ8" i="31"/>
  <c r="BZ45" i="31"/>
  <c r="BZ61" i="31"/>
  <c r="BZ67" i="31"/>
  <c r="BZ56" i="31"/>
  <c r="BZ37" i="31"/>
  <c r="BZ46" i="31"/>
  <c r="BZ48" i="31"/>
  <c r="BZ29" i="31"/>
  <c r="BZ47" i="31"/>
  <c r="CR47" i="31" s="1"/>
  <c r="DQ47" i="31" s="1"/>
  <c r="BZ49" i="31"/>
  <c r="CR49" i="31" s="1"/>
  <c r="BZ38" i="31"/>
  <c r="BZ57" i="31"/>
  <c r="BZ28" i="31"/>
  <c r="BZ43" i="31"/>
  <c r="CJ5" i="30"/>
  <c r="CJ4" i="30"/>
  <c r="CJ6" i="30"/>
  <c r="CJ3" i="30"/>
  <c r="CJ11" i="30"/>
  <c r="CJ12" i="30"/>
  <c r="CJ10" i="30"/>
  <c r="CJ7" i="30"/>
  <c r="BR10" i="30"/>
  <c r="BR11" i="30"/>
  <c r="BR3" i="30"/>
  <c r="BR4" i="30"/>
  <c r="BR7" i="30"/>
  <c r="BR5" i="30"/>
  <c r="BR12" i="30"/>
  <c r="BR6" i="30"/>
  <c r="CL6" i="29"/>
  <c r="CL12" i="29"/>
  <c r="CL5" i="29"/>
  <c r="CL4" i="29"/>
  <c r="CL11" i="29"/>
  <c r="CL3" i="29"/>
  <c r="CL7" i="29"/>
  <c r="CL8" i="29"/>
  <c r="CL9" i="29"/>
  <c r="CL13" i="29"/>
  <c r="CL10" i="29"/>
  <c r="BS4" i="29"/>
  <c r="BS10" i="29"/>
  <c r="BS8" i="29"/>
  <c r="BS6" i="29"/>
  <c r="BS3" i="29"/>
  <c r="BS13" i="29"/>
  <c r="BS12" i="29"/>
  <c r="BS9" i="29"/>
  <c r="BS5" i="29"/>
  <c r="BS7" i="29"/>
  <c r="BS11" i="29"/>
  <c r="Z6" i="33"/>
  <c r="Z9" i="33"/>
  <c r="T12" i="33"/>
  <c r="L12" i="33"/>
  <c r="DD73" i="31"/>
  <c r="BM73" i="31"/>
  <c r="CE42" i="28"/>
  <c r="CG42" i="28" s="1"/>
  <c r="CE41" i="28"/>
  <c r="CG41" i="28" s="1"/>
  <c r="CE40" i="28"/>
  <c r="CG40" i="28" s="1"/>
  <c r="CE39" i="28"/>
  <c r="CG39" i="28" s="1"/>
  <c r="CE38" i="28"/>
  <c r="CG38" i="28" s="1"/>
  <c r="CE37" i="28"/>
  <c r="CG37" i="28" s="1"/>
  <c r="CE36" i="28"/>
  <c r="CG36" i="28" s="1"/>
  <c r="CE35" i="28"/>
  <c r="CG35" i="28" s="1"/>
  <c r="CE34" i="28"/>
  <c r="CG34" i="28" s="1"/>
  <c r="CE33" i="28"/>
  <c r="CG33" i="28" s="1"/>
  <c r="CE32" i="28"/>
  <c r="CG32" i="28" s="1"/>
  <c r="CE31" i="28"/>
  <c r="CG31" i="28" s="1"/>
  <c r="CE30" i="28"/>
  <c r="CG30" i="28" s="1"/>
  <c r="CE29" i="28"/>
  <c r="CG29" i="28" s="1"/>
  <c r="CE28" i="28"/>
  <c r="CG28" i="28" s="1"/>
  <c r="CE27" i="28"/>
  <c r="CG27" i="28" s="1"/>
  <c r="CE26" i="28"/>
  <c r="CG26" i="28" s="1"/>
  <c r="CE25" i="28"/>
  <c r="CG25" i="28" s="1"/>
  <c r="CE24" i="28"/>
  <c r="CG24" i="28" s="1"/>
  <c r="CE23" i="28"/>
  <c r="CG23" i="28" s="1"/>
  <c r="CE22" i="28"/>
  <c r="CG22" i="28" s="1"/>
  <c r="CE21" i="28"/>
  <c r="CG21" i="28" s="1"/>
  <c r="CE20" i="28"/>
  <c r="CG20" i="28" s="1"/>
  <c r="CE19" i="28"/>
  <c r="CG19" i="28" s="1"/>
  <c r="CE18" i="28"/>
  <c r="CG18" i="28" s="1"/>
  <c r="CE17" i="28"/>
  <c r="CG17" i="28" s="1"/>
  <c r="CE16" i="28"/>
  <c r="CG16" i="28" s="1"/>
  <c r="CE15" i="28"/>
  <c r="CG15" i="28" s="1"/>
  <c r="CE14" i="28"/>
  <c r="CG14" i="28" s="1"/>
  <c r="CE13" i="28"/>
  <c r="CG13" i="28" s="1"/>
  <c r="CE12" i="28"/>
  <c r="CG12" i="28" s="1"/>
  <c r="CE11" i="28"/>
  <c r="CG11" i="28" s="1"/>
  <c r="CE10" i="28"/>
  <c r="CG10" i="28" s="1"/>
  <c r="CE9" i="28"/>
  <c r="CG9" i="28" s="1"/>
  <c r="CE8" i="28"/>
  <c r="CG8" i="28" s="1"/>
  <c r="CE7" i="28"/>
  <c r="CG7" i="28" s="1"/>
  <c r="CE6" i="28"/>
  <c r="CG6" i="28" s="1"/>
  <c r="CE5" i="28"/>
  <c r="CG5" i="28" s="1"/>
  <c r="CE4" i="28"/>
  <c r="CG4" i="28" s="1"/>
  <c r="CE3" i="28"/>
  <c r="CG3" i="28" s="1"/>
  <c r="CC43" i="28"/>
  <c r="BK42" i="28"/>
  <c r="BK41" i="28"/>
  <c r="BK40" i="28"/>
  <c r="BK39" i="28"/>
  <c r="BK38" i="28"/>
  <c r="BK37" i="28"/>
  <c r="BK36" i="28"/>
  <c r="BK35" i="28"/>
  <c r="BK34" i="28"/>
  <c r="BK33" i="28"/>
  <c r="BK32" i="28"/>
  <c r="BK31" i="28"/>
  <c r="BK30" i="28"/>
  <c r="BK29" i="28"/>
  <c r="BK28" i="28"/>
  <c r="BK27" i="28"/>
  <c r="BK26" i="28"/>
  <c r="BK25" i="28"/>
  <c r="BK24" i="28"/>
  <c r="BK23" i="28"/>
  <c r="BK22" i="28"/>
  <c r="BK21" i="28"/>
  <c r="BK20" i="28"/>
  <c r="BK19" i="28"/>
  <c r="BK18" i="28"/>
  <c r="BK17" i="28"/>
  <c r="BK16" i="28"/>
  <c r="BK15" i="28"/>
  <c r="BK14" i="28"/>
  <c r="BK13" i="28"/>
  <c r="BK12" i="28"/>
  <c r="BK11" i="28"/>
  <c r="BK10" i="28"/>
  <c r="BK9" i="28"/>
  <c r="BK8" i="28"/>
  <c r="BK7" i="28"/>
  <c r="BK6" i="28"/>
  <c r="BK5" i="28"/>
  <c r="BK4" i="28"/>
  <c r="BK3" i="28"/>
  <c r="AK51" i="32" l="1"/>
  <c r="W37" i="32" s="1"/>
  <c r="AO46" i="32"/>
  <c r="AI46" i="32" s="1"/>
  <c r="AP3" i="32"/>
  <c r="AJ3" i="32" s="1"/>
  <c r="AP48" i="32"/>
  <c r="AJ48" i="32" s="1"/>
  <c r="AP36" i="32"/>
  <c r="AJ36" i="32" s="1"/>
  <c r="AP4" i="32"/>
  <c r="AJ4" i="32" s="1"/>
  <c r="AP47" i="32"/>
  <c r="AJ47" i="32" s="1"/>
  <c r="AP38" i="32"/>
  <c r="AJ38" i="32" s="1"/>
  <c r="AP29" i="32"/>
  <c r="AJ29" i="32" s="1"/>
  <c r="CR11" i="31"/>
  <c r="CR37" i="31"/>
  <c r="DQ37" i="31" s="1"/>
  <c r="CR3" i="31"/>
  <c r="DQ3" i="31" s="1"/>
  <c r="CR27" i="31"/>
  <c r="DQ27" i="31" s="1"/>
  <c r="CR55" i="31"/>
  <c r="CR54" i="31"/>
  <c r="DQ54" i="31" s="1"/>
  <c r="CR29" i="31"/>
  <c r="DQ29" i="31" s="1"/>
  <c r="CR20" i="31"/>
  <c r="DQ20" i="31" s="1"/>
  <c r="CR70" i="31"/>
  <c r="DQ70" i="31" s="1"/>
  <c r="CR15" i="31"/>
  <c r="DQ15" i="31" s="1"/>
  <c r="CR51" i="31"/>
  <c r="DQ51" i="31" s="1"/>
  <c r="CR24" i="31"/>
  <c r="DQ24" i="31" s="1"/>
  <c r="CR48" i="31"/>
  <c r="AY18" i="31"/>
  <c r="AS18" i="31" s="1"/>
  <c r="AY72" i="31"/>
  <c r="AS72" i="31" s="1"/>
  <c r="CR28" i="31"/>
  <c r="DQ28" i="31" s="1"/>
  <c r="CR32" i="31"/>
  <c r="DQ32" i="31" s="1"/>
  <c r="CR40" i="31"/>
  <c r="DQ40" i="31" s="1"/>
  <c r="AY23" i="31"/>
  <c r="AS23" i="31" s="1"/>
  <c r="CR61" i="31"/>
  <c r="AY13" i="31"/>
  <c r="AS13" i="31" s="1"/>
  <c r="AY41" i="31"/>
  <c r="AS41" i="31" s="1"/>
  <c r="AY43" i="31"/>
  <c r="AS43" i="31" s="1"/>
  <c r="CR12" i="31"/>
  <c r="DQ12" i="31" s="1"/>
  <c r="AY28" i="31"/>
  <c r="AS28" i="31" s="1"/>
  <c r="CR62" i="31"/>
  <c r="DQ62" i="31" s="1"/>
  <c r="CR53" i="31"/>
  <c r="DQ53" i="31" s="1"/>
  <c r="AY34" i="31"/>
  <c r="AS34" i="31" s="1"/>
  <c r="AO37" i="32"/>
  <c r="AI37" i="32" s="1"/>
  <c r="DQ49" i="31"/>
  <c r="DQ30" i="31"/>
  <c r="W27" i="32"/>
  <c r="U27" i="32" s="1"/>
  <c r="AO36" i="32"/>
  <c r="AI36" i="32" s="1"/>
  <c r="CR26" i="31"/>
  <c r="DQ26" i="31" s="1"/>
  <c r="DQ44" i="31"/>
  <c r="DQ33" i="31"/>
  <c r="DQ19" i="31"/>
  <c r="CR35" i="31"/>
  <c r="AO29" i="32"/>
  <c r="AI29" i="32" s="1"/>
  <c r="AY24" i="31"/>
  <c r="AS24" i="31" s="1"/>
  <c r="DQ55" i="31"/>
  <c r="DQ48" i="31"/>
  <c r="CR69" i="31"/>
  <c r="DQ69" i="31" s="1"/>
  <c r="CR4" i="31"/>
  <c r="DQ4" i="31" s="1"/>
  <c r="AY11" i="31"/>
  <c r="AS11" i="31" s="1"/>
  <c r="AY71" i="31"/>
  <c r="AS71" i="31" s="1"/>
  <c r="DQ11" i="31"/>
  <c r="AY5" i="31"/>
  <c r="AS5" i="31" s="1"/>
  <c r="DQ61" i="31"/>
  <c r="CQ12" i="30"/>
  <c r="AO48" i="32"/>
  <c r="AI48" i="32" s="1"/>
  <c r="AY60" i="31"/>
  <c r="AS60" i="31" s="1"/>
  <c r="AO47" i="32"/>
  <c r="AI47" i="32" s="1"/>
  <c r="AY56" i="31"/>
  <c r="AS56" i="31" s="1"/>
  <c r="CR52" i="31"/>
  <c r="DQ52" i="31" s="1"/>
  <c r="CR36" i="31"/>
  <c r="DQ36" i="31" s="1"/>
  <c r="CR46" i="31"/>
  <c r="DQ46" i="31" s="1"/>
  <c r="CR38" i="31"/>
  <c r="DQ38" i="31" s="1"/>
  <c r="CR9" i="31"/>
  <c r="DQ9" i="31" s="1"/>
  <c r="CR18" i="31"/>
  <c r="CR21" i="31"/>
  <c r="DQ21" i="31" s="1"/>
  <c r="CR16" i="31"/>
  <c r="DQ16" i="31" s="1"/>
  <c r="CR34" i="31"/>
  <c r="DQ34" i="31" s="1"/>
  <c r="CR56" i="31"/>
  <c r="CR42" i="31"/>
  <c r="DQ42" i="31" s="1"/>
  <c r="CR58" i="31"/>
  <c r="DQ58" i="31" s="1"/>
  <c r="CR5" i="31"/>
  <c r="DQ5" i="31" s="1"/>
  <c r="CR60" i="31"/>
  <c r="DQ60" i="31" s="1"/>
  <c r="CR67" i="31"/>
  <c r="DQ67" i="31" s="1"/>
  <c r="CR10" i="31"/>
  <c r="CR59" i="31"/>
  <c r="DQ59" i="31" s="1"/>
  <c r="CR7" i="31"/>
  <c r="DQ7" i="31" s="1"/>
  <c r="CR65" i="31"/>
  <c r="DQ65" i="31" s="1"/>
  <c r="CR6" i="31"/>
  <c r="CR17" i="31"/>
  <c r="DQ17" i="31" s="1"/>
  <c r="CR23" i="31"/>
  <c r="DQ23" i="31" s="1"/>
  <c r="CR43" i="31"/>
  <c r="DQ43" i="31" s="1"/>
  <c r="CR45" i="31"/>
  <c r="DQ45" i="31" s="1"/>
  <c r="CR13" i="31"/>
  <c r="DQ13" i="31" s="1"/>
  <c r="CR25" i="31"/>
  <c r="CR57" i="31"/>
  <c r="DQ57" i="31" s="1"/>
  <c r="CR8" i="31"/>
  <c r="DQ8" i="31" s="1"/>
  <c r="CR68" i="31"/>
  <c r="DQ68" i="31" s="1"/>
  <c r="CR31" i="31"/>
  <c r="CR14" i="31"/>
  <c r="DQ14" i="31" s="1"/>
  <c r="CR41" i="31"/>
  <c r="DQ41" i="31" s="1"/>
  <c r="CR63" i="31"/>
  <c r="DQ63" i="31" s="1"/>
  <c r="CR66" i="31"/>
  <c r="DQ66" i="31" s="1"/>
  <c r="CR50" i="31"/>
  <c r="DQ50" i="31" s="1"/>
  <c r="CR22" i="31"/>
  <c r="DQ22" i="31" s="1"/>
  <c r="CQ6" i="30"/>
  <c r="CQ5" i="30"/>
  <c r="CQ7" i="30"/>
  <c r="CQ3" i="30"/>
  <c r="CQ10" i="30"/>
  <c r="AQ5" i="30"/>
  <c r="AR5" i="30" s="1"/>
  <c r="CQ4" i="30"/>
  <c r="AS6" i="30"/>
  <c r="AT6" i="30" s="1"/>
  <c r="CQ11" i="30"/>
  <c r="CU12" i="29"/>
  <c r="CU6" i="29"/>
  <c r="CU13" i="29"/>
  <c r="CU11" i="29"/>
  <c r="CU8" i="29"/>
  <c r="AY5" i="29"/>
  <c r="AT5" i="29" s="1"/>
  <c r="CU4" i="29"/>
  <c r="CU3" i="29"/>
  <c r="AX3" i="29"/>
  <c r="AS3" i="29" s="1"/>
  <c r="CU7" i="29"/>
  <c r="CU10" i="29"/>
  <c r="CU5" i="29"/>
  <c r="CU9" i="29"/>
  <c r="CG44" i="28"/>
  <c r="CG43" i="28"/>
  <c r="Z12" i="33"/>
  <c r="Z43" i="28"/>
  <c r="BI43" i="28"/>
  <c r="AJ27" i="27"/>
  <c r="CP26" i="27"/>
  <c r="CQ26" i="27" s="1"/>
  <c r="CP25" i="27"/>
  <c r="CQ25" i="27" s="1"/>
  <c r="CP24" i="27"/>
  <c r="CQ24" i="27" s="1"/>
  <c r="CP23" i="27"/>
  <c r="CQ23" i="27" s="1"/>
  <c r="CP22" i="27"/>
  <c r="CQ22" i="27" s="1"/>
  <c r="CP21" i="27"/>
  <c r="CQ21" i="27" s="1"/>
  <c r="CP20" i="27"/>
  <c r="CQ20" i="27" s="1"/>
  <c r="CP19" i="27"/>
  <c r="CQ19" i="27" s="1"/>
  <c r="CP18" i="27"/>
  <c r="CQ18" i="27" s="1"/>
  <c r="CP17" i="27"/>
  <c r="CQ17" i="27" s="1"/>
  <c r="CP16" i="27"/>
  <c r="CQ16" i="27" s="1"/>
  <c r="CP15" i="27"/>
  <c r="CQ15" i="27" s="1"/>
  <c r="CP14" i="27"/>
  <c r="CQ14" i="27" s="1"/>
  <c r="CP13" i="27"/>
  <c r="CQ13" i="27" s="1"/>
  <c r="CP12" i="27"/>
  <c r="CQ12" i="27" s="1"/>
  <c r="CP11" i="27"/>
  <c r="CQ11" i="27" s="1"/>
  <c r="CP10" i="27"/>
  <c r="CQ10" i="27" s="1"/>
  <c r="CP9" i="27"/>
  <c r="CQ9" i="27" s="1"/>
  <c r="CP8" i="27"/>
  <c r="CQ8" i="27" s="1"/>
  <c r="CP7" i="27"/>
  <c r="CQ7" i="27" s="1"/>
  <c r="CP6" i="27"/>
  <c r="CQ6" i="27" s="1"/>
  <c r="CP5" i="27"/>
  <c r="CQ5" i="27" s="1"/>
  <c r="CP4" i="27"/>
  <c r="CQ4" i="27" s="1"/>
  <c r="CP3" i="27"/>
  <c r="CQ3" i="27" s="1"/>
  <c r="BS26" i="27"/>
  <c r="BU26" i="27" s="1"/>
  <c r="BS25" i="27"/>
  <c r="BU25" i="27" s="1"/>
  <c r="BS24" i="27"/>
  <c r="BU24" i="27" s="1"/>
  <c r="BS23" i="27"/>
  <c r="BU23" i="27" s="1"/>
  <c r="BS22" i="27"/>
  <c r="BU22" i="27" s="1"/>
  <c r="BS21" i="27"/>
  <c r="BU21" i="27" s="1"/>
  <c r="BS20" i="27"/>
  <c r="BU20" i="27" s="1"/>
  <c r="BS19" i="27"/>
  <c r="BU19" i="27" s="1"/>
  <c r="BS18" i="27"/>
  <c r="BU18" i="27" s="1"/>
  <c r="BS17" i="27"/>
  <c r="BU17" i="27" s="1"/>
  <c r="BS16" i="27"/>
  <c r="BU16" i="27" s="1"/>
  <c r="BS15" i="27"/>
  <c r="BU15" i="27" s="1"/>
  <c r="BS14" i="27"/>
  <c r="BU14" i="27" s="1"/>
  <c r="BS13" i="27"/>
  <c r="BU13" i="27" s="1"/>
  <c r="BS12" i="27"/>
  <c r="BU12" i="27" s="1"/>
  <c r="BS11" i="27"/>
  <c r="BU11" i="27" s="1"/>
  <c r="BS10" i="27"/>
  <c r="BU10" i="27" s="1"/>
  <c r="BS9" i="27"/>
  <c r="BU9" i="27" s="1"/>
  <c r="BS8" i="27"/>
  <c r="BU8" i="27" s="1"/>
  <c r="BS7" i="27"/>
  <c r="BU7" i="27" s="1"/>
  <c r="BS6" i="27"/>
  <c r="BU6" i="27" s="1"/>
  <c r="BS5" i="27"/>
  <c r="BU5" i="27" s="1"/>
  <c r="BS4" i="27"/>
  <c r="BU4" i="27" s="1"/>
  <c r="BS3" i="27"/>
  <c r="BU3" i="27" s="1"/>
  <c r="CN27" i="27"/>
  <c r="AO3" i="32" l="1"/>
  <c r="AI3" i="32" s="1"/>
  <c r="W46" i="32"/>
  <c r="U46" i="32" s="1"/>
  <c r="W4" i="32"/>
  <c r="AJ51" i="32"/>
  <c r="V37" i="32" s="1"/>
  <c r="U37" i="32" s="1"/>
  <c r="AO4" i="32"/>
  <c r="AI4" i="32" s="1"/>
  <c r="AI51" i="32" s="1"/>
  <c r="T46" i="32" s="1"/>
  <c r="CC46" i="28"/>
  <c r="BJ46" i="28"/>
  <c r="DQ35" i="31"/>
  <c r="DQ56" i="31"/>
  <c r="DQ6" i="31"/>
  <c r="AX6" i="31"/>
  <c r="AR6" i="31" s="1"/>
  <c r="AS73" i="31"/>
  <c r="AL71" i="31" s="1"/>
  <c r="AJ71" i="31" s="1"/>
  <c r="DQ31" i="31"/>
  <c r="DQ18" i="31"/>
  <c r="DQ10" i="31"/>
  <c r="DQ25" i="31"/>
  <c r="W51" i="32"/>
  <c r="AS3" i="30"/>
  <c r="AT3" i="30" s="1"/>
  <c r="AQ4" i="30"/>
  <c r="AR4" i="30" s="1"/>
  <c r="AV5" i="30"/>
  <c r="AY8" i="29"/>
  <c r="AT8" i="29" s="1"/>
  <c r="AY12" i="29"/>
  <c r="AT12" i="29" s="1"/>
  <c r="AX4" i="29"/>
  <c r="AS4" i="29" s="1"/>
  <c r="AV8" i="29"/>
  <c r="CH17" i="28"/>
  <c r="CH25" i="28"/>
  <c r="CH40" i="28"/>
  <c r="CH26" i="28"/>
  <c r="CH41" i="28"/>
  <c r="CH10" i="28"/>
  <c r="CH36" i="28"/>
  <c r="CH11" i="28"/>
  <c r="CH32" i="28"/>
  <c r="CH33" i="28"/>
  <c r="CH30" i="28"/>
  <c r="CH9" i="28"/>
  <c r="CH28" i="28"/>
  <c r="CH5" i="28"/>
  <c r="CH27" i="28"/>
  <c r="CH24" i="28"/>
  <c r="CH39" i="28"/>
  <c r="CH22" i="28"/>
  <c r="CH37" i="28"/>
  <c r="CH20" i="28"/>
  <c r="CH18" i="28"/>
  <c r="CH16" i="28"/>
  <c r="CH31" i="28"/>
  <c r="CH14" i="28"/>
  <c r="CH29" i="28"/>
  <c r="CH42" i="28"/>
  <c r="CH4" i="28"/>
  <c r="CH3" i="28"/>
  <c r="CH8" i="28"/>
  <c r="CH15" i="28"/>
  <c r="CH6" i="28"/>
  <c r="CH21" i="28"/>
  <c r="CH35" i="28"/>
  <c r="CH12" i="28"/>
  <c r="CH34" i="28"/>
  <c r="CH38" i="28"/>
  <c r="CH23" i="28"/>
  <c r="CH7" i="28"/>
  <c r="CH13" i="28"/>
  <c r="CH19" i="28"/>
  <c r="BI46" i="28"/>
  <c r="CQ27" i="27"/>
  <c r="BU28" i="27"/>
  <c r="BU27" i="27"/>
  <c r="V3" i="32" l="1"/>
  <c r="V4" i="32"/>
  <c r="V36" i="32"/>
  <c r="U36" i="32" s="1"/>
  <c r="V47" i="32"/>
  <c r="U47" i="32" s="1"/>
  <c r="U4" i="32"/>
  <c r="V48" i="32"/>
  <c r="U48" i="32" s="1"/>
  <c r="V38" i="32"/>
  <c r="U38" i="32" s="1"/>
  <c r="V29" i="32"/>
  <c r="U29" i="32" s="1"/>
  <c r="AX10" i="31"/>
  <c r="AR10" i="31" s="1"/>
  <c r="CI8" i="27"/>
  <c r="CI21" i="27"/>
  <c r="AL34" i="31"/>
  <c r="AJ34" i="31" s="1"/>
  <c r="AL24" i="31"/>
  <c r="AJ24" i="31" s="1"/>
  <c r="AL56" i="31"/>
  <c r="T37" i="32"/>
  <c r="AX61" i="31"/>
  <c r="AR61" i="31" s="1"/>
  <c r="AX55" i="31"/>
  <c r="AR55" i="31" s="1"/>
  <c r="AX28" i="31"/>
  <c r="AR28" i="31" s="1"/>
  <c r="AX49" i="31"/>
  <c r="AR49" i="31" s="1"/>
  <c r="AX51" i="31"/>
  <c r="AR51" i="31" s="1"/>
  <c r="AX44" i="31"/>
  <c r="AR44" i="31" s="1"/>
  <c r="AX48" i="31"/>
  <c r="AR48" i="31" s="1"/>
  <c r="AX11" i="31"/>
  <c r="AR11" i="31" s="1"/>
  <c r="AX33" i="31"/>
  <c r="AR33" i="31" s="1"/>
  <c r="AX19" i="31"/>
  <c r="AR19" i="31" s="1"/>
  <c r="AX30" i="31"/>
  <c r="AR30" i="31" s="1"/>
  <c r="T3" i="32"/>
  <c r="AW6" i="31"/>
  <c r="AQ6" i="31" s="1"/>
  <c r="T36" i="32"/>
  <c r="T48" i="32"/>
  <c r="T4" i="32"/>
  <c r="U3" i="32"/>
  <c r="T47" i="32"/>
  <c r="AS14" i="29"/>
  <c r="AI3" i="29" s="1"/>
  <c r="AX25" i="31"/>
  <c r="AR25" i="31" s="1"/>
  <c r="AX18" i="31"/>
  <c r="AR18" i="31" s="1"/>
  <c r="AX56" i="31"/>
  <c r="AR56" i="31" s="1"/>
  <c r="AT14" i="29"/>
  <c r="AJ5" i="29" s="1"/>
  <c r="AX31" i="31"/>
  <c r="AR31" i="31" s="1"/>
  <c r="AL41" i="31"/>
  <c r="AJ41" i="31" s="1"/>
  <c r="AL13" i="31"/>
  <c r="AJ13" i="31" s="1"/>
  <c r="AL43" i="31"/>
  <c r="AJ43" i="31" s="1"/>
  <c r="AL6" i="31"/>
  <c r="AL28" i="31"/>
  <c r="AL23" i="31"/>
  <c r="AJ23" i="31" s="1"/>
  <c r="AL18" i="31"/>
  <c r="AL72" i="31"/>
  <c r="AJ72" i="31" s="1"/>
  <c r="AX35" i="31"/>
  <c r="AR35" i="31" s="1"/>
  <c r="T29" i="32"/>
  <c r="AR13" i="30"/>
  <c r="AG5" i="30" s="1"/>
  <c r="AF5" i="30" s="1"/>
  <c r="AL5" i="31"/>
  <c r="AT13" i="30"/>
  <c r="AH6" i="30" s="1"/>
  <c r="AF6" i="30" s="1"/>
  <c r="AL60" i="31"/>
  <c r="AJ60" i="31" s="1"/>
  <c r="AL11" i="31"/>
  <c r="AV4" i="30"/>
  <c r="AI4" i="30"/>
  <c r="AI5" i="30"/>
  <c r="AV3" i="29"/>
  <c r="AV5" i="29"/>
  <c r="AY6" i="28"/>
  <c r="BA6" i="28" s="1"/>
  <c r="CI14" i="27"/>
  <c r="CI16" i="27"/>
  <c r="CI24" i="27"/>
  <c r="CI6" i="27"/>
  <c r="CI20" i="27"/>
  <c r="CI15" i="27"/>
  <c r="CI18" i="27"/>
  <c r="CQ28" i="27"/>
  <c r="CS19" i="27" s="1"/>
  <c r="CI22" i="27"/>
  <c r="CI3" i="27"/>
  <c r="CI25" i="27"/>
  <c r="CI26" i="27"/>
  <c r="CI9" i="27"/>
  <c r="CI4" i="27"/>
  <c r="CI10" i="27"/>
  <c r="CI5" i="27"/>
  <c r="CI19" i="27"/>
  <c r="CI23" i="27"/>
  <c r="CI11" i="27"/>
  <c r="CI7" i="27"/>
  <c r="CI13" i="27"/>
  <c r="CI17" i="27"/>
  <c r="CI12" i="27"/>
  <c r="BP27" i="27"/>
  <c r="V51" i="32" l="1"/>
  <c r="U51" i="32"/>
  <c r="AW56" i="31"/>
  <c r="AQ56" i="31" s="1"/>
  <c r="AW18" i="31"/>
  <c r="AQ18" i="31" s="1"/>
  <c r="AW25" i="31"/>
  <c r="AQ25" i="31" s="1"/>
  <c r="AG4" i="30"/>
  <c r="AG13" i="30" s="1"/>
  <c r="AJ8" i="29"/>
  <c r="AH8" i="29" s="1"/>
  <c r="AI4" i="29"/>
  <c r="AH4" i="29" s="1"/>
  <c r="CS16" i="27"/>
  <c r="DB16" i="27" s="1"/>
  <c r="AH5" i="29"/>
  <c r="AF4" i="30"/>
  <c r="AR73" i="31"/>
  <c r="AK48" i="31" s="1"/>
  <c r="AJ48" i="31" s="1"/>
  <c r="AH3" i="30"/>
  <c r="AJ12" i="29"/>
  <c r="AH12" i="29" s="1"/>
  <c r="AW72" i="31"/>
  <c r="AQ72" i="31" s="1"/>
  <c r="AW24" i="31"/>
  <c r="AQ24" i="31" s="1"/>
  <c r="AW55" i="31"/>
  <c r="AQ55" i="31" s="1"/>
  <c r="AW23" i="31"/>
  <c r="AQ23" i="31" s="1"/>
  <c r="AW28" i="31"/>
  <c r="AQ28" i="31" s="1"/>
  <c r="AW19" i="31"/>
  <c r="AQ19" i="31" s="1"/>
  <c r="AW48" i="31"/>
  <c r="AQ48" i="31" s="1"/>
  <c r="AW61" i="31"/>
  <c r="AQ61" i="31" s="1"/>
  <c r="AW41" i="31"/>
  <c r="AQ41" i="31" s="1"/>
  <c r="AW43" i="31"/>
  <c r="AQ43" i="31" s="1"/>
  <c r="AW11" i="31"/>
  <c r="AQ11" i="31" s="1"/>
  <c r="AW33" i="31"/>
  <c r="AQ33" i="31" s="1"/>
  <c r="AW13" i="31"/>
  <c r="AQ13" i="31" s="1"/>
  <c r="AH3" i="29"/>
  <c r="CS8" i="27"/>
  <c r="DB8" i="27" s="1"/>
  <c r="T51" i="32"/>
  <c r="CS20" i="27"/>
  <c r="AJ5" i="31"/>
  <c r="AL73" i="31"/>
  <c r="AW10" i="31"/>
  <c r="AQ10" i="31" s="1"/>
  <c r="AY33" i="28"/>
  <c r="BA33" i="28" s="1"/>
  <c r="AY22" i="28"/>
  <c r="BA22" i="28" s="1"/>
  <c r="AY24" i="28"/>
  <c r="BA24" i="28" s="1"/>
  <c r="AY19" i="28"/>
  <c r="BA19" i="28" s="1"/>
  <c r="AY3" i="28"/>
  <c r="BA3" i="28" s="1"/>
  <c r="AY10" i="28"/>
  <c r="BA10" i="28" s="1"/>
  <c r="AY5" i="28"/>
  <c r="BA5" i="28" s="1"/>
  <c r="CS9" i="27"/>
  <c r="DB9" i="27" s="1"/>
  <c r="CS7" i="27"/>
  <c r="DB7" i="27" s="1"/>
  <c r="CS10" i="27"/>
  <c r="DB10" i="27" s="1"/>
  <c r="CS26" i="27"/>
  <c r="DB26" i="27" s="1"/>
  <c r="CS17" i="27"/>
  <c r="DB17" i="27" s="1"/>
  <c r="CS11" i="27"/>
  <c r="DB11" i="27" s="1"/>
  <c r="CS24" i="27"/>
  <c r="DB24" i="27" s="1"/>
  <c r="CS22" i="27"/>
  <c r="DB22" i="27" s="1"/>
  <c r="CS4" i="27"/>
  <c r="DB4" i="27" s="1"/>
  <c r="CS13" i="27"/>
  <c r="DB13" i="27" s="1"/>
  <c r="CS6" i="27"/>
  <c r="DB6" i="27" s="1"/>
  <c r="CS3" i="27"/>
  <c r="DB3" i="27" s="1"/>
  <c r="CS18" i="27"/>
  <c r="DB18" i="27" s="1"/>
  <c r="CS12" i="27"/>
  <c r="DB12" i="27" s="1"/>
  <c r="CS23" i="27"/>
  <c r="DB23" i="27" s="1"/>
  <c r="DB19" i="27"/>
  <c r="BB23" i="27"/>
  <c r="AZ23" i="27" s="1"/>
  <c r="DB20" i="27"/>
  <c r="CS21" i="27"/>
  <c r="DB21" i="27" s="1"/>
  <c r="CS14" i="27"/>
  <c r="DB14" i="27" s="1"/>
  <c r="CS5" i="27"/>
  <c r="DB5" i="27" s="1"/>
  <c r="CS15" i="27"/>
  <c r="DB15" i="27" s="1"/>
  <c r="CS25" i="27"/>
  <c r="DB25" i="27" s="1"/>
  <c r="CE72" i="31"/>
  <c r="CF72" i="31" s="1"/>
  <c r="CH72" i="31" s="1"/>
  <c r="CE71" i="31"/>
  <c r="CF71" i="31" s="1"/>
  <c r="CH71" i="31" s="1"/>
  <c r="CE70" i="31"/>
  <c r="CF70" i="31" s="1"/>
  <c r="CH70" i="31" s="1"/>
  <c r="CE69" i="31"/>
  <c r="CF69" i="31" s="1"/>
  <c r="CH69" i="31" s="1"/>
  <c r="CE68" i="31"/>
  <c r="CF68" i="31" s="1"/>
  <c r="CH68" i="31" s="1"/>
  <c r="CE67" i="31"/>
  <c r="CF67" i="31" s="1"/>
  <c r="CH67" i="31" s="1"/>
  <c r="CE66" i="31"/>
  <c r="CF66" i="31" s="1"/>
  <c r="CH66" i="31" s="1"/>
  <c r="CE65" i="31"/>
  <c r="CF65" i="31" s="1"/>
  <c r="CH65" i="31" s="1"/>
  <c r="CE64" i="31"/>
  <c r="CF64" i="31" s="1"/>
  <c r="CH64" i="31" s="1"/>
  <c r="CE63" i="31"/>
  <c r="CF63" i="31" s="1"/>
  <c r="CH63" i="31" s="1"/>
  <c r="CE62" i="31"/>
  <c r="CF62" i="31" s="1"/>
  <c r="CH62" i="31" s="1"/>
  <c r="CE61" i="31"/>
  <c r="CF61" i="31" s="1"/>
  <c r="CH61" i="31" s="1"/>
  <c r="CE60" i="31"/>
  <c r="CF60" i="31" s="1"/>
  <c r="CH60" i="31" s="1"/>
  <c r="CE59" i="31"/>
  <c r="CF59" i="31" s="1"/>
  <c r="CH59" i="31" s="1"/>
  <c r="CE58" i="31"/>
  <c r="CF58" i="31" s="1"/>
  <c r="CH58" i="31" s="1"/>
  <c r="CE57" i="31"/>
  <c r="CF57" i="31" s="1"/>
  <c r="CH57" i="31" s="1"/>
  <c r="CE56" i="31"/>
  <c r="CF56" i="31" s="1"/>
  <c r="CH56" i="31" s="1"/>
  <c r="CE55" i="31"/>
  <c r="CF55" i="31" s="1"/>
  <c r="CH55" i="31" s="1"/>
  <c r="CE54" i="31"/>
  <c r="CF54" i="31" s="1"/>
  <c r="CH54" i="31" s="1"/>
  <c r="CE53" i="31"/>
  <c r="CF53" i="31" s="1"/>
  <c r="CH53" i="31" s="1"/>
  <c r="CE52" i="31"/>
  <c r="CF52" i="31" s="1"/>
  <c r="CH52" i="31" s="1"/>
  <c r="CE51" i="31"/>
  <c r="CF51" i="31" s="1"/>
  <c r="CH51" i="31" s="1"/>
  <c r="CE50" i="31"/>
  <c r="CF50" i="31" s="1"/>
  <c r="CH50" i="31" s="1"/>
  <c r="CE49" i="31"/>
  <c r="CF49" i="31" s="1"/>
  <c r="CH49" i="31" s="1"/>
  <c r="CE48" i="31"/>
  <c r="CF48" i="31" s="1"/>
  <c r="CH48" i="31" s="1"/>
  <c r="CE47" i="31"/>
  <c r="CF47" i="31" s="1"/>
  <c r="CH47" i="31" s="1"/>
  <c r="CE46" i="31"/>
  <c r="CF46" i="31" s="1"/>
  <c r="CH46" i="31" s="1"/>
  <c r="CE45" i="31"/>
  <c r="CF45" i="31" s="1"/>
  <c r="CH45" i="31" s="1"/>
  <c r="CE44" i="31"/>
  <c r="CF44" i="31" s="1"/>
  <c r="CH44" i="31" s="1"/>
  <c r="CE43" i="31"/>
  <c r="CF43" i="31" s="1"/>
  <c r="CH43" i="31" s="1"/>
  <c r="CE42" i="31"/>
  <c r="CF42" i="31" s="1"/>
  <c r="CH42" i="31" s="1"/>
  <c r="CE41" i="31"/>
  <c r="CF41" i="31" s="1"/>
  <c r="CH41" i="31" s="1"/>
  <c r="CE40" i="31"/>
  <c r="CF40" i="31" s="1"/>
  <c r="CH40" i="31" s="1"/>
  <c r="CE39" i="31"/>
  <c r="CF39" i="31" s="1"/>
  <c r="CH39" i="31" s="1"/>
  <c r="CE38" i="31"/>
  <c r="CF38" i="31" s="1"/>
  <c r="CH38" i="31" s="1"/>
  <c r="CE37" i="31"/>
  <c r="CF37" i="31" s="1"/>
  <c r="CH37" i="31" s="1"/>
  <c r="CE36" i="31"/>
  <c r="CF36" i="31" s="1"/>
  <c r="CH36" i="31" s="1"/>
  <c r="CE35" i="31"/>
  <c r="CF35" i="31" s="1"/>
  <c r="CH35" i="31" s="1"/>
  <c r="CE34" i="31"/>
  <c r="CF34" i="31" s="1"/>
  <c r="CH34" i="31" s="1"/>
  <c r="CE33" i="31"/>
  <c r="CF33" i="31" s="1"/>
  <c r="CH33" i="31" s="1"/>
  <c r="CE32" i="31"/>
  <c r="CF32" i="31" s="1"/>
  <c r="CH32" i="31" s="1"/>
  <c r="CE31" i="31"/>
  <c r="CF31" i="31" s="1"/>
  <c r="CH31" i="31" s="1"/>
  <c r="CE30" i="31"/>
  <c r="CF30" i="31" s="1"/>
  <c r="CH30" i="31" s="1"/>
  <c r="CE29" i="31"/>
  <c r="CF29" i="31" s="1"/>
  <c r="CH29" i="31" s="1"/>
  <c r="CE28" i="31"/>
  <c r="CF28" i="31" s="1"/>
  <c r="CH28" i="31" s="1"/>
  <c r="CE27" i="31"/>
  <c r="CF27" i="31" s="1"/>
  <c r="CH27" i="31" s="1"/>
  <c r="CE26" i="31"/>
  <c r="CF26" i="31" s="1"/>
  <c r="CH26" i="31" s="1"/>
  <c r="CE25" i="31"/>
  <c r="CF25" i="31" s="1"/>
  <c r="CH25" i="31" s="1"/>
  <c r="CE24" i="31"/>
  <c r="CF24" i="31" s="1"/>
  <c r="CH24" i="31" s="1"/>
  <c r="CE23" i="31"/>
  <c r="CF23" i="31" s="1"/>
  <c r="CH23" i="31" s="1"/>
  <c r="CE22" i="31"/>
  <c r="CF22" i="31" s="1"/>
  <c r="CH22" i="31" s="1"/>
  <c r="CE21" i="31"/>
  <c r="CF21" i="31" s="1"/>
  <c r="CH21" i="31" s="1"/>
  <c r="CE20" i="31"/>
  <c r="CF20" i="31" s="1"/>
  <c r="CH20" i="31" s="1"/>
  <c r="CE19" i="31"/>
  <c r="CF19" i="31" s="1"/>
  <c r="CH19" i="31" s="1"/>
  <c r="CE18" i="31"/>
  <c r="CF18" i="31" s="1"/>
  <c r="CH18" i="31" s="1"/>
  <c r="CE17" i="31"/>
  <c r="CF17" i="31" s="1"/>
  <c r="CH17" i="31" s="1"/>
  <c r="CE16" i="31"/>
  <c r="CF16" i="31" s="1"/>
  <c r="CH16" i="31" s="1"/>
  <c r="CE15" i="31"/>
  <c r="CF15" i="31" s="1"/>
  <c r="CH15" i="31" s="1"/>
  <c r="CE14" i="31"/>
  <c r="CF14" i="31" s="1"/>
  <c r="CH14" i="31" s="1"/>
  <c r="CE13" i="31"/>
  <c r="CF13" i="31" s="1"/>
  <c r="CH13" i="31" s="1"/>
  <c r="CE12" i="31"/>
  <c r="CF12" i="31" s="1"/>
  <c r="CH12" i="31" s="1"/>
  <c r="CE11" i="31"/>
  <c r="CF11" i="31" s="1"/>
  <c r="CH11" i="31" s="1"/>
  <c r="CE10" i="31"/>
  <c r="CF10" i="31" s="1"/>
  <c r="CH10" i="31" s="1"/>
  <c r="CE9" i="31"/>
  <c r="CF9" i="31" s="1"/>
  <c r="CH9" i="31" s="1"/>
  <c r="CE8" i="31"/>
  <c r="CF8" i="31" s="1"/>
  <c r="CH8" i="31" s="1"/>
  <c r="CE7" i="31"/>
  <c r="CF7" i="31" s="1"/>
  <c r="CH7" i="31" s="1"/>
  <c r="CE6" i="31"/>
  <c r="CF6" i="31" s="1"/>
  <c r="CH6" i="31" s="1"/>
  <c r="CE5" i="31"/>
  <c r="CF5" i="31" s="1"/>
  <c r="CH5" i="31" s="1"/>
  <c r="CE4" i="31"/>
  <c r="CF4" i="31" s="1"/>
  <c r="CH4" i="31" s="1"/>
  <c r="CE3" i="31"/>
  <c r="CF3" i="31" s="1"/>
  <c r="CH3" i="31" s="1"/>
  <c r="CF26" i="27"/>
  <c r="CG26" i="27" s="1"/>
  <c r="CF25" i="27"/>
  <c r="CG25" i="27" s="1"/>
  <c r="CF24" i="27"/>
  <c r="CG24" i="27" s="1"/>
  <c r="CF23" i="27"/>
  <c r="CG23" i="27" s="1"/>
  <c r="CF22" i="27"/>
  <c r="CG22" i="27" s="1"/>
  <c r="CF21" i="27"/>
  <c r="CG21" i="27" s="1"/>
  <c r="CF20" i="27"/>
  <c r="CG20" i="27" s="1"/>
  <c r="CF19" i="27"/>
  <c r="CG19" i="27" s="1"/>
  <c r="CF18" i="27"/>
  <c r="CG18" i="27" s="1"/>
  <c r="CF17" i="27"/>
  <c r="CG17" i="27" s="1"/>
  <c r="CF16" i="27"/>
  <c r="CG16" i="27" s="1"/>
  <c r="CF15" i="27"/>
  <c r="CG15" i="27" s="1"/>
  <c r="CF14" i="27"/>
  <c r="CG14" i="27" s="1"/>
  <c r="CF13" i="27"/>
  <c r="CG13" i="27" s="1"/>
  <c r="CF12" i="27"/>
  <c r="CG12" i="27" s="1"/>
  <c r="CF11" i="27"/>
  <c r="CG11" i="27" s="1"/>
  <c r="CF10" i="27"/>
  <c r="CG10" i="27" s="1"/>
  <c r="CF9" i="27"/>
  <c r="CG9" i="27" s="1"/>
  <c r="CF8" i="27"/>
  <c r="CG8" i="27" s="1"/>
  <c r="CF7" i="27"/>
  <c r="CG7" i="27" s="1"/>
  <c r="CF6" i="27"/>
  <c r="CG6" i="27" s="1"/>
  <c r="CF5" i="27"/>
  <c r="CG5" i="27" s="1"/>
  <c r="CF4" i="27"/>
  <c r="CG4" i="27" s="1"/>
  <c r="CF3" i="27"/>
  <c r="CG3" i="27" s="1"/>
  <c r="BJ5" i="27"/>
  <c r="AM36" i="32"/>
  <c r="Y36" i="32" s="1"/>
  <c r="AK28" i="31" l="1"/>
  <c r="AJ28" i="31" s="1"/>
  <c r="AK35" i="31"/>
  <c r="AJ35" i="31" s="1"/>
  <c r="AK61" i="31"/>
  <c r="AJ61" i="31" s="1"/>
  <c r="AI14" i="29"/>
  <c r="BC19" i="27"/>
  <c r="BA19" i="27" s="1"/>
  <c r="AK18" i="31"/>
  <c r="AJ18" i="31" s="1"/>
  <c r="AK19" i="31"/>
  <c r="AJ19" i="31" s="1"/>
  <c r="AK25" i="31"/>
  <c r="AJ25" i="31" s="1"/>
  <c r="AK51" i="31"/>
  <c r="AJ51" i="31" s="1"/>
  <c r="AK56" i="31"/>
  <c r="AJ56" i="31" s="1"/>
  <c r="AK30" i="31"/>
  <c r="AJ30" i="31" s="1"/>
  <c r="BB11" i="27"/>
  <c r="AZ11" i="27" s="1"/>
  <c r="AK44" i="31"/>
  <c r="AJ44" i="31" s="1"/>
  <c r="BB4" i="27"/>
  <c r="AZ4" i="27" s="1"/>
  <c r="AH13" i="30"/>
  <c r="AF3" i="30"/>
  <c r="AF13" i="30" s="1"/>
  <c r="AK10" i="31"/>
  <c r="AJ10" i="31" s="1"/>
  <c r="AK6" i="31"/>
  <c r="AK11" i="31"/>
  <c r="AJ11" i="31" s="1"/>
  <c r="AK31" i="31"/>
  <c r="AJ31" i="31" s="1"/>
  <c r="BB18" i="27"/>
  <c r="AZ18" i="27" s="1"/>
  <c r="AK55" i="31"/>
  <c r="AJ55" i="31" s="1"/>
  <c r="AK33" i="31"/>
  <c r="AJ33" i="31" s="1"/>
  <c r="AK49" i="31"/>
  <c r="AJ49" i="31" s="1"/>
  <c r="AJ14" i="29"/>
  <c r="AQ73" i="31"/>
  <c r="AI72" i="31" s="1"/>
  <c r="BA43" i="28"/>
  <c r="AP6" i="28" s="1"/>
  <c r="AN6" i="28" s="1"/>
  <c r="AX19" i="27"/>
  <c r="AY19" i="27" s="1"/>
  <c r="CH73" i="31"/>
  <c r="BB3" i="27"/>
  <c r="CH74" i="31"/>
  <c r="CG28" i="27"/>
  <c r="CF74" i="31"/>
  <c r="CF73" i="31"/>
  <c r="CG27" i="27"/>
  <c r="BA44" i="31"/>
  <c r="AP44" i="31" s="1"/>
  <c r="CJ73" i="31"/>
  <c r="AB73" i="31"/>
  <c r="CK74" i="31" l="1"/>
  <c r="BN76" i="31"/>
  <c r="AI43" i="31"/>
  <c r="BC4" i="27"/>
  <c r="BC10" i="27"/>
  <c r="BA10" i="27" s="1"/>
  <c r="BC23" i="27"/>
  <c r="BA23" i="27" s="1"/>
  <c r="AI48" i="31"/>
  <c r="AI61" i="31"/>
  <c r="AI11" i="31"/>
  <c r="AI33" i="31"/>
  <c r="AI19" i="31"/>
  <c r="AI41" i="31"/>
  <c r="AI25" i="31"/>
  <c r="AI6" i="31"/>
  <c r="AI56" i="31"/>
  <c r="AI18" i="31"/>
  <c r="AI23" i="31"/>
  <c r="AI13" i="31"/>
  <c r="AI10" i="31"/>
  <c r="AI24" i="31"/>
  <c r="AI28" i="31"/>
  <c r="AJ6" i="31"/>
  <c r="AJ73" i="31" s="1"/>
  <c r="AK73" i="31"/>
  <c r="AI55" i="31"/>
  <c r="AP5" i="28"/>
  <c r="AN5" i="28" s="1"/>
  <c r="AP33" i="28"/>
  <c r="AN33" i="28" s="1"/>
  <c r="AP22" i="28"/>
  <c r="AP24" i="28"/>
  <c r="AN24" i="28" s="1"/>
  <c r="AP3" i="28"/>
  <c r="AP19" i="28"/>
  <c r="AN19" i="28" s="1"/>
  <c r="AP10" i="28"/>
  <c r="AN10" i="28" s="1"/>
  <c r="BM76" i="31"/>
  <c r="DD74" i="31"/>
  <c r="CG39" i="31"/>
  <c r="CI39" i="31"/>
  <c r="AX11" i="27"/>
  <c r="AY11" i="27" s="1"/>
  <c r="AX3" i="27"/>
  <c r="AY3" i="27" s="1"/>
  <c r="AX18" i="27"/>
  <c r="AY18" i="27" s="1"/>
  <c r="AX4" i="27"/>
  <c r="AY4" i="27" s="1"/>
  <c r="CI58" i="31"/>
  <c r="CI74" i="31"/>
  <c r="CI68" i="31"/>
  <c r="CI4" i="31"/>
  <c r="CI67" i="31"/>
  <c r="CI34" i="31"/>
  <c r="CI57" i="31"/>
  <c r="CI8" i="31"/>
  <c r="CI47" i="31"/>
  <c r="AZ3" i="27"/>
  <c r="BB27" i="27"/>
  <c r="CI60" i="31"/>
  <c r="CI59" i="31"/>
  <c r="CI43" i="31"/>
  <c r="CI26" i="31"/>
  <c r="CI49" i="31"/>
  <c r="CI62" i="31"/>
  <c r="CI54" i="31"/>
  <c r="CI46" i="31"/>
  <c r="CI30" i="31"/>
  <c r="CI14" i="31"/>
  <c r="CI21" i="31"/>
  <c r="CI70" i="31"/>
  <c r="CI38" i="31"/>
  <c r="CI6" i="31"/>
  <c r="CI13" i="31"/>
  <c r="CI45" i="31"/>
  <c r="CI73" i="31"/>
  <c r="CI22" i="31"/>
  <c r="CI69" i="31"/>
  <c r="CI53" i="31"/>
  <c r="CI29" i="31"/>
  <c r="CI5" i="31"/>
  <c r="CI61" i="31"/>
  <c r="CI37" i="31"/>
  <c r="CI52" i="31"/>
  <c r="CI51" i="31"/>
  <c r="CI11" i="31"/>
  <c r="CI18" i="31"/>
  <c r="CI41" i="31"/>
  <c r="CI72" i="31"/>
  <c r="CI31" i="31"/>
  <c r="CI44" i="31"/>
  <c r="CI35" i="31"/>
  <c r="CI40" i="31"/>
  <c r="CI10" i="31"/>
  <c r="CI33" i="31"/>
  <c r="CI64" i="31"/>
  <c r="CI23" i="31"/>
  <c r="CI36" i="31"/>
  <c r="CI27" i="31"/>
  <c r="CI16" i="31"/>
  <c r="CI56" i="31"/>
  <c r="CI25" i="31"/>
  <c r="CI32" i="31"/>
  <c r="CI15" i="31"/>
  <c r="CI12" i="31"/>
  <c r="CI48" i="31"/>
  <c r="CI65" i="31"/>
  <c r="CI28" i="31"/>
  <c r="CI19" i="31"/>
  <c r="CI50" i="31"/>
  <c r="CI24" i="31"/>
  <c r="CI17" i="31"/>
  <c r="CI71" i="31"/>
  <c r="CI55" i="31"/>
  <c r="AX23" i="27"/>
  <c r="AY23" i="27" s="1"/>
  <c r="CI20" i="31"/>
  <c r="CI3" i="31"/>
  <c r="CI66" i="31"/>
  <c r="CI42" i="31"/>
  <c r="CI9" i="31"/>
  <c r="CI63" i="31"/>
  <c r="CI7" i="31"/>
  <c r="CH5" i="27"/>
  <c r="CH4" i="27"/>
  <c r="CH25" i="27"/>
  <c r="CH22" i="27"/>
  <c r="CG30" i="31"/>
  <c r="CG13" i="31"/>
  <c r="CG26" i="31"/>
  <c r="CG4" i="31"/>
  <c r="CG69" i="31"/>
  <c r="CG5" i="31"/>
  <c r="CG52" i="31"/>
  <c r="CG55" i="31"/>
  <c r="CG27" i="31"/>
  <c r="CG65" i="31"/>
  <c r="CG31" i="31"/>
  <c r="CG68" i="31"/>
  <c r="CG14" i="31"/>
  <c r="CG61" i="31"/>
  <c r="CG50" i="31"/>
  <c r="CG44" i="31"/>
  <c r="CG15" i="31"/>
  <c r="CG19" i="31"/>
  <c r="CG57" i="31"/>
  <c r="CG72" i="31"/>
  <c r="CG41" i="31"/>
  <c r="CG24" i="31"/>
  <c r="CG22" i="31"/>
  <c r="CG6" i="31"/>
  <c r="CG42" i="31"/>
  <c r="CG36" i="31"/>
  <c r="CG48" i="31"/>
  <c r="CG11" i="31"/>
  <c r="CG49" i="31"/>
  <c r="CG62" i="31"/>
  <c r="CG45" i="31"/>
  <c r="CG37" i="31"/>
  <c r="CG16" i="31"/>
  <c r="CG3" i="31"/>
  <c r="CG64" i="31"/>
  <c r="CG60" i="31"/>
  <c r="CG35" i="31"/>
  <c r="CG9" i="31"/>
  <c r="CG10" i="31"/>
  <c r="CG28" i="31"/>
  <c r="CG67" i="31"/>
  <c r="CG54" i="31"/>
  <c r="CG18" i="31"/>
  <c r="CG63" i="31"/>
  <c r="CG20" i="31"/>
  <c r="CG59" i="31"/>
  <c r="CG58" i="31"/>
  <c r="CG33" i="31"/>
  <c r="CG46" i="31"/>
  <c r="CG47" i="31"/>
  <c r="CG29" i="31"/>
  <c r="CG23" i="31"/>
  <c r="CG12" i="31"/>
  <c r="CG51" i="31"/>
  <c r="CG34" i="31"/>
  <c r="CG25" i="31"/>
  <c r="CG8" i="31"/>
  <c r="CG70" i="31"/>
  <c r="CG53" i="31"/>
  <c r="CG32" i="31"/>
  <c r="CG66" i="31"/>
  <c r="CG38" i="31"/>
  <c r="CG7" i="31"/>
  <c r="CG21" i="31"/>
  <c r="CG56" i="31"/>
  <c r="CG40" i="31"/>
  <c r="CG43" i="31"/>
  <c r="CG71" i="31"/>
  <c r="CG17" i="31"/>
  <c r="BA19" i="31"/>
  <c r="AP19" i="31" s="1"/>
  <c r="BA31" i="31"/>
  <c r="AP31" i="31" s="1"/>
  <c r="BA35" i="31"/>
  <c r="BA23" i="31"/>
  <c r="AP23" i="31" s="1"/>
  <c r="CH9" i="27"/>
  <c r="CH24" i="27"/>
  <c r="CH16" i="27"/>
  <c r="CH3" i="27"/>
  <c r="CH14" i="27"/>
  <c r="CH26" i="27"/>
  <c r="CH23" i="27"/>
  <c r="CH15" i="27"/>
  <c r="CH7" i="27"/>
  <c r="CH17" i="27"/>
  <c r="CH8" i="27"/>
  <c r="CH18" i="27"/>
  <c r="CH13" i="27"/>
  <c r="CH20" i="27"/>
  <c r="CH10" i="27"/>
  <c r="CH12" i="27"/>
  <c r="CH6" i="27"/>
  <c r="CH21" i="27"/>
  <c r="CH19" i="27"/>
  <c r="CH11" i="27"/>
  <c r="AM48" i="32"/>
  <c r="Y48" i="32" s="1"/>
  <c r="BA56" i="31"/>
  <c r="AP56" i="31" s="1"/>
  <c r="AN5" i="29"/>
  <c r="AQ34" i="28"/>
  <c r="AT23" i="27"/>
  <c r="AP23" i="27" s="1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S10" i="33"/>
  <c r="Y10" i="33" s="1"/>
  <c r="D16" i="33"/>
  <c r="D12" i="33"/>
  <c r="J11" i="33" s="1"/>
  <c r="E12" i="33"/>
  <c r="O12" i="33"/>
  <c r="C22" i="34"/>
  <c r="C10" i="34"/>
  <c r="C13" i="34" s="1"/>
  <c r="BC27" i="27" l="1"/>
  <c r="BA4" i="27"/>
  <c r="BA27" i="27" s="1"/>
  <c r="AN4" i="27" s="1"/>
  <c r="AI73" i="31"/>
  <c r="AP43" i="28"/>
  <c r="E5" i="34"/>
  <c r="F5" i="34" s="1"/>
  <c r="E9" i="34"/>
  <c r="F9" i="34" s="1"/>
  <c r="E8" i="34"/>
  <c r="F8" i="34" s="1"/>
  <c r="E4" i="34"/>
  <c r="F4" i="34" s="1"/>
  <c r="E7" i="34"/>
  <c r="F7" i="34" s="1"/>
  <c r="E6" i="34"/>
  <c r="F6" i="34" s="1"/>
  <c r="AZ27" i="27"/>
  <c r="AM3" i="27" s="1"/>
  <c r="S7" i="33"/>
  <c r="Y7" i="33" s="1"/>
  <c r="AX27" i="27"/>
  <c r="C24" i="34"/>
  <c r="AY27" i="27"/>
  <c r="AK23" i="27" s="1"/>
  <c r="C12" i="34"/>
  <c r="C11" i="34" s="1"/>
  <c r="D11" i="34" s="1"/>
  <c r="H8" i="34" s="1"/>
  <c r="D131" i="2"/>
  <c r="S8" i="33"/>
  <c r="Y8" i="33" s="1"/>
  <c r="S11" i="33"/>
  <c r="BA48" i="31"/>
  <c r="AP48" i="31" s="1"/>
  <c r="BA18" i="31"/>
  <c r="AP18" i="31" s="1"/>
  <c r="AM3" i="32"/>
  <c r="Y3" i="32" s="1"/>
  <c r="AM39" i="32"/>
  <c r="Y39" i="32" s="1"/>
  <c r="AM46" i="32"/>
  <c r="Y46" i="32" s="1"/>
  <c r="AM29" i="32"/>
  <c r="Y29" i="32" s="1"/>
  <c r="AM4" i="32"/>
  <c r="Y4" i="32" s="1"/>
  <c r="AM47" i="32"/>
  <c r="Y47" i="32" s="1"/>
  <c r="BA6" i="31"/>
  <c r="AP6" i="31" s="1"/>
  <c r="BA61" i="31"/>
  <c r="AP61" i="31" s="1"/>
  <c r="BA13" i="31"/>
  <c r="AP13" i="31" s="1"/>
  <c r="BA24" i="31"/>
  <c r="AP24" i="31" s="1"/>
  <c r="BA33" i="31"/>
  <c r="AP33" i="31" s="1"/>
  <c r="BA10" i="31"/>
  <c r="AP10" i="31" s="1"/>
  <c r="AP35" i="31"/>
  <c r="BA11" i="31"/>
  <c r="AP11" i="31" s="1"/>
  <c r="BA25" i="31"/>
  <c r="AP25" i="31" s="1"/>
  <c r="BA55" i="31"/>
  <c r="AP55" i="31" s="1"/>
  <c r="BA28" i="31"/>
  <c r="AP28" i="31" s="1"/>
  <c r="AN8" i="29"/>
  <c r="AN3" i="29"/>
  <c r="AQ20" i="28"/>
  <c r="AQ21" i="28"/>
  <c r="AQ22" i="28"/>
  <c r="AQ10" i="28"/>
  <c r="AQ36" i="28"/>
  <c r="AQ17" i="28"/>
  <c r="AQ23" i="28"/>
  <c r="AQ3" i="28"/>
  <c r="AT11" i="27"/>
  <c r="AP11" i="27" s="1"/>
  <c r="AT4" i="27"/>
  <c r="AP4" i="27" s="1"/>
  <c r="AT18" i="27"/>
  <c r="AP18" i="27" s="1"/>
  <c r="AT19" i="27"/>
  <c r="AP19" i="27" s="1"/>
  <c r="S6" i="33"/>
  <c r="Y6" i="33" s="1"/>
  <c r="S9" i="33"/>
  <c r="Y9" i="33" s="1"/>
  <c r="J7" i="33"/>
  <c r="J8" i="33"/>
  <c r="J9" i="33"/>
  <c r="J10" i="33"/>
  <c r="X10" i="33" s="1"/>
  <c r="J6" i="33"/>
  <c r="F11" i="34"/>
  <c r="X11" i="33" l="1"/>
  <c r="Y11" i="33"/>
  <c r="Y12" i="33"/>
  <c r="F10" i="34"/>
  <c r="G7" i="34" s="1"/>
  <c r="AK3" i="27"/>
  <c r="X7" i="33"/>
  <c r="AK19" i="27"/>
  <c r="AK18" i="27"/>
  <c r="AK11" i="27"/>
  <c r="AK4" i="27"/>
  <c r="AN19" i="27"/>
  <c r="AL19" i="27" s="1"/>
  <c r="AN23" i="27"/>
  <c r="AN10" i="27"/>
  <c r="AL10" i="27" s="1"/>
  <c r="C23" i="34"/>
  <c r="D23" i="34" s="1"/>
  <c r="E17" i="34"/>
  <c r="F17" i="34" s="1"/>
  <c r="E19" i="34"/>
  <c r="F19" i="34" s="1"/>
  <c r="E21" i="34"/>
  <c r="F21" i="34" s="1"/>
  <c r="E20" i="34"/>
  <c r="F20" i="34" s="1"/>
  <c r="E18" i="34"/>
  <c r="F18" i="34" s="1"/>
  <c r="AM23" i="27"/>
  <c r="AM4" i="27"/>
  <c r="AL4" i="27" s="1"/>
  <c r="AM18" i="27"/>
  <c r="AL18" i="27" s="1"/>
  <c r="AM11" i="27"/>
  <c r="AL11" i="27" s="1"/>
  <c r="AL3" i="27"/>
  <c r="X6" i="33"/>
  <c r="X9" i="33"/>
  <c r="X8" i="33"/>
  <c r="AN14" i="29"/>
  <c r="AG5" i="29" s="1"/>
  <c r="S12" i="33"/>
  <c r="AI13" i="30"/>
  <c r="AP73" i="31"/>
  <c r="Y51" i="32"/>
  <c r="AQ43" i="28"/>
  <c r="AP27" i="27"/>
  <c r="AG23" i="27" s="1"/>
  <c r="J12" i="33"/>
  <c r="AK27" i="27" l="1"/>
  <c r="G8" i="34"/>
  <c r="G5" i="34"/>
  <c r="G6" i="34"/>
  <c r="G4" i="34"/>
  <c r="G9" i="34"/>
  <c r="AL23" i="27"/>
  <c r="AL27" i="27" s="1"/>
  <c r="AH34" i="28"/>
  <c r="AH26" i="28"/>
  <c r="AA4" i="30"/>
  <c r="M48" i="32"/>
  <c r="M36" i="32"/>
  <c r="X12" i="33"/>
  <c r="AN27" i="27"/>
  <c r="AM27" i="27"/>
  <c r="F22" i="34"/>
  <c r="F23" i="34"/>
  <c r="AG3" i="29"/>
  <c r="AH31" i="31"/>
  <c r="AH19" i="31"/>
  <c r="AH44" i="31"/>
  <c r="AH23" i="31"/>
  <c r="AH3" i="28"/>
  <c r="AG19" i="27"/>
  <c r="M29" i="32"/>
  <c r="AH23" i="28"/>
  <c r="M46" i="32"/>
  <c r="AH10" i="28"/>
  <c r="AH17" i="28"/>
  <c r="AG11" i="27"/>
  <c r="M39" i="32"/>
  <c r="AH22" i="28"/>
  <c r="AG18" i="27"/>
  <c r="AH11" i="31"/>
  <c r="AG8" i="29"/>
  <c r="AH21" i="28"/>
  <c r="AG4" i="27"/>
  <c r="M47" i="32"/>
  <c r="AH36" i="28"/>
  <c r="M4" i="32"/>
  <c r="M3" i="32"/>
  <c r="AH20" i="28"/>
  <c r="AH25" i="31"/>
  <c r="AH18" i="31"/>
  <c r="AH56" i="31"/>
  <c r="AH48" i="31"/>
  <c r="AH13" i="31"/>
  <c r="AH6" i="31"/>
  <c r="AH55" i="31"/>
  <c r="AH35" i="31"/>
  <c r="AH24" i="31"/>
  <c r="AH28" i="31"/>
  <c r="AH33" i="31"/>
  <c r="AH10" i="31"/>
  <c r="AH61" i="31"/>
  <c r="CM27" i="27"/>
  <c r="BO27" i="27"/>
  <c r="Y27" i="27"/>
  <c r="BQ29" i="27" s="1"/>
  <c r="CB43" i="28"/>
  <c r="CM7" i="28"/>
  <c r="BH43" i="28"/>
  <c r="CG14" i="29"/>
  <c r="V14" i="29"/>
  <c r="BO17" i="29" s="1"/>
  <c r="BM14" i="29"/>
  <c r="CC13" i="30"/>
  <c r="BI13" i="30"/>
  <c r="V13" i="30"/>
  <c r="BK16" i="30" s="1"/>
  <c r="DD33" i="32"/>
  <c r="DD14" i="32"/>
  <c r="CQ50" i="32"/>
  <c r="BJ16" i="30" l="1"/>
  <c r="CD16" i="30"/>
  <c r="BN17" i="29"/>
  <c r="CH17" i="29"/>
  <c r="AA5" i="30"/>
  <c r="AA13" i="30" s="1"/>
  <c r="G21" i="34"/>
  <c r="G20" i="34"/>
  <c r="G18" i="34"/>
  <c r="G19" i="34"/>
  <c r="G23" i="34" s="1"/>
  <c r="G24" i="34" s="1"/>
  <c r="H19" i="34" s="1"/>
  <c r="G17" i="34"/>
  <c r="BP29" i="27"/>
  <c r="CN29" i="27"/>
  <c r="M51" i="32"/>
  <c r="AG14" i="29"/>
  <c r="AG27" i="27"/>
  <c r="AH43" i="28"/>
  <c r="AH73" i="31"/>
  <c r="BM17" i="29"/>
  <c r="BO29" i="27"/>
  <c r="CM29" i="27"/>
  <c r="BH46" i="28"/>
  <c r="CB46" i="28"/>
  <c r="CG17" i="29"/>
  <c r="CC16" i="30"/>
  <c r="BI16" i="30"/>
  <c r="BU50" i="32"/>
  <c r="CI8" i="29" l="1"/>
  <c r="CM8" i="29" s="1"/>
  <c r="CI7" i="29"/>
  <c r="CM7" i="29" s="1"/>
  <c r="CI9" i="29"/>
  <c r="CM9" i="29" s="1"/>
  <c r="CI6" i="29"/>
  <c r="CM6" i="29" s="1"/>
  <c r="CI13" i="29"/>
  <c r="CM13" i="29" s="1"/>
  <c r="CI5" i="29"/>
  <c r="CM5" i="29" s="1"/>
  <c r="CI12" i="29"/>
  <c r="CM12" i="29" s="1"/>
  <c r="CI4" i="29"/>
  <c r="CM4" i="29" s="1"/>
  <c r="CI11" i="29"/>
  <c r="CM11" i="29" s="1"/>
  <c r="CI3" i="29"/>
  <c r="CM3" i="29" s="1"/>
  <c r="CI10" i="29"/>
  <c r="CM10" i="29" s="1"/>
  <c r="BM5" i="30"/>
  <c r="BP5" i="30" s="1"/>
  <c r="BM4" i="30"/>
  <c r="BP4" i="30" s="1"/>
  <c r="BM3" i="30"/>
  <c r="BP3" i="30" s="1"/>
  <c r="BM6" i="30"/>
  <c r="BP6" i="30" s="1"/>
  <c r="BM12" i="30"/>
  <c r="BP12" i="30" s="1"/>
  <c r="BM7" i="30"/>
  <c r="BP7" i="30" s="1"/>
  <c r="BM11" i="30"/>
  <c r="BP11" i="30" s="1"/>
  <c r="BM10" i="30"/>
  <c r="BP10" i="30" s="1"/>
  <c r="BR26" i="27"/>
  <c r="BT26" i="27" s="1"/>
  <c r="BR18" i="27"/>
  <c r="BT18" i="27" s="1"/>
  <c r="BR10" i="27"/>
  <c r="BT10" i="27" s="1"/>
  <c r="BR25" i="27"/>
  <c r="BT25" i="27" s="1"/>
  <c r="BR17" i="27"/>
  <c r="BT17" i="27" s="1"/>
  <c r="BR9" i="27"/>
  <c r="BR16" i="27"/>
  <c r="BR8" i="27"/>
  <c r="BR6" i="27"/>
  <c r="BR11" i="27"/>
  <c r="BR3" i="27"/>
  <c r="BT3" i="27" s="1"/>
  <c r="BR24" i="27"/>
  <c r="BT24" i="27" s="1"/>
  <c r="BR14" i="27"/>
  <c r="BT14" i="27" s="1"/>
  <c r="BR23" i="27"/>
  <c r="BR15" i="27"/>
  <c r="BR7" i="27"/>
  <c r="BR22" i="27"/>
  <c r="BT22" i="27" s="1"/>
  <c r="BR19" i="27"/>
  <c r="BR21" i="27"/>
  <c r="BT21" i="27" s="1"/>
  <c r="BR13" i="27"/>
  <c r="BT13" i="27" s="1"/>
  <c r="BR5" i="27"/>
  <c r="BT5" i="27" s="1"/>
  <c r="BR20" i="27"/>
  <c r="BR12" i="27"/>
  <c r="BR4" i="27"/>
  <c r="CE3" i="30"/>
  <c r="CG3" i="30" s="1"/>
  <c r="CE4" i="30"/>
  <c r="CG4" i="30" s="1"/>
  <c r="CE12" i="30"/>
  <c r="CG12" i="30" s="1"/>
  <c r="CE11" i="30"/>
  <c r="CG11" i="30" s="1"/>
  <c r="CE10" i="30"/>
  <c r="CG10" i="30" s="1"/>
  <c r="CE7" i="30"/>
  <c r="CG7" i="30" s="1"/>
  <c r="CE5" i="30"/>
  <c r="CG5" i="30" s="1"/>
  <c r="CE6" i="30"/>
  <c r="CG6" i="30" s="1"/>
  <c r="CD35" i="28"/>
  <c r="CF35" i="28" s="1"/>
  <c r="CD27" i="28"/>
  <c r="CF27" i="28" s="1"/>
  <c r="CD19" i="28"/>
  <c r="CF19" i="28" s="1"/>
  <c r="CD11" i="28"/>
  <c r="CF11" i="28" s="1"/>
  <c r="CD3" i="28"/>
  <c r="CF3" i="28" s="1"/>
  <c r="CD20" i="28"/>
  <c r="CF20" i="28" s="1"/>
  <c r="CD42" i="28"/>
  <c r="CF42" i="28" s="1"/>
  <c r="CD34" i="28"/>
  <c r="CF34" i="28" s="1"/>
  <c r="CD26" i="28"/>
  <c r="CF26" i="28" s="1"/>
  <c r="CD18" i="28"/>
  <c r="CF18" i="28" s="1"/>
  <c r="CD10" i="28"/>
  <c r="CF10" i="28" s="1"/>
  <c r="CD5" i="28"/>
  <c r="CF5" i="28" s="1"/>
  <c r="CD4" i="28"/>
  <c r="CF4" i="28" s="1"/>
  <c r="CD41" i="28"/>
  <c r="CF41" i="28" s="1"/>
  <c r="CD33" i="28"/>
  <c r="CF33" i="28" s="1"/>
  <c r="CD25" i="28"/>
  <c r="CF25" i="28" s="1"/>
  <c r="CD17" i="28"/>
  <c r="CF17" i="28" s="1"/>
  <c r="CD9" i="28"/>
  <c r="CF9" i="28" s="1"/>
  <c r="CD37" i="28"/>
  <c r="CF37" i="28" s="1"/>
  <c r="CD28" i="28"/>
  <c r="CF28" i="28" s="1"/>
  <c r="CD40" i="28"/>
  <c r="CF40" i="28" s="1"/>
  <c r="CD32" i="28"/>
  <c r="CF32" i="28" s="1"/>
  <c r="CD24" i="28"/>
  <c r="CF24" i="28" s="1"/>
  <c r="CD16" i="28"/>
  <c r="CF16" i="28" s="1"/>
  <c r="CD8" i="28"/>
  <c r="CF8" i="28" s="1"/>
  <c r="CD29" i="28"/>
  <c r="CF29" i="28" s="1"/>
  <c r="CD36" i="28"/>
  <c r="CF36" i="28" s="1"/>
  <c r="CD39" i="28"/>
  <c r="CF39" i="28" s="1"/>
  <c r="CD31" i="28"/>
  <c r="CF31" i="28" s="1"/>
  <c r="CD23" i="28"/>
  <c r="CF23" i="28" s="1"/>
  <c r="CD15" i="28"/>
  <c r="CF15" i="28" s="1"/>
  <c r="CD7" i="28"/>
  <c r="CF7" i="28" s="1"/>
  <c r="CD21" i="28"/>
  <c r="CF21" i="28" s="1"/>
  <c r="CD38" i="28"/>
  <c r="CF38" i="28" s="1"/>
  <c r="CD30" i="28"/>
  <c r="CF30" i="28" s="1"/>
  <c r="CD22" i="28"/>
  <c r="CF22" i="28" s="1"/>
  <c r="CD14" i="28"/>
  <c r="CF14" i="28" s="1"/>
  <c r="CD6" i="28"/>
  <c r="CF6" i="28" s="1"/>
  <c r="CD13" i="28"/>
  <c r="CF13" i="28" s="1"/>
  <c r="CD12" i="28"/>
  <c r="CF12" i="28" s="1"/>
  <c r="BP11" i="29"/>
  <c r="BV11" i="29" s="1"/>
  <c r="BP3" i="29"/>
  <c r="BV3" i="29" s="1"/>
  <c r="BP5" i="29"/>
  <c r="BV5" i="29" s="1"/>
  <c r="BP10" i="29"/>
  <c r="BV10" i="29" s="1"/>
  <c r="BP13" i="29"/>
  <c r="BV13" i="29" s="1"/>
  <c r="BP9" i="29"/>
  <c r="BV9" i="29" s="1"/>
  <c r="BP8" i="29"/>
  <c r="BV8" i="29" s="1"/>
  <c r="BP7" i="29"/>
  <c r="BV7" i="29" s="1"/>
  <c r="BP4" i="29"/>
  <c r="BV4" i="29" s="1"/>
  <c r="BP6" i="29"/>
  <c r="BV6" i="29" s="1"/>
  <c r="BP12" i="29"/>
  <c r="BV12" i="29" s="1"/>
  <c r="BL35" i="28"/>
  <c r="BL27" i="28"/>
  <c r="BL19" i="28"/>
  <c r="BL11" i="28"/>
  <c r="BL3" i="28"/>
  <c r="BL37" i="28"/>
  <c r="BL20" i="28"/>
  <c r="BL42" i="28"/>
  <c r="BL34" i="28"/>
  <c r="BL26" i="28"/>
  <c r="BL18" i="28"/>
  <c r="BL10" i="28"/>
  <c r="BL5" i="28"/>
  <c r="BL41" i="28"/>
  <c r="BL33" i="28"/>
  <c r="BL25" i="28"/>
  <c r="BL17" i="28"/>
  <c r="BL9" i="28"/>
  <c r="BL29" i="28"/>
  <c r="BL36" i="28"/>
  <c r="BL4" i="28"/>
  <c r="BL40" i="28"/>
  <c r="BL32" i="28"/>
  <c r="BL24" i="28"/>
  <c r="BL16" i="28"/>
  <c r="BL8" i="28"/>
  <c r="BL21" i="28"/>
  <c r="BL12" i="28"/>
  <c r="BL39" i="28"/>
  <c r="BL31" i="28"/>
  <c r="BL23" i="28"/>
  <c r="BL15" i="28"/>
  <c r="BL7" i="28"/>
  <c r="BL28" i="28"/>
  <c r="BL38" i="28"/>
  <c r="BL30" i="28"/>
  <c r="BL22" i="28"/>
  <c r="BL14" i="28"/>
  <c r="BL6" i="28"/>
  <c r="BL13" i="28"/>
  <c r="G25" i="34"/>
  <c r="H20" i="34" s="1"/>
  <c r="BT23" i="27"/>
  <c r="BT15" i="27"/>
  <c r="BT7" i="27"/>
  <c r="BT6" i="27"/>
  <c r="BT20" i="27"/>
  <c r="BT12" i="27"/>
  <c r="BT4" i="27"/>
  <c r="BT8" i="27"/>
  <c r="BT19" i="27"/>
  <c r="BT11" i="27"/>
  <c r="BT9" i="27"/>
  <c r="BT16" i="27"/>
  <c r="CO24" i="27"/>
  <c r="CR24" i="27" s="1"/>
  <c r="CO23" i="27"/>
  <c r="CR23" i="27" s="1"/>
  <c r="CO15" i="27"/>
  <c r="CR15" i="27" s="1"/>
  <c r="CO7" i="27"/>
  <c r="CR7" i="27" s="1"/>
  <c r="CO6" i="27"/>
  <c r="CR6" i="27" s="1"/>
  <c r="CO22" i="27"/>
  <c r="CR22" i="27" s="1"/>
  <c r="CO14" i="27"/>
  <c r="CR14" i="27" s="1"/>
  <c r="CO21" i="27"/>
  <c r="CR21" i="27" s="1"/>
  <c r="CO13" i="27"/>
  <c r="CR13" i="27" s="1"/>
  <c r="CO5" i="27"/>
  <c r="CR5" i="27" s="1"/>
  <c r="CO20" i="27"/>
  <c r="CR20" i="27" s="1"/>
  <c r="CO12" i="27"/>
  <c r="CR12" i="27" s="1"/>
  <c r="CO4" i="27"/>
  <c r="CR4" i="27" s="1"/>
  <c r="CO10" i="27"/>
  <c r="CR10" i="27" s="1"/>
  <c r="CO19" i="27"/>
  <c r="CR19" i="27" s="1"/>
  <c r="CO11" i="27"/>
  <c r="CR11" i="27" s="1"/>
  <c r="CO3" i="27"/>
  <c r="CR3" i="27" s="1"/>
  <c r="CO18" i="27"/>
  <c r="CR18" i="27" s="1"/>
  <c r="CO26" i="27"/>
  <c r="CR26" i="27" s="1"/>
  <c r="CO25" i="27"/>
  <c r="CR25" i="27" s="1"/>
  <c r="CO17" i="27"/>
  <c r="CR17" i="27" s="1"/>
  <c r="CO9" i="27"/>
  <c r="CR9" i="27" s="1"/>
  <c r="CO16" i="27"/>
  <c r="CR16" i="27" s="1"/>
  <c r="CO8" i="27"/>
  <c r="CR8" i="27" s="1"/>
  <c r="BJ49" i="32"/>
  <c r="BJ48" i="32"/>
  <c r="BJ47" i="32"/>
  <c r="BJ46" i="32"/>
  <c r="BJ45" i="32"/>
  <c r="BJ43" i="32"/>
  <c r="BJ39" i="32"/>
  <c r="BJ38" i="32"/>
  <c r="BJ37" i="32"/>
  <c r="BJ36" i="32"/>
  <c r="BJ35" i="32"/>
  <c r="BJ34" i="32"/>
  <c r="BJ32" i="32"/>
  <c r="BJ31" i="32"/>
  <c r="BJ29" i="32"/>
  <c r="BJ28" i="32"/>
  <c r="BJ27" i="32"/>
  <c r="BJ26" i="32"/>
  <c r="BJ23" i="32"/>
  <c r="BJ22" i="32"/>
  <c r="BJ19" i="32"/>
  <c r="BJ18" i="32"/>
  <c r="BJ17" i="32"/>
  <c r="BJ13" i="32"/>
  <c r="BJ11" i="32"/>
  <c r="BJ10" i="32"/>
  <c r="BJ8" i="32"/>
  <c r="BJ5" i="32"/>
  <c r="BJ4" i="32"/>
  <c r="BJ3" i="32"/>
  <c r="AZ50" i="32"/>
  <c r="D50" i="32"/>
  <c r="DC73" i="31"/>
  <c r="CR52" i="32" l="1"/>
  <c r="BB53" i="32"/>
  <c r="BA53" i="32"/>
  <c r="BW53" i="32"/>
  <c r="BO34" i="28"/>
  <c r="BN34" i="28"/>
  <c r="BO13" i="28"/>
  <c r="BN13" i="28"/>
  <c r="BO28" i="28"/>
  <c r="BN28" i="28"/>
  <c r="BO8" i="28"/>
  <c r="BN8" i="28"/>
  <c r="BO9" i="28"/>
  <c r="BN9" i="28"/>
  <c r="BO26" i="28"/>
  <c r="BN26" i="28"/>
  <c r="BO27" i="28"/>
  <c r="BN27" i="28"/>
  <c r="BO24" i="28"/>
  <c r="BN24" i="28"/>
  <c r="BO6" i="28"/>
  <c r="BN6" i="28"/>
  <c r="BO23" i="28"/>
  <c r="BN23" i="28"/>
  <c r="BO32" i="28"/>
  <c r="BN32" i="28"/>
  <c r="BO33" i="28"/>
  <c r="BN33" i="28"/>
  <c r="BO20" i="28"/>
  <c r="BN20" i="28"/>
  <c r="BO17" i="28"/>
  <c r="BN17" i="28"/>
  <c r="BO14" i="28"/>
  <c r="BN14" i="28"/>
  <c r="BO31" i="28"/>
  <c r="BN31" i="28"/>
  <c r="BO40" i="28"/>
  <c r="BN40" i="28"/>
  <c r="BO41" i="28"/>
  <c r="BN41" i="28"/>
  <c r="BO37" i="28"/>
  <c r="BN37" i="28"/>
  <c r="BO16" i="28"/>
  <c r="BN16" i="28"/>
  <c r="BO15" i="28"/>
  <c r="BN15" i="28"/>
  <c r="BO22" i="28"/>
  <c r="BN22" i="28"/>
  <c r="BO39" i="28"/>
  <c r="BN39" i="28"/>
  <c r="BO4" i="28"/>
  <c r="BN4" i="28"/>
  <c r="BO5" i="28"/>
  <c r="BN5" i="28"/>
  <c r="BO3" i="28"/>
  <c r="BN3" i="28"/>
  <c r="BO35" i="28"/>
  <c r="BN35" i="28"/>
  <c r="BO25" i="28"/>
  <c r="BN25" i="28"/>
  <c r="BO30" i="28"/>
  <c r="BN30" i="28"/>
  <c r="BO12" i="28"/>
  <c r="BN12" i="28"/>
  <c r="BO36" i="28"/>
  <c r="BN36" i="28"/>
  <c r="BO10" i="28"/>
  <c r="BN10" i="28"/>
  <c r="BO11" i="28"/>
  <c r="BN11" i="28"/>
  <c r="BO7" i="28"/>
  <c r="BN7" i="28"/>
  <c r="BO42" i="28"/>
  <c r="BN42" i="28"/>
  <c r="BO38" i="28"/>
  <c r="BN38" i="28"/>
  <c r="BO21" i="28"/>
  <c r="BN21" i="28"/>
  <c r="BO29" i="28"/>
  <c r="BN29" i="28"/>
  <c r="BO18" i="28"/>
  <c r="BN18" i="28"/>
  <c r="BO19" i="28"/>
  <c r="BN19" i="28"/>
  <c r="CF44" i="28"/>
  <c r="CG13" i="30"/>
  <c r="BP14" i="30"/>
  <c r="BV17" i="29"/>
  <c r="BV16" i="29"/>
  <c r="CF43" i="28"/>
  <c r="CG14" i="30"/>
  <c r="BP13" i="30"/>
  <c r="CM16" i="29"/>
  <c r="CM17" i="29"/>
  <c r="BT27" i="27"/>
  <c r="BT28" i="27"/>
  <c r="CR27" i="27"/>
  <c r="CR28" i="27"/>
  <c r="BU53" i="32"/>
  <c r="CQ52" i="32"/>
  <c r="BJ50" i="32"/>
  <c r="BJ51" i="32"/>
  <c r="AZ53" i="32"/>
  <c r="BG48" i="32" s="1"/>
  <c r="BI48" i="32" s="1"/>
  <c r="BX10" i="29" l="1"/>
  <c r="CN12" i="29"/>
  <c r="CV12" i="29" s="1"/>
  <c r="BO43" i="28"/>
  <c r="BO44" i="28"/>
  <c r="BN43" i="28"/>
  <c r="BN44" i="28"/>
  <c r="BZ43" i="32"/>
  <c r="CA43" i="32" s="1"/>
  <c r="BZ31" i="32"/>
  <c r="CA31" i="32" s="1"/>
  <c r="BZ18" i="32"/>
  <c r="CA18" i="32" s="1"/>
  <c r="BZ3" i="32"/>
  <c r="CA3" i="32" s="1"/>
  <c r="BZ46" i="32"/>
  <c r="CA46" i="32" s="1"/>
  <c r="BZ4" i="32"/>
  <c r="CA4" i="32" s="1"/>
  <c r="BZ39" i="32"/>
  <c r="CA39" i="32" s="1"/>
  <c r="BZ29" i="32"/>
  <c r="CA29" i="32" s="1"/>
  <c r="BZ17" i="32"/>
  <c r="CA17" i="32" s="1"/>
  <c r="BZ38" i="32"/>
  <c r="CA38" i="32" s="1"/>
  <c r="BZ28" i="32"/>
  <c r="CA28" i="32" s="1"/>
  <c r="BZ13" i="32"/>
  <c r="CA13" i="32" s="1"/>
  <c r="BZ34" i="32"/>
  <c r="CA34" i="32" s="1"/>
  <c r="BZ19" i="32"/>
  <c r="CA19" i="32" s="1"/>
  <c r="BZ49" i="32"/>
  <c r="CA49" i="32" s="1"/>
  <c r="BZ37" i="32"/>
  <c r="CA37" i="32" s="1"/>
  <c r="BZ27" i="32"/>
  <c r="CA27" i="32" s="1"/>
  <c r="BZ11" i="32"/>
  <c r="CA11" i="32" s="1"/>
  <c r="BZ5" i="32"/>
  <c r="CA5" i="32" s="1"/>
  <c r="BZ32" i="32"/>
  <c r="CA32" i="32" s="1"/>
  <c r="BZ48" i="32"/>
  <c r="CA48" i="32" s="1"/>
  <c r="BZ36" i="32"/>
  <c r="CA36" i="32" s="1"/>
  <c r="BZ26" i="32"/>
  <c r="CA26" i="32" s="1"/>
  <c r="BZ10" i="32"/>
  <c r="CA10" i="32" s="1"/>
  <c r="BZ47" i="32"/>
  <c r="CA47" i="32" s="1"/>
  <c r="BZ35" i="32"/>
  <c r="CA35" i="32" s="1"/>
  <c r="BZ23" i="32"/>
  <c r="CA23" i="32" s="1"/>
  <c r="BZ8" i="32"/>
  <c r="CA8" i="32" s="1"/>
  <c r="BZ22" i="32"/>
  <c r="CA22" i="32" s="1"/>
  <c r="BZ45" i="32"/>
  <c r="CA45" i="32" s="1"/>
  <c r="BT10" i="30"/>
  <c r="BT7" i="30"/>
  <c r="BT12" i="30"/>
  <c r="BT11" i="30"/>
  <c r="BT3" i="30"/>
  <c r="BT4" i="30"/>
  <c r="BT5" i="30"/>
  <c r="CI4" i="30"/>
  <c r="CR4" i="30" s="1"/>
  <c r="CI6" i="30"/>
  <c r="CR6" i="30" s="1"/>
  <c r="CI10" i="30"/>
  <c r="CR10" i="30" s="1"/>
  <c r="CI5" i="30"/>
  <c r="CR5" i="30" s="1"/>
  <c r="CI12" i="30"/>
  <c r="CR12" i="30" s="1"/>
  <c r="CI7" i="30"/>
  <c r="CR7" i="30" s="1"/>
  <c r="CI3" i="30"/>
  <c r="CR3" i="30" s="1"/>
  <c r="CI11" i="30"/>
  <c r="CR11" i="30" s="1"/>
  <c r="BT6" i="30"/>
  <c r="CI42" i="28"/>
  <c r="CR42" i="28" s="1"/>
  <c r="CI21" i="28"/>
  <c r="CR21" i="28" s="1"/>
  <c r="CI38" i="28"/>
  <c r="CR38" i="28" s="1"/>
  <c r="CI25" i="28"/>
  <c r="CR25" i="28" s="1"/>
  <c r="CI33" i="28"/>
  <c r="CR33" i="28" s="1"/>
  <c r="CI35" i="28"/>
  <c r="CR35" i="28" s="1"/>
  <c r="CI13" i="28"/>
  <c r="CR13" i="28" s="1"/>
  <c r="CI20" i="28"/>
  <c r="CR20" i="28" s="1"/>
  <c r="CI3" i="28"/>
  <c r="CR3" i="28" s="1"/>
  <c r="CI8" i="28"/>
  <c r="CR8" i="28" s="1"/>
  <c r="CI26" i="28"/>
  <c r="CR26" i="28" s="1"/>
  <c r="CI19" i="28"/>
  <c r="CR19" i="28" s="1"/>
  <c r="CI10" i="28"/>
  <c r="CR10" i="28" s="1"/>
  <c r="CI37" i="28"/>
  <c r="CR37" i="28" s="1"/>
  <c r="CI29" i="28"/>
  <c r="CR29" i="28" s="1"/>
  <c r="CI7" i="28"/>
  <c r="CR7" i="28" s="1"/>
  <c r="CI17" i="28"/>
  <c r="CR17" i="28" s="1"/>
  <c r="CI40" i="28"/>
  <c r="CR40" i="28" s="1"/>
  <c r="CI30" i="28"/>
  <c r="CR30" i="28" s="1"/>
  <c r="CI41" i="28"/>
  <c r="CR41" i="28" s="1"/>
  <c r="CI4" i="28"/>
  <c r="CR4" i="28" s="1"/>
  <c r="CI27" i="28"/>
  <c r="CR27" i="28" s="1"/>
  <c r="CI14" i="28"/>
  <c r="CR14" i="28" s="1"/>
  <c r="CI36" i="28"/>
  <c r="CR36" i="28" s="1"/>
  <c r="CI18" i="28"/>
  <c r="CR18" i="28" s="1"/>
  <c r="CI16" i="28"/>
  <c r="CR16" i="28" s="1"/>
  <c r="CI34" i="28"/>
  <c r="CR34" i="28" s="1"/>
  <c r="CI23" i="28"/>
  <c r="CR23" i="28" s="1"/>
  <c r="CI31" i="28"/>
  <c r="CR31" i="28" s="1"/>
  <c r="CI32" i="28"/>
  <c r="CR32" i="28" s="1"/>
  <c r="CI12" i="28"/>
  <c r="CR12" i="28" s="1"/>
  <c r="CI15" i="28"/>
  <c r="CR15" i="28" s="1"/>
  <c r="CI9" i="28"/>
  <c r="CR9" i="28" s="1"/>
  <c r="CI6" i="28"/>
  <c r="CR6" i="28" s="1"/>
  <c r="CI24" i="28"/>
  <c r="CR24" i="28" s="1"/>
  <c r="CI39" i="28"/>
  <c r="CR39" i="28" s="1"/>
  <c r="CI28" i="28"/>
  <c r="CR28" i="28" s="1"/>
  <c r="BX6" i="29"/>
  <c r="BX5" i="29"/>
  <c r="BX12" i="29"/>
  <c r="BX11" i="29"/>
  <c r="BX13" i="29"/>
  <c r="BX9" i="29"/>
  <c r="BX3" i="29"/>
  <c r="BX8" i="29"/>
  <c r="BX7" i="29"/>
  <c r="BX4" i="29"/>
  <c r="CI22" i="28"/>
  <c r="CR22" i="28" s="1"/>
  <c r="CI11" i="28"/>
  <c r="CR11" i="28" s="1"/>
  <c r="CS48" i="32"/>
  <c r="CV48" i="32" s="1"/>
  <c r="CS36" i="32"/>
  <c r="CV36" i="32" s="1"/>
  <c r="CS26" i="32"/>
  <c r="CV26" i="32" s="1"/>
  <c r="CS10" i="32"/>
  <c r="CV10" i="32" s="1"/>
  <c r="CS13" i="32"/>
  <c r="CV13" i="32" s="1"/>
  <c r="CS37" i="32"/>
  <c r="CV37" i="32" s="1"/>
  <c r="CS47" i="32"/>
  <c r="CV47" i="32" s="1"/>
  <c r="CS35" i="32"/>
  <c r="CV35" i="32" s="1"/>
  <c r="CS23" i="32"/>
  <c r="CV23" i="32" s="1"/>
  <c r="CS8" i="32"/>
  <c r="CV8" i="32" s="1"/>
  <c r="CS11" i="32"/>
  <c r="CV11" i="32" s="1"/>
  <c r="CS46" i="32"/>
  <c r="CV46" i="32" s="1"/>
  <c r="CS34" i="32"/>
  <c r="CV34" i="32" s="1"/>
  <c r="CS22" i="32"/>
  <c r="CV22" i="32" s="1"/>
  <c r="CS5" i="32"/>
  <c r="CV5" i="32" s="1"/>
  <c r="CS38" i="32"/>
  <c r="CV38" i="32" s="1"/>
  <c r="CS45" i="32"/>
  <c r="CV45" i="32" s="1"/>
  <c r="CS32" i="32"/>
  <c r="CV32" i="32" s="1"/>
  <c r="CS19" i="32"/>
  <c r="CV19" i="32" s="1"/>
  <c r="CS4" i="32"/>
  <c r="CV4" i="32" s="1"/>
  <c r="CS28" i="32"/>
  <c r="CV28" i="32" s="1"/>
  <c r="CS27" i="32"/>
  <c r="CV27" i="32" s="1"/>
  <c r="CS43" i="32"/>
  <c r="CV43" i="32" s="1"/>
  <c r="CS31" i="32"/>
  <c r="CV31" i="32" s="1"/>
  <c r="CS18" i="32"/>
  <c r="CV18" i="32" s="1"/>
  <c r="CS3" i="32"/>
  <c r="CV3" i="32" s="1"/>
  <c r="CS39" i="32"/>
  <c r="CV39" i="32" s="1"/>
  <c r="CS29" i="32"/>
  <c r="CV29" i="32" s="1"/>
  <c r="CS17" i="32"/>
  <c r="CV17" i="32" s="1"/>
  <c r="CS49" i="32"/>
  <c r="CV49" i="32" s="1"/>
  <c r="CN10" i="29"/>
  <c r="CV10" i="29" s="1"/>
  <c r="CN4" i="29"/>
  <c r="CV4" i="29" s="1"/>
  <c r="CN11" i="29"/>
  <c r="CV11" i="29" s="1"/>
  <c r="CN8" i="29"/>
  <c r="CV8" i="29" s="1"/>
  <c r="CN7" i="29"/>
  <c r="CV7" i="29" s="1"/>
  <c r="CN5" i="29"/>
  <c r="CV5" i="29" s="1"/>
  <c r="CN9" i="29"/>
  <c r="CV9" i="29" s="1"/>
  <c r="CN3" i="29"/>
  <c r="CV3" i="29" s="1"/>
  <c r="CN6" i="29"/>
  <c r="CV6" i="29" s="1"/>
  <c r="CN13" i="29"/>
  <c r="CV13" i="29" s="1"/>
  <c r="CI5" i="28"/>
  <c r="CR5" i="28" s="1"/>
  <c r="BV21" i="27"/>
  <c r="CT18" i="27"/>
  <c r="DC18" i="27" s="1"/>
  <c r="BV16" i="27"/>
  <c r="BV12" i="27"/>
  <c r="BV13" i="27"/>
  <c r="CT12" i="27"/>
  <c r="DC12" i="27" s="1"/>
  <c r="BV3" i="27"/>
  <c r="BV14" i="27"/>
  <c r="BV15" i="27"/>
  <c r="BV17" i="27"/>
  <c r="BV8" i="27"/>
  <c r="BV9" i="27"/>
  <c r="BV26" i="27"/>
  <c r="BV4" i="27"/>
  <c r="BV6" i="27"/>
  <c r="BV5" i="27"/>
  <c r="BV11" i="27"/>
  <c r="BV23" i="27"/>
  <c r="BV7" i="27"/>
  <c r="BV25" i="27"/>
  <c r="BV20" i="27"/>
  <c r="BV22" i="27"/>
  <c r="BV18" i="27"/>
  <c r="BV19" i="27"/>
  <c r="BV24" i="27"/>
  <c r="CT14" i="27"/>
  <c r="DC14" i="27" s="1"/>
  <c r="CT16" i="27"/>
  <c r="DC16" i="27" s="1"/>
  <c r="CT20" i="27"/>
  <c r="DC20" i="27" s="1"/>
  <c r="CT21" i="27"/>
  <c r="DC21" i="27" s="1"/>
  <c r="CT24" i="27"/>
  <c r="DC24" i="27" s="1"/>
  <c r="CT5" i="27"/>
  <c r="DC5" i="27" s="1"/>
  <c r="CT26" i="27"/>
  <c r="DC26" i="27" s="1"/>
  <c r="CT3" i="27"/>
  <c r="DC3" i="27" s="1"/>
  <c r="CT17" i="27"/>
  <c r="DC17" i="27" s="1"/>
  <c r="CT15" i="27"/>
  <c r="DC15" i="27" s="1"/>
  <c r="CT25" i="27"/>
  <c r="DC25" i="27" s="1"/>
  <c r="CT19" i="27"/>
  <c r="DC19" i="27" s="1"/>
  <c r="CT10" i="27"/>
  <c r="DC10" i="27" s="1"/>
  <c r="CT6" i="27"/>
  <c r="DC6" i="27" s="1"/>
  <c r="CT22" i="27"/>
  <c r="DC22" i="27" s="1"/>
  <c r="CT13" i="27"/>
  <c r="DC13" i="27" s="1"/>
  <c r="CT4" i="27"/>
  <c r="DC4" i="27" s="1"/>
  <c r="BV10" i="27"/>
  <c r="CT11" i="27"/>
  <c r="DC11" i="27" s="1"/>
  <c r="CT23" i="27"/>
  <c r="DC23" i="27" s="1"/>
  <c r="CT7" i="27"/>
  <c r="DC7" i="27" s="1"/>
  <c r="CT9" i="27"/>
  <c r="DC9" i="27" s="1"/>
  <c r="CT8" i="27"/>
  <c r="DC8" i="27" s="1"/>
  <c r="BM37" i="32"/>
  <c r="BG5" i="32"/>
  <c r="BI5" i="32" s="1"/>
  <c r="BM13" i="32"/>
  <c r="BG47" i="32"/>
  <c r="BI47" i="32" s="1"/>
  <c r="BG26" i="32"/>
  <c r="BI26" i="32" s="1"/>
  <c r="BM27" i="32"/>
  <c r="BG11" i="32"/>
  <c r="BI11" i="32" s="1"/>
  <c r="BM18" i="32"/>
  <c r="BM3" i="32"/>
  <c r="BG19" i="32"/>
  <c r="BI19" i="32" s="1"/>
  <c r="BG3" i="32"/>
  <c r="BI3" i="32" s="1"/>
  <c r="BM28" i="32"/>
  <c r="BM43" i="32"/>
  <c r="BG27" i="32"/>
  <c r="BI27" i="32" s="1"/>
  <c r="BG39" i="32"/>
  <c r="BI39" i="32" s="1"/>
  <c r="BG32" i="32"/>
  <c r="BI32" i="32" s="1"/>
  <c r="BG18" i="32"/>
  <c r="BI18" i="32" s="1"/>
  <c r="BM38" i="32"/>
  <c r="BG22" i="32"/>
  <c r="BI22" i="32" s="1"/>
  <c r="BG37" i="32"/>
  <c r="BI37" i="32" s="1"/>
  <c r="BM48" i="32"/>
  <c r="BM36" i="32"/>
  <c r="BM26" i="32"/>
  <c r="BM10" i="32"/>
  <c r="BM47" i="32"/>
  <c r="BM35" i="32"/>
  <c r="BM23" i="32"/>
  <c r="BM8" i="32"/>
  <c r="BM34" i="32"/>
  <c r="BM5" i="32"/>
  <c r="BM45" i="32"/>
  <c r="BM32" i="32"/>
  <c r="BM19" i="32"/>
  <c r="BM4" i="32"/>
  <c r="BM46" i="32"/>
  <c r="BM22" i="32"/>
  <c r="BG8" i="32"/>
  <c r="BI8" i="32" s="1"/>
  <c r="BG17" i="32"/>
  <c r="BI17" i="32" s="1"/>
  <c r="BM31" i="32"/>
  <c r="BM29" i="32"/>
  <c r="BM49" i="32"/>
  <c r="BG34" i="32"/>
  <c r="BI34" i="32" s="1"/>
  <c r="BG13" i="32"/>
  <c r="BI13" i="32" s="1"/>
  <c r="BM39" i="32"/>
  <c r="BG23" i="32"/>
  <c r="BI23" i="32" s="1"/>
  <c r="BG29" i="32"/>
  <c r="BI29" i="32" s="1"/>
  <c r="BM11" i="32"/>
  <c r="BM17" i="32"/>
  <c r="BG49" i="32"/>
  <c r="BI49" i="32" s="1"/>
  <c r="BG31" i="32"/>
  <c r="BI31" i="32" s="1"/>
  <c r="BG43" i="32"/>
  <c r="BI43" i="32" s="1"/>
  <c r="BG4" i="32"/>
  <c r="BI4" i="32" s="1"/>
  <c r="BG35" i="32"/>
  <c r="BI35" i="32" s="1"/>
  <c r="BG28" i="32"/>
  <c r="BI28" i="32" s="1"/>
  <c r="BG36" i="32"/>
  <c r="BI36" i="32" s="1"/>
  <c r="BG45" i="32"/>
  <c r="BI45" i="32" s="1"/>
  <c r="BG10" i="32"/>
  <c r="BI10" i="32" s="1"/>
  <c r="BG38" i="32"/>
  <c r="BI38" i="32" s="1"/>
  <c r="BG46" i="32"/>
  <c r="BI46" i="32" s="1"/>
  <c r="BT72" i="31"/>
  <c r="BT71" i="31"/>
  <c r="BT70" i="31"/>
  <c r="BT69" i="31"/>
  <c r="BT68" i="31"/>
  <c r="BT67" i="31"/>
  <c r="BT66" i="31"/>
  <c r="BT65" i="31"/>
  <c r="BT64" i="31"/>
  <c r="BT63" i="31"/>
  <c r="BT62" i="31"/>
  <c r="BT61" i="31"/>
  <c r="BT60" i="31"/>
  <c r="BT59" i="31"/>
  <c r="BT58" i="31"/>
  <c r="BT57" i="31"/>
  <c r="BT56" i="31"/>
  <c r="BT55" i="31"/>
  <c r="BT54" i="31"/>
  <c r="BT53" i="31"/>
  <c r="BT52" i="31"/>
  <c r="BT51" i="31"/>
  <c r="BT50" i="31"/>
  <c r="BT49" i="31"/>
  <c r="BT48" i="31"/>
  <c r="BT47" i="31"/>
  <c r="BT46" i="31"/>
  <c r="BT45" i="31"/>
  <c r="BT44" i="31"/>
  <c r="BT43" i="31"/>
  <c r="BT42" i="31"/>
  <c r="BT41" i="31"/>
  <c r="BT40" i="31"/>
  <c r="BT39" i="31"/>
  <c r="BT38" i="31"/>
  <c r="BT37" i="31"/>
  <c r="BT36" i="31"/>
  <c r="BT35" i="31"/>
  <c r="BT34" i="31"/>
  <c r="BT33" i="31"/>
  <c r="BT32" i="31"/>
  <c r="BT31" i="31"/>
  <c r="BT30" i="31"/>
  <c r="BT29" i="31"/>
  <c r="BT28" i="31"/>
  <c r="BT27" i="31"/>
  <c r="BT26" i="31"/>
  <c r="BT25" i="31"/>
  <c r="BT24" i="31"/>
  <c r="BT23" i="31"/>
  <c r="BT22" i="31"/>
  <c r="BT21" i="31"/>
  <c r="BT20" i="31"/>
  <c r="BT19" i="31"/>
  <c r="BT18" i="31"/>
  <c r="BT17" i="31"/>
  <c r="BT16" i="31"/>
  <c r="BT15" i="31"/>
  <c r="BT14" i="31"/>
  <c r="BT13" i="31"/>
  <c r="BT12" i="31"/>
  <c r="BT11" i="31"/>
  <c r="BT10" i="31"/>
  <c r="BT9" i="31"/>
  <c r="BT8" i="31"/>
  <c r="BT7" i="31"/>
  <c r="BT6" i="31"/>
  <c r="BT5" i="31"/>
  <c r="BT4" i="31"/>
  <c r="BT3" i="31"/>
  <c r="BJ73" i="31"/>
  <c r="BD15" i="30" l="1"/>
  <c r="AU10" i="30" s="1"/>
  <c r="AP10" i="30" s="1"/>
  <c r="BH14" i="29"/>
  <c r="AU8" i="29" s="1"/>
  <c r="AM8" i="29" s="1"/>
  <c r="BC8" i="28"/>
  <c r="AW23" i="28" s="1"/>
  <c r="AU23" i="28" s="1"/>
  <c r="BJ8" i="27"/>
  <c r="BD3" i="27" s="1"/>
  <c r="AS3" i="27" s="1"/>
  <c r="CO10" i="29"/>
  <c r="BP29" i="28"/>
  <c r="CQ29" i="28" s="1"/>
  <c r="BS20" i="28"/>
  <c r="CO3" i="29"/>
  <c r="CO12" i="29"/>
  <c r="CK6" i="30"/>
  <c r="CK3" i="30"/>
  <c r="CK5" i="30"/>
  <c r="BP12" i="28"/>
  <c r="CQ12" i="28" s="1"/>
  <c r="BP15" i="28"/>
  <c r="CQ15" i="28" s="1"/>
  <c r="BP21" i="28"/>
  <c r="BP30" i="28"/>
  <c r="CQ30" i="28" s="1"/>
  <c r="BP11" i="28"/>
  <c r="CQ11" i="28" s="1"/>
  <c r="BP3" i="28"/>
  <c r="BP38" i="28"/>
  <c r="CQ38" i="28" s="1"/>
  <c r="BP27" i="28"/>
  <c r="CQ27" i="28" s="1"/>
  <c r="BP24" i="28"/>
  <c r="CQ24" i="28" s="1"/>
  <c r="BP32" i="28"/>
  <c r="CQ32" i="28" s="1"/>
  <c r="BP33" i="28"/>
  <c r="CQ33" i="28" s="1"/>
  <c r="BP34" i="28"/>
  <c r="BP13" i="28"/>
  <c r="CQ13" i="28" s="1"/>
  <c r="BP7" i="28"/>
  <c r="BP14" i="28"/>
  <c r="CQ14" i="28" s="1"/>
  <c r="BP31" i="28"/>
  <c r="CQ31" i="28" s="1"/>
  <c r="BP9" i="28"/>
  <c r="CQ9" i="28" s="1"/>
  <c r="BP26" i="28"/>
  <c r="BP37" i="28"/>
  <c r="CQ37" i="28" s="1"/>
  <c r="BP16" i="28"/>
  <c r="CQ16" i="28" s="1"/>
  <c r="BP6" i="28"/>
  <c r="CQ6" i="28" s="1"/>
  <c r="BP23" i="28"/>
  <c r="BP39" i="28"/>
  <c r="CQ39" i="28" s="1"/>
  <c r="BP35" i="28"/>
  <c r="CQ35" i="28" s="1"/>
  <c r="BP4" i="28"/>
  <c r="CQ4" i="28" s="1"/>
  <c r="BP20" i="28"/>
  <c r="BP17" i="28"/>
  <c r="BP18" i="28"/>
  <c r="CQ18" i="28" s="1"/>
  <c r="BP36" i="28"/>
  <c r="BP25" i="28"/>
  <c r="CQ25" i="28" s="1"/>
  <c r="BP40" i="28"/>
  <c r="CQ40" i="28" s="1"/>
  <c r="BP41" i="28"/>
  <c r="CQ41" i="28" s="1"/>
  <c r="BP19" i="28"/>
  <c r="CQ19" i="28" s="1"/>
  <c r="BP42" i="28"/>
  <c r="CQ42" i="28" s="1"/>
  <c r="BP10" i="28"/>
  <c r="CQ10" i="28" s="1"/>
  <c r="BP5" i="28"/>
  <c r="CQ5" i="28" s="1"/>
  <c r="BP22" i="28"/>
  <c r="BP28" i="28"/>
  <c r="CQ28" i="28" s="1"/>
  <c r="BP8" i="28"/>
  <c r="CQ8" i="28" s="1"/>
  <c r="BS32" i="28"/>
  <c r="CJ32" i="28" s="1"/>
  <c r="BS14" i="28"/>
  <c r="CJ14" i="28" s="1"/>
  <c r="BS35" i="28"/>
  <c r="CJ35" i="28" s="1"/>
  <c r="BS36" i="28"/>
  <c r="CJ36" i="28" s="1"/>
  <c r="BS29" i="28"/>
  <c r="CJ29" i="28" s="1"/>
  <c r="BS42" i="28"/>
  <c r="CJ42" i="28" s="1"/>
  <c r="BS25" i="28"/>
  <c r="CJ25" i="28" s="1"/>
  <c r="BS28" i="28"/>
  <c r="CJ28" i="28" s="1"/>
  <c r="BS23" i="28"/>
  <c r="CJ23" i="28" s="1"/>
  <c r="BS30" i="28"/>
  <c r="CJ30" i="28" s="1"/>
  <c r="BS7" i="28"/>
  <c r="CJ7" i="28" s="1"/>
  <c r="BS19" i="28"/>
  <c r="CJ19" i="28" s="1"/>
  <c r="BS40" i="28"/>
  <c r="CJ40" i="28" s="1"/>
  <c r="BS4" i="28"/>
  <c r="CJ4" i="28" s="1"/>
  <c r="BS12" i="28"/>
  <c r="CJ12" i="28" s="1"/>
  <c r="BS21" i="28"/>
  <c r="CJ21" i="28" s="1"/>
  <c r="BS8" i="28"/>
  <c r="CJ8" i="28" s="1"/>
  <c r="BS37" i="28"/>
  <c r="CJ37" i="28" s="1"/>
  <c r="BS27" i="28"/>
  <c r="CJ27" i="28" s="1"/>
  <c r="BS11" i="28"/>
  <c r="CJ11" i="28" s="1"/>
  <c r="BS38" i="28"/>
  <c r="CJ38" i="28" s="1"/>
  <c r="BS33" i="28"/>
  <c r="CJ33" i="28" s="1"/>
  <c r="BS15" i="28"/>
  <c r="CJ15" i="28" s="1"/>
  <c r="BS6" i="28"/>
  <c r="CJ6" i="28" s="1"/>
  <c r="BS17" i="28"/>
  <c r="CJ17" i="28" s="1"/>
  <c r="BS3" i="28"/>
  <c r="CJ3" i="28" s="1"/>
  <c r="BS34" i="28"/>
  <c r="CJ34" i="28" s="1"/>
  <c r="BS10" i="28"/>
  <c r="CJ10" i="28" s="1"/>
  <c r="BS16" i="28"/>
  <c r="CJ16" i="28" s="1"/>
  <c r="BS31" i="28"/>
  <c r="CJ31" i="28" s="1"/>
  <c r="BS18" i="28"/>
  <c r="CJ18" i="28" s="1"/>
  <c r="BS5" i="28"/>
  <c r="CJ5" i="28" s="1"/>
  <c r="BS13" i="28"/>
  <c r="CJ13" i="28" s="1"/>
  <c r="BS41" i="28"/>
  <c r="CJ41" i="28" s="1"/>
  <c r="BS26" i="28"/>
  <c r="CJ26" i="28" s="1"/>
  <c r="BS39" i="28"/>
  <c r="CJ39" i="28" s="1"/>
  <c r="BS24" i="28"/>
  <c r="CJ24" i="28" s="1"/>
  <c r="BS22" i="28"/>
  <c r="CJ22" i="28" s="1"/>
  <c r="BS9" i="28"/>
  <c r="CJ9" i="28" s="1"/>
  <c r="CJ20" i="28"/>
  <c r="CU18" i="27"/>
  <c r="CO9" i="29"/>
  <c r="CO13" i="29"/>
  <c r="CK4" i="30"/>
  <c r="CA51" i="32"/>
  <c r="CO11" i="29"/>
  <c r="CK11" i="30"/>
  <c r="CV50" i="32"/>
  <c r="CO4" i="29"/>
  <c r="CO5" i="29"/>
  <c r="CK12" i="30"/>
  <c r="CA50" i="32"/>
  <c r="CO7" i="29"/>
  <c r="CO6" i="29"/>
  <c r="CK7" i="30"/>
  <c r="CV51" i="32"/>
  <c r="CO8" i="29"/>
  <c r="CK10" i="30"/>
  <c r="CU21" i="27"/>
  <c r="CU16" i="27"/>
  <c r="CU4" i="27"/>
  <c r="CU19" i="27"/>
  <c r="CU14" i="27"/>
  <c r="CU24" i="27"/>
  <c r="CU11" i="27"/>
  <c r="CU15" i="27"/>
  <c r="CU10" i="27"/>
  <c r="CU5" i="27"/>
  <c r="CU6" i="27"/>
  <c r="CU3" i="27"/>
  <c r="CU22" i="27"/>
  <c r="CU20" i="27"/>
  <c r="CU26" i="27"/>
  <c r="CU13" i="27"/>
  <c r="CU25" i="27"/>
  <c r="CU9" i="27"/>
  <c r="CU12" i="27"/>
  <c r="CU7" i="27"/>
  <c r="CU8" i="27"/>
  <c r="CU23" i="27"/>
  <c r="CU17" i="27"/>
  <c r="BI51" i="32"/>
  <c r="BI50" i="32"/>
  <c r="BT74" i="31"/>
  <c r="BT73" i="31"/>
  <c r="DA49" i="32"/>
  <c r="DA48" i="32"/>
  <c r="DA47" i="32"/>
  <c r="DA46" i="32"/>
  <c r="DA45" i="32"/>
  <c r="DA43" i="32"/>
  <c r="DA39" i="32"/>
  <c r="DA38" i="32"/>
  <c r="DA37" i="32"/>
  <c r="DA36" i="32"/>
  <c r="DA35" i="32"/>
  <c r="DA34" i="32"/>
  <c r="DA33" i="32"/>
  <c r="DA32" i="32"/>
  <c r="DA31" i="32"/>
  <c r="DA29" i="32"/>
  <c r="DA28" i="32"/>
  <c r="DA27" i="32"/>
  <c r="DA26" i="32"/>
  <c r="DA23" i="32"/>
  <c r="DA22" i="32"/>
  <c r="DA17" i="32"/>
  <c r="DA14" i="32"/>
  <c r="DA13" i="32"/>
  <c r="DA11" i="32"/>
  <c r="DA10" i="32"/>
  <c r="DA8" i="32"/>
  <c r="DA5" i="32"/>
  <c r="DA4" i="32"/>
  <c r="DA3" i="32"/>
  <c r="BP49" i="32"/>
  <c r="BP48" i="32"/>
  <c r="BP47" i="32"/>
  <c r="BP46" i="32"/>
  <c r="BP45" i="32"/>
  <c r="BP43" i="32"/>
  <c r="BP39" i="32"/>
  <c r="BP38" i="32"/>
  <c r="BP37" i="32"/>
  <c r="BP36" i="32"/>
  <c r="BP35" i="32"/>
  <c r="BP34" i="32"/>
  <c r="BP33" i="32"/>
  <c r="BP32" i="32"/>
  <c r="BP31" i="32"/>
  <c r="BP29" i="32"/>
  <c r="BP28" i="32"/>
  <c r="BP27" i="32"/>
  <c r="BP26" i="32"/>
  <c r="BP23" i="32"/>
  <c r="BP22" i="32"/>
  <c r="BP17" i="32"/>
  <c r="BP14" i="32"/>
  <c r="BP13" i="32"/>
  <c r="BP11" i="32"/>
  <c r="BP10" i="32"/>
  <c r="BP8" i="32"/>
  <c r="BP5" i="32"/>
  <c r="BP4" i="32"/>
  <c r="BP3" i="32"/>
  <c r="DN72" i="31"/>
  <c r="DN71" i="31"/>
  <c r="DN70" i="31"/>
  <c r="DN69" i="31"/>
  <c r="DN68" i="31"/>
  <c r="DN67" i="31"/>
  <c r="DN65" i="31"/>
  <c r="DN64" i="31"/>
  <c r="DN63" i="31"/>
  <c r="DN62" i="31"/>
  <c r="DN61" i="31"/>
  <c r="DN60" i="31"/>
  <c r="DN59" i="31"/>
  <c r="DN58" i="31"/>
  <c r="DN57" i="31"/>
  <c r="DN56" i="31"/>
  <c r="DN55" i="31"/>
  <c r="DN54" i="31"/>
  <c r="DN53" i="31"/>
  <c r="DN52" i="31"/>
  <c r="DN51" i="31"/>
  <c r="DN50" i="31"/>
  <c r="DN49" i="31"/>
  <c r="DN48" i="31"/>
  <c r="DN47" i="31"/>
  <c r="DN46" i="31"/>
  <c r="DN45" i="31"/>
  <c r="DN44" i="31"/>
  <c r="DN43" i="31"/>
  <c r="DN42" i="31"/>
  <c r="DN41" i="31"/>
  <c r="DN40" i="31"/>
  <c r="DN39" i="31"/>
  <c r="DN38" i="31"/>
  <c r="DN37" i="31"/>
  <c r="DN36" i="31"/>
  <c r="DN35" i="31"/>
  <c r="DN34" i="31"/>
  <c r="DN33" i="31"/>
  <c r="DN32" i="31"/>
  <c r="DN31" i="31"/>
  <c r="DN30" i="31"/>
  <c r="DN28" i="31"/>
  <c r="DN27" i="31"/>
  <c r="DN25" i="31"/>
  <c r="DN24" i="31"/>
  <c r="DN23" i="31"/>
  <c r="DN22" i="31"/>
  <c r="DN21" i="31"/>
  <c r="DN20" i="31"/>
  <c r="DN19" i="31"/>
  <c r="DN18" i="31"/>
  <c r="DN17" i="31"/>
  <c r="DN16" i="31"/>
  <c r="DN15" i="31"/>
  <c r="DN14" i="31"/>
  <c r="DN13" i="31"/>
  <c r="DN12" i="31"/>
  <c r="DN11" i="31"/>
  <c r="DN10" i="31"/>
  <c r="DN9" i="31"/>
  <c r="DN7" i="31"/>
  <c r="DN6" i="31"/>
  <c r="DN5" i="31"/>
  <c r="DN4" i="31"/>
  <c r="DN3" i="31"/>
  <c r="BU72" i="31"/>
  <c r="BU71" i="31"/>
  <c r="BU70" i="31"/>
  <c r="BU69" i="31"/>
  <c r="BU68" i="31"/>
  <c r="BU67" i="31"/>
  <c r="BU65" i="31"/>
  <c r="BU64" i="31"/>
  <c r="BU63" i="31"/>
  <c r="BU62" i="31"/>
  <c r="BU61" i="31"/>
  <c r="BU60" i="31"/>
  <c r="BU59" i="31"/>
  <c r="BU58" i="31"/>
  <c r="BU57" i="31"/>
  <c r="BU56" i="31"/>
  <c r="BU55" i="31"/>
  <c r="BU54" i="31"/>
  <c r="BU53" i="31"/>
  <c r="BU52" i="31"/>
  <c r="BU51" i="31"/>
  <c r="BU50" i="31"/>
  <c r="BU49" i="31"/>
  <c r="BU48" i="31"/>
  <c r="BU47" i="31"/>
  <c r="BU46" i="31"/>
  <c r="BU45" i="31"/>
  <c r="BU44" i="31"/>
  <c r="BU43" i="31"/>
  <c r="BU42" i="31"/>
  <c r="BU41" i="31"/>
  <c r="BU40" i="31"/>
  <c r="BU39" i="31"/>
  <c r="BU38" i="31"/>
  <c r="BU37" i="31"/>
  <c r="BU36" i="31"/>
  <c r="BU35" i="31"/>
  <c r="BU34" i="31"/>
  <c r="BU33" i="31"/>
  <c r="BU32" i="31"/>
  <c r="BU31" i="31"/>
  <c r="BU30" i="31"/>
  <c r="BU28" i="31"/>
  <c r="BU27" i="31"/>
  <c r="BU25" i="31"/>
  <c r="BU24" i="31"/>
  <c r="BU23" i="31"/>
  <c r="BU22" i="31"/>
  <c r="BU21" i="31"/>
  <c r="BU20" i="31"/>
  <c r="BU19" i="31"/>
  <c r="BU18" i="31"/>
  <c r="BU17" i="31"/>
  <c r="BU16" i="31"/>
  <c r="BU15" i="31"/>
  <c r="BU14" i="31"/>
  <c r="BU13" i="31"/>
  <c r="BU12" i="31"/>
  <c r="BU11" i="31"/>
  <c r="BU10" i="31"/>
  <c r="BU9" i="31"/>
  <c r="BU7" i="31"/>
  <c r="BU6" i="31"/>
  <c r="BU5" i="31"/>
  <c r="BU4" i="31"/>
  <c r="BU3" i="31"/>
  <c r="BW12" i="30"/>
  <c r="BW11" i="30"/>
  <c r="BW10" i="30"/>
  <c r="BW6" i="30"/>
  <c r="BW5" i="30"/>
  <c r="BW4" i="30"/>
  <c r="CN12" i="30"/>
  <c r="CN11" i="30"/>
  <c r="CN10" i="30"/>
  <c r="CN6" i="30"/>
  <c r="CN5" i="30"/>
  <c r="CN4" i="30"/>
  <c r="CR13" i="29"/>
  <c r="CR12" i="29"/>
  <c r="CR11" i="29"/>
  <c r="CR10" i="29"/>
  <c r="CR9" i="29"/>
  <c r="CR8" i="29"/>
  <c r="CR7" i="29"/>
  <c r="CR6" i="29"/>
  <c r="CR5" i="29"/>
  <c r="CR4" i="29"/>
  <c r="CR3" i="29"/>
  <c r="AU5" i="30" l="1"/>
  <c r="AP5" i="30" s="1"/>
  <c r="AP13" i="30"/>
  <c r="BB14" i="30" s="1"/>
  <c r="AM10" i="30" s="1"/>
  <c r="AN10" i="30" s="1"/>
  <c r="AU3" i="29"/>
  <c r="AM3" i="29" s="1"/>
  <c r="AU4" i="29"/>
  <c r="AM4" i="29" s="1"/>
  <c r="AW3" i="28"/>
  <c r="AU3" i="28" s="1"/>
  <c r="AW22" i="28"/>
  <c r="AU22" i="28" s="1"/>
  <c r="AW17" i="28"/>
  <c r="AU17" i="28" s="1"/>
  <c r="AW21" i="28"/>
  <c r="AU21" i="28" s="1"/>
  <c r="AW26" i="28"/>
  <c r="AU26" i="28" s="1"/>
  <c r="AW34" i="28"/>
  <c r="AU34" i="28" s="1"/>
  <c r="AW10" i="28"/>
  <c r="AU10" i="28" s="1"/>
  <c r="AW19" i="28"/>
  <c r="AU19" i="28" s="1"/>
  <c r="AW36" i="28"/>
  <c r="AU36" i="28" s="1"/>
  <c r="BD11" i="27"/>
  <c r="AS11" i="27" s="1"/>
  <c r="BD19" i="27"/>
  <c r="AS19" i="27" s="1"/>
  <c r="BD23" i="27"/>
  <c r="AS23" i="27" s="1"/>
  <c r="BD18" i="27"/>
  <c r="AS18" i="27" s="1"/>
  <c r="BD4" i="27"/>
  <c r="AS4" i="27" s="1"/>
  <c r="CQ20" i="28"/>
  <c r="CQ26" i="28"/>
  <c r="CQ23" i="28"/>
  <c r="CQ7" i="28"/>
  <c r="CQ22" i="28"/>
  <c r="CQ36" i="28"/>
  <c r="CQ34" i="28"/>
  <c r="CQ17" i="28"/>
  <c r="CQ21" i="28"/>
  <c r="CQ3" i="28"/>
  <c r="AX3" i="28"/>
  <c r="AZ3" i="28" s="1"/>
  <c r="CC45" i="32"/>
  <c r="CC26" i="32"/>
  <c r="CX18" i="32"/>
  <c r="DF18" i="32" s="1"/>
  <c r="CC34" i="32"/>
  <c r="CC48" i="32"/>
  <c r="CC36" i="32"/>
  <c r="BL34" i="32"/>
  <c r="CC39" i="32"/>
  <c r="CX10" i="32"/>
  <c r="DF10" i="32" s="1"/>
  <c r="CX11" i="32"/>
  <c r="DF11" i="32" s="1"/>
  <c r="CX46" i="32"/>
  <c r="DF46" i="32" s="1"/>
  <c r="CC22" i="32"/>
  <c r="CX38" i="32"/>
  <c r="DF38" i="32" s="1"/>
  <c r="CC49" i="32"/>
  <c r="CX36" i="32"/>
  <c r="DF36" i="32" s="1"/>
  <c r="CX19" i="32"/>
  <c r="DF19" i="32" s="1"/>
  <c r="CX23" i="32"/>
  <c r="DF23" i="32" s="1"/>
  <c r="CX4" i="32"/>
  <c r="DF4" i="32" s="1"/>
  <c r="CC31" i="32"/>
  <c r="CX37" i="32"/>
  <c r="DF37" i="32" s="1"/>
  <c r="CX48" i="32"/>
  <c r="DF48" i="32" s="1"/>
  <c r="CX31" i="32"/>
  <c r="DF31" i="32" s="1"/>
  <c r="CX8" i="32"/>
  <c r="DF8" i="32" s="1"/>
  <c r="CX39" i="32"/>
  <c r="DF39" i="32" s="1"/>
  <c r="CX29" i="32"/>
  <c r="DF29" i="32" s="1"/>
  <c r="CC38" i="32"/>
  <c r="CC18" i="32"/>
  <c r="CX22" i="32"/>
  <c r="DF22" i="32" s="1"/>
  <c r="CC3" i="32"/>
  <c r="CX32" i="32"/>
  <c r="DF32" i="32" s="1"/>
  <c r="CC43" i="32"/>
  <c r="CC11" i="32"/>
  <c r="CX13" i="32"/>
  <c r="DF13" i="32" s="1"/>
  <c r="CC28" i="32"/>
  <c r="CX27" i="32"/>
  <c r="DF27" i="32" s="1"/>
  <c r="CC4" i="32"/>
  <c r="CX35" i="32"/>
  <c r="DF35" i="32" s="1"/>
  <c r="CX3" i="32"/>
  <c r="DF3" i="32" s="1"/>
  <c r="CC29" i="32"/>
  <c r="CC17" i="32"/>
  <c r="CC35" i="32"/>
  <c r="CX34" i="32"/>
  <c r="DF34" i="32" s="1"/>
  <c r="CC5" i="32"/>
  <c r="CX49" i="32"/>
  <c r="DF49" i="32" s="1"/>
  <c r="CC13" i="32"/>
  <c r="CX43" i="32"/>
  <c r="DF43" i="32" s="1"/>
  <c r="CC37" i="32"/>
  <c r="CC27" i="32"/>
  <c r="CX28" i="32"/>
  <c r="DF28" i="32" s="1"/>
  <c r="CC23" i="32"/>
  <c r="CC32" i="32"/>
  <c r="CX47" i="32"/>
  <c r="DF47" i="32" s="1"/>
  <c r="CC46" i="32"/>
  <c r="CC19" i="32"/>
  <c r="CX26" i="32"/>
  <c r="DF26" i="32" s="1"/>
  <c r="CC10" i="32"/>
  <c r="CC47" i="32"/>
  <c r="CX45" i="32"/>
  <c r="DF45" i="32" s="1"/>
  <c r="CX17" i="32"/>
  <c r="DF17" i="32" s="1"/>
  <c r="CC8" i="32"/>
  <c r="CX5" i="32"/>
  <c r="DF5" i="32" s="1"/>
  <c r="CR16" i="29"/>
  <c r="BL17" i="32"/>
  <c r="BL23" i="32"/>
  <c r="BL31" i="32"/>
  <c r="BL28" i="32"/>
  <c r="BL4" i="32"/>
  <c r="BL10" i="32"/>
  <c r="BL22" i="32"/>
  <c r="BL43" i="32"/>
  <c r="BL29" i="32"/>
  <c r="CH29" i="32" s="1"/>
  <c r="BL36" i="32"/>
  <c r="CH36" i="32" s="1"/>
  <c r="BL38" i="32"/>
  <c r="BL8" i="32"/>
  <c r="BL19" i="32"/>
  <c r="BL3" i="32"/>
  <c r="CH3" i="32" s="1"/>
  <c r="BL26" i="32"/>
  <c r="BL32" i="32"/>
  <c r="BL5" i="32"/>
  <c r="BL18" i="32"/>
  <c r="BL39" i="32"/>
  <c r="BL48" i="32"/>
  <c r="BL11" i="32"/>
  <c r="BL47" i="32"/>
  <c r="BL27" i="32"/>
  <c r="BL49" i="32"/>
  <c r="CH49" i="32" s="1"/>
  <c r="BL37" i="32"/>
  <c r="BL46" i="32"/>
  <c r="CH46" i="32" s="1"/>
  <c r="BL45" i="32"/>
  <c r="BL13" i="32"/>
  <c r="BL35" i="32"/>
  <c r="DA52" i="32"/>
  <c r="CB11" i="31"/>
  <c r="CB19" i="31"/>
  <c r="CB8" i="31"/>
  <c r="CB4" i="31"/>
  <c r="CB13" i="31"/>
  <c r="CB21" i="31"/>
  <c r="CB31" i="31"/>
  <c r="CB39" i="31"/>
  <c r="CB6" i="31"/>
  <c r="CB9" i="31"/>
  <c r="CB17" i="31"/>
  <c r="CB25" i="31"/>
  <c r="CB35" i="31"/>
  <c r="CB43" i="31"/>
  <c r="CB51" i="31"/>
  <c r="CB59" i="31"/>
  <c r="CB68" i="31"/>
  <c r="CB7" i="31"/>
  <c r="CB10" i="31"/>
  <c r="CB18" i="31"/>
  <c r="CB27" i="31"/>
  <c r="CB36" i="31"/>
  <c r="CB44" i="31"/>
  <c r="CB52" i="31"/>
  <c r="CB60" i="31"/>
  <c r="CB69" i="31"/>
  <c r="CB3" i="31"/>
  <c r="CB12" i="31"/>
  <c r="CB20" i="31"/>
  <c r="CB47" i="31"/>
  <c r="CB55" i="31"/>
  <c r="CB63" i="31"/>
  <c r="CB72" i="31"/>
  <c r="CB5" i="31"/>
  <c r="CB14" i="31"/>
  <c r="CB22" i="31"/>
  <c r="CB32" i="31"/>
  <c r="CB40" i="31"/>
  <c r="CB48" i="31"/>
  <c r="CB56" i="31"/>
  <c r="CB64" i="31"/>
  <c r="CB66" i="31"/>
  <c r="CB26" i="31"/>
  <c r="CB28" i="31"/>
  <c r="CB37" i="31"/>
  <c r="CB45" i="31"/>
  <c r="CB53" i="31"/>
  <c r="CB61" i="31"/>
  <c r="CB70" i="31"/>
  <c r="CB30" i="31"/>
  <c r="CB38" i="31"/>
  <c r="CB46" i="31"/>
  <c r="CB54" i="31"/>
  <c r="CB62" i="31"/>
  <c r="CB71" i="31"/>
  <c r="CB15" i="31"/>
  <c r="CB23" i="31"/>
  <c r="CB33" i="31"/>
  <c r="CB41" i="31"/>
  <c r="CB49" i="31"/>
  <c r="CB57" i="31"/>
  <c r="CB65" i="31"/>
  <c r="CB16" i="31"/>
  <c r="CB24" i="31"/>
  <c r="CB34" i="31"/>
  <c r="CB42" i="31"/>
  <c r="CB50" i="31"/>
  <c r="CB58" i="31"/>
  <c r="CB67" i="31"/>
  <c r="CB29" i="31"/>
  <c r="BW14" i="30"/>
  <c r="BU75" i="31"/>
  <c r="CR15" i="29"/>
  <c r="BW15" i="30"/>
  <c r="CN15" i="30"/>
  <c r="DN75" i="31"/>
  <c r="CN14" i="30"/>
  <c r="DN74" i="31"/>
  <c r="DA51" i="32"/>
  <c r="BP51" i="32"/>
  <c r="BP52" i="32"/>
  <c r="BU74" i="31"/>
  <c r="AU26" i="32" l="1"/>
  <c r="AL46" i="32" s="1"/>
  <c r="X46" i="32" s="1"/>
  <c r="CH5" i="32"/>
  <c r="DD5" i="32" s="1"/>
  <c r="CH34" i="32"/>
  <c r="DD34" i="32" s="1"/>
  <c r="AM5" i="30"/>
  <c r="AM14" i="29"/>
  <c r="BE14" i="29" s="1"/>
  <c r="AF8" i="29" s="1"/>
  <c r="AU43" i="28"/>
  <c r="BC16" i="28" s="1"/>
  <c r="AG23" i="28" s="1"/>
  <c r="AS23" i="28" s="1"/>
  <c r="AS27" i="27"/>
  <c r="BH22" i="27" s="1"/>
  <c r="AO3" i="27" s="1"/>
  <c r="AQ3" i="27" s="1"/>
  <c r="CH32" i="32"/>
  <c r="DD32" i="32" s="1"/>
  <c r="CH13" i="32"/>
  <c r="DD13" i="32" s="1"/>
  <c r="CH28" i="32"/>
  <c r="DD28" i="32" s="1"/>
  <c r="CH45" i="32"/>
  <c r="DD45" i="32" s="1"/>
  <c r="CH37" i="32"/>
  <c r="DD37" i="32" s="1"/>
  <c r="AX7" i="28"/>
  <c r="AZ7" i="28" s="1"/>
  <c r="AX34" i="28"/>
  <c r="AZ34" i="28" s="1"/>
  <c r="AX20" i="28"/>
  <c r="AZ20" i="28" s="1"/>
  <c r="AX23" i="28"/>
  <c r="AZ23" i="28" s="1"/>
  <c r="AX36" i="28"/>
  <c r="AZ36" i="28" s="1"/>
  <c r="AX26" i="28"/>
  <c r="AZ26" i="28" s="1"/>
  <c r="AX21" i="28"/>
  <c r="AZ21" i="28" s="1"/>
  <c r="AX22" i="28"/>
  <c r="AZ22" i="28" s="1"/>
  <c r="AX17" i="28"/>
  <c r="AZ17" i="28" s="1"/>
  <c r="DD29" i="32"/>
  <c r="CH26" i="32"/>
  <c r="DD26" i="32" s="1"/>
  <c r="CH47" i="32"/>
  <c r="DD47" i="32" s="1"/>
  <c r="CH35" i="32"/>
  <c r="DD35" i="32" s="1"/>
  <c r="CH48" i="32"/>
  <c r="DD48" i="32" s="1"/>
  <c r="CH18" i="32"/>
  <c r="DD18" i="32" s="1"/>
  <c r="DD36" i="32"/>
  <c r="CH22" i="32"/>
  <c r="DD22" i="32" s="1"/>
  <c r="DD3" i="32"/>
  <c r="CH39" i="32"/>
  <c r="DD39" i="32" s="1"/>
  <c r="BR7" i="32"/>
  <c r="CM7" i="32" s="1"/>
  <c r="J7" i="32" s="1"/>
  <c r="DD49" i="32"/>
  <c r="CH17" i="32"/>
  <c r="DD17" i="32" s="1"/>
  <c r="CH11" i="32"/>
  <c r="DD11" i="32" s="1"/>
  <c r="CH4" i="32"/>
  <c r="DD4" i="32" s="1"/>
  <c r="DD46" i="32"/>
  <c r="CH27" i="32"/>
  <c r="DD27" i="32" s="1"/>
  <c r="CH10" i="32"/>
  <c r="DD10" i="32" s="1"/>
  <c r="CH19" i="32"/>
  <c r="DD19" i="32" s="1"/>
  <c r="CH38" i="32"/>
  <c r="DD38" i="32" s="1"/>
  <c r="CH31" i="32"/>
  <c r="DD31" i="32" s="1"/>
  <c r="CH43" i="32"/>
  <c r="DD43" i="32" s="1"/>
  <c r="CH8" i="32"/>
  <c r="DD8" i="32" s="1"/>
  <c r="CH23" i="32"/>
  <c r="DD23" i="32" s="1"/>
  <c r="CT12" i="29"/>
  <c r="CP11" i="30"/>
  <c r="BY11" i="30"/>
  <c r="BY5" i="30"/>
  <c r="CP10" i="30"/>
  <c r="DC28" i="32"/>
  <c r="BR8" i="32"/>
  <c r="CM8" i="32" s="1"/>
  <c r="BR43" i="32"/>
  <c r="CM43" i="32" s="1"/>
  <c r="BR34" i="32"/>
  <c r="CM34" i="32" s="1"/>
  <c r="BR22" i="32"/>
  <c r="CM22" i="32" s="1"/>
  <c r="BR48" i="32"/>
  <c r="CM48" i="32" s="1"/>
  <c r="DP56" i="31"/>
  <c r="DP54" i="31"/>
  <c r="DP55" i="31"/>
  <c r="DP38" i="31"/>
  <c r="DP20" i="31"/>
  <c r="DP12" i="31"/>
  <c r="CT10" i="29"/>
  <c r="CT9" i="29"/>
  <c r="CP12" i="30"/>
  <c r="CT8" i="29"/>
  <c r="CT11" i="29"/>
  <c r="CT7" i="29"/>
  <c r="BY12" i="30"/>
  <c r="DP69" i="31"/>
  <c r="BR47" i="32"/>
  <c r="CM47" i="32" s="1"/>
  <c r="CP6" i="30"/>
  <c r="DP52" i="31"/>
  <c r="CT3" i="29"/>
  <c r="CT13" i="29"/>
  <c r="CT4" i="29"/>
  <c r="CT6" i="29"/>
  <c r="BY4" i="30"/>
  <c r="BR38" i="32"/>
  <c r="CM38" i="32" s="1"/>
  <c r="CT5" i="29"/>
  <c r="BY6" i="30"/>
  <c r="BY10" i="30"/>
  <c r="DC45" i="32"/>
  <c r="DC33" i="32"/>
  <c r="DC22" i="32"/>
  <c r="DC5" i="32"/>
  <c r="DC39" i="32"/>
  <c r="DC31" i="32"/>
  <c r="DC14" i="32"/>
  <c r="DC3" i="32"/>
  <c r="DC46" i="32"/>
  <c r="DC34" i="32"/>
  <c r="DC23" i="32"/>
  <c r="DP3" i="31"/>
  <c r="DP40" i="31"/>
  <c r="DP27" i="31"/>
  <c r="DP53" i="31"/>
  <c r="CP5" i="30"/>
  <c r="DP11" i="31"/>
  <c r="DC32" i="32"/>
  <c r="DP23" i="31"/>
  <c r="DP22" i="31"/>
  <c r="DP71" i="31"/>
  <c r="DP4" i="31"/>
  <c r="DP19" i="31"/>
  <c r="DP48" i="31"/>
  <c r="DP47" i="31"/>
  <c r="DP30" i="31"/>
  <c r="DC27" i="32"/>
  <c r="DP21" i="31"/>
  <c r="DP32" i="31"/>
  <c r="DC13" i="32"/>
  <c r="DP13" i="31"/>
  <c r="DP44" i="31"/>
  <c r="DP45" i="31"/>
  <c r="DC17" i="32"/>
  <c r="DP15" i="31"/>
  <c r="DP14" i="31"/>
  <c r="DP62" i="31"/>
  <c r="CP4" i="30"/>
  <c r="DC36" i="32"/>
  <c r="DC8" i="32"/>
  <c r="DC11" i="32"/>
  <c r="DC38" i="32"/>
  <c r="DP70" i="31"/>
  <c r="DC29" i="32"/>
  <c r="DP60" i="31"/>
  <c r="BR39" i="32"/>
  <c r="CM39" i="32" s="1"/>
  <c r="BR11" i="32"/>
  <c r="CM11" i="32" s="1"/>
  <c r="DC49" i="32"/>
  <c r="DP37" i="31"/>
  <c r="DC48" i="32"/>
  <c r="DC35" i="32"/>
  <c r="DC4" i="32"/>
  <c r="DP6" i="31"/>
  <c r="DP72" i="31"/>
  <c r="DP5" i="31"/>
  <c r="DP65" i="31"/>
  <c r="DP57" i="31"/>
  <c r="DP49" i="31"/>
  <c r="DP41" i="31"/>
  <c r="DP33" i="31"/>
  <c r="DP24" i="31"/>
  <c r="DP16" i="31"/>
  <c r="DP7" i="31"/>
  <c r="DP58" i="31"/>
  <c r="DP17" i="31"/>
  <c r="DP34" i="31"/>
  <c r="DP18" i="31"/>
  <c r="DP25" i="31"/>
  <c r="DP68" i="31"/>
  <c r="DP59" i="31"/>
  <c r="DP51" i="31"/>
  <c r="DP43" i="31"/>
  <c r="DP35" i="31"/>
  <c r="DP10" i="31"/>
  <c r="DP67" i="31"/>
  <c r="DP42" i="31"/>
  <c r="DP50" i="31"/>
  <c r="DP9" i="31"/>
  <c r="DP36" i="31"/>
  <c r="DP39" i="31"/>
  <c r="DP61" i="31"/>
  <c r="DC43" i="32"/>
  <c r="DP31" i="31"/>
  <c r="BR33" i="32"/>
  <c r="CM33" i="32" s="1"/>
  <c r="BR26" i="32"/>
  <c r="CM26" i="32" s="1"/>
  <c r="BR3" i="32"/>
  <c r="CM3" i="32" s="1"/>
  <c r="DC37" i="32"/>
  <c r="DP28" i="31"/>
  <c r="DC10" i="32"/>
  <c r="DC26" i="32"/>
  <c r="DP64" i="31"/>
  <c r="DP63" i="31"/>
  <c r="DP46" i="31"/>
  <c r="DC47" i="32"/>
  <c r="BR23" i="32"/>
  <c r="CM23" i="32" s="1"/>
  <c r="BR27" i="32"/>
  <c r="CM27" i="32" s="1"/>
  <c r="BR36" i="32"/>
  <c r="CM36" i="32" s="1"/>
  <c r="BR29" i="32"/>
  <c r="CM29" i="32" s="1"/>
  <c r="BR17" i="32"/>
  <c r="CM17" i="32" s="1"/>
  <c r="BR45" i="32"/>
  <c r="CM45" i="32" s="1"/>
  <c r="BR35" i="32"/>
  <c r="CM35" i="32" s="1"/>
  <c r="BR28" i="32"/>
  <c r="CM28" i="32" s="1"/>
  <c r="BR14" i="32"/>
  <c r="CM14" i="32" s="1"/>
  <c r="BR5" i="32"/>
  <c r="CM5" i="32" s="1"/>
  <c r="BR46" i="32"/>
  <c r="CM46" i="32" s="1"/>
  <c r="BR37" i="32"/>
  <c r="CM37" i="32" s="1"/>
  <c r="BR13" i="32"/>
  <c r="CM13" i="32" s="1"/>
  <c r="BR32" i="32"/>
  <c r="CM32" i="32" s="1"/>
  <c r="BR49" i="32"/>
  <c r="CM49" i="32" s="1"/>
  <c r="BR31" i="32"/>
  <c r="CM31" i="32" s="1"/>
  <c r="BR4" i="32"/>
  <c r="CM4" i="32" s="1"/>
  <c r="BR10" i="32"/>
  <c r="CM10" i="32" s="1"/>
  <c r="CC15" i="31"/>
  <c r="CY15" i="31" s="1"/>
  <c r="CC38" i="31"/>
  <c r="CY38" i="31" s="1"/>
  <c r="CC61" i="31"/>
  <c r="CY61" i="31" s="1"/>
  <c r="CC55" i="31"/>
  <c r="CY55" i="31" s="1"/>
  <c r="CC49" i="31"/>
  <c r="CY49" i="31" s="1"/>
  <c r="CC37" i="31"/>
  <c r="CY37" i="31" s="1"/>
  <c r="CC24" i="31"/>
  <c r="CY24" i="31" s="1"/>
  <c r="CC5" i="31"/>
  <c r="CY5" i="31" s="1"/>
  <c r="CC62" i="31"/>
  <c r="CY62" i="31" s="1"/>
  <c r="CC56" i="31"/>
  <c r="CY56" i="31" s="1"/>
  <c r="CC50" i="31"/>
  <c r="CY50" i="31" s="1"/>
  <c r="CC44" i="31"/>
  <c r="CY44" i="31" s="1"/>
  <c r="CC32" i="31"/>
  <c r="CY32" i="31" s="1"/>
  <c r="CC25" i="31"/>
  <c r="CY25" i="31" s="1"/>
  <c r="CC19" i="31"/>
  <c r="CY19" i="31" s="1"/>
  <c r="CC13" i="31"/>
  <c r="CY13" i="31" s="1"/>
  <c r="CC6" i="31"/>
  <c r="CY6" i="31" s="1"/>
  <c r="CC68" i="31"/>
  <c r="CY68" i="31" s="1"/>
  <c r="CC43" i="31"/>
  <c r="CY43" i="31" s="1"/>
  <c r="CC31" i="31"/>
  <c r="CY31" i="31" s="1"/>
  <c r="CC18" i="31"/>
  <c r="CY18" i="31" s="1"/>
  <c r="CC12" i="31"/>
  <c r="CY12" i="31" s="1"/>
  <c r="CC69" i="31"/>
  <c r="CY69" i="31" s="1"/>
  <c r="CC23" i="31"/>
  <c r="CY23" i="31" s="1"/>
  <c r="CC17" i="31"/>
  <c r="CY17" i="31" s="1"/>
  <c r="CC11" i="31"/>
  <c r="CY11" i="31" s="1"/>
  <c r="CC4" i="31"/>
  <c r="CY4" i="31" s="1"/>
  <c r="CC22" i="31"/>
  <c r="CY22" i="31" s="1"/>
  <c r="CC16" i="31"/>
  <c r="CY16" i="31" s="1"/>
  <c r="CC10" i="31"/>
  <c r="CY10" i="31" s="1"/>
  <c r="CC3" i="31"/>
  <c r="CY3" i="31" s="1"/>
  <c r="CC21" i="31"/>
  <c r="CY21" i="31" s="1"/>
  <c r="CC9" i="31"/>
  <c r="CY9" i="31" s="1"/>
  <c r="CC70" i="31"/>
  <c r="CY70" i="31" s="1"/>
  <c r="CC63" i="31"/>
  <c r="CY63" i="31" s="1"/>
  <c r="CC57" i="31"/>
  <c r="CY57" i="31" s="1"/>
  <c r="CC51" i="31"/>
  <c r="CY51" i="31" s="1"/>
  <c r="CC45" i="31"/>
  <c r="CY45" i="31" s="1"/>
  <c r="CC39" i="31"/>
  <c r="CY39" i="31" s="1"/>
  <c r="CC33" i="31"/>
  <c r="CY33" i="31" s="1"/>
  <c r="CC20" i="31"/>
  <c r="CY20" i="31" s="1"/>
  <c r="CC14" i="31"/>
  <c r="CY14" i="31" s="1"/>
  <c r="CC7" i="31"/>
  <c r="CY7" i="31" s="1"/>
  <c r="CC36" i="31"/>
  <c r="CY36" i="31" s="1"/>
  <c r="CC47" i="31"/>
  <c r="CY47" i="31" s="1"/>
  <c r="CC58" i="31"/>
  <c r="CY58" i="31" s="1"/>
  <c r="CC67" i="31"/>
  <c r="CY67" i="31" s="1"/>
  <c r="CC30" i="31"/>
  <c r="CY30" i="31" s="1"/>
  <c r="CC41" i="31"/>
  <c r="CY41" i="31" s="1"/>
  <c r="CC52" i="31"/>
  <c r="CY52" i="31" s="1"/>
  <c r="CC60" i="31"/>
  <c r="CY60" i="31" s="1"/>
  <c r="CC72" i="31"/>
  <c r="CY72" i="31" s="1"/>
  <c r="CC35" i="31"/>
  <c r="CY35" i="31" s="1"/>
  <c r="CC46" i="31"/>
  <c r="CY46" i="31" s="1"/>
  <c r="CC54" i="31"/>
  <c r="CY54" i="31" s="1"/>
  <c r="CC65" i="31"/>
  <c r="CY65" i="31" s="1"/>
  <c r="CC28" i="31"/>
  <c r="CY28" i="31" s="1"/>
  <c r="CC40" i="31"/>
  <c r="CY40" i="31" s="1"/>
  <c r="CC48" i="31"/>
  <c r="CY48" i="31" s="1"/>
  <c r="CC59" i="31"/>
  <c r="CY59" i="31" s="1"/>
  <c r="CC71" i="31"/>
  <c r="CY71" i="31" s="1"/>
  <c r="CC34" i="31"/>
  <c r="CY34" i="31" s="1"/>
  <c r="CC27" i="31"/>
  <c r="CY27" i="31" s="1"/>
  <c r="CC42" i="31"/>
  <c r="CY42" i="31" s="1"/>
  <c r="CC53" i="31"/>
  <c r="CY53" i="31" s="1"/>
  <c r="CC64" i="31"/>
  <c r="CY64" i="31" s="1"/>
  <c r="AL47" i="32" l="1"/>
  <c r="X47" i="32" s="1"/>
  <c r="AL48" i="32"/>
  <c r="X48" i="32" s="1"/>
  <c r="AL3" i="32"/>
  <c r="X3" i="32" s="1"/>
  <c r="AL36" i="32"/>
  <c r="X36" i="32" s="1"/>
  <c r="AL26" i="32"/>
  <c r="X26" i="32" s="1"/>
  <c r="AL4" i="32"/>
  <c r="X4" i="32" s="1"/>
  <c r="AL29" i="32"/>
  <c r="X29" i="32" s="1"/>
  <c r="AM14" i="30"/>
  <c r="AN5" i="30"/>
  <c r="AN14" i="30" s="1"/>
  <c r="AF3" i="29"/>
  <c r="AF4" i="29"/>
  <c r="AG3" i="28"/>
  <c r="AS3" i="28" s="1"/>
  <c r="AG36" i="28"/>
  <c r="AS36" i="28" s="1"/>
  <c r="AG22" i="28"/>
  <c r="AS22" i="28" s="1"/>
  <c r="AG17" i="28"/>
  <c r="AS17" i="28" s="1"/>
  <c r="AG21" i="28"/>
  <c r="AS21" i="28" s="1"/>
  <c r="AG26" i="28"/>
  <c r="AS26" i="28" s="1"/>
  <c r="AG34" i="28"/>
  <c r="AS34" i="28" s="1"/>
  <c r="AG19" i="28"/>
  <c r="AS19" i="28" s="1"/>
  <c r="AG10" i="28"/>
  <c r="AO11" i="27"/>
  <c r="AQ11" i="27" s="1"/>
  <c r="AO23" i="27"/>
  <c r="AQ23" i="27" s="1"/>
  <c r="AO19" i="27"/>
  <c r="AQ19" i="27" s="1"/>
  <c r="AO18" i="27"/>
  <c r="AQ18" i="27" s="1"/>
  <c r="AO4" i="27"/>
  <c r="AQ4" i="27" s="1"/>
  <c r="AQ27" i="27" s="1"/>
  <c r="AZ43" i="28"/>
  <c r="AO3" i="28" s="1"/>
  <c r="AN3" i="28" s="1"/>
  <c r="J10" i="32"/>
  <c r="AD72" i="31"/>
  <c r="AD59" i="31"/>
  <c r="AD60" i="31"/>
  <c r="AD50" i="31"/>
  <c r="AD55" i="31"/>
  <c r="AD23" i="31"/>
  <c r="X4" i="30"/>
  <c r="X11" i="30"/>
  <c r="X12" i="30"/>
  <c r="X6" i="30"/>
  <c r="X5" i="30"/>
  <c r="X10" i="30"/>
  <c r="J28" i="32"/>
  <c r="J3" i="32"/>
  <c r="J48" i="32"/>
  <c r="J45" i="32"/>
  <c r="J43" i="32"/>
  <c r="J4" i="32"/>
  <c r="J8" i="32"/>
  <c r="J22" i="32"/>
  <c r="J29" i="32"/>
  <c r="J38" i="32"/>
  <c r="J47" i="32"/>
  <c r="J39" i="32"/>
  <c r="J34" i="32"/>
  <c r="J5" i="32"/>
  <c r="J27" i="32"/>
  <c r="J23" i="32"/>
  <c r="J49" i="32"/>
  <c r="J13" i="32"/>
  <c r="J17" i="32"/>
  <c r="J33" i="32"/>
  <c r="J14" i="32"/>
  <c r="J32" i="32"/>
  <c r="AD54" i="31"/>
  <c r="AD27" i="31"/>
  <c r="AD19" i="31"/>
  <c r="AD16" i="31"/>
  <c r="AD53" i="31"/>
  <c r="AD36" i="31"/>
  <c r="AD69" i="31"/>
  <c r="AD34" i="31"/>
  <c r="AD7" i="31"/>
  <c r="AD48" i="31"/>
  <c r="AD30" i="31"/>
  <c r="AD21" i="31"/>
  <c r="AD46" i="31"/>
  <c r="AD45" i="31"/>
  <c r="AD12" i="31"/>
  <c r="AD37" i="31"/>
  <c r="AD35" i="31"/>
  <c r="AD68" i="31"/>
  <c r="AD56" i="31"/>
  <c r="AD49" i="31"/>
  <c r="AD17" i="31"/>
  <c r="AD13" i="31"/>
  <c r="AD24" i="31"/>
  <c r="AD5" i="31"/>
  <c r="AD51" i="31"/>
  <c r="AD32" i="31"/>
  <c r="AD52" i="31"/>
  <c r="AD63" i="31"/>
  <c r="AD4" i="31"/>
  <c r="AD42" i="31"/>
  <c r="AD6" i="31"/>
  <c r="AD62" i="31"/>
  <c r="AD47" i="31"/>
  <c r="AD61" i="31"/>
  <c r="AD38" i="31"/>
  <c r="AD65" i="31"/>
  <c r="AD9" i="31"/>
  <c r="AD15" i="31"/>
  <c r="AD58" i="31"/>
  <c r="AD39" i="31"/>
  <c r="AD3" i="31"/>
  <c r="AD33" i="31"/>
  <c r="AD71" i="31"/>
  <c r="AD18" i="31"/>
  <c r="AD57" i="31"/>
  <c r="AD22" i="31"/>
  <c r="AD31" i="31"/>
  <c r="AD44" i="31"/>
  <c r="AD40" i="31"/>
  <c r="AD14" i="31"/>
  <c r="AD43" i="31"/>
  <c r="AD67" i="31"/>
  <c r="AD10" i="31"/>
  <c r="AD25" i="31"/>
  <c r="AD64" i="31"/>
  <c r="AD28" i="31"/>
  <c r="AD41" i="31"/>
  <c r="AD20" i="31"/>
  <c r="AD70" i="31"/>
  <c r="AD11" i="31"/>
  <c r="J46" i="32"/>
  <c r="J36" i="32"/>
  <c r="J31" i="32"/>
  <c r="J35" i="32"/>
  <c r="J11" i="32"/>
  <c r="J26" i="32"/>
  <c r="J37" i="32"/>
  <c r="AK4" i="28"/>
  <c r="X51" i="32" l="1"/>
  <c r="AS36" i="32" s="1"/>
  <c r="S46" i="32" s="1"/>
  <c r="AF14" i="29"/>
  <c r="AG44" i="28"/>
  <c r="AS10" i="28"/>
  <c r="AQ28" i="27"/>
  <c r="AO27" i="27"/>
  <c r="AW10" i="30"/>
  <c r="AO20" i="28"/>
  <c r="AN20" i="28" s="1"/>
  <c r="AO26" i="28"/>
  <c r="AN26" i="28" s="1"/>
  <c r="AO23" i="28"/>
  <c r="AN23" i="28" s="1"/>
  <c r="AO36" i="28"/>
  <c r="AN36" i="28" s="1"/>
  <c r="AO21" i="28"/>
  <c r="AN21" i="28" s="1"/>
  <c r="AO22" i="28"/>
  <c r="AN22" i="28" s="1"/>
  <c r="AO17" i="28"/>
  <c r="AN17" i="28" s="1"/>
  <c r="AO7" i="28"/>
  <c r="AO34" i="28"/>
  <c r="AN34" i="28" s="1"/>
  <c r="AN38" i="32"/>
  <c r="CM42" i="28"/>
  <c r="CM41" i="28"/>
  <c r="CM40" i="28"/>
  <c r="CM39" i="28"/>
  <c r="CM38" i="28"/>
  <c r="CM37" i="28"/>
  <c r="CM36" i="28"/>
  <c r="CM35" i="28"/>
  <c r="CM34" i="28"/>
  <c r="CM33" i="28"/>
  <c r="CM32" i="28"/>
  <c r="CM31" i="28"/>
  <c r="CM30" i="28"/>
  <c r="CM29" i="28"/>
  <c r="CM28" i="28"/>
  <c r="CM26" i="28"/>
  <c r="CM25" i="28"/>
  <c r="CM24" i="28"/>
  <c r="CM23" i="28"/>
  <c r="CM22" i="28"/>
  <c r="CM21" i="28"/>
  <c r="CM20" i="28"/>
  <c r="CM19" i="28"/>
  <c r="CM18" i="28"/>
  <c r="CM17" i="28"/>
  <c r="CM15" i="28"/>
  <c r="CM14" i="28"/>
  <c r="CM13" i="28"/>
  <c r="CM12" i="28"/>
  <c r="CM11" i="28"/>
  <c r="CM10" i="28"/>
  <c r="CM9" i="28"/>
  <c r="CM8" i="28"/>
  <c r="CM6" i="28"/>
  <c r="CM5" i="28"/>
  <c r="CM4" i="28"/>
  <c r="CM3" i="28"/>
  <c r="AS44" i="28" l="1"/>
  <c r="AS45" i="28" s="1"/>
  <c r="S48" i="32"/>
  <c r="S3" i="32"/>
  <c r="S47" i="32"/>
  <c r="S36" i="32"/>
  <c r="S26" i="32"/>
  <c r="S4" i="32"/>
  <c r="S29" i="32"/>
  <c r="AO43" i="28"/>
  <c r="AN7" i="28"/>
  <c r="AN43" i="28" s="1"/>
  <c r="AW5" i="30"/>
  <c r="CM45" i="28"/>
  <c r="AN46" i="32"/>
  <c r="Z46" i="32" s="1"/>
  <c r="AN36" i="32"/>
  <c r="Z36" i="32" s="1"/>
  <c r="AN29" i="32"/>
  <c r="AN4" i="32"/>
  <c r="AN35" i="32"/>
  <c r="Z35" i="32" s="1"/>
  <c r="AN3" i="32"/>
  <c r="AN37" i="32"/>
  <c r="CM44" i="28"/>
  <c r="CX26" i="27"/>
  <c r="CX25" i="27"/>
  <c r="CX24" i="27"/>
  <c r="CX23" i="27"/>
  <c r="CX22" i="27"/>
  <c r="CX21" i="27"/>
  <c r="CX20" i="27"/>
  <c r="CX19" i="27"/>
  <c r="CX18" i="27"/>
  <c r="CX17" i="27"/>
  <c r="CX16" i="27"/>
  <c r="CX14" i="27"/>
  <c r="CX12" i="27"/>
  <c r="CX11" i="27"/>
  <c r="CX10" i="27"/>
  <c r="CX9" i="27"/>
  <c r="CX8" i="27"/>
  <c r="CX6" i="27"/>
  <c r="CX5" i="27"/>
  <c r="CX4" i="27"/>
  <c r="CX3" i="27"/>
  <c r="BY26" i="27"/>
  <c r="BY25" i="27"/>
  <c r="BY24" i="27"/>
  <c r="BY23" i="27"/>
  <c r="BY22" i="27"/>
  <c r="BY21" i="27"/>
  <c r="BY20" i="27"/>
  <c r="BY19" i="27"/>
  <c r="BY18" i="27"/>
  <c r="BY17" i="27"/>
  <c r="BY16" i="27"/>
  <c r="BY14" i="27"/>
  <c r="BY12" i="27"/>
  <c r="BY11" i="27"/>
  <c r="BY10" i="27"/>
  <c r="BY9" i="27"/>
  <c r="BY8" i="27"/>
  <c r="BY6" i="27"/>
  <c r="BY5" i="27"/>
  <c r="BY4" i="27"/>
  <c r="BY3" i="27"/>
  <c r="AT20" i="28" l="1"/>
  <c r="AT33" i="28"/>
  <c r="AT11" i="28"/>
  <c r="AT23" i="28"/>
  <c r="AT19" i="28"/>
  <c r="AT21" i="28"/>
  <c r="AT26" i="28"/>
  <c r="AT34" i="28"/>
  <c r="AT17" i="28"/>
  <c r="AT22" i="28"/>
  <c r="AT36" i="28"/>
  <c r="AT3" i="28"/>
  <c r="AT44" i="28" s="1"/>
  <c r="AT10" i="28"/>
  <c r="S51" i="32"/>
  <c r="CO15" i="28"/>
  <c r="AB15" i="28" s="1"/>
  <c r="CO3" i="28"/>
  <c r="AB3" i="28" s="1"/>
  <c r="CO5" i="28"/>
  <c r="AB5" i="28" s="1"/>
  <c r="CO8" i="28"/>
  <c r="AB8" i="28" s="1"/>
  <c r="CO36" i="28"/>
  <c r="AB36" i="28" s="1"/>
  <c r="CO40" i="28"/>
  <c r="AB40" i="28" s="1"/>
  <c r="CO31" i="28"/>
  <c r="AB31" i="28" s="1"/>
  <c r="CO39" i="28"/>
  <c r="AB39" i="28" s="1"/>
  <c r="CO30" i="28"/>
  <c r="AB30" i="28" s="1"/>
  <c r="CO19" i="28"/>
  <c r="AB19" i="28" s="1"/>
  <c r="CO12" i="28"/>
  <c r="AB12" i="28" s="1"/>
  <c r="CO33" i="28"/>
  <c r="AB33" i="28" s="1"/>
  <c r="CO28" i="28"/>
  <c r="AB28" i="28" s="1"/>
  <c r="CO6" i="28"/>
  <c r="AB6" i="28" s="1"/>
  <c r="CO25" i="28"/>
  <c r="AB25" i="28" s="1"/>
  <c r="CO37" i="28"/>
  <c r="AB37" i="28" s="1"/>
  <c r="CO22" i="28"/>
  <c r="AB22" i="28" s="1"/>
  <c r="CO10" i="28"/>
  <c r="AB10" i="28" s="1"/>
  <c r="CO14" i="28"/>
  <c r="AB14" i="28" s="1"/>
  <c r="CO42" i="28"/>
  <c r="AB42" i="28" s="1"/>
  <c r="CO18" i="28"/>
  <c r="AB18" i="28" s="1"/>
  <c r="CO35" i="28"/>
  <c r="AB35" i="28" s="1"/>
  <c r="CO26" i="28"/>
  <c r="AB26" i="28" s="1"/>
  <c r="CO9" i="28"/>
  <c r="AB9" i="28" s="1"/>
  <c r="CO13" i="28"/>
  <c r="AB13" i="28" s="1"/>
  <c r="CO41" i="28"/>
  <c r="AB41" i="28" s="1"/>
  <c r="CO32" i="28"/>
  <c r="AB32" i="28" s="1"/>
  <c r="CO21" i="28"/>
  <c r="AB21" i="28" s="1"/>
  <c r="CO23" i="28"/>
  <c r="AB23" i="28" s="1"/>
  <c r="CO4" i="28"/>
  <c r="AB4" i="28" s="1"/>
  <c r="CO24" i="28"/>
  <c r="AB24" i="28" s="1"/>
  <c r="CO34" i="28"/>
  <c r="AB34" i="28" s="1"/>
  <c r="CO29" i="28"/>
  <c r="AB29" i="28" s="1"/>
  <c r="CO38" i="28"/>
  <c r="AB38" i="28" s="1"/>
  <c r="CO11" i="28"/>
  <c r="AB11" i="28" s="1"/>
  <c r="CO7" i="28"/>
  <c r="AB7" i="28" s="1"/>
  <c r="CO17" i="28"/>
  <c r="AB17" i="28" s="1"/>
  <c r="CO20" i="28"/>
  <c r="AB20" i="28" s="1"/>
  <c r="CX28" i="27"/>
  <c r="CX29" i="27"/>
  <c r="BY29" i="27"/>
  <c r="BY28" i="27"/>
  <c r="Q7" i="33"/>
  <c r="G11" i="33"/>
  <c r="CO50" i="32"/>
  <c r="DA73" i="31"/>
  <c r="CA13" i="30"/>
  <c r="CE14" i="29"/>
  <c r="BZ43" i="28"/>
  <c r="CD27" i="27"/>
  <c r="AR3" i="28" l="1"/>
  <c r="G6" i="33"/>
  <c r="G7" i="33"/>
  <c r="W7" i="33" s="1"/>
  <c r="G8" i="33"/>
  <c r="G9" i="33"/>
  <c r="G10" i="33"/>
  <c r="Q8" i="33"/>
  <c r="Q9" i="33"/>
  <c r="Q10" i="33"/>
  <c r="Q11" i="33"/>
  <c r="W11" i="33" s="1"/>
  <c r="Q6" i="33"/>
  <c r="DA23" i="27"/>
  <c r="DA18" i="27"/>
  <c r="DA12" i="27"/>
  <c r="DA5" i="27"/>
  <c r="DA22" i="27"/>
  <c r="DA11" i="27"/>
  <c r="DA4" i="27"/>
  <c r="DA21" i="27"/>
  <c r="DA8" i="27"/>
  <c r="DA16" i="27"/>
  <c r="DA24" i="27"/>
  <c r="DA17" i="27"/>
  <c r="DA9" i="27"/>
  <c r="DA19" i="27"/>
  <c r="DA10" i="27"/>
  <c r="DA25" i="27"/>
  <c r="DA14" i="27"/>
  <c r="DA3" i="27"/>
  <c r="DA20" i="27"/>
  <c r="DA6" i="27"/>
  <c r="DA26" i="27"/>
  <c r="CB8" i="27"/>
  <c r="CB24" i="27"/>
  <c r="CB23" i="27"/>
  <c r="CB19" i="27"/>
  <c r="CB16" i="27"/>
  <c r="CB12" i="27"/>
  <c r="CB9" i="27"/>
  <c r="CB21" i="27"/>
  <c r="CB18" i="27"/>
  <c r="CB26" i="27"/>
  <c r="CB3" i="27"/>
  <c r="CB22" i="27"/>
  <c r="CB11" i="27"/>
  <c r="CB4" i="27"/>
  <c r="CB25" i="27"/>
  <c r="CB14" i="27"/>
  <c r="CB17" i="27"/>
  <c r="CB5" i="27"/>
  <c r="CB20" i="27"/>
  <c r="CB6" i="27"/>
  <c r="CB10" i="27"/>
  <c r="W8" i="33" l="1"/>
  <c r="AA21" i="27"/>
  <c r="AA17" i="27"/>
  <c r="AA14" i="27"/>
  <c r="AA24" i="27"/>
  <c r="AA6" i="27"/>
  <c r="AA26" i="27"/>
  <c r="AA19" i="27"/>
  <c r="G12" i="33"/>
  <c r="AA25" i="27"/>
  <c r="AA20" i="27"/>
  <c r="AA4" i="27"/>
  <c r="AA16" i="27"/>
  <c r="AA11" i="27"/>
  <c r="AA18" i="27"/>
  <c r="AA23" i="27"/>
  <c r="W10" i="33"/>
  <c r="W9" i="33"/>
  <c r="W6" i="33"/>
  <c r="Q12" i="33"/>
  <c r="AA5" i="27"/>
  <c r="AA22" i="27"/>
  <c r="AA3" i="27"/>
  <c r="AA9" i="27"/>
  <c r="AA8" i="27"/>
  <c r="AA10" i="27"/>
  <c r="AA12" i="27"/>
  <c r="CA13" i="29"/>
  <c r="CA12" i="29"/>
  <c r="CA11" i="29"/>
  <c r="CA10" i="29"/>
  <c r="CA9" i="29"/>
  <c r="CA8" i="29"/>
  <c r="CA7" i="29"/>
  <c r="CA6" i="29"/>
  <c r="CA5" i="29"/>
  <c r="CA4" i="29"/>
  <c r="CA3" i="29"/>
  <c r="CA16" i="29" l="1"/>
  <c r="CA17" i="29"/>
  <c r="W12" i="33"/>
  <c r="C16" i="33"/>
  <c r="F14" i="33" s="1"/>
  <c r="CC9" i="29" l="1"/>
  <c r="X9" i="29" s="1"/>
  <c r="CC4" i="29"/>
  <c r="X4" i="29" s="1"/>
  <c r="CC13" i="29"/>
  <c r="X13" i="29" s="1"/>
  <c r="CC10" i="29"/>
  <c r="X10" i="29" s="1"/>
  <c r="CC8" i="29"/>
  <c r="CC7" i="29"/>
  <c r="CC11" i="29"/>
  <c r="CC6" i="29"/>
  <c r="CC5" i="29"/>
  <c r="CC3" i="29"/>
  <c r="CC12" i="29"/>
  <c r="F15" i="33"/>
  <c r="AU4" i="27"/>
  <c r="AU11" i="27"/>
  <c r="AU18" i="27"/>
  <c r="AU23" i="27"/>
  <c r="AU3" i="27"/>
  <c r="AW50" i="32"/>
  <c r="AX49" i="32"/>
  <c r="AX48" i="32"/>
  <c r="AX47" i="32"/>
  <c r="AX46" i="32"/>
  <c r="AX45" i="32"/>
  <c r="AX43" i="32"/>
  <c r="AX39" i="32"/>
  <c r="AX38" i="32"/>
  <c r="AX37" i="32"/>
  <c r="AX36" i="32"/>
  <c r="AX35" i="32"/>
  <c r="AX34" i="32"/>
  <c r="AX33" i="32"/>
  <c r="AX32" i="32"/>
  <c r="AX31" i="32"/>
  <c r="AX29" i="32"/>
  <c r="AX28" i="32"/>
  <c r="AX27" i="32"/>
  <c r="AX26" i="32"/>
  <c r="AX23" i="32"/>
  <c r="AX22" i="32"/>
  <c r="AX17" i="32"/>
  <c r="AX14" i="32"/>
  <c r="AX13" i="32"/>
  <c r="AX11" i="32"/>
  <c r="AX10" i="32"/>
  <c r="AX8" i="32"/>
  <c r="AX5" i="32"/>
  <c r="AX4" i="32"/>
  <c r="AX3" i="32"/>
  <c r="BG73" i="31"/>
  <c r="BH65" i="31"/>
  <c r="BH64" i="31"/>
  <c r="BH63" i="31"/>
  <c r="BH62" i="31"/>
  <c r="BH61" i="31"/>
  <c r="BH60" i="31"/>
  <c r="BH59" i="31"/>
  <c r="BH58" i="31"/>
  <c r="BH57" i="31"/>
  <c r="BH56" i="31"/>
  <c r="BH55" i="31"/>
  <c r="BH54" i="31"/>
  <c r="BH53" i="31"/>
  <c r="BH52" i="31"/>
  <c r="BH51" i="31"/>
  <c r="BH50" i="31"/>
  <c r="BH49" i="31"/>
  <c r="BH48" i="31"/>
  <c r="BH47" i="31"/>
  <c r="BH46" i="31"/>
  <c r="BH45" i="31"/>
  <c r="BH44" i="31"/>
  <c r="BH43" i="31"/>
  <c r="BH42" i="31"/>
  <c r="BH41" i="31"/>
  <c r="BH40" i="31"/>
  <c r="BH39" i="31"/>
  <c r="BH38" i="31"/>
  <c r="BH37" i="31"/>
  <c r="BH36" i="31"/>
  <c r="BH35" i="31"/>
  <c r="BH34" i="31"/>
  <c r="BH33" i="31"/>
  <c r="BH32" i="31"/>
  <c r="BH31" i="31"/>
  <c r="BH30" i="31"/>
  <c r="BH28" i="31"/>
  <c r="BH27" i="31"/>
  <c r="BH25" i="31"/>
  <c r="BH24" i="31"/>
  <c r="BH23" i="31"/>
  <c r="BH22" i="31"/>
  <c r="BH21" i="31"/>
  <c r="BH20" i="31"/>
  <c r="BH19" i="31"/>
  <c r="BH18" i="31"/>
  <c r="BH17" i="31"/>
  <c r="BH16" i="31"/>
  <c r="BH15" i="31"/>
  <c r="BH14" i="31"/>
  <c r="BH13" i="31"/>
  <c r="BH12" i="31"/>
  <c r="BH11" i="31"/>
  <c r="BH10" i="31"/>
  <c r="BH9" i="31"/>
  <c r="BH7" i="31"/>
  <c r="BH6" i="31"/>
  <c r="BH5" i="31"/>
  <c r="BH4" i="31"/>
  <c r="BH3" i="31"/>
  <c r="BF13" i="30"/>
  <c r="BG12" i="30"/>
  <c r="BG11" i="30"/>
  <c r="BG10" i="30"/>
  <c r="BG6" i="30"/>
  <c r="BG5" i="30"/>
  <c r="BG4" i="30"/>
  <c r="BJ14" i="29"/>
  <c r="BK13" i="29"/>
  <c r="BK12" i="29"/>
  <c r="BK11" i="29"/>
  <c r="BK10" i="29"/>
  <c r="BK9" i="29"/>
  <c r="BK8" i="29"/>
  <c r="BK7" i="29"/>
  <c r="BK6" i="29"/>
  <c r="BK5" i="29"/>
  <c r="BK4" i="29"/>
  <c r="BK3" i="29"/>
  <c r="U4" i="29" l="1"/>
  <c r="U9" i="29"/>
  <c r="U10" i="29"/>
  <c r="U13" i="29"/>
  <c r="X11" i="29"/>
  <c r="U11" i="29"/>
  <c r="X12" i="29"/>
  <c r="U12" i="29"/>
  <c r="X7" i="29"/>
  <c r="U7" i="29"/>
  <c r="X3" i="29"/>
  <c r="U3" i="29"/>
  <c r="X8" i="29"/>
  <c r="U8" i="29"/>
  <c r="X5" i="29"/>
  <c r="U5" i="29"/>
  <c r="U6" i="29"/>
  <c r="X6" i="29"/>
  <c r="AU27" i="27"/>
  <c r="CP42" i="28"/>
  <c r="CP41" i="28"/>
  <c r="CP40" i="28"/>
  <c r="CP39" i="28"/>
  <c r="CP38" i="28"/>
  <c r="CP37" i="28"/>
  <c r="CP36" i="28"/>
  <c r="CP35" i="28"/>
  <c r="CP34" i="28"/>
  <c r="CP33" i="28"/>
  <c r="CP32" i="28"/>
  <c r="CP31" i="28"/>
  <c r="CP30" i="28"/>
  <c r="CP29" i="28"/>
  <c r="CP28" i="28"/>
  <c r="CP26" i="28"/>
  <c r="CP25" i="28"/>
  <c r="CP24" i="28"/>
  <c r="CP23" i="28"/>
  <c r="CP22" i="28"/>
  <c r="CP21" i="28"/>
  <c r="CP20" i="28"/>
  <c r="CP19" i="28"/>
  <c r="CP18" i="28"/>
  <c r="CP17" i="28"/>
  <c r="CP15" i="28"/>
  <c r="CP14" i="28"/>
  <c r="CP13" i="28"/>
  <c r="CP12" i="28"/>
  <c r="CP11" i="28"/>
  <c r="CP10" i="28"/>
  <c r="CP9" i="28"/>
  <c r="CP8" i="28"/>
  <c r="CP7" i="28"/>
  <c r="CP6" i="28"/>
  <c r="CP5" i="28"/>
  <c r="CP4" i="28"/>
  <c r="CP3" i="28"/>
  <c r="BE43" i="28"/>
  <c r="BF42" i="28"/>
  <c r="BF41" i="28"/>
  <c r="BF40" i="28"/>
  <c r="BF39" i="28"/>
  <c r="BF38" i="28"/>
  <c r="BF37" i="28"/>
  <c r="BF36" i="28"/>
  <c r="BF35" i="28"/>
  <c r="BF34" i="28"/>
  <c r="BF33" i="28"/>
  <c r="BF32" i="28"/>
  <c r="BF31" i="28"/>
  <c r="BF30" i="28"/>
  <c r="BF29" i="28"/>
  <c r="BF28" i="28"/>
  <c r="BF26" i="28"/>
  <c r="BF25" i="28"/>
  <c r="BF24" i="28"/>
  <c r="BF23" i="28"/>
  <c r="BF22" i="28"/>
  <c r="BF21" i="28"/>
  <c r="BF20" i="28"/>
  <c r="BF19" i="28"/>
  <c r="BF18" i="28"/>
  <c r="BF17" i="28"/>
  <c r="BF15" i="28"/>
  <c r="BF14" i="28"/>
  <c r="BF13" i="28"/>
  <c r="BF12" i="28"/>
  <c r="BF11" i="28"/>
  <c r="BF10" i="28"/>
  <c r="BF9" i="28"/>
  <c r="BF8" i="28"/>
  <c r="BF7" i="28"/>
  <c r="BF6" i="28"/>
  <c r="BF5" i="28"/>
  <c r="BF4" i="28"/>
  <c r="BF3" i="28"/>
  <c r="BL27" i="27"/>
  <c r="BM26" i="27"/>
  <c r="BM25" i="27"/>
  <c r="BM24" i="27"/>
  <c r="BM23" i="27"/>
  <c r="BM22" i="27"/>
  <c r="BM21" i="27"/>
  <c r="BM20" i="27"/>
  <c r="BM19" i="27"/>
  <c r="BM18" i="27"/>
  <c r="BM17" i="27"/>
  <c r="BM16" i="27"/>
  <c r="BM14" i="27"/>
  <c r="BM12" i="27"/>
  <c r="BM11" i="27"/>
  <c r="BM10" i="27"/>
  <c r="BM9" i="27"/>
  <c r="BM8" i="27"/>
  <c r="BM6" i="27"/>
  <c r="BM5" i="27"/>
  <c r="BM4" i="27"/>
  <c r="BM3" i="27"/>
  <c r="BG2" i="29" l="1"/>
  <c r="BF43" i="28"/>
  <c r="CZ49" i="32"/>
  <c r="CZ48" i="32"/>
  <c r="CZ47" i="32"/>
  <c r="CZ46" i="32"/>
  <c r="CZ45" i="32"/>
  <c r="CZ43" i="32"/>
  <c r="CZ39" i="32"/>
  <c r="CZ38" i="32"/>
  <c r="CZ37" i="32"/>
  <c r="CZ36" i="32"/>
  <c r="CZ35" i="32"/>
  <c r="CZ34" i="32"/>
  <c r="CZ33" i="32"/>
  <c r="CZ32" i="32"/>
  <c r="CZ31" i="32"/>
  <c r="CZ29" i="32"/>
  <c r="CZ28" i="32"/>
  <c r="CZ27" i="32"/>
  <c r="CZ26" i="32"/>
  <c r="CZ23" i="32"/>
  <c r="CZ22" i="32"/>
  <c r="CZ17" i="32"/>
  <c r="CZ14" i="32"/>
  <c r="CZ13" i="32"/>
  <c r="CZ11" i="32"/>
  <c r="CZ10" i="32"/>
  <c r="CZ8" i="32"/>
  <c r="CZ5" i="32"/>
  <c r="CZ4" i="32"/>
  <c r="CZ3" i="32"/>
  <c r="CN50" i="32"/>
  <c r="CJ49" i="32"/>
  <c r="CJ48" i="32"/>
  <c r="CJ47" i="32"/>
  <c r="CJ46" i="32"/>
  <c r="CJ45" i="32"/>
  <c r="CJ43" i="32"/>
  <c r="CJ39" i="32"/>
  <c r="CJ38" i="32"/>
  <c r="CJ37" i="32"/>
  <c r="CJ36" i="32"/>
  <c r="CJ35" i="32"/>
  <c r="CJ34" i="32"/>
  <c r="CJ33" i="32"/>
  <c r="CJ32" i="32"/>
  <c r="CJ31" i="32"/>
  <c r="CJ29" i="32"/>
  <c r="CJ28" i="32"/>
  <c r="CJ27" i="32"/>
  <c r="CJ26" i="32"/>
  <c r="CJ23" i="32"/>
  <c r="CJ22" i="32"/>
  <c r="CJ17" i="32"/>
  <c r="CJ14" i="32"/>
  <c r="CJ13" i="32"/>
  <c r="CJ11" i="32"/>
  <c r="CJ10" i="32"/>
  <c r="CJ8" i="32"/>
  <c r="CJ5" i="32"/>
  <c r="CJ4" i="32"/>
  <c r="CJ3" i="32"/>
  <c r="BS50" i="32"/>
  <c r="BO49" i="32"/>
  <c r="BO48" i="32"/>
  <c r="BO47" i="32"/>
  <c r="BO46" i="32"/>
  <c r="BO45" i="32"/>
  <c r="BO43" i="32"/>
  <c r="BO39" i="32"/>
  <c r="BO38" i="32"/>
  <c r="BO37" i="32"/>
  <c r="BO36" i="32"/>
  <c r="BO35" i="32"/>
  <c r="BO34" i="32"/>
  <c r="BO33" i="32"/>
  <c r="BO32" i="32"/>
  <c r="BO31" i="32"/>
  <c r="BO29" i="32"/>
  <c r="BO28" i="32"/>
  <c r="BO27" i="32"/>
  <c r="BO26" i="32"/>
  <c r="BO23" i="32"/>
  <c r="BO22" i="32"/>
  <c r="BO17" i="32"/>
  <c r="BO14" i="32"/>
  <c r="BO13" i="32"/>
  <c r="BO11" i="32"/>
  <c r="BO10" i="32"/>
  <c r="BO8" i="32"/>
  <c r="BO5" i="32"/>
  <c r="BO4" i="32"/>
  <c r="BO3" i="32"/>
  <c r="AV50" i="32"/>
  <c r="CD73" i="31"/>
  <c r="CV72" i="31"/>
  <c r="CV71" i="31"/>
  <c r="CV70" i="31"/>
  <c r="CV69" i="31"/>
  <c r="CV68" i="31"/>
  <c r="CV67" i="31"/>
  <c r="CV65" i="31"/>
  <c r="CV64" i="31"/>
  <c r="CV63" i="31"/>
  <c r="CV62" i="31"/>
  <c r="CV61" i="31"/>
  <c r="CV60" i="31"/>
  <c r="CV59" i="31"/>
  <c r="CV58" i="31"/>
  <c r="CV57" i="31"/>
  <c r="CV56" i="31"/>
  <c r="CV55" i="31"/>
  <c r="CV54" i="31"/>
  <c r="CV53" i="31"/>
  <c r="CV52" i="31"/>
  <c r="CV51" i="31"/>
  <c r="CV50" i="31"/>
  <c r="CV49" i="31"/>
  <c r="CV48" i="31"/>
  <c r="CV47" i="31"/>
  <c r="CV46" i="31"/>
  <c r="CV45" i="31"/>
  <c r="CV44" i="31"/>
  <c r="CV43" i="31"/>
  <c r="CV42" i="31"/>
  <c r="CV41" i="31"/>
  <c r="CV40" i="31"/>
  <c r="CV39" i="31"/>
  <c r="CV38" i="31"/>
  <c r="CV37" i="31"/>
  <c r="CV36" i="31"/>
  <c r="CV35" i="31"/>
  <c r="CV34" i="31"/>
  <c r="CV33" i="31"/>
  <c r="CV32" i="31"/>
  <c r="CV31" i="31"/>
  <c r="CV30" i="31"/>
  <c r="CV28" i="31"/>
  <c r="CV27" i="31"/>
  <c r="CV25" i="31"/>
  <c r="CV24" i="31"/>
  <c r="CV23" i="31"/>
  <c r="CV22" i="31"/>
  <c r="CV21" i="31"/>
  <c r="CV20" i="31"/>
  <c r="CV19" i="31"/>
  <c r="CV18" i="31"/>
  <c r="CV17" i="31"/>
  <c r="CV16" i="31"/>
  <c r="CV15" i="31"/>
  <c r="CV14" i="31"/>
  <c r="CV13" i="31"/>
  <c r="CV12" i="31"/>
  <c r="CV11" i="31"/>
  <c r="CV10" i="31"/>
  <c r="CV9" i="31"/>
  <c r="CV7" i="31"/>
  <c r="CV6" i="31"/>
  <c r="CV5" i="31"/>
  <c r="CV4" i="31"/>
  <c r="CV3" i="31"/>
  <c r="DM72" i="31"/>
  <c r="DM71" i="31"/>
  <c r="DM70" i="31"/>
  <c r="DM69" i="31"/>
  <c r="DM68" i="31"/>
  <c r="DM67" i="31"/>
  <c r="DM65" i="31"/>
  <c r="DM64" i="31"/>
  <c r="DM63" i="31"/>
  <c r="DM62" i="31"/>
  <c r="DM61" i="31"/>
  <c r="DM60" i="31"/>
  <c r="DM59" i="31"/>
  <c r="DM58" i="31"/>
  <c r="DM57" i="31"/>
  <c r="DM56" i="31"/>
  <c r="DM55" i="31"/>
  <c r="DM54" i="31"/>
  <c r="DM53" i="31"/>
  <c r="DM52" i="31"/>
  <c r="DM51" i="31"/>
  <c r="DM50" i="31"/>
  <c r="DM49" i="31"/>
  <c r="DM48" i="31"/>
  <c r="DM47" i="31"/>
  <c r="DM46" i="31"/>
  <c r="DM45" i="31"/>
  <c r="DM44" i="31"/>
  <c r="DM43" i="31"/>
  <c r="DM42" i="31"/>
  <c r="DM41" i="31"/>
  <c r="DM40" i="31"/>
  <c r="DM39" i="31"/>
  <c r="DM38" i="31"/>
  <c r="DM37" i="31"/>
  <c r="DM36" i="31"/>
  <c r="DM35" i="31"/>
  <c r="DM34" i="31"/>
  <c r="DM33" i="31"/>
  <c r="DM32" i="31"/>
  <c r="DM31" i="31"/>
  <c r="DM30" i="31"/>
  <c r="DM28" i="31"/>
  <c r="DM27" i="31"/>
  <c r="DM25" i="31"/>
  <c r="DM24" i="31"/>
  <c r="DM23" i="31"/>
  <c r="DM22" i="31"/>
  <c r="DM21" i="31"/>
  <c r="DM20" i="31"/>
  <c r="DM19" i="31"/>
  <c r="DM18" i="31"/>
  <c r="DM17" i="31"/>
  <c r="DM16" i="31"/>
  <c r="DM15" i="31"/>
  <c r="DM14" i="31"/>
  <c r="DM13" i="31"/>
  <c r="DM12" i="31"/>
  <c r="DM11" i="31"/>
  <c r="DM10" i="31"/>
  <c r="DM9" i="31"/>
  <c r="DM7" i="31"/>
  <c r="DM6" i="31"/>
  <c r="DM5" i="31"/>
  <c r="DM4" i="31"/>
  <c r="DM3" i="31"/>
  <c r="CZ73" i="31"/>
  <c r="BL72" i="31"/>
  <c r="BL71" i="31"/>
  <c r="BL70" i="31"/>
  <c r="BL69" i="31"/>
  <c r="BL68" i="31"/>
  <c r="BL67" i="31"/>
  <c r="BL65" i="31"/>
  <c r="BL64" i="31"/>
  <c r="BL63" i="31"/>
  <c r="BL62" i="31"/>
  <c r="BL61" i="31"/>
  <c r="BL60" i="31"/>
  <c r="BL59" i="31"/>
  <c r="BL58" i="31"/>
  <c r="BL57" i="31"/>
  <c r="BL56" i="31"/>
  <c r="BL55" i="31"/>
  <c r="BL54" i="31"/>
  <c r="BL53" i="31"/>
  <c r="BL52" i="31"/>
  <c r="BL51" i="31"/>
  <c r="BL50" i="31"/>
  <c r="BL49" i="31"/>
  <c r="BL48" i="31"/>
  <c r="BL47" i="31"/>
  <c r="BL46" i="31"/>
  <c r="BL45" i="31"/>
  <c r="BL44" i="31"/>
  <c r="BL43" i="31"/>
  <c r="BL42" i="31"/>
  <c r="BL41" i="31"/>
  <c r="BL40" i="31"/>
  <c r="BL39" i="31"/>
  <c r="BL38" i="31"/>
  <c r="BL37" i="31"/>
  <c r="BL36" i="31"/>
  <c r="BL35" i="31"/>
  <c r="BL34" i="31"/>
  <c r="BL33" i="31"/>
  <c r="BL32" i="31"/>
  <c r="BL31" i="31"/>
  <c r="BL30" i="31"/>
  <c r="BL28" i="31"/>
  <c r="BL27" i="31"/>
  <c r="BL25" i="31"/>
  <c r="BL24" i="31"/>
  <c r="BL23" i="31"/>
  <c r="BL22" i="31"/>
  <c r="BL21" i="31"/>
  <c r="BL20" i="31"/>
  <c r="BL19" i="31"/>
  <c r="BL18" i="31"/>
  <c r="BL17" i="31"/>
  <c r="BL16" i="31"/>
  <c r="BL15" i="31"/>
  <c r="BL14" i="31"/>
  <c r="BL13" i="31"/>
  <c r="BL12" i="31"/>
  <c r="BL11" i="31"/>
  <c r="BL10" i="31"/>
  <c r="BL9" i="31"/>
  <c r="BL7" i="31"/>
  <c r="BL6" i="31"/>
  <c r="BL5" i="31"/>
  <c r="BL4" i="31"/>
  <c r="BL3" i="31"/>
  <c r="BF73" i="31"/>
  <c r="BZ13" i="30"/>
  <c r="CM12" i="30"/>
  <c r="CM11" i="30"/>
  <c r="CM10" i="30"/>
  <c r="CM6" i="30"/>
  <c r="CM5" i="30"/>
  <c r="CM4" i="30"/>
  <c r="BE13" i="30"/>
  <c r="BF14" i="30" s="1"/>
  <c r="BV12" i="30"/>
  <c r="BV11" i="30"/>
  <c r="BV10" i="30"/>
  <c r="BV6" i="30"/>
  <c r="BV5" i="30"/>
  <c r="BV4" i="30"/>
  <c r="CD14" i="29"/>
  <c r="BI14" i="29"/>
  <c r="BJ15" i="29" s="1"/>
  <c r="CQ13" i="29"/>
  <c r="CQ12" i="29"/>
  <c r="CQ11" i="29"/>
  <c r="CQ10" i="29"/>
  <c r="CQ9" i="29"/>
  <c r="CQ8" i="29"/>
  <c r="CQ7" i="29"/>
  <c r="CQ6" i="29"/>
  <c r="CQ5" i="29"/>
  <c r="CQ4" i="29"/>
  <c r="CQ3" i="29"/>
  <c r="BZ13" i="29"/>
  <c r="BZ12" i="29"/>
  <c r="BZ11" i="29"/>
  <c r="BZ10" i="29"/>
  <c r="BZ9" i="29"/>
  <c r="BZ8" i="29"/>
  <c r="BZ7" i="29"/>
  <c r="BZ6" i="29"/>
  <c r="BZ5" i="29"/>
  <c r="BZ4" i="29"/>
  <c r="BZ3" i="29"/>
  <c r="CL42" i="28"/>
  <c r="CL41" i="28"/>
  <c r="CL40" i="28"/>
  <c r="CL39" i="28"/>
  <c r="CL38" i="28"/>
  <c r="CL37" i="28"/>
  <c r="CL36" i="28"/>
  <c r="CL35" i="28"/>
  <c r="CL34" i="28"/>
  <c r="CL33" i="28"/>
  <c r="CL32" i="28"/>
  <c r="CL31" i="28"/>
  <c r="CL30" i="28"/>
  <c r="CL29" i="28"/>
  <c r="CL28" i="28"/>
  <c r="CL26" i="28"/>
  <c r="CL25" i="28"/>
  <c r="CL24" i="28"/>
  <c r="CL23" i="28"/>
  <c r="CL22" i="28"/>
  <c r="CL21" i="28"/>
  <c r="CL20" i="28"/>
  <c r="CL19" i="28"/>
  <c r="CL18" i="28"/>
  <c r="CL17" i="28"/>
  <c r="CL15" i="28"/>
  <c r="CL14" i="28"/>
  <c r="CL13" i="28"/>
  <c r="CL12" i="28"/>
  <c r="CL11" i="28"/>
  <c r="CL10" i="28"/>
  <c r="CL9" i="28"/>
  <c r="CL8" i="28"/>
  <c r="CL7" i="28"/>
  <c r="CL6" i="28"/>
  <c r="CL5" i="28"/>
  <c r="CL4" i="28"/>
  <c r="CL3" i="28"/>
  <c r="BU42" i="28"/>
  <c r="BU41" i="28"/>
  <c r="BU40" i="28"/>
  <c r="BU39" i="28"/>
  <c r="BU38" i="28"/>
  <c r="BU37" i="28"/>
  <c r="BU36" i="28"/>
  <c r="BU35" i="28"/>
  <c r="BU34" i="28"/>
  <c r="BU33" i="28"/>
  <c r="BU32" i="28"/>
  <c r="BU31" i="28"/>
  <c r="BU30" i="28"/>
  <c r="BU29" i="28"/>
  <c r="BU28" i="28"/>
  <c r="BU26" i="28"/>
  <c r="BU25" i="28"/>
  <c r="BU24" i="28"/>
  <c r="BU23" i="28"/>
  <c r="BU22" i="28"/>
  <c r="BU21" i="28"/>
  <c r="BU20" i="28"/>
  <c r="BU19" i="28"/>
  <c r="BU18" i="28"/>
  <c r="BU17" i="28"/>
  <c r="BU15" i="28"/>
  <c r="BU14" i="28"/>
  <c r="BU13" i="28"/>
  <c r="BU12" i="28"/>
  <c r="BU11" i="28"/>
  <c r="BU10" i="28"/>
  <c r="BU9" i="28"/>
  <c r="BU8" i="28"/>
  <c r="BU7" i="28"/>
  <c r="BU6" i="28"/>
  <c r="BU5" i="28"/>
  <c r="BU4" i="28"/>
  <c r="BU3" i="28"/>
  <c r="BY43" i="28"/>
  <c r="BD43" i="28"/>
  <c r="BE44" i="28" s="1"/>
  <c r="CC27" i="27"/>
  <c r="BK27" i="27"/>
  <c r="CW26" i="27"/>
  <c r="CW25" i="27"/>
  <c r="CW24" i="27"/>
  <c r="CW23" i="27"/>
  <c r="CW22" i="27"/>
  <c r="CW21" i="27"/>
  <c r="CW20" i="27"/>
  <c r="CW19" i="27"/>
  <c r="CW18" i="27"/>
  <c r="CW17" i="27"/>
  <c r="CW16" i="27"/>
  <c r="CW14" i="27"/>
  <c r="CW12" i="27"/>
  <c r="CW11" i="27"/>
  <c r="CW10" i="27"/>
  <c r="CW9" i="27"/>
  <c r="CW8" i="27"/>
  <c r="CW6" i="27"/>
  <c r="CW5" i="27"/>
  <c r="CW4" i="27"/>
  <c r="CW3" i="27"/>
  <c r="BX26" i="27"/>
  <c r="BX25" i="27"/>
  <c r="BX24" i="27"/>
  <c r="BX23" i="27"/>
  <c r="BX22" i="27"/>
  <c r="BX21" i="27"/>
  <c r="BX20" i="27"/>
  <c r="BX19" i="27"/>
  <c r="BX18" i="27"/>
  <c r="BX17" i="27"/>
  <c r="BX16" i="27"/>
  <c r="BX14" i="27"/>
  <c r="BX12" i="27"/>
  <c r="BX11" i="27"/>
  <c r="BX10" i="27"/>
  <c r="BX9" i="27"/>
  <c r="BX8" i="27"/>
  <c r="BX6" i="27"/>
  <c r="BX5" i="27"/>
  <c r="BX4" i="27"/>
  <c r="BX3" i="27"/>
  <c r="CW29" i="27" l="1"/>
  <c r="AW3" i="29"/>
  <c r="AW4" i="29"/>
  <c r="BZ17" i="29"/>
  <c r="BZ16" i="29"/>
  <c r="AR3" i="29"/>
  <c r="AR4" i="29"/>
  <c r="AW5" i="29"/>
  <c r="AR5" i="29"/>
  <c r="BX29" i="27"/>
  <c r="BX28" i="27"/>
  <c r="CW28" i="27"/>
  <c r="CD74" i="31"/>
  <c r="BG74" i="31"/>
  <c r="BS51" i="32"/>
  <c r="AW51" i="32"/>
  <c r="BM28" i="27"/>
  <c r="BM27" i="27"/>
  <c r="BF2" i="29"/>
  <c r="B2" i="33"/>
  <c r="CZ11" i="27" l="1"/>
  <c r="CA8" i="27"/>
  <c r="CA9" i="27"/>
  <c r="CA14" i="27"/>
  <c r="CA22" i="27"/>
  <c r="CA10" i="27"/>
  <c r="CA16" i="27"/>
  <c r="CA6" i="27"/>
  <c r="CA11" i="27"/>
  <c r="CA23" i="27"/>
  <c r="CA25" i="27"/>
  <c r="CA18" i="27"/>
  <c r="CA4" i="27"/>
  <c r="CA3" i="27"/>
  <c r="CA20" i="27"/>
  <c r="CA24" i="27"/>
  <c r="CA12" i="27"/>
  <c r="CA26" i="27"/>
  <c r="CA19" i="27"/>
  <c r="CA5" i="27"/>
  <c r="CA17" i="27"/>
  <c r="CA21" i="27"/>
  <c r="CZ23" i="27"/>
  <c r="CZ4" i="27"/>
  <c r="CZ3" i="27"/>
  <c r="CZ5" i="27"/>
  <c r="CZ9" i="27"/>
  <c r="CZ20" i="27"/>
  <c r="CZ25" i="27"/>
  <c r="CZ12" i="27"/>
  <c r="CZ21" i="27"/>
  <c r="CZ24" i="27"/>
  <c r="CZ18" i="27"/>
  <c r="CZ14" i="27"/>
  <c r="CZ19" i="27"/>
  <c r="CZ16" i="27"/>
  <c r="CZ6" i="27"/>
  <c r="CZ17" i="27"/>
  <c r="CZ8" i="27"/>
  <c r="CZ26" i="27"/>
  <c r="CZ22" i="27"/>
  <c r="CZ10" i="27"/>
  <c r="AR26" i="28"/>
  <c r="AR22" i="28"/>
  <c r="AR21" i="28"/>
  <c r="AR20" i="28"/>
  <c r="AR17" i="28"/>
  <c r="AR10" i="28"/>
  <c r="AR11" i="28"/>
  <c r="AR34" i="28"/>
  <c r="AR33" i="28"/>
  <c r="M12" i="33"/>
  <c r="P11" i="33" s="1"/>
  <c r="C12" i="33"/>
  <c r="F11" i="33" s="1"/>
  <c r="C2" i="33"/>
  <c r="D2" i="33" s="1"/>
  <c r="W11" i="27" l="1"/>
  <c r="W17" i="27"/>
  <c r="W20" i="27"/>
  <c r="W8" i="27"/>
  <c r="W24" i="27"/>
  <c r="W12" i="27"/>
  <c r="W14" i="27"/>
  <c r="W23" i="27"/>
  <c r="W25" i="27"/>
  <c r="W5" i="27"/>
  <c r="W22" i="27"/>
  <c r="W19" i="27"/>
  <c r="W3" i="27"/>
  <c r="W9" i="27"/>
  <c r="W26" i="27"/>
  <c r="W4" i="27"/>
  <c r="W6" i="27"/>
  <c r="W21" i="27"/>
  <c r="W18" i="27"/>
  <c r="W16" i="27"/>
  <c r="W10" i="27"/>
  <c r="B4" i="33"/>
  <c r="AA15" i="33"/>
  <c r="AA14" i="33"/>
  <c r="V11" i="33"/>
  <c r="P6" i="33"/>
  <c r="F7" i="33"/>
  <c r="F8" i="33"/>
  <c r="F9" i="33"/>
  <c r="F6" i="33"/>
  <c r="P9" i="33"/>
  <c r="F10" i="33"/>
  <c r="P7" i="33"/>
  <c r="P10" i="33"/>
  <c r="P8" i="33"/>
  <c r="AD10" i="33" l="1"/>
  <c r="AD6" i="33"/>
  <c r="AD7" i="33"/>
  <c r="AD9" i="33"/>
  <c r="AD8" i="33"/>
  <c r="AD11" i="33"/>
  <c r="AC11" i="33"/>
  <c r="AC9" i="33"/>
  <c r="AC8" i="33"/>
  <c r="AC10" i="33"/>
  <c r="AC7" i="33"/>
  <c r="AC6" i="33"/>
  <c r="AB8" i="33"/>
  <c r="AB11" i="33"/>
  <c r="AB7" i="33"/>
  <c r="AB9" i="33"/>
  <c r="AB10" i="33"/>
  <c r="AB6" i="33"/>
  <c r="AA11" i="33"/>
  <c r="BI2" i="27"/>
  <c r="AI3" i="27" s="1"/>
  <c r="V8" i="33"/>
  <c r="AA8" i="33" s="1"/>
  <c r="V9" i="33"/>
  <c r="AA9" i="33" s="1"/>
  <c r="F12" i="33"/>
  <c r="V7" i="33"/>
  <c r="AA7" i="33" s="1"/>
  <c r="V10" i="33"/>
  <c r="AA10" i="33" s="1"/>
  <c r="V6" i="33"/>
  <c r="AA6" i="33" s="1"/>
  <c r="P12" i="33"/>
  <c r="AD12" i="33" l="1"/>
  <c r="AC12" i="33"/>
  <c r="AI18" i="27"/>
  <c r="AB12" i="33"/>
  <c r="AI4" i="27"/>
  <c r="AI23" i="27"/>
  <c r="AI11" i="27"/>
  <c r="V12" i="33"/>
  <c r="AA12" i="33"/>
  <c r="AV56" i="31"/>
  <c r="AA46" i="32"/>
  <c r="AA38" i="32"/>
  <c r="AA37" i="32"/>
  <c r="AA36" i="32"/>
  <c r="AA29" i="32"/>
  <c r="AA35" i="32"/>
  <c r="P35" i="32" s="1"/>
  <c r="AA3" i="32"/>
  <c r="AA4" i="32"/>
  <c r="AV61" i="31" l="1"/>
  <c r="AV55" i="31"/>
  <c r="AV48" i="31"/>
  <c r="AV41" i="31"/>
  <c r="AV35" i="31"/>
  <c r="AV33" i="31"/>
  <c r="AV28" i="31"/>
  <c r="AV25" i="31"/>
  <c r="AV24" i="31"/>
  <c r="AV18" i="31"/>
  <c r="AV13" i="31"/>
  <c r="AV11" i="31"/>
  <c r="AV10" i="31"/>
  <c r="AV6" i="31"/>
  <c r="AV5" i="31"/>
  <c r="AK10" i="30" l="1"/>
  <c r="AK5" i="30"/>
  <c r="AP4" i="29"/>
  <c r="AQ8" i="29"/>
  <c r="S7" i="30"/>
  <c r="L13" i="30"/>
  <c r="F13" i="30"/>
  <c r="AP5" i="29"/>
  <c r="AP3" i="29"/>
  <c r="K14" i="29"/>
  <c r="E14" i="29"/>
  <c r="AM25" i="28"/>
  <c r="R43" i="28"/>
  <c r="O45" i="28"/>
  <c r="L43" i="28"/>
  <c r="V13" i="27"/>
  <c r="U13" i="27"/>
  <c r="O27" i="27"/>
  <c r="I27" i="27"/>
  <c r="AR43" i="28" l="1"/>
  <c r="AP14" i="29"/>
  <c r="AI27" i="27"/>
  <c r="AE10" i="30"/>
  <c r="AE5" i="30"/>
  <c r="AQ5" i="29"/>
  <c r="AQ3" i="29"/>
  <c r="AM34" i="28"/>
  <c r="AM26" i="28"/>
  <c r="AM22" i="28"/>
  <c r="AM21" i="28"/>
  <c r="AM20" i="28"/>
  <c r="AM17" i="28"/>
  <c r="AM11" i="28"/>
  <c r="AM10" i="28"/>
  <c r="AM3" i="28"/>
  <c r="AF23" i="27"/>
  <c r="AF18" i="27"/>
  <c r="AF11" i="27"/>
  <c r="AF8" i="27"/>
  <c r="AF4" i="27"/>
  <c r="AF3" i="27"/>
  <c r="AC50" i="32"/>
  <c r="G50" i="32"/>
  <c r="F50" i="32"/>
  <c r="E50" i="32"/>
  <c r="C49" i="32"/>
  <c r="C48" i="32"/>
  <c r="C47" i="32"/>
  <c r="AD45" i="32"/>
  <c r="C44" i="32"/>
  <c r="C43" i="32"/>
  <c r="C42" i="32"/>
  <c r="C41" i="32"/>
  <c r="AD40" i="32"/>
  <c r="C40" i="32"/>
  <c r="C39" i="32"/>
  <c r="C38" i="32"/>
  <c r="Z38" i="32" s="1"/>
  <c r="C37" i="32"/>
  <c r="Z37" i="32" s="1"/>
  <c r="AD36" i="32"/>
  <c r="AD34" i="32"/>
  <c r="AD32" i="32"/>
  <c r="C31" i="32"/>
  <c r="C30" i="32"/>
  <c r="C29" i="32"/>
  <c r="Z29" i="32" s="1"/>
  <c r="C28" i="32"/>
  <c r="P29" i="32" s="1"/>
  <c r="C27" i="32"/>
  <c r="AD25" i="32"/>
  <c r="C25" i="32"/>
  <c r="AD22" i="32"/>
  <c r="AD21" i="32"/>
  <c r="C21" i="32"/>
  <c r="AD20" i="32"/>
  <c r="C20" i="32"/>
  <c r="C19" i="32"/>
  <c r="C17" i="32"/>
  <c r="C16" i="32"/>
  <c r="C15" i="32"/>
  <c r="C14" i="32"/>
  <c r="AD12" i="32"/>
  <c r="C12" i="32"/>
  <c r="C11" i="32"/>
  <c r="C10" i="32"/>
  <c r="C9" i="32"/>
  <c r="C8" i="32"/>
  <c r="C5" i="32"/>
  <c r="C4" i="32"/>
  <c r="Z4" i="32" s="1"/>
  <c r="C3" i="32"/>
  <c r="Z3" i="32" s="1"/>
  <c r="Z51" i="32" l="1"/>
  <c r="N29" i="32" s="1"/>
  <c r="P36" i="32"/>
  <c r="P38" i="32"/>
  <c r="P46" i="32"/>
  <c r="P3" i="32"/>
  <c r="AA50" i="32"/>
  <c r="P37" i="32"/>
  <c r="AM43" i="28"/>
  <c r="AF27" i="27"/>
  <c r="AQ14" i="29"/>
  <c r="P4" i="32"/>
  <c r="AD50" i="32"/>
  <c r="C50" i="32"/>
  <c r="C52" i="32" s="1"/>
  <c r="AD51" i="32"/>
  <c r="AE40" i="32" s="1"/>
  <c r="AB40" i="32" s="1"/>
  <c r="N37" i="32" l="1"/>
  <c r="N4" i="32"/>
  <c r="N38" i="32"/>
  <c r="N46" i="32"/>
  <c r="N35" i="32"/>
  <c r="N36" i="32"/>
  <c r="N3" i="32"/>
  <c r="P51" i="32"/>
  <c r="AE32" i="32"/>
  <c r="AE45" i="32"/>
  <c r="AB45" i="32" s="1"/>
  <c r="AE12" i="32"/>
  <c r="AB12" i="32" s="1"/>
  <c r="AE36" i="32"/>
  <c r="AE22" i="32"/>
  <c r="AE20" i="32"/>
  <c r="AB20" i="32" s="1"/>
  <c r="AE25" i="32"/>
  <c r="AB25" i="32" s="1"/>
  <c r="AE21" i="32"/>
  <c r="AE34" i="32"/>
  <c r="AB34" i="32" s="1"/>
  <c r="K29" i="32" l="1"/>
  <c r="O29" i="32" s="1"/>
  <c r="N50" i="32"/>
  <c r="AB22" i="32"/>
  <c r="AH22" i="32" s="1"/>
  <c r="AG22" i="32" s="1"/>
  <c r="AH12" i="32"/>
  <c r="AG12" i="32" s="1"/>
  <c r="AB36" i="32"/>
  <c r="AB32" i="32"/>
  <c r="AB21" i="32"/>
  <c r="AH21" i="32" s="1"/>
  <c r="AG21" i="32" s="1"/>
  <c r="AE50" i="32"/>
  <c r="K36" i="32" l="1"/>
  <c r="O36" i="32" s="1"/>
  <c r="K4" i="32"/>
  <c r="O4" i="32" s="1"/>
  <c r="K46" i="32"/>
  <c r="O46" i="32" s="1"/>
  <c r="K35" i="32"/>
  <c r="O35" i="32" s="1"/>
  <c r="K38" i="32"/>
  <c r="O38" i="32" s="1"/>
  <c r="K37" i="32"/>
  <c r="O37" i="32" s="1"/>
  <c r="K3" i="32"/>
  <c r="O3" i="32" s="1"/>
  <c r="Q27" i="32"/>
  <c r="L27" i="32" s="1"/>
  <c r="Q46" i="32"/>
  <c r="L46" i="32" s="1"/>
  <c r="Q48" i="32"/>
  <c r="L48" i="32" s="1"/>
  <c r="Q43" i="32"/>
  <c r="L43" i="32" s="1"/>
  <c r="Q4" i="32"/>
  <c r="L4" i="32" s="1"/>
  <c r="AG51" i="32"/>
  <c r="AF22" i="32" s="1"/>
  <c r="AB50" i="32"/>
  <c r="Q38" i="32"/>
  <c r="L38" i="32" s="1"/>
  <c r="Q32" i="32"/>
  <c r="L32" i="32" s="1"/>
  <c r="Q37" i="32"/>
  <c r="L37" i="32" s="1"/>
  <c r="K50" i="32" l="1"/>
  <c r="Q50" i="32"/>
  <c r="AF21" i="32"/>
  <c r="L51" i="32"/>
  <c r="AF12" i="32"/>
  <c r="R7" i="30" l="1"/>
  <c r="M13" i="30"/>
  <c r="G13" i="30"/>
  <c r="L14" i="29"/>
  <c r="F14" i="29"/>
  <c r="P36" i="28" l="1"/>
  <c r="S43" i="28"/>
  <c r="M43" i="28"/>
  <c r="U73" i="31"/>
  <c r="O73" i="31"/>
  <c r="L73" i="31"/>
  <c r="C34" i="31"/>
  <c r="P34" i="31" s="1"/>
  <c r="C33" i="31"/>
  <c r="C27" i="31"/>
  <c r="I73" i="31"/>
  <c r="C42" i="28"/>
  <c r="T42" i="28" s="1"/>
  <c r="C41" i="28"/>
  <c r="T41" i="28" s="1"/>
  <c r="C40" i="28"/>
  <c r="T40" i="28" s="1"/>
  <c r="C39" i="28"/>
  <c r="T39" i="28" s="1"/>
  <c r="C38" i="28"/>
  <c r="T38" i="28" s="1"/>
  <c r="C37" i="28"/>
  <c r="T37" i="28" s="1"/>
  <c r="C36" i="28"/>
  <c r="T36" i="28" s="1"/>
  <c r="C35" i="28"/>
  <c r="T35" i="28" s="1"/>
  <c r="C34" i="28"/>
  <c r="AL34" i="28" s="1"/>
  <c r="C33" i="28"/>
  <c r="C32" i="28"/>
  <c r="T32" i="28" s="1"/>
  <c r="C31" i="28"/>
  <c r="T31" i="28" s="1"/>
  <c r="C30" i="28"/>
  <c r="T30" i="28" s="1"/>
  <c r="C29" i="28"/>
  <c r="T29" i="28" s="1"/>
  <c r="C28" i="28"/>
  <c r="T28" i="28" s="1"/>
  <c r="C26" i="28"/>
  <c r="AL26" i="28" s="1"/>
  <c r="C25" i="28"/>
  <c r="C24" i="28"/>
  <c r="T24" i="28" s="1"/>
  <c r="C23" i="28"/>
  <c r="T23" i="28" s="1"/>
  <c r="C22" i="28"/>
  <c r="C21" i="28"/>
  <c r="AL21" i="28" s="1"/>
  <c r="C20" i="28"/>
  <c r="AL20" i="28" s="1"/>
  <c r="C19" i="28"/>
  <c r="T19" i="28" s="1"/>
  <c r="C18" i="28"/>
  <c r="T18" i="28" s="1"/>
  <c r="C17" i="28"/>
  <c r="C15" i="28"/>
  <c r="T15" i="28" s="1"/>
  <c r="C14" i="28"/>
  <c r="T14" i="28" s="1"/>
  <c r="C13" i="28"/>
  <c r="T13" i="28" s="1"/>
  <c r="C12" i="28"/>
  <c r="T12" i="28" s="1"/>
  <c r="C11" i="28"/>
  <c r="C10" i="28"/>
  <c r="AL10" i="28" s="1"/>
  <c r="C9" i="28"/>
  <c r="T9" i="28" s="1"/>
  <c r="C8" i="28"/>
  <c r="T8" i="28" s="1"/>
  <c r="C7" i="28"/>
  <c r="T7" i="28" s="1"/>
  <c r="C6" i="28"/>
  <c r="T6" i="28" s="1"/>
  <c r="C5" i="28"/>
  <c r="T5" i="28" s="1"/>
  <c r="C4" i="28"/>
  <c r="K43" i="28"/>
  <c r="C3" i="28"/>
  <c r="AL3" i="28" s="1"/>
  <c r="C3" i="31"/>
  <c r="P3" i="31" s="1"/>
  <c r="C4" i="31"/>
  <c r="P4" i="31" s="1"/>
  <c r="C5" i="31"/>
  <c r="C6" i="31"/>
  <c r="C7" i="31"/>
  <c r="P7" i="31" s="1"/>
  <c r="C9" i="31"/>
  <c r="C10" i="31"/>
  <c r="C11" i="31"/>
  <c r="C12" i="31"/>
  <c r="P12" i="31" s="1"/>
  <c r="C13" i="31"/>
  <c r="C14" i="31"/>
  <c r="V14" i="31" s="1"/>
  <c r="C15" i="31"/>
  <c r="P15" i="31" s="1"/>
  <c r="C16" i="31"/>
  <c r="P16" i="31" s="1"/>
  <c r="C17" i="31"/>
  <c r="V17" i="31" s="1"/>
  <c r="C18" i="31"/>
  <c r="C19" i="31"/>
  <c r="P19" i="31" s="1"/>
  <c r="C20" i="31"/>
  <c r="C21" i="31"/>
  <c r="V21" i="31" s="1"/>
  <c r="C22" i="31"/>
  <c r="C23" i="31"/>
  <c r="V23" i="31" s="1"/>
  <c r="C24" i="31"/>
  <c r="C25" i="31"/>
  <c r="C28" i="31"/>
  <c r="C30" i="31"/>
  <c r="V30" i="31" s="1"/>
  <c r="C31" i="31"/>
  <c r="V31" i="31" s="1"/>
  <c r="C32" i="31"/>
  <c r="V32" i="31" s="1"/>
  <c r="C35" i="31"/>
  <c r="C36" i="31"/>
  <c r="V36" i="31" s="1"/>
  <c r="C37" i="31"/>
  <c r="V37" i="31" s="1"/>
  <c r="C38" i="31"/>
  <c r="M38" i="31" s="1"/>
  <c r="C39" i="31"/>
  <c r="C40" i="31"/>
  <c r="P40" i="31" s="1"/>
  <c r="C41" i="31"/>
  <c r="C42" i="31"/>
  <c r="V42" i="31" s="1"/>
  <c r="C43" i="31"/>
  <c r="P43" i="31" s="1"/>
  <c r="C44" i="31"/>
  <c r="P44" i="31" s="1"/>
  <c r="C45" i="31"/>
  <c r="P45" i="31" s="1"/>
  <c r="C46" i="31"/>
  <c r="V46" i="31" s="1"/>
  <c r="C47" i="31"/>
  <c r="V47" i="31" s="1"/>
  <c r="C48" i="31"/>
  <c r="C49" i="31"/>
  <c r="C50" i="31"/>
  <c r="V50" i="31" s="1"/>
  <c r="C51" i="31"/>
  <c r="V51" i="31" s="1"/>
  <c r="C52" i="31"/>
  <c r="V52" i="31" s="1"/>
  <c r="C53" i="31"/>
  <c r="V53" i="31" s="1"/>
  <c r="C54" i="31"/>
  <c r="V54" i="31" s="1"/>
  <c r="C55" i="31"/>
  <c r="C56" i="31"/>
  <c r="C57" i="31"/>
  <c r="V57" i="31" s="1"/>
  <c r="C58" i="31"/>
  <c r="V58" i="31" s="1"/>
  <c r="C59" i="31"/>
  <c r="V59" i="31" s="1"/>
  <c r="C60" i="31"/>
  <c r="V60" i="31" s="1"/>
  <c r="C61" i="31"/>
  <c r="C62" i="31"/>
  <c r="V62" i="31" s="1"/>
  <c r="C63" i="31"/>
  <c r="V63" i="31" s="1"/>
  <c r="C64" i="31"/>
  <c r="V64" i="31" s="1"/>
  <c r="C65" i="31"/>
  <c r="V65" i="31" s="1"/>
  <c r="C67" i="31"/>
  <c r="V67" i="31" s="1"/>
  <c r="C68" i="31"/>
  <c r="V68" i="31" s="1"/>
  <c r="C69" i="31"/>
  <c r="V69" i="31" s="1"/>
  <c r="C70" i="31"/>
  <c r="V70" i="31" s="1"/>
  <c r="C71" i="31"/>
  <c r="V71" i="31" s="1"/>
  <c r="C72" i="31"/>
  <c r="D73" i="31"/>
  <c r="E73" i="31"/>
  <c r="F73" i="31"/>
  <c r="G73" i="31"/>
  <c r="H73" i="31"/>
  <c r="J73" i="31"/>
  <c r="M22" i="27"/>
  <c r="P27" i="27"/>
  <c r="J27" i="27"/>
  <c r="AG49" i="31" l="1"/>
  <c r="T22" i="28"/>
  <c r="AL22" i="28"/>
  <c r="T11" i="28"/>
  <c r="AL11" i="28"/>
  <c r="T33" i="28"/>
  <c r="AL33" i="28"/>
  <c r="T4" i="28"/>
  <c r="T17" i="28"/>
  <c r="AL17" i="28"/>
  <c r="V56" i="31"/>
  <c r="AG56" i="31"/>
  <c r="AG48" i="31"/>
  <c r="AG55" i="31"/>
  <c r="AG28" i="31"/>
  <c r="AG6" i="31"/>
  <c r="AG33" i="31"/>
  <c r="AG5" i="31"/>
  <c r="AG41" i="31"/>
  <c r="AG61" i="31"/>
  <c r="AG13" i="31"/>
  <c r="AG18" i="31"/>
  <c r="V16" i="31"/>
  <c r="AG11" i="31"/>
  <c r="AG24" i="31"/>
  <c r="AG10" i="31"/>
  <c r="P25" i="31"/>
  <c r="AG25" i="31"/>
  <c r="V35" i="31"/>
  <c r="AG35" i="31"/>
  <c r="V39" i="31"/>
  <c r="P9" i="31"/>
  <c r="P22" i="31"/>
  <c r="V27" i="31"/>
  <c r="V25" i="31"/>
  <c r="V48" i="31"/>
  <c r="M33" i="31"/>
  <c r="P20" i="31"/>
  <c r="V34" i="31"/>
  <c r="V55" i="31"/>
  <c r="V28" i="31"/>
  <c r="P6" i="31"/>
  <c r="V22" i="31"/>
  <c r="V61" i="31"/>
  <c r="P13" i="31"/>
  <c r="V38" i="31"/>
  <c r="V18" i="31"/>
  <c r="P5" i="31"/>
  <c r="P11" i="31"/>
  <c r="P38" i="31"/>
  <c r="V72" i="31"/>
  <c r="V15" i="31"/>
  <c r="V24" i="31"/>
  <c r="P10" i="31"/>
  <c r="P46" i="31"/>
  <c r="V49" i="31"/>
  <c r="P41" i="31"/>
  <c r="N25" i="28"/>
  <c r="T25" i="28"/>
  <c r="N20" i="28"/>
  <c r="T20" i="28"/>
  <c r="N21" i="28"/>
  <c r="T21" i="28"/>
  <c r="N3" i="28"/>
  <c r="T3" i="28"/>
  <c r="N10" i="28"/>
  <c r="T10" i="28"/>
  <c r="N26" i="28"/>
  <c r="T26" i="28"/>
  <c r="N34" i="28"/>
  <c r="T34" i="28"/>
  <c r="U5" i="28"/>
  <c r="N5" i="28"/>
  <c r="U13" i="28"/>
  <c r="N13" i="28"/>
  <c r="U37" i="28"/>
  <c r="N37" i="28"/>
  <c r="N6" i="28"/>
  <c r="N14" i="28"/>
  <c r="U22" i="28"/>
  <c r="N22" i="28"/>
  <c r="N30" i="28"/>
  <c r="U12" i="28"/>
  <c r="N12" i="28"/>
  <c r="U7" i="28"/>
  <c r="N7" i="28"/>
  <c r="U15" i="28"/>
  <c r="N15" i="28"/>
  <c r="U23" i="28"/>
  <c r="N23" i="28"/>
  <c r="U31" i="28"/>
  <c r="N31" i="28"/>
  <c r="N38" i="28"/>
  <c r="U4" i="28"/>
  <c r="N4" i="28"/>
  <c r="U8" i="28"/>
  <c r="N8" i="28"/>
  <c r="U24" i="28"/>
  <c r="N24" i="28"/>
  <c r="U32" i="28"/>
  <c r="N32" i="28"/>
  <c r="U39" i="28"/>
  <c r="N39" i="28"/>
  <c r="U36" i="28"/>
  <c r="N36" i="28"/>
  <c r="U9" i="28"/>
  <c r="N9" i="28"/>
  <c r="AJ17" i="28"/>
  <c r="N17" i="28"/>
  <c r="U33" i="28"/>
  <c r="N33" i="28"/>
  <c r="U40" i="28"/>
  <c r="N40" i="28"/>
  <c r="U18" i="28"/>
  <c r="N18" i="28"/>
  <c r="U41" i="28"/>
  <c r="N41" i="28"/>
  <c r="U29" i="28"/>
  <c r="N29" i="28"/>
  <c r="AJ11" i="28"/>
  <c r="N11" i="28"/>
  <c r="U19" i="28"/>
  <c r="N19" i="28"/>
  <c r="U28" i="28"/>
  <c r="N28" i="28"/>
  <c r="N35" i="28"/>
  <c r="N42" i="28"/>
  <c r="M26" i="27"/>
  <c r="M8" i="27"/>
  <c r="M17" i="27"/>
  <c r="M10" i="27"/>
  <c r="M11" i="27"/>
  <c r="U20" i="28"/>
  <c r="AJ20" i="28"/>
  <c r="U21" i="28"/>
  <c r="AJ21" i="28"/>
  <c r="AJ22" i="28"/>
  <c r="U25" i="28"/>
  <c r="AJ25" i="28"/>
  <c r="U38" i="28"/>
  <c r="U10" i="28"/>
  <c r="AJ10" i="28"/>
  <c r="U26" i="28"/>
  <c r="AJ26" i="28"/>
  <c r="U34" i="28"/>
  <c r="AJ34" i="28"/>
  <c r="M18" i="27"/>
  <c r="P14" i="31"/>
  <c r="P50" i="31"/>
  <c r="M23" i="27"/>
  <c r="U6" i="28"/>
  <c r="P30" i="31"/>
  <c r="V41" i="31"/>
  <c r="U30" i="28"/>
  <c r="P9" i="28"/>
  <c r="P31" i="31"/>
  <c r="P17" i="28"/>
  <c r="P42" i="31"/>
  <c r="M48" i="31"/>
  <c r="V13" i="31"/>
  <c r="U14" i="28"/>
  <c r="P25" i="28"/>
  <c r="P40" i="28"/>
  <c r="P18" i="28"/>
  <c r="P34" i="28"/>
  <c r="P5" i="28"/>
  <c r="P13" i="28"/>
  <c r="P21" i="28"/>
  <c r="P37" i="28"/>
  <c r="P6" i="28"/>
  <c r="P14" i="28"/>
  <c r="P22" i="28"/>
  <c r="P30" i="28"/>
  <c r="P26" i="28"/>
  <c r="P7" i="28"/>
  <c r="P15" i="28"/>
  <c r="P23" i="28"/>
  <c r="P31" i="28"/>
  <c r="P38" i="28"/>
  <c r="P8" i="28"/>
  <c r="P24" i="28"/>
  <c r="P32" i="28"/>
  <c r="P39" i="28"/>
  <c r="P33" i="28"/>
  <c r="P10" i="28"/>
  <c r="P41" i="28"/>
  <c r="P3" i="28"/>
  <c r="P11" i="28"/>
  <c r="P19" i="28"/>
  <c r="P28" i="28"/>
  <c r="P35" i="28"/>
  <c r="P42" i="28"/>
  <c r="P4" i="28"/>
  <c r="P12" i="28"/>
  <c r="P20" i="28"/>
  <c r="P29" i="28"/>
  <c r="U17" i="28"/>
  <c r="U3" i="28"/>
  <c r="U11" i="28"/>
  <c r="U35" i="28"/>
  <c r="U42" i="28"/>
  <c r="M19" i="27"/>
  <c r="M25" i="27"/>
  <c r="P21" i="31"/>
  <c r="P17" i="31"/>
  <c r="P39" i="31"/>
  <c r="P47" i="31"/>
  <c r="V20" i="31"/>
  <c r="V40" i="31"/>
  <c r="V44" i="31"/>
  <c r="P18" i="31"/>
  <c r="P32" i="31"/>
  <c r="P48" i="31"/>
  <c r="P23" i="31"/>
  <c r="V19" i="31"/>
  <c r="V45" i="31"/>
  <c r="C73" i="31"/>
  <c r="P33" i="31"/>
  <c r="P49" i="31"/>
  <c r="P24" i="31"/>
  <c r="V33" i="31"/>
  <c r="V43" i="31"/>
  <c r="M27" i="31"/>
  <c r="P35" i="31"/>
  <c r="P51" i="31"/>
  <c r="M36" i="31"/>
  <c r="P27" i="31"/>
  <c r="P36" i="31"/>
  <c r="P52" i="31"/>
  <c r="M37" i="31"/>
  <c r="P28" i="31"/>
  <c r="P37" i="31"/>
  <c r="M9" i="27"/>
  <c r="M24" i="27"/>
  <c r="M12" i="27"/>
  <c r="M20" i="27"/>
  <c r="M4" i="27"/>
  <c r="M14" i="27"/>
  <c r="M21" i="27"/>
  <c r="M3" i="27"/>
  <c r="M5" i="27"/>
  <c r="M6" i="27"/>
  <c r="M16" i="27"/>
  <c r="E13" i="30"/>
  <c r="D13" i="30"/>
  <c r="C4" i="30"/>
  <c r="N4" i="30" s="1"/>
  <c r="C12" i="30"/>
  <c r="N12" i="30" s="1"/>
  <c r="C11" i="30"/>
  <c r="N11" i="30" s="1"/>
  <c r="C10" i="30"/>
  <c r="AJ10" i="30" s="1"/>
  <c r="C7" i="30"/>
  <c r="C6" i="30"/>
  <c r="N6" i="30" s="1"/>
  <c r="C5" i="30"/>
  <c r="AJ5" i="30" s="1"/>
  <c r="C26" i="27"/>
  <c r="C25" i="27"/>
  <c r="C24" i="27"/>
  <c r="C23" i="27"/>
  <c r="C22" i="27"/>
  <c r="C21" i="27"/>
  <c r="C20" i="27"/>
  <c r="C19" i="27"/>
  <c r="C18" i="27"/>
  <c r="C17" i="27"/>
  <c r="C16" i="27"/>
  <c r="C14" i="27"/>
  <c r="C13" i="27"/>
  <c r="K13" i="27" s="1"/>
  <c r="C12" i="27"/>
  <c r="C11" i="27"/>
  <c r="C10" i="27"/>
  <c r="C9" i="27"/>
  <c r="C8" i="27"/>
  <c r="Q8" i="27" s="1"/>
  <c r="C6" i="27"/>
  <c r="C5" i="27"/>
  <c r="C4" i="27"/>
  <c r="C3" i="27"/>
  <c r="C5" i="29"/>
  <c r="C4" i="29"/>
  <c r="C3" i="29"/>
  <c r="D14" i="29"/>
  <c r="C10" i="29"/>
  <c r="M10" i="29" s="1"/>
  <c r="C9" i="29"/>
  <c r="M9" i="29" s="1"/>
  <c r="C8" i="29"/>
  <c r="M8" i="29" s="1"/>
  <c r="C6" i="29"/>
  <c r="M6" i="29" s="1"/>
  <c r="C13" i="29"/>
  <c r="M13" i="29" s="1"/>
  <c r="C12" i="29"/>
  <c r="M12" i="29" s="1"/>
  <c r="C11" i="29"/>
  <c r="M11" i="29" s="1"/>
  <c r="C7" i="29"/>
  <c r="M7" i="29" s="1"/>
  <c r="J43" i="28"/>
  <c r="I43" i="28"/>
  <c r="H43" i="28"/>
  <c r="G43" i="28"/>
  <c r="F43" i="28"/>
  <c r="E43" i="28"/>
  <c r="D43" i="28"/>
  <c r="H27" i="27"/>
  <c r="G27" i="27"/>
  <c r="F27" i="27"/>
  <c r="E27" i="27"/>
  <c r="D27" i="27"/>
  <c r="V73" i="31" l="1"/>
  <c r="C75" i="31"/>
  <c r="AE23" i="27"/>
  <c r="AH23" i="27"/>
  <c r="AE11" i="27"/>
  <c r="AH11" i="27"/>
  <c r="AE3" i="27"/>
  <c r="AH3" i="27"/>
  <c r="AE18" i="27"/>
  <c r="AH18" i="27"/>
  <c r="AE4" i="27"/>
  <c r="AH4" i="27"/>
  <c r="AO5" i="29"/>
  <c r="AE5" i="29"/>
  <c r="AJ13" i="30"/>
  <c r="AB10" i="30" s="1"/>
  <c r="AE4" i="29"/>
  <c r="AO4" i="29"/>
  <c r="AE3" i="29"/>
  <c r="AO3" i="29"/>
  <c r="M5" i="29"/>
  <c r="AD5" i="29"/>
  <c r="N5" i="30"/>
  <c r="AD5" i="30"/>
  <c r="AL43" i="28"/>
  <c r="M3" i="29"/>
  <c r="AD3" i="29"/>
  <c r="N10" i="30"/>
  <c r="AD10" i="30"/>
  <c r="M4" i="29"/>
  <c r="AD4" i="29"/>
  <c r="AG73" i="31"/>
  <c r="AV3" i="31" s="1"/>
  <c r="Z5" i="30"/>
  <c r="I5" i="30"/>
  <c r="H5" i="30"/>
  <c r="I4" i="30"/>
  <c r="H4" i="30"/>
  <c r="H12" i="30"/>
  <c r="I12" i="30"/>
  <c r="I6" i="30"/>
  <c r="H6" i="30"/>
  <c r="I11" i="30"/>
  <c r="H11" i="30"/>
  <c r="Z10" i="30"/>
  <c r="I10" i="30"/>
  <c r="H10" i="30"/>
  <c r="H9" i="29"/>
  <c r="G9" i="29"/>
  <c r="H10" i="29"/>
  <c r="G10" i="29"/>
  <c r="H11" i="29"/>
  <c r="G11" i="29"/>
  <c r="Z3" i="29"/>
  <c r="H3" i="29"/>
  <c r="G3" i="29"/>
  <c r="Z8" i="29"/>
  <c r="H8" i="29"/>
  <c r="G8" i="29"/>
  <c r="G7" i="29"/>
  <c r="H7" i="29"/>
  <c r="H4" i="29"/>
  <c r="G4" i="29"/>
  <c r="H12" i="29"/>
  <c r="G12" i="29"/>
  <c r="G13" i="29"/>
  <c r="H13" i="29"/>
  <c r="Z5" i="29"/>
  <c r="G5" i="29"/>
  <c r="H5" i="29"/>
  <c r="G6" i="29"/>
  <c r="H6" i="29"/>
  <c r="T45" i="28"/>
  <c r="W21" i="28" s="1"/>
  <c r="N45" i="28"/>
  <c r="Q24" i="28" s="1"/>
  <c r="K10" i="27"/>
  <c r="Q10" i="27"/>
  <c r="K17" i="27"/>
  <c r="Q17" i="27"/>
  <c r="Q23" i="27"/>
  <c r="Q11" i="27"/>
  <c r="K24" i="27"/>
  <c r="Q24" i="27"/>
  <c r="Q3" i="27"/>
  <c r="K25" i="27"/>
  <c r="Q25" i="27"/>
  <c r="Q4" i="27"/>
  <c r="R13" i="27"/>
  <c r="Q13" i="27"/>
  <c r="K19" i="27"/>
  <c r="Q19" i="27"/>
  <c r="K26" i="27"/>
  <c r="Q26" i="27"/>
  <c r="K12" i="27"/>
  <c r="Q12" i="27"/>
  <c r="K5" i="27"/>
  <c r="Q5" i="27"/>
  <c r="K14" i="27"/>
  <c r="Q14" i="27"/>
  <c r="K20" i="27"/>
  <c r="Q20" i="27"/>
  <c r="Q18" i="27"/>
  <c r="K6" i="27"/>
  <c r="Q6" i="27"/>
  <c r="K21" i="27"/>
  <c r="Q21" i="27"/>
  <c r="K9" i="27"/>
  <c r="Q9" i="27"/>
  <c r="K16" i="27"/>
  <c r="Q16" i="27"/>
  <c r="K22" i="27"/>
  <c r="Q22" i="27"/>
  <c r="K4" i="27"/>
  <c r="K23" i="27"/>
  <c r="K11" i="27"/>
  <c r="K3" i="27"/>
  <c r="K18" i="27"/>
  <c r="K8" i="27"/>
  <c r="AJ43" i="28"/>
  <c r="P73" i="31"/>
  <c r="N7" i="29"/>
  <c r="O5" i="30"/>
  <c r="N11" i="29"/>
  <c r="N3" i="29"/>
  <c r="N10" i="29"/>
  <c r="O6" i="30"/>
  <c r="N12" i="29"/>
  <c r="N4" i="29"/>
  <c r="N13" i="29"/>
  <c r="C14" i="29"/>
  <c r="N5" i="29"/>
  <c r="O10" i="30"/>
  <c r="N8" i="29"/>
  <c r="N9" i="29"/>
  <c r="C13" i="30"/>
  <c r="N6" i="29"/>
  <c r="P43" i="28"/>
  <c r="U45" i="28"/>
  <c r="V42" i="28" s="1"/>
  <c r="M73" i="31"/>
  <c r="C43" i="28"/>
  <c r="M14" i="31"/>
  <c r="M20" i="31"/>
  <c r="M34" i="31"/>
  <c r="M42" i="31"/>
  <c r="M50" i="31"/>
  <c r="M58" i="31"/>
  <c r="P58" i="31"/>
  <c r="M21" i="31"/>
  <c r="M35" i="31"/>
  <c r="M43" i="31"/>
  <c r="M51" i="31"/>
  <c r="M59" i="31"/>
  <c r="P59" i="31"/>
  <c r="M67" i="31"/>
  <c r="P67" i="31"/>
  <c r="M15" i="31"/>
  <c r="M22" i="31"/>
  <c r="M44" i="31"/>
  <c r="M52" i="31"/>
  <c r="M60" i="31"/>
  <c r="P60" i="31"/>
  <c r="M68" i="31"/>
  <c r="P68" i="31"/>
  <c r="M16" i="31"/>
  <c r="M23" i="31"/>
  <c r="M28" i="31"/>
  <c r="M45" i="31"/>
  <c r="P53" i="31"/>
  <c r="M53" i="31"/>
  <c r="P61" i="31"/>
  <c r="M61" i="31"/>
  <c r="P69" i="31"/>
  <c r="M69" i="31"/>
  <c r="M24" i="31"/>
  <c r="M30" i="31"/>
  <c r="M46" i="31"/>
  <c r="P54" i="31"/>
  <c r="M54" i="31"/>
  <c r="M62" i="31"/>
  <c r="P62" i="31"/>
  <c r="P70" i="31"/>
  <c r="M70" i="31"/>
  <c r="M17" i="31"/>
  <c r="M31" i="31"/>
  <c r="M39" i="31"/>
  <c r="M47" i="31"/>
  <c r="P55" i="31"/>
  <c r="M55" i="31"/>
  <c r="P63" i="31"/>
  <c r="M63" i="31"/>
  <c r="M71" i="31"/>
  <c r="P71" i="31"/>
  <c r="M27" i="27"/>
  <c r="M18" i="31"/>
  <c r="M32" i="31"/>
  <c r="M40" i="31"/>
  <c r="P56" i="31"/>
  <c r="M56" i="31"/>
  <c r="M64" i="31"/>
  <c r="P64" i="31"/>
  <c r="M72" i="31"/>
  <c r="P72" i="31"/>
  <c r="M13" i="31"/>
  <c r="M19" i="31"/>
  <c r="M25" i="31"/>
  <c r="M41" i="31"/>
  <c r="M49" i="31"/>
  <c r="P57" i="31"/>
  <c r="M57" i="31"/>
  <c r="P65" i="31"/>
  <c r="M65" i="31"/>
  <c r="R8" i="27"/>
  <c r="V10" i="31"/>
  <c r="M10" i="31"/>
  <c r="V9" i="31"/>
  <c r="M9" i="31"/>
  <c r="R9" i="27"/>
  <c r="R16" i="27"/>
  <c r="R22" i="27"/>
  <c r="V12" i="31"/>
  <c r="M12" i="31"/>
  <c r="V3" i="31"/>
  <c r="M3" i="31"/>
  <c r="R21" i="27"/>
  <c r="R17" i="27"/>
  <c r="M4" i="31"/>
  <c r="V4" i="31"/>
  <c r="V11" i="31"/>
  <c r="M11" i="31"/>
  <c r="R6" i="27"/>
  <c r="R23" i="27"/>
  <c r="R11" i="27"/>
  <c r="R3" i="27"/>
  <c r="R12" i="27"/>
  <c r="R18" i="27"/>
  <c r="R25" i="27"/>
  <c r="M5" i="31"/>
  <c r="V5" i="31"/>
  <c r="R4" i="27"/>
  <c r="R19" i="27"/>
  <c r="R26" i="27"/>
  <c r="M6" i="31"/>
  <c r="V6" i="31"/>
  <c r="R10" i="27"/>
  <c r="R24" i="27"/>
  <c r="R5" i="27"/>
  <c r="R14" i="27"/>
  <c r="R20" i="27"/>
  <c r="C27" i="27"/>
  <c r="V7" i="31"/>
  <c r="M7" i="31"/>
  <c r="AE27" i="27" l="1"/>
  <c r="BF5" i="27" s="1"/>
  <c r="AB4" i="27" s="1"/>
  <c r="AV73" i="31"/>
  <c r="N13" i="30"/>
  <c r="C15" i="30"/>
  <c r="C45" i="28"/>
  <c r="Q27" i="27"/>
  <c r="M14" i="29"/>
  <c r="C16" i="29"/>
  <c r="AB5" i="30"/>
  <c r="M15" i="29"/>
  <c r="AE14" i="29"/>
  <c r="BD3" i="29" s="1"/>
  <c r="AA3" i="29" s="1"/>
  <c r="AO14" i="29"/>
  <c r="AH27" i="27"/>
  <c r="AC3" i="27" s="1"/>
  <c r="N14" i="30"/>
  <c r="P12" i="30" s="1"/>
  <c r="AD14" i="29"/>
  <c r="BC3" i="29" s="1"/>
  <c r="AD13" i="30"/>
  <c r="Y10" i="30" s="1"/>
  <c r="AC10" i="30" s="1"/>
  <c r="Z13" i="30"/>
  <c r="H13" i="30"/>
  <c r="I13" i="30"/>
  <c r="I15" i="30"/>
  <c r="K11" i="30" s="1"/>
  <c r="R11" i="30" s="1"/>
  <c r="H15" i="30"/>
  <c r="J10" i="30" s="1"/>
  <c r="Z14" i="29"/>
  <c r="H15" i="29"/>
  <c r="J7" i="29" s="1"/>
  <c r="G14" i="29"/>
  <c r="H14" i="29"/>
  <c r="G15" i="29"/>
  <c r="I5" i="29" s="1"/>
  <c r="W3" i="28"/>
  <c r="W10" i="28"/>
  <c r="W34" i="28"/>
  <c r="W25" i="28"/>
  <c r="W11" i="28"/>
  <c r="W19" i="28"/>
  <c r="W40" i="28"/>
  <c r="W41" i="28"/>
  <c r="W24" i="28"/>
  <c r="Y24" i="28" s="1"/>
  <c r="W6" i="28"/>
  <c r="W8" i="28"/>
  <c r="W35" i="28"/>
  <c r="W28" i="28"/>
  <c r="W15" i="28"/>
  <c r="W7" i="28"/>
  <c r="W42" i="28"/>
  <c r="W38" i="28"/>
  <c r="W5" i="28"/>
  <c r="W33" i="28"/>
  <c r="W4" i="28"/>
  <c r="W12" i="28"/>
  <c r="W31" i="28"/>
  <c r="W23" i="28"/>
  <c r="W29" i="28"/>
  <c r="W32" i="28"/>
  <c r="W30" i="28"/>
  <c r="W36" i="28"/>
  <c r="W18" i="28"/>
  <c r="W13" i="28"/>
  <c r="W14" i="28"/>
  <c r="W9" i="28"/>
  <c r="W22" i="28"/>
  <c r="W17" i="28"/>
  <c r="W39" i="28"/>
  <c r="W37" i="28"/>
  <c r="W20" i="28"/>
  <c r="W26" i="28"/>
  <c r="N43" i="28"/>
  <c r="T43" i="28"/>
  <c r="Q28" i="28"/>
  <c r="Q30" i="28"/>
  <c r="Q35" i="28"/>
  <c r="Q31" i="28"/>
  <c r="Q12" i="28"/>
  <c r="Q8" i="28"/>
  <c r="Q6" i="28"/>
  <c r="Q23" i="28"/>
  <c r="Q7" i="28"/>
  <c r="Q13" i="28"/>
  <c r="Q32" i="28"/>
  <c r="Q22" i="28"/>
  <c r="Q36" i="28"/>
  <c r="Q17" i="28"/>
  <c r="Q29" i="28"/>
  <c r="Q40" i="28"/>
  <c r="Q41" i="28"/>
  <c r="Q42" i="28"/>
  <c r="Q11" i="28"/>
  <c r="Q15" i="28"/>
  <c r="Q5" i="28"/>
  <c r="Q38" i="28"/>
  <c r="Q39" i="28"/>
  <c r="Q20" i="28"/>
  <c r="Q21" i="28"/>
  <c r="Y21" i="28" s="1"/>
  <c r="Q25" i="28"/>
  <c r="Q3" i="28"/>
  <c r="Q10" i="28"/>
  <c r="Q26" i="28"/>
  <c r="Q34" i="28"/>
  <c r="Q18" i="28"/>
  <c r="Q9" i="28"/>
  <c r="Q37" i="28"/>
  <c r="Q14" i="28"/>
  <c r="Q4" i="28"/>
  <c r="Q33" i="28"/>
  <c r="Q19" i="28"/>
  <c r="V11" i="28"/>
  <c r="X11" i="28" s="1"/>
  <c r="V17" i="28"/>
  <c r="X17" i="28" s="1"/>
  <c r="T8" i="27"/>
  <c r="N3" i="27"/>
  <c r="K27" i="27"/>
  <c r="V35" i="28"/>
  <c r="X35" i="28" s="1"/>
  <c r="BA4" i="29"/>
  <c r="N14" i="29"/>
  <c r="O14" i="30"/>
  <c r="Q10" i="30" s="1"/>
  <c r="P75" i="31"/>
  <c r="V3" i="28"/>
  <c r="X3" i="28" s="1"/>
  <c r="N15" i="29"/>
  <c r="O5" i="29" s="1"/>
  <c r="O13" i="30"/>
  <c r="X42" i="28"/>
  <c r="U43" i="28"/>
  <c r="V24" i="28"/>
  <c r="V8" i="28"/>
  <c r="X8" i="28" s="1"/>
  <c r="V13" i="28"/>
  <c r="X13" i="28" s="1"/>
  <c r="V41" i="28"/>
  <c r="X41" i="28" s="1"/>
  <c r="V5" i="28"/>
  <c r="V31" i="28"/>
  <c r="V40" i="28"/>
  <c r="X40" i="28" s="1"/>
  <c r="V22" i="28"/>
  <c r="X22" i="28" s="1"/>
  <c r="V28" i="28"/>
  <c r="X28" i="28" s="1"/>
  <c r="V37" i="28"/>
  <c r="X37" i="28" s="1"/>
  <c r="V20" i="28"/>
  <c r="V6" i="28"/>
  <c r="V14" i="28"/>
  <c r="V7" i="28"/>
  <c r="V39" i="28"/>
  <c r="V9" i="28"/>
  <c r="V32" i="28"/>
  <c r="X32" i="28" s="1"/>
  <c r="V15" i="28"/>
  <c r="X15" i="28" s="1"/>
  <c r="V30" i="28"/>
  <c r="V21" i="28"/>
  <c r="V12" i="28"/>
  <c r="X12" i="28" s="1"/>
  <c r="V10" i="28"/>
  <c r="X10" i="28" s="1"/>
  <c r="V23" i="28"/>
  <c r="X23" i="28" s="1"/>
  <c r="V25" i="28"/>
  <c r="X25" i="28" s="1"/>
  <c r="V36" i="28"/>
  <c r="V18" i="28"/>
  <c r="V38" i="28"/>
  <c r="X38" i="28" s="1"/>
  <c r="V4" i="28"/>
  <c r="V33" i="28"/>
  <c r="X33" i="28" s="1"/>
  <c r="V26" i="28"/>
  <c r="X26" i="28" s="1"/>
  <c r="V19" i="28"/>
  <c r="X19" i="28" s="1"/>
  <c r="V29" i="28"/>
  <c r="X29" i="28" s="1"/>
  <c r="V34" i="28"/>
  <c r="X34" i="28" s="1"/>
  <c r="V75" i="31"/>
  <c r="M75" i="31"/>
  <c r="R46" i="31"/>
  <c r="R45" i="31"/>
  <c r="R40" i="31"/>
  <c r="R47" i="31"/>
  <c r="R17" i="31"/>
  <c r="R16" i="31"/>
  <c r="R15" i="31"/>
  <c r="R43" i="31"/>
  <c r="R42" i="31"/>
  <c r="R14" i="31"/>
  <c r="R7" i="31"/>
  <c r="R25" i="31"/>
  <c r="R70" i="31"/>
  <c r="R69" i="31"/>
  <c r="R4" i="31"/>
  <c r="R72" i="31"/>
  <c r="R71" i="31"/>
  <c r="R36" i="31"/>
  <c r="R19" i="31"/>
  <c r="R63" i="31"/>
  <c r="R41" i="31"/>
  <c r="R31" i="31"/>
  <c r="R62" i="31"/>
  <c r="R30" i="31"/>
  <c r="R28" i="31"/>
  <c r="R60" i="31"/>
  <c r="R59" i="31"/>
  <c r="R27" i="31"/>
  <c r="R58" i="31"/>
  <c r="R33" i="31"/>
  <c r="R49" i="31"/>
  <c r="R32" i="31"/>
  <c r="R37" i="31"/>
  <c r="R67" i="31"/>
  <c r="R35" i="31"/>
  <c r="R56" i="31"/>
  <c r="R61" i="31"/>
  <c r="R73" i="31"/>
  <c r="R13" i="31"/>
  <c r="R48" i="31"/>
  <c r="R55" i="31"/>
  <c r="R54" i="31"/>
  <c r="R53" i="31"/>
  <c r="R50" i="31"/>
  <c r="R44" i="31"/>
  <c r="R57" i="31"/>
  <c r="R12" i="31"/>
  <c r="R64" i="31"/>
  <c r="R39" i="31"/>
  <c r="R38" i="31"/>
  <c r="R68" i="31"/>
  <c r="R34" i="31"/>
  <c r="R11" i="31"/>
  <c r="R9" i="31"/>
  <c r="R10" i="31"/>
  <c r="R65" i="31"/>
  <c r="R18" i="31"/>
  <c r="R24" i="31"/>
  <c r="R23" i="31"/>
  <c r="R52" i="31"/>
  <c r="R22" i="31"/>
  <c r="R51" i="31"/>
  <c r="R21" i="31"/>
  <c r="R20" i="31"/>
  <c r="R27" i="27"/>
  <c r="R5" i="31"/>
  <c r="S19" i="27"/>
  <c r="U19" i="27" s="1"/>
  <c r="R3" i="31"/>
  <c r="R6" i="31"/>
  <c r="BE3" i="29" l="1"/>
  <c r="AB3" i="29" s="1"/>
  <c r="AK3" i="29" s="1"/>
  <c r="Y35" i="28"/>
  <c r="AB23" i="27"/>
  <c r="AB3" i="27"/>
  <c r="AD3" i="27" s="1"/>
  <c r="AB11" i="27"/>
  <c r="AB18" i="27"/>
  <c r="AB5" i="29"/>
  <c r="AK5" i="29" s="1"/>
  <c r="AA4" i="29"/>
  <c r="X4" i="31"/>
  <c r="N25" i="31"/>
  <c r="Q12" i="31"/>
  <c r="AC11" i="27"/>
  <c r="AC23" i="27"/>
  <c r="AC4" i="27"/>
  <c r="AD4" i="27" s="1"/>
  <c r="AC18" i="27"/>
  <c r="AB4" i="29"/>
  <c r="AK4" i="29" s="1"/>
  <c r="AA5" i="29"/>
  <c r="AI20" i="28"/>
  <c r="AK20" i="28" s="1"/>
  <c r="AI3" i="28"/>
  <c r="AK3" i="28" s="1"/>
  <c r="P5" i="30"/>
  <c r="P4" i="30"/>
  <c r="P10" i="30"/>
  <c r="S10" i="30" s="1"/>
  <c r="P6" i="30"/>
  <c r="Y30" i="28"/>
  <c r="Y5" i="29"/>
  <c r="Y4" i="29"/>
  <c r="Y34" i="28"/>
  <c r="AI34" i="28"/>
  <c r="AK34" i="28" s="1"/>
  <c r="AI21" i="28"/>
  <c r="AK21" i="28" s="1"/>
  <c r="Y33" i="28"/>
  <c r="AI26" i="28"/>
  <c r="AK26" i="28" s="1"/>
  <c r="Y22" i="28"/>
  <c r="AI10" i="28"/>
  <c r="AK10" i="28" s="1"/>
  <c r="T26" i="27"/>
  <c r="T21" i="27"/>
  <c r="T18" i="27"/>
  <c r="Y3" i="29"/>
  <c r="AA16" i="29" s="1"/>
  <c r="AD16" i="29" s="1"/>
  <c r="AI22" i="28"/>
  <c r="AK22" i="28" s="1"/>
  <c r="AI33" i="28"/>
  <c r="AK33" i="28" s="1"/>
  <c r="AI11" i="28"/>
  <c r="AK11" i="28" s="1"/>
  <c r="AI17" i="28"/>
  <c r="AK17" i="28" s="1"/>
  <c r="Y6" i="28"/>
  <c r="Y5" i="28"/>
  <c r="Y36" i="28"/>
  <c r="Y8" i="28"/>
  <c r="Y5" i="30"/>
  <c r="Y13" i="30" s="1"/>
  <c r="Y25" i="28"/>
  <c r="T25" i="27"/>
  <c r="Q18" i="31"/>
  <c r="Q17" i="31"/>
  <c r="Q64" i="31"/>
  <c r="Q34" i="31"/>
  <c r="Q63" i="31"/>
  <c r="Q6" i="31"/>
  <c r="Q58" i="31"/>
  <c r="Q5" i="31"/>
  <c r="Q57" i="31"/>
  <c r="Q21" i="31"/>
  <c r="Q31" i="31"/>
  <c r="Q25" i="31"/>
  <c r="Q67" i="31"/>
  <c r="Q70" i="31"/>
  <c r="Q33" i="31"/>
  <c r="Q49" i="31"/>
  <c r="Q20" i="31"/>
  <c r="Q11" i="31"/>
  <c r="Q24" i="31"/>
  <c r="Q19" i="31"/>
  <c r="Q15" i="31"/>
  <c r="Q53" i="31"/>
  <c r="Q41" i="31"/>
  <c r="Q36" i="31"/>
  <c r="Q62" i="31"/>
  <c r="Q23" i="31"/>
  <c r="Q9" i="31"/>
  <c r="Q65" i="31"/>
  <c r="Q28" i="31"/>
  <c r="Q50" i="31"/>
  <c r="Q45" i="31"/>
  <c r="N69" i="31"/>
  <c r="N58" i="31"/>
  <c r="N68" i="31"/>
  <c r="N17" i="31"/>
  <c r="Q72" i="31"/>
  <c r="Q55" i="31"/>
  <c r="Q61" i="31"/>
  <c r="Q59" i="31"/>
  <c r="Q27" i="31"/>
  <c r="Q51" i="31"/>
  <c r="Q32" i="31"/>
  <c r="Q30" i="31"/>
  <c r="Q7" i="31"/>
  <c r="Q10" i="31"/>
  <c r="Q46" i="31"/>
  <c r="N10" i="31"/>
  <c r="X10" i="31"/>
  <c r="Q54" i="31"/>
  <c r="Q60" i="31"/>
  <c r="Q48" i="31"/>
  <c r="Q39" i="31"/>
  <c r="Q22" i="31"/>
  <c r="Q38" i="31"/>
  <c r="Q40" i="31"/>
  <c r="N62" i="31"/>
  <c r="N47" i="31"/>
  <c r="N7" i="31"/>
  <c r="X6" i="31"/>
  <c r="N11" i="31"/>
  <c r="Q71" i="31"/>
  <c r="Q56" i="31"/>
  <c r="Q52" i="31"/>
  <c r="Q35" i="31"/>
  <c r="Q4" i="31"/>
  <c r="Q14" i="31"/>
  <c r="Q3" i="31"/>
  <c r="Q16" i="31"/>
  <c r="Q44" i="31"/>
  <c r="N56" i="31"/>
  <c r="Q69" i="31"/>
  <c r="X9" i="31"/>
  <c r="N6" i="31"/>
  <c r="Q68" i="31"/>
  <c r="N12" i="31"/>
  <c r="Q47" i="31"/>
  <c r="Q37" i="31"/>
  <c r="Q13" i="31"/>
  <c r="Q43" i="31"/>
  <c r="Q42" i="31"/>
  <c r="J6" i="30"/>
  <c r="J5" i="30"/>
  <c r="J11" i="30"/>
  <c r="S11" i="30" s="1"/>
  <c r="J4" i="30"/>
  <c r="J12" i="30"/>
  <c r="S12" i="30" s="1"/>
  <c r="K6" i="30"/>
  <c r="K4" i="30"/>
  <c r="K12" i="30"/>
  <c r="R12" i="30" s="1"/>
  <c r="K10" i="30"/>
  <c r="R10" i="30" s="1"/>
  <c r="Q6" i="30"/>
  <c r="K5" i="30"/>
  <c r="Q5" i="30"/>
  <c r="I12" i="29"/>
  <c r="J10" i="29"/>
  <c r="J8" i="29"/>
  <c r="I13" i="29"/>
  <c r="J12" i="29"/>
  <c r="I10" i="29"/>
  <c r="I7" i="29"/>
  <c r="J9" i="29"/>
  <c r="J11" i="29"/>
  <c r="J3" i="29"/>
  <c r="I8" i="29"/>
  <c r="J6" i="29"/>
  <c r="I3" i="29"/>
  <c r="I4" i="29"/>
  <c r="I6" i="29"/>
  <c r="I11" i="29"/>
  <c r="I9" i="29"/>
  <c r="J13" i="29"/>
  <c r="J4" i="29"/>
  <c r="J5" i="29"/>
  <c r="Q5" i="29" s="1"/>
  <c r="Y11" i="28"/>
  <c r="Y17" i="28"/>
  <c r="Y19" i="28"/>
  <c r="Y15" i="28"/>
  <c r="Y14" i="28"/>
  <c r="Y31" i="28"/>
  <c r="Y26" i="28"/>
  <c r="Y38" i="28"/>
  <c r="Y10" i="28"/>
  <c r="Y4" i="28"/>
  <c r="Y3" i="28"/>
  <c r="Y20" i="28"/>
  <c r="Y32" i="28"/>
  <c r="Y37" i="28"/>
  <c r="Y12" i="28"/>
  <c r="W43" i="28"/>
  <c r="Y42" i="28"/>
  <c r="Y9" i="28"/>
  <c r="Y41" i="28"/>
  <c r="Y13" i="28"/>
  <c r="Y18" i="28"/>
  <c r="Y40" i="28"/>
  <c r="Y7" i="28"/>
  <c r="Y28" i="28"/>
  <c r="Y39" i="28"/>
  <c r="Y29" i="28"/>
  <c r="Y23" i="28"/>
  <c r="Q43" i="28"/>
  <c r="T22" i="27"/>
  <c r="T20" i="27"/>
  <c r="T12" i="27"/>
  <c r="T23" i="27"/>
  <c r="T17" i="27"/>
  <c r="T4" i="27"/>
  <c r="T24" i="27"/>
  <c r="T19" i="27"/>
  <c r="T16" i="27"/>
  <c r="T5" i="27"/>
  <c r="T14" i="27"/>
  <c r="T10" i="27"/>
  <c r="T6" i="27"/>
  <c r="T11" i="27"/>
  <c r="T3" i="27"/>
  <c r="T9" i="27"/>
  <c r="N19" i="27"/>
  <c r="N16" i="27"/>
  <c r="N21" i="27"/>
  <c r="N12" i="27"/>
  <c r="N22" i="27"/>
  <c r="N17" i="27"/>
  <c r="N25" i="27"/>
  <c r="N5" i="27"/>
  <c r="N10" i="27"/>
  <c r="N24" i="27"/>
  <c r="N20" i="27"/>
  <c r="N26" i="27"/>
  <c r="N9" i="27"/>
  <c r="N14" i="27"/>
  <c r="N6" i="27"/>
  <c r="N23" i="27"/>
  <c r="N8" i="27"/>
  <c r="V8" i="27" s="1"/>
  <c r="N4" i="27"/>
  <c r="N18" i="27"/>
  <c r="N11" i="27"/>
  <c r="O9" i="29"/>
  <c r="O4" i="29"/>
  <c r="O8" i="29"/>
  <c r="O3" i="29"/>
  <c r="N40" i="31"/>
  <c r="S3" i="27"/>
  <c r="U3" i="27" s="1"/>
  <c r="X5" i="28"/>
  <c r="O12" i="29"/>
  <c r="O11" i="29"/>
  <c r="X11" i="31"/>
  <c r="N22" i="31"/>
  <c r="N54" i="31"/>
  <c r="O10" i="29"/>
  <c r="N55" i="31"/>
  <c r="N23" i="31"/>
  <c r="N3" i="31"/>
  <c r="O6" i="29"/>
  <c r="N53" i="31"/>
  <c r="V43" i="28"/>
  <c r="N52" i="31"/>
  <c r="N5" i="31"/>
  <c r="O7" i="29"/>
  <c r="Q7" i="29" s="1"/>
  <c r="O13" i="29"/>
  <c r="X6" i="28"/>
  <c r="X30" i="28"/>
  <c r="X36" i="28"/>
  <c r="X39" i="28"/>
  <c r="X4" i="28"/>
  <c r="X21" i="28"/>
  <c r="X24" i="28"/>
  <c r="X20" i="28"/>
  <c r="X14" i="28"/>
  <c r="X7" i="28"/>
  <c r="X18" i="28"/>
  <c r="X9" i="28"/>
  <c r="X31" i="28"/>
  <c r="S22" i="27"/>
  <c r="U22" i="27" s="1"/>
  <c r="S10" i="27"/>
  <c r="U10" i="27" s="1"/>
  <c r="S9" i="27"/>
  <c r="U9" i="27" s="1"/>
  <c r="S21" i="27"/>
  <c r="U21" i="27" s="1"/>
  <c r="S6" i="27"/>
  <c r="U6" i="27" s="1"/>
  <c r="S16" i="27"/>
  <c r="U16" i="27" s="1"/>
  <c r="S18" i="27"/>
  <c r="U18" i="27" s="1"/>
  <c r="S23" i="27"/>
  <c r="U23" i="27" s="1"/>
  <c r="S26" i="27"/>
  <c r="U26" i="27" s="1"/>
  <c r="S24" i="27"/>
  <c r="U24" i="27" s="1"/>
  <c r="S14" i="27"/>
  <c r="U14" i="27" s="1"/>
  <c r="S17" i="27"/>
  <c r="U17" i="27" s="1"/>
  <c r="S11" i="27"/>
  <c r="U11" i="27" s="1"/>
  <c r="S4" i="27"/>
  <c r="U4" i="27" s="1"/>
  <c r="S8" i="27"/>
  <c r="U8" i="27" s="1"/>
  <c r="S25" i="27"/>
  <c r="U25" i="27" s="1"/>
  <c r="S5" i="27"/>
  <c r="U5" i="27" s="1"/>
  <c r="S12" i="27"/>
  <c r="U12" i="27" s="1"/>
  <c r="N34" i="31"/>
  <c r="N50" i="31"/>
  <c r="N46" i="31"/>
  <c r="N31" i="31"/>
  <c r="N21" i="31"/>
  <c r="X34" i="31"/>
  <c r="X25" i="31"/>
  <c r="X58" i="31"/>
  <c r="X17" i="31"/>
  <c r="X23" i="31"/>
  <c r="X21" i="31"/>
  <c r="X54" i="31"/>
  <c r="X48" i="31"/>
  <c r="X32" i="31"/>
  <c r="X36" i="31"/>
  <c r="X16" i="31"/>
  <c r="X42" i="31"/>
  <c r="X30" i="31"/>
  <c r="X46" i="31"/>
  <c r="X61" i="31"/>
  <c r="X24" i="31"/>
  <c r="X67" i="31"/>
  <c r="X71" i="31"/>
  <c r="X69" i="31"/>
  <c r="X31" i="31"/>
  <c r="X59" i="31"/>
  <c r="X38" i="31"/>
  <c r="X63" i="31"/>
  <c r="X37" i="31"/>
  <c r="X50" i="31"/>
  <c r="X53" i="31"/>
  <c r="X15" i="31"/>
  <c r="X51" i="31"/>
  <c r="X22" i="31"/>
  <c r="X65" i="31"/>
  <c r="X72" i="31"/>
  <c r="X27" i="31"/>
  <c r="X55" i="31"/>
  <c r="X14" i="31"/>
  <c r="X18" i="31"/>
  <c r="X68" i="31"/>
  <c r="X57" i="31"/>
  <c r="X64" i="31"/>
  <c r="X47" i="31"/>
  <c r="X13" i="31"/>
  <c r="X60" i="31"/>
  <c r="X35" i="31"/>
  <c r="X49" i="31"/>
  <c r="X56" i="31"/>
  <c r="X39" i="31"/>
  <c r="X62" i="31"/>
  <c r="X52" i="31"/>
  <c r="X28" i="31"/>
  <c r="X70" i="31"/>
  <c r="X41" i="31"/>
  <c r="X44" i="31"/>
  <c r="X33" i="31"/>
  <c r="X40" i="31"/>
  <c r="X19" i="31"/>
  <c r="X43" i="31"/>
  <c r="X45" i="31"/>
  <c r="X20" i="31"/>
  <c r="N15" i="31"/>
  <c r="N45" i="31"/>
  <c r="N18" i="31"/>
  <c r="N13" i="31"/>
  <c r="N60" i="31"/>
  <c r="N71" i="31"/>
  <c r="X3" i="31"/>
  <c r="N16" i="31"/>
  <c r="N43" i="31"/>
  <c r="N70" i="31"/>
  <c r="N42" i="31"/>
  <c r="N72" i="31"/>
  <c r="N65" i="31"/>
  <c r="N14" i="31"/>
  <c r="X7" i="31"/>
  <c r="N24" i="31"/>
  <c r="N41" i="31"/>
  <c r="N19" i="31"/>
  <c r="N51" i="31"/>
  <c r="N61" i="31"/>
  <c r="N44" i="31"/>
  <c r="N4" i="31"/>
  <c r="N59" i="31"/>
  <c r="N9" i="31"/>
  <c r="X5" i="31"/>
  <c r="N64" i="31"/>
  <c r="N28" i="31"/>
  <c r="X12" i="31"/>
  <c r="N32" i="31"/>
  <c r="N35" i="31"/>
  <c r="N57" i="31"/>
  <c r="N67" i="31"/>
  <c r="N39" i="31"/>
  <c r="N30" i="31"/>
  <c r="N38" i="31"/>
  <c r="N33" i="31"/>
  <c r="N48" i="31"/>
  <c r="N37" i="31"/>
  <c r="N36" i="31"/>
  <c r="N27" i="31"/>
  <c r="N63" i="31"/>
  <c r="N20" i="31"/>
  <c r="N49" i="31"/>
  <c r="R75" i="31"/>
  <c r="S20" i="27"/>
  <c r="U20" i="27" s="1"/>
  <c r="AK14" i="29" l="1"/>
  <c r="AK15" i="29" s="1"/>
  <c r="AL4" i="29" s="1"/>
  <c r="Q12" i="29"/>
  <c r="T25" i="31"/>
  <c r="Q10" i="29"/>
  <c r="V9" i="27"/>
  <c r="AD18" i="27"/>
  <c r="V24" i="27"/>
  <c r="V22" i="27"/>
  <c r="AD23" i="27"/>
  <c r="AD11" i="27"/>
  <c r="AC27" i="27"/>
  <c r="AB14" i="29"/>
  <c r="AC5" i="29"/>
  <c r="Q4" i="29"/>
  <c r="AA17" i="29"/>
  <c r="AD17" i="29" s="1"/>
  <c r="AA18" i="29"/>
  <c r="AD18" i="29" s="1"/>
  <c r="S4" i="30"/>
  <c r="S6" i="30"/>
  <c r="T56" i="31"/>
  <c r="Y56" i="31" s="1"/>
  <c r="T12" i="31"/>
  <c r="S41" i="31"/>
  <c r="T7" i="31"/>
  <c r="T6" i="31"/>
  <c r="AC5" i="30"/>
  <c r="S5" i="30"/>
  <c r="V26" i="27"/>
  <c r="AC3" i="29"/>
  <c r="T18" i="31"/>
  <c r="AC4" i="29"/>
  <c r="T61" i="31"/>
  <c r="T44" i="31"/>
  <c r="Q3" i="29"/>
  <c r="Q13" i="29"/>
  <c r="T48" i="31"/>
  <c r="T49" i="31"/>
  <c r="T16" i="31"/>
  <c r="AI43" i="28"/>
  <c r="V12" i="27"/>
  <c r="V18" i="27"/>
  <c r="V21" i="27"/>
  <c r="V6" i="27"/>
  <c r="V25" i="27"/>
  <c r="V17" i="27"/>
  <c r="V11" i="27"/>
  <c r="S59" i="31"/>
  <c r="T45" i="31"/>
  <c r="T71" i="31"/>
  <c r="T58" i="31"/>
  <c r="T14" i="31"/>
  <c r="T36" i="31"/>
  <c r="T34" i="31"/>
  <c r="T64" i="31"/>
  <c r="T57" i="31"/>
  <c r="T19" i="31"/>
  <c r="T33" i="31"/>
  <c r="T23" i="31"/>
  <c r="T47" i="31"/>
  <c r="T17" i="31"/>
  <c r="T63" i="31"/>
  <c r="T50" i="31"/>
  <c r="T27" i="31"/>
  <c r="T65" i="31"/>
  <c r="T67" i="31"/>
  <c r="T41" i="31"/>
  <c r="T3" i="31"/>
  <c r="T5" i="31"/>
  <c r="T55" i="31"/>
  <c r="T62" i="31"/>
  <c r="T39" i="31"/>
  <c r="T54" i="31"/>
  <c r="T28" i="31"/>
  <c r="T72" i="31"/>
  <c r="T13" i="31"/>
  <c r="T10" i="31"/>
  <c r="T37" i="31"/>
  <c r="T53" i="31"/>
  <c r="T30" i="31"/>
  <c r="T4" i="31"/>
  <c r="Q73" i="31"/>
  <c r="T68" i="31"/>
  <c r="Y25" i="31"/>
  <c r="T38" i="31"/>
  <c r="T9" i="31"/>
  <c r="T24" i="31"/>
  <c r="T43" i="31"/>
  <c r="T15" i="31"/>
  <c r="T21" i="31"/>
  <c r="T11" i="31"/>
  <c r="T70" i="31"/>
  <c r="T20" i="31"/>
  <c r="T59" i="31"/>
  <c r="T31" i="31"/>
  <c r="S30" i="31"/>
  <c r="T52" i="31"/>
  <c r="T51" i="31"/>
  <c r="T35" i="31"/>
  <c r="T42" i="31"/>
  <c r="T60" i="31"/>
  <c r="T32" i="31"/>
  <c r="T40" i="31"/>
  <c r="T22" i="31"/>
  <c r="T46" i="31"/>
  <c r="T69" i="31"/>
  <c r="Y14" i="29"/>
  <c r="Q13" i="30"/>
  <c r="J13" i="30"/>
  <c r="R6" i="30"/>
  <c r="R5" i="30"/>
  <c r="R4" i="30"/>
  <c r="K13" i="30"/>
  <c r="Q6" i="29"/>
  <c r="Q8" i="29"/>
  <c r="Q11" i="29"/>
  <c r="Q9" i="29"/>
  <c r="I14" i="29"/>
  <c r="J14" i="29"/>
  <c r="Y43" i="28"/>
  <c r="V20" i="27"/>
  <c r="V10" i="27"/>
  <c r="V23" i="27"/>
  <c r="T27" i="27"/>
  <c r="N27" i="27"/>
  <c r="V4" i="27"/>
  <c r="V5" i="27"/>
  <c r="V16" i="27"/>
  <c r="V14" i="27"/>
  <c r="V19" i="27"/>
  <c r="V3" i="27"/>
  <c r="U27" i="27"/>
  <c r="AB27" i="27"/>
  <c r="S50" i="31"/>
  <c r="S18" i="31"/>
  <c r="O14" i="29"/>
  <c r="S5" i="31"/>
  <c r="S40" i="31"/>
  <c r="S38" i="31"/>
  <c r="S70" i="31"/>
  <c r="X43" i="28"/>
  <c r="S27" i="27"/>
  <c r="S47" i="31"/>
  <c r="S16" i="31"/>
  <c r="N73" i="31"/>
  <c r="X73" i="31"/>
  <c r="S21" i="31"/>
  <c r="S3" i="31"/>
  <c r="S32" i="31"/>
  <c r="S10" i="31"/>
  <c r="S52" i="31"/>
  <c r="S68" i="31"/>
  <c r="S36" i="31"/>
  <c r="S43" i="31"/>
  <c r="S62" i="31"/>
  <c r="S72" i="31"/>
  <c r="S4" i="31"/>
  <c r="S7" i="31"/>
  <c r="S44" i="31"/>
  <c r="S63" i="31"/>
  <c r="S45" i="31"/>
  <c r="S27" i="31"/>
  <c r="S71" i="31"/>
  <c r="S56" i="31"/>
  <c r="S65" i="31"/>
  <c r="S54" i="31"/>
  <c r="S12" i="31"/>
  <c r="S48" i="31"/>
  <c r="S20" i="31"/>
  <c r="S17" i="31"/>
  <c r="S19" i="31"/>
  <c r="S34" i="31"/>
  <c r="S61" i="31"/>
  <c r="S64" i="31"/>
  <c r="S49" i="31"/>
  <c r="S11" i="31"/>
  <c r="S53" i="31"/>
  <c r="S15" i="31"/>
  <c r="S55" i="31"/>
  <c r="S22" i="31"/>
  <c r="S51" i="31"/>
  <c r="S67" i="31"/>
  <c r="S46" i="31"/>
  <c r="S35" i="31"/>
  <c r="S69" i="31"/>
  <c r="S37" i="31"/>
  <c r="S42" i="31"/>
  <c r="S31" i="31"/>
  <c r="S13" i="31"/>
  <c r="S39" i="31"/>
  <c r="S25" i="31"/>
  <c r="S57" i="31"/>
  <c r="S14" i="31"/>
  <c r="S60" i="31"/>
  <c r="S6" i="31"/>
  <c r="S24" i="31"/>
  <c r="S23" i="31"/>
  <c r="S28" i="31"/>
  <c r="S33" i="31"/>
  <c r="S9" i="31"/>
  <c r="S58" i="31"/>
  <c r="AL8" i="29" l="1"/>
  <c r="AL3" i="29"/>
  <c r="AL5" i="29"/>
  <c r="Y22" i="31"/>
  <c r="Y43" i="31"/>
  <c r="Y30" i="31"/>
  <c r="Y54" i="31"/>
  <c r="Y33" i="31"/>
  <c r="Y71" i="31"/>
  <c r="Y40" i="31"/>
  <c r="Y24" i="31"/>
  <c r="Y53" i="31"/>
  <c r="Y39" i="31"/>
  <c r="Y65" i="31"/>
  <c r="Y19" i="31"/>
  <c r="Y45" i="31"/>
  <c r="Y44" i="31"/>
  <c r="Y6" i="31"/>
  <c r="Y31" i="31"/>
  <c r="Y32" i="31"/>
  <c r="Y59" i="31"/>
  <c r="Y9" i="31"/>
  <c r="Y62" i="31"/>
  <c r="Y27" i="31"/>
  <c r="Y57" i="31"/>
  <c r="Y61" i="31"/>
  <c r="Y7" i="31"/>
  <c r="Y60" i="31"/>
  <c r="Y20" i="31"/>
  <c r="Y38" i="31"/>
  <c r="Y37" i="31"/>
  <c r="Y55" i="31"/>
  <c r="Y50" i="31"/>
  <c r="Y64" i="31"/>
  <c r="Y42" i="31"/>
  <c r="Y70" i="31"/>
  <c r="Y10" i="31"/>
  <c r="Y5" i="31"/>
  <c r="Y63" i="31"/>
  <c r="Y34" i="31"/>
  <c r="Y16" i="31"/>
  <c r="Y18" i="31"/>
  <c r="Y69" i="31"/>
  <c r="Y68" i="31"/>
  <c r="Y13" i="31"/>
  <c r="Y3" i="31"/>
  <c r="Y17" i="31"/>
  <c r="Y36" i="31"/>
  <c r="Y49" i="31"/>
  <c r="Y11" i="31"/>
  <c r="Y46" i="31"/>
  <c r="Y51" i="31"/>
  <c r="Y21" i="31"/>
  <c r="Y72" i="31"/>
  <c r="AT72" i="31" s="1"/>
  <c r="AT73" i="31" s="1"/>
  <c r="Y41" i="31"/>
  <c r="Y47" i="31"/>
  <c r="Y14" i="31"/>
  <c r="Y48" i="31"/>
  <c r="Y12" i="31"/>
  <c r="Y35" i="31"/>
  <c r="Y52" i="31"/>
  <c r="Y15" i="31"/>
  <c r="Y4" i="31"/>
  <c r="Y28" i="31"/>
  <c r="Y67" i="31"/>
  <c r="Y23" i="31"/>
  <c r="Y58" i="31"/>
  <c r="Q14" i="29"/>
  <c r="T73" i="31"/>
  <c r="R13" i="30"/>
  <c r="V27" i="27"/>
  <c r="S73" i="31"/>
  <c r="AL14" i="29" l="1"/>
  <c r="Y73" i="31"/>
  <c r="P3" i="29"/>
  <c r="R3" i="29" s="1"/>
  <c r="P8" i="29"/>
  <c r="R8" i="29" s="1"/>
  <c r="P9" i="29"/>
  <c r="R9" i="29" s="1"/>
  <c r="P10" i="29"/>
  <c r="R10" i="29" s="1"/>
  <c r="P6" i="29"/>
  <c r="R6" i="29" s="1"/>
  <c r="P7" i="29"/>
  <c r="R7" i="29" s="1"/>
  <c r="P11" i="29"/>
  <c r="R11" i="29" s="1"/>
  <c r="P4" i="29"/>
  <c r="R4" i="29" s="1"/>
  <c r="P12" i="29"/>
  <c r="R12" i="29" s="1"/>
  <c r="P5" i="29"/>
  <c r="R5" i="29" s="1"/>
  <c r="P13" i="29"/>
  <c r="R13" i="29" s="1"/>
  <c r="R14" i="29" l="1"/>
  <c r="P14" i="29"/>
  <c r="BJ74" i="31"/>
  <c r="BQ57" i="31" s="1"/>
  <c r="BS57" i="31" s="1"/>
  <c r="CJ74" i="31"/>
  <c r="DC74" i="31"/>
  <c r="BJ76" i="31"/>
  <c r="CM3" i="31" l="1"/>
  <c r="CM11" i="31"/>
  <c r="CM19" i="31"/>
  <c r="CM27" i="31"/>
  <c r="CM35" i="31"/>
  <c r="CO35" i="31" s="1"/>
  <c r="CM43" i="31"/>
  <c r="CO43" i="31" s="1"/>
  <c r="CM51" i="31"/>
  <c r="CO51" i="31" s="1"/>
  <c r="CM59" i="31"/>
  <c r="CO59" i="31" s="1"/>
  <c r="CM67" i="31"/>
  <c r="CM4" i="31"/>
  <c r="CM12" i="31"/>
  <c r="CO12" i="31" s="1"/>
  <c r="CM20" i="31"/>
  <c r="CO20" i="31" s="1"/>
  <c r="CM28" i="31"/>
  <c r="CO28" i="31" s="1"/>
  <c r="CM36" i="31"/>
  <c r="CO36" i="31" s="1"/>
  <c r="CM44" i="31"/>
  <c r="CO44" i="31" s="1"/>
  <c r="CM52" i="31"/>
  <c r="CO52" i="31" s="1"/>
  <c r="CM60" i="31"/>
  <c r="CO60" i="31" s="1"/>
  <c r="CM68" i="31"/>
  <c r="CO68" i="31" s="1"/>
  <c r="CM5" i="31"/>
  <c r="CO5" i="31" s="1"/>
  <c r="CM13" i="31"/>
  <c r="CM21" i="31"/>
  <c r="CM29" i="31"/>
  <c r="CO29" i="31" s="1"/>
  <c r="CM37" i="31"/>
  <c r="CO37" i="31" s="1"/>
  <c r="CM45" i="31"/>
  <c r="CO45" i="31" s="1"/>
  <c r="CM53" i="31"/>
  <c r="CM61" i="31"/>
  <c r="CM69" i="31"/>
  <c r="CO69" i="31" s="1"/>
  <c r="CM6" i="31"/>
  <c r="CO6" i="31" s="1"/>
  <c r="CM14" i="31"/>
  <c r="CO14" i="31" s="1"/>
  <c r="CM22" i="31"/>
  <c r="CO22" i="31" s="1"/>
  <c r="CM30" i="31"/>
  <c r="CO30" i="31" s="1"/>
  <c r="CM38" i="31"/>
  <c r="CO38" i="31" s="1"/>
  <c r="CM46" i="31"/>
  <c r="CM54" i="31"/>
  <c r="CO54" i="31" s="1"/>
  <c r="CM62" i="31"/>
  <c r="CO62" i="31" s="1"/>
  <c r="CM70" i="31"/>
  <c r="CO70" i="31" s="1"/>
  <c r="CM7" i="31"/>
  <c r="CM15" i="31"/>
  <c r="CO15" i="31" s="1"/>
  <c r="CM23" i="31"/>
  <c r="CO23" i="31" s="1"/>
  <c r="CM31" i="31"/>
  <c r="CO31" i="31" s="1"/>
  <c r="CM39" i="31"/>
  <c r="CO39" i="31" s="1"/>
  <c r="CM47" i="31"/>
  <c r="CO47" i="31" s="1"/>
  <c r="CM55" i="31"/>
  <c r="CO55" i="31" s="1"/>
  <c r="CM63" i="31"/>
  <c r="CO63" i="31" s="1"/>
  <c r="CM71" i="31"/>
  <c r="CO71" i="31" s="1"/>
  <c r="CM26" i="31"/>
  <c r="CO26" i="31" s="1"/>
  <c r="CM58" i="31"/>
  <c r="CO58" i="31" s="1"/>
  <c r="CM8" i="31"/>
  <c r="CO8" i="31" s="1"/>
  <c r="CM16" i="31"/>
  <c r="CM24" i="31"/>
  <c r="CO24" i="31" s="1"/>
  <c r="CM32" i="31"/>
  <c r="CO32" i="31" s="1"/>
  <c r="CM40" i="31"/>
  <c r="CO40" i="31" s="1"/>
  <c r="CM48" i="31"/>
  <c r="CO48" i="31" s="1"/>
  <c r="CM56" i="31"/>
  <c r="CO56" i="31" s="1"/>
  <c r="CM64" i="31"/>
  <c r="CO64" i="31" s="1"/>
  <c r="CM72" i="31"/>
  <c r="CO72" i="31" s="1"/>
  <c r="CM18" i="31"/>
  <c r="CM34" i="31"/>
  <c r="CO34" i="31" s="1"/>
  <c r="CM42" i="31"/>
  <c r="CO42" i="31" s="1"/>
  <c r="CM66" i="31"/>
  <c r="CO66" i="31" s="1"/>
  <c r="CM9" i="31"/>
  <c r="CO9" i="31" s="1"/>
  <c r="CM17" i="31"/>
  <c r="CO17" i="31" s="1"/>
  <c r="CM25" i="31"/>
  <c r="CO25" i="31" s="1"/>
  <c r="CM33" i="31"/>
  <c r="CO33" i="31" s="1"/>
  <c r="CM41" i="31"/>
  <c r="CO41" i="31" s="1"/>
  <c r="CM49" i="31"/>
  <c r="CO49" i="31" s="1"/>
  <c r="CM57" i="31"/>
  <c r="CM65" i="31"/>
  <c r="CO65" i="31" s="1"/>
  <c r="CM10" i="31"/>
  <c r="CO10" i="31" s="1"/>
  <c r="CM50" i="31"/>
  <c r="CO50" i="31" s="1"/>
  <c r="CO18" i="31"/>
  <c r="CO67" i="31"/>
  <c r="CO27" i="31"/>
  <c r="CO3" i="31"/>
  <c r="CO57" i="31"/>
  <c r="CO46" i="31"/>
  <c r="CO16" i="31"/>
  <c r="CO11" i="31"/>
  <c r="CO7" i="31"/>
  <c r="CO4" i="31"/>
  <c r="CO61" i="31"/>
  <c r="CO53" i="31"/>
  <c r="CO21" i="31"/>
  <c r="CO13" i="31"/>
  <c r="CO19" i="31"/>
  <c r="DF71" i="31"/>
  <c r="DH71" i="31" s="1"/>
  <c r="DF63" i="31"/>
  <c r="DH63" i="31" s="1"/>
  <c r="DF55" i="31"/>
  <c r="DH55" i="31" s="1"/>
  <c r="DF47" i="31"/>
  <c r="DH47" i="31" s="1"/>
  <c r="DF39" i="31"/>
  <c r="DH39" i="31" s="1"/>
  <c r="DF31" i="31"/>
  <c r="DH31" i="31" s="1"/>
  <c r="DF23" i="31"/>
  <c r="DH23" i="31" s="1"/>
  <c r="DF15" i="31"/>
  <c r="DH15" i="31" s="1"/>
  <c r="DF7" i="31"/>
  <c r="DH7" i="31" s="1"/>
  <c r="DF72" i="31"/>
  <c r="DH72" i="31" s="1"/>
  <c r="DF70" i="31"/>
  <c r="DH70" i="31" s="1"/>
  <c r="DF62" i="31"/>
  <c r="DH62" i="31" s="1"/>
  <c r="DF54" i="31"/>
  <c r="DH54" i="31" s="1"/>
  <c r="DF46" i="31"/>
  <c r="DH46" i="31" s="1"/>
  <c r="DF38" i="31"/>
  <c r="DH38" i="31" s="1"/>
  <c r="DF30" i="31"/>
  <c r="DH30" i="31" s="1"/>
  <c r="DF22" i="31"/>
  <c r="DH22" i="31" s="1"/>
  <c r="DF14" i="31"/>
  <c r="DH14" i="31" s="1"/>
  <c r="DF6" i="31"/>
  <c r="DH6" i="31" s="1"/>
  <c r="DF67" i="31"/>
  <c r="DH67" i="31" s="1"/>
  <c r="DF59" i="31"/>
  <c r="DH59" i="31" s="1"/>
  <c r="DF43" i="31"/>
  <c r="DH43" i="31" s="1"/>
  <c r="DF27" i="31"/>
  <c r="DH27" i="31" s="1"/>
  <c r="DF11" i="31"/>
  <c r="DH11" i="31" s="1"/>
  <c r="DF56" i="31"/>
  <c r="DH56" i="31" s="1"/>
  <c r="DF40" i="31"/>
  <c r="DH40" i="31" s="1"/>
  <c r="DF24" i="31"/>
  <c r="DH24" i="31" s="1"/>
  <c r="DF69" i="31"/>
  <c r="DH69" i="31" s="1"/>
  <c r="DF61" i="31"/>
  <c r="DH61" i="31" s="1"/>
  <c r="DF53" i="31"/>
  <c r="DH53" i="31" s="1"/>
  <c r="DF45" i="31"/>
  <c r="DH45" i="31" s="1"/>
  <c r="DF37" i="31"/>
  <c r="DH37" i="31" s="1"/>
  <c r="DF29" i="31"/>
  <c r="DH29" i="31" s="1"/>
  <c r="DF21" i="31"/>
  <c r="DH21" i="31" s="1"/>
  <c r="DF13" i="31"/>
  <c r="DH13" i="31" s="1"/>
  <c r="DF5" i="31"/>
  <c r="DH5" i="31" s="1"/>
  <c r="DF68" i="31"/>
  <c r="DH68" i="31" s="1"/>
  <c r="DF60" i="31"/>
  <c r="DH60" i="31" s="1"/>
  <c r="DF52" i="31"/>
  <c r="DH52" i="31" s="1"/>
  <c r="DF44" i="31"/>
  <c r="DH44" i="31" s="1"/>
  <c r="DF36" i="31"/>
  <c r="DH36" i="31" s="1"/>
  <c r="DF28" i="31"/>
  <c r="DH28" i="31" s="1"/>
  <c r="DF20" i="31"/>
  <c r="DH20" i="31" s="1"/>
  <c r="DF12" i="31"/>
  <c r="DH12" i="31" s="1"/>
  <c r="DF4" i="31"/>
  <c r="DH4" i="31" s="1"/>
  <c r="DF51" i="31"/>
  <c r="DH51" i="31" s="1"/>
  <c r="DF35" i="31"/>
  <c r="DH35" i="31" s="1"/>
  <c r="DF19" i="31"/>
  <c r="DH19" i="31" s="1"/>
  <c r="DF3" i="31"/>
  <c r="DH3" i="31" s="1"/>
  <c r="DF48" i="31"/>
  <c r="DH48" i="31" s="1"/>
  <c r="DF8" i="31"/>
  <c r="DH8" i="31" s="1"/>
  <c r="DF66" i="31"/>
  <c r="DH66" i="31" s="1"/>
  <c r="DF58" i="31"/>
  <c r="DH58" i="31" s="1"/>
  <c r="DF50" i="31"/>
  <c r="DH50" i="31" s="1"/>
  <c r="DF42" i="31"/>
  <c r="DH42" i="31" s="1"/>
  <c r="DF34" i="31"/>
  <c r="DH34" i="31" s="1"/>
  <c r="DF26" i="31"/>
  <c r="DH26" i="31" s="1"/>
  <c r="DF18" i="31"/>
  <c r="DH18" i="31" s="1"/>
  <c r="DF10" i="31"/>
  <c r="DH10" i="31" s="1"/>
  <c r="DF65" i="31"/>
  <c r="DH65" i="31" s="1"/>
  <c r="DF57" i="31"/>
  <c r="DH57" i="31" s="1"/>
  <c r="DF49" i="31"/>
  <c r="DH49" i="31" s="1"/>
  <c r="DF41" i="31"/>
  <c r="DH41" i="31" s="1"/>
  <c r="DF33" i="31"/>
  <c r="DH33" i="31" s="1"/>
  <c r="DF25" i="31"/>
  <c r="DH25" i="31" s="1"/>
  <c r="DF17" i="31"/>
  <c r="DH17" i="31" s="1"/>
  <c r="DF9" i="31"/>
  <c r="DH9" i="31" s="1"/>
  <c r="DF64" i="31"/>
  <c r="DH64" i="31" s="1"/>
  <c r="DF32" i="31"/>
  <c r="DH32" i="31" s="1"/>
  <c r="DF16" i="31"/>
  <c r="DH16" i="31" s="1"/>
  <c r="BQ26" i="31"/>
  <c r="BS26" i="31" s="1"/>
  <c r="BQ23" i="31"/>
  <c r="BS23" i="31" s="1"/>
  <c r="BQ48" i="31"/>
  <c r="BS48" i="31" s="1"/>
  <c r="BQ38" i="31"/>
  <c r="BS38" i="31" s="1"/>
  <c r="BQ25" i="31"/>
  <c r="BS25" i="31" s="1"/>
  <c r="BQ12" i="31"/>
  <c r="BS12" i="31" s="1"/>
  <c r="BQ6" i="31"/>
  <c r="BS6" i="31" s="1"/>
  <c r="BQ60" i="31"/>
  <c r="BS60" i="31" s="1"/>
  <c r="BQ20" i="31"/>
  <c r="BS20" i="31" s="1"/>
  <c r="BQ69" i="31"/>
  <c r="BS69" i="31" s="1"/>
  <c r="BQ24" i="31"/>
  <c r="BS24" i="31" s="1"/>
  <c r="BQ63" i="31"/>
  <c r="BS63" i="31" s="1"/>
  <c r="BQ21" i="31"/>
  <c r="BS21" i="31" s="1"/>
  <c r="BQ72" i="31"/>
  <c r="BS72" i="31" s="1"/>
  <c r="BQ66" i="31"/>
  <c r="BS66" i="31" s="1"/>
  <c r="BQ34" i="31"/>
  <c r="BS34" i="31" s="1"/>
  <c r="BQ10" i="31"/>
  <c r="BS10" i="31" s="1"/>
  <c r="BQ65" i="31"/>
  <c r="BS65" i="31" s="1"/>
  <c r="BQ7" i="31"/>
  <c r="BS7" i="31" s="1"/>
  <c r="BQ14" i="31"/>
  <c r="BS14" i="31" s="1"/>
  <c r="BQ47" i="31"/>
  <c r="BS47" i="31" s="1"/>
  <c r="BQ55" i="31"/>
  <c r="BS55" i="31" s="1"/>
  <c r="BQ33" i="31"/>
  <c r="BS33" i="31" s="1"/>
  <c r="BQ44" i="31"/>
  <c r="BS44" i="31" s="1"/>
  <c r="BQ43" i="31"/>
  <c r="BS43" i="31" s="1"/>
  <c r="BQ61" i="31"/>
  <c r="BS61" i="31" s="1"/>
  <c r="BQ17" i="31"/>
  <c r="BS17" i="31" s="1"/>
  <c r="BQ27" i="31"/>
  <c r="BS27" i="31" s="1"/>
  <c r="BQ4" i="31"/>
  <c r="BS4" i="31" s="1"/>
  <c r="BQ16" i="31"/>
  <c r="BS16" i="31" s="1"/>
  <c r="BQ13" i="31"/>
  <c r="BS13" i="31" s="1"/>
  <c r="BQ46" i="31"/>
  <c r="BS46" i="31" s="1"/>
  <c r="BQ28" i="31"/>
  <c r="BS28" i="31" s="1"/>
  <c r="BQ49" i="31"/>
  <c r="BS49" i="31" s="1"/>
  <c r="BQ3" i="31"/>
  <c r="BS3" i="31" s="1"/>
  <c r="BQ19" i="31"/>
  <c r="BS19" i="31" s="1"/>
  <c r="BQ45" i="31"/>
  <c r="BS45" i="31" s="1"/>
  <c r="BQ53" i="31"/>
  <c r="BS53" i="31" s="1"/>
  <c r="BQ62" i="31"/>
  <c r="BS62" i="31" s="1"/>
  <c r="BQ70" i="31"/>
  <c r="BS70" i="31" s="1"/>
  <c r="BQ54" i="31"/>
  <c r="BS54" i="31" s="1"/>
  <c r="BQ32" i="31"/>
  <c r="BS32" i="31" s="1"/>
  <c r="BQ71" i="31"/>
  <c r="BS71" i="31" s="1"/>
  <c r="BQ11" i="31"/>
  <c r="BS11" i="31" s="1"/>
  <c r="BQ58" i="31"/>
  <c r="BS58" i="31" s="1"/>
  <c r="BQ15" i="31"/>
  <c r="BS15" i="31" s="1"/>
  <c r="BQ52" i="31"/>
  <c r="BS52" i="31" s="1"/>
  <c r="BQ18" i="31"/>
  <c r="BS18" i="31" s="1"/>
  <c r="BQ64" i="31"/>
  <c r="BS64" i="31" s="1"/>
  <c r="BQ68" i="31"/>
  <c r="BS68" i="31" s="1"/>
  <c r="BQ36" i="31"/>
  <c r="BS36" i="31" s="1"/>
  <c r="BQ29" i="31"/>
  <c r="BS29" i="31" s="1"/>
  <c r="BQ8" i="31"/>
  <c r="BS8" i="31" s="1"/>
  <c r="BQ5" i="31"/>
  <c r="BS5" i="31" s="1"/>
  <c r="BQ30" i="31"/>
  <c r="BS30" i="31" s="1"/>
  <c r="BQ35" i="31"/>
  <c r="BS35" i="31" s="1"/>
  <c r="BQ41" i="31"/>
  <c r="BS41" i="31" s="1"/>
  <c r="BQ56" i="31"/>
  <c r="BS56" i="31" s="1"/>
  <c r="BQ9" i="31"/>
  <c r="BS9" i="31" s="1"/>
  <c r="BQ31" i="31"/>
  <c r="BS31" i="31" s="1"/>
  <c r="BQ42" i="31"/>
  <c r="BS42" i="31" s="1"/>
  <c r="BQ37" i="31"/>
  <c r="BS37" i="31" s="1"/>
  <c r="BQ40" i="31"/>
  <c r="BS40" i="31" s="1"/>
  <c r="BQ67" i="31"/>
  <c r="BS67" i="31" s="1"/>
  <c r="BQ22" i="31"/>
  <c r="BS22" i="31" s="1"/>
  <c r="BQ50" i="31"/>
  <c r="BS50" i="31" s="1"/>
  <c r="BQ51" i="31"/>
  <c r="BS51" i="31" s="1"/>
  <c r="BQ39" i="31"/>
  <c r="BS39" i="31" s="1"/>
  <c r="BQ59" i="31"/>
  <c r="BS59" i="31" s="1"/>
  <c r="CO73" i="31" l="1"/>
  <c r="BS73" i="31"/>
  <c r="DH74" i="31"/>
  <c r="DH73" i="31"/>
  <c r="CO74" i="31"/>
  <c r="BS74" i="31"/>
  <c r="CQ31" i="31" l="1"/>
  <c r="CS31" i="31" s="1"/>
  <c r="DI7" i="31"/>
  <c r="CA57" i="31"/>
  <c r="CQ57" i="31"/>
  <c r="CS57" i="31" s="1"/>
  <c r="DI55" i="31"/>
  <c r="DI70" i="31"/>
  <c r="CA72" i="31"/>
  <c r="CA37" i="31"/>
  <c r="DI54" i="31"/>
  <c r="CA11" i="31"/>
  <c r="CA15" i="31"/>
  <c r="CA40" i="31"/>
  <c r="CA70" i="31"/>
  <c r="CA59" i="31"/>
  <c r="CA64" i="31"/>
  <c r="CA12" i="31"/>
  <c r="CA36" i="31"/>
  <c r="CA29" i="31"/>
  <c r="CA6" i="31"/>
  <c r="CA18" i="31"/>
  <c r="CA53" i="31"/>
  <c r="CA41" i="31"/>
  <c r="CA5" i="31"/>
  <c r="DI20" i="31"/>
  <c r="DI58" i="31"/>
  <c r="CA31" i="31"/>
  <c r="CA66" i="31"/>
  <c r="CA45" i="31"/>
  <c r="CA35" i="31"/>
  <c r="CA26" i="31"/>
  <c r="CA22" i="31"/>
  <c r="CA48" i="31"/>
  <c r="CA51" i="31"/>
  <c r="DI69" i="31"/>
  <c r="CA19" i="31"/>
  <c r="CA46" i="31"/>
  <c r="CA58" i="31"/>
  <c r="DI6" i="31"/>
  <c r="DI9" i="31"/>
  <c r="DI57" i="31"/>
  <c r="CA38" i="31"/>
  <c r="CA39" i="31"/>
  <c r="CA33" i="31"/>
  <c r="CA55" i="31"/>
  <c r="CA67" i="31"/>
  <c r="CA20" i="31"/>
  <c r="CA23" i="31"/>
  <c r="CA24" i="31"/>
  <c r="CA25" i="31"/>
  <c r="CA30" i="31"/>
  <c r="CA50" i="31"/>
  <c r="CA54" i="31"/>
  <c r="CA71" i="31"/>
  <c r="DI65" i="31"/>
  <c r="DI24" i="31"/>
  <c r="DI64" i="31"/>
  <c r="CA61" i="31"/>
  <c r="CA9" i="31"/>
  <c r="DI60" i="31"/>
  <c r="CA63" i="31"/>
  <c r="CA21" i="31"/>
  <c r="CA13" i="31"/>
  <c r="CA60" i="31"/>
  <c r="CA69" i="31"/>
  <c r="CA10" i="31"/>
  <c r="CA65" i="31"/>
  <c r="CA7" i="31"/>
  <c r="CA47" i="31"/>
  <c r="DI62" i="31"/>
  <c r="DI47" i="31"/>
  <c r="DI27" i="31"/>
  <c r="CA14" i="31"/>
  <c r="CA4" i="31"/>
  <c r="CA62" i="31"/>
  <c r="CA34" i="31"/>
  <c r="CA49" i="31"/>
  <c r="CA43" i="31"/>
  <c r="CA32" i="31"/>
  <c r="CA17" i="31"/>
  <c r="CA8" i="31"/>
  <c r="CA27" i="31"/>
  <c r="CA42" i="31"/>
  <c r="CA52" i="31"/>
  <c r="CA44" i="31"/>
  <c r="CA68" i="31"/>
  <c r="CA28" i="31"/>
  <c r="CA56" i="31"/>
  <c r="CA3" i="31"/>
  <c r="CA16" i="31"/>
  <c r="DI4" i="31"/>
  <c r="DI38" i="31"/>
  <c r="DI43" i="31"/>
  <c r="DI66" i="31"/>
  <c r="DI53" i="31"/>
  <c r="DI30" i="31"/>
  <c r="DI51" i="31"/>
  <c r="DI68" i="31"/>
  <c r="DI23" i="31"/>
  <c r="CQ16" i="31"/>
  <c r="CS16" i="31" s="1"/>
  <c r="CQ33" i="31"/>
  <c r="CS33" i="31" s="1"/>
  <c r="CQ13" i="31"/>
  <c r="CS13" i="31" s="1"/>
  <c r="CQ51" i="31"/>
  <c r="CS51" i="31" s="1"/>
  <c r="DR51" i="31" s="1"/>
  <c r="CQ24" i="31"/>
  <c r="CS24" i="31" s="1"/>
  <c r="DR24" i="31" s="1"/>
  <c r="CQ35" i="31"/>
  <c r="CS35" i="31" s="1"/>
  <c r="DI15" i="31"/>
  <c r="CQ23" i="31"/>
  <c r="CS23" i="31" s="1"/>
  <c r="DR23" i="31" s="1"/>
  <c r="CQ11" i="31"/>
  <c r="CS11" i="31" s="1"/>
  <c r="CQ43" i="31"/>
  <c r="CS43" i="31" s="1"/>
  <c r="DR43" i="31" s="1"/>
  <c r="CQ69" i="31"/>
  <c r="CS69" i="31" s="1"/>
  <c r="DR69" i="31" s="1"/>
  <c r="CQ15" i="31"/>
  <c r="CS15" i="31" s="1"/>
  <c r="DR15" i="31" s="1"/>
  <c r="CQ65" i="31"/>
  <c r="CS65" i="31" s="1"/>
  <c r="DR65" i="31" s="1"/>
  <c r="CQ5" i="31"/>
  <c r="CS5" i="31" s="1"/>
  <c r="DI17" i="31"/>
  <c r="CQ50" i="31"/>
  <c r="CS50" i="31" s="1"/>
  <c r="CQ70" i="31"/>
  <c r="CS70" i="31" s="1"/>
  <c r="CQ46" i="31"/>
  <c r="CS46" i="31" s="1"/>
  <c r="CQ58" i="31"/>
  <c r="CQ25" i="31"/>
  <c r="CS25" i="31" s="1"/>
  <c r="CQ48" i="31"/>
  <c r="CS48" i="31" s="1"/>
  <c r="CQ38" i="31"/>
  <c r="CS38" i="31" s="1"/>
  <c r="DR38" i="31" s="1"/>
  <c r="DI45" i="31"/>
  <c r="CQ3" i="31"/>
  <c r="CS3" i="31" s="1"/>
  <c r="DR3" i="31" s="1"/>
  <c r="CQ12" i="31"/>
  <c r="CS12" i="31" s="1"/>
  <c r="CQ36" i="31"/>
  <c r="CS36" i="31" s="1"/>
  <c r="CQ26" i="31"/>
  <c r="CS26" i="31" s="1"/>
  <c r="CQ45" i="31"/>
  <c r="CS45" i="31" s="1"/>
  <c r="DR45" i="31" s="1"/>
  <c r="DI34" i="31"/>
  <c r="CQ22" i="31"/>
  <c r="CS22" i="31" s="1"/>
  <c r="DI3" i="31"/>
  <c r="DI72" i="31"/>
  <c r="CQ19" i="31"/>
  <c r="CS19" i="31" s="1"/>
  <c r="DI33" i="31"/>
  <c r="CQ37" i="31"/>
  <c r="CS37" i="31" s="1"/>
  <c r="DI26" i="31"/>
  <c r="CQ9" i="31"/>
  <c r="CS9" i="31" s="1"/>
  <c r="DR9" i="31" s="1"/>
  <c r="DI14" i="31"/>
  <c r="CQ67" i="31"/>
  <c r="CS67" i="31" s="1"/>
  <c r="CQ18" i="31"/>
  <c r="CS18" i="31" s="1"/>
  <c r="DI71" i="31"/>
  <c r="CQ56" i="31"/>
  <c r="CS56" i="31" s="1"/>
  <c r="DI40" i="31"/>
  <c r="CQ30" i="31"/>
  <c r="CS30" i="31" s="1"/>
  <c r="DI21" i="31"/>
  <c r="CQ27" i="31"/>
  <c r="CS27" i="31" s="1"/>
  <c r="CQ60" i="31"/>
  <c r="CS60" i="31" s="1"/>
  <c r="DR60" i="31" s="1"/>
  <c r="DI13" i="31"/>
  <c r="CQ14" i="31"/>
  <c r="CS14" i="31" s="1"/>
  <c r="DI67" i="31"/>
  <c r="CQ6" i="31"/>
  <c r="CS6" i="31" s="1"/>
  <c r="DI39" i="31"/>
  <c r="DI32" i="31"/>
  <c r="CQ61" i="31"/>
  <c r="CS61" i="31" s="1"/>
  <c r="DI50" i="31"/>
  <c r="CQ71" i="31"/>
  <c r="CS71" i="31" s="1"/>
  <c r="DI52" i="31"/>
  <c r="CQ72" i="31"/>
  <c r="CS72" i="31" s="1"/>
  <c r="DR72" i="31" s="1"/>
  <c r="DI11" i="31"/>
  <c r="CQ17" i="31"/>
  <c r="CS17" i="31" s="1"/>
  <c r="DR17" i="31" s="1"/>
  <c r="DI22" i="31"/>
  <c r="DI25" i="31"/>
  <c r="CQ47" i="31"/>
  <c r="CS47" i="31" s="1"/>
  <c r="DI28" i="31"/>
  <c r="CQ49" i="31"/>
  <c r="CS49" i="31" s="1"/>
  <c r="CQ42" i="31"/>
  <c r="CS42" i="31" s="1"/>
  <c r="CQ28" i="31"/>
  <c r="CS28" i="31" s="1"/>
  <c r="DR28" i="31" s="1"/>
  <c r="DI49" i="31"/>
  <c r="CQ7" i="31"/>
  <c r="CS7" i="31" s="1"/>
  <c r="DR7" i="31" s="1"/>
  <c r="DI35" i="31"/>
  <c r="CQ8" i="31"/>
  <c r="CS8" i="31" s="1"/>
  <c r="DI37" i="31"/>
  <c r="CQ64" i="31"/>
  <c r="CS64" i="31" s="1"/>
  <c r="DR64" i="31" s="1"/>
  <c r="DI56" i="31"/>
  <c r="CQ44" i="31"/>
  <c r="CS44" i="31" s="1"/>
  <c r="DI48" i="31"/>
  <c r="CQ4" i="31"/>
  <c r="CS4" i="31" s="1"/>
  <c r="DR4" i="31" s="1"/>
  <c r="DI8" i="31"/>
  <c r="CQ20" i="31"/>
  <c r="CS20" i="31" s="1"/>
  <c r="DR20" i="31" s="1"/>
  <c r="DI5" i="31"/>
  <c r="CQ52" i="31"/>
  <c r="CS52" i="31" s="1"/>
  <c r="DR52" i="31" s="1"/>
  <c r="DI59" i="31"/>
  <c r="CQ68" i="31"/>
  <c r="DI31" i="31"/>
  <c r="DI16" i="31"/>
  <c r="CQ53" i="31"/>
  <c r="CS53" i="31" s="1"/>
  <c r="DI42" i="31"/>
  <c r="CQ63" i="31"/>
  <c r="CS63" i="31" s="1"/>
  <c r="DI44" i="31"/>
  <c r="CQ54" i="31"/>
  <c r="CS54" i="31" s="1"/>
  <c r="DR54" i="31" s="1"/>
  <c r="DI29" i="31"/>
  <c r="CQ10" i="31"/>
  <c r="CS10" i="31" s="1"/>
  <c r="CQ29" i="31"/>
  <c r="CS29" i="31" s="1"/>
  <c r="DI18" i="31"/>
  <c r="CQ39" i="31"/>
  <c r="CS39" i="31" s="1"/>
  <c r="CQ40" i="31"/>
  <c r="CS40" i="31" s="1"/>
  <c r="CQ66" i="31"/>
  <c r="CS66" i="31" s="1"/>
  <c r="DR66" i="31" s="1"/>
  <c r="CQ21" i="31"/>
  <c r="DI10" i="31"/>
  <c r="DI12" i="31"/>
  <c r="CQ32" i="31"/>
  <c r="CS32" i="31" s="1"/>
  <c r="DR32" i="31" s="1"/>
  <c r="DI61" i="31"/>
  <c r="CQ41" i="31"/>
  <c r="CS41" i="31" s="1"/>
  <c r="DI46" i="31"/>
  <c r="CQ34" i="31"/>
  <c r="CS34" i="31" s="1"/>
  <c r="CQ59" i="31"/>
  <c r="CS59" i="31" s="1"/>
  <c r="DR59" i="31" s="1"/>
  <c r="DI41" i="31"/>
  <c r="CQ62" i="31"/>
  <c r="CS62" i="31" s="1"/>
  <c r="DR62" i="31" s="1"/>
  <c r="DI19" i="31"/>
  <c r="CQ55" i="31"/>
  <c r="CS55" i="31" s="1"/>
  <c r="DR55" i="31" s="1"/>
  <c r="DI36" i="31"/>
  <c r="DI63" i="31"/>
  <c r="DR53" i="31" l="1"/>
  <c r="DR6" i="31"/>
  <c r="DR70" i="31"/>
  <c r="DR39" i="31"/>
  <c r="DR47" i="31"/>
  <c r="DR44" i="31"/>
  <c r="DR27" i="31"/>
  <c r="DR30" i="31"/>
  <c r="DR42" i="31"/>
  <c r="DR34" i="31"/>
  <c r="DR40" i="31"/>
  <c r="DR71" i="31"/>
  <c r="DR61" i="31"/>
  <c r="DR22" i="31"/>
  <c r="DR5" i="31"/>
  <c r="DR35" i="31"/>
  <c r="DR29" i="31"/>
  <c r="DR48" i="31"/>
  <c r="DR10" i="31"/>
  <c r="DR25" i="31"/>
  <c r="CT68" i="31"/>
  <c r="CS68" i="31"/>
  <c r="DR68" i="31" s="1"/>
  <c r="DR37" i="31"/>
  <c r="DR26" i="31"/>
  <c r="CT58" i="31"/>
  <c r="CS58" i="31"/>
  <c r="DR58" i="31" s="1"/>
  <c r="DR13" i="31"/>
  <c r="CT21" i="31"/>
  <c r="DK21" i="31" s="1"/>
  <c r="CS21" i="31"/>
  <c r="DR21" i="31" s="1"/>
  <c r="DR56" i="31"/>
  <c r="DR36" i="31"/>
  <c r="DR46" i="31"/>
  <c r="DR33" i="31"/>
  <c r="DR57" i="31"/>
  <c r="DR49" i="31"/>
  <c r="DR14" i="31"/>
  <c r="DR19" i="31"/>
  <c r="DR12" i="31"/>
  <c r="DR11" i="31"/>
  <c r="DR16" i="31"/>
  <c r="DR63" i="31"/>
  <c r="DR18" i="31"/>
  <c r="DR50" i="31"/>
  <c r="DR41" i="31"/>
  <c r="DR8" i="31"/>
  <c r="DR67" i="31"/>
  <c r="DR31" i="31"/>
  <c r="CT31" i="31"/>
  <c r="CT67" i="31"/>
  <c r="DK67" i="31" s="1"/>
  <c r="CT46" i="31"/>
  <c r="CT43" i="31"/>
  <c r="DK43" i="31" s="1"/>
  <c r="CT71" i="31"/>
  <c r="DK71" i="31" s="1"/>
  <c r="CT54" i="31"/>
  <c r="CT35" i="31"/>
  <c r="DK35" i="31" s="1"/>
  <c r="CT13" i="31"/>
  <c r="DK13" i="31" s="1"/>
  <c r="CT5" i="31"/>
  <c r="DK5" i="31" s="1"/>
  <c r="CT44" i="31"/>
  <c r="CT40" i="31"/>
  <c r="DK40" i="31" s="1"/>
  <c r="CT72" i="31"/>
  <c r="DK72" i="31" s="1"/>
  <c r="CT45" i="31"/>
  <c r="DK45" i="31" s="1"/>
  <c r="CT63" i="31"/>
  <c r="DK63" i="31" s="1"/>
  <c r="CT18" i="31"/>
  <c r="DK18" i="31" s="1"/>
  <c r="CT25" i="31"/>
  <c r="DK25" i="31" s="1"/>
  <c r="CT26" i="31"/>
  <c r="DK26" i="31" s="1"/>
  <c r="CT9" i="31"/>
  <c r="DK9" i="31" s="1"/>
  <c r="CT30" i="31"/>
  <c r="DK30" i="31" s="1"/>
  <c r="CT51" i="31"/>
  <c r="DK51" i="31" s="1"/>
  <c r="CT17" i="31"/>
  <c r="DK17" i="31" s="1"/>
  <c r="CT70" i="31"/>
  <c r="DK70" i="31" s="1"/>
  <c r="CT23" i="31"/>
  <c r="DK23" i="31" s="1"/>
  <c r="CT41" i="31"/>
  <c r="DK41" i="31" s="1"/>
  <c r="CT69" i="31"/>
  <c r="DK69" i="31" s="1"/>
  <c r="CT32" i="31"/>
  <c r="DK32" i="31" s="1"/>
  <c r="CT59" i="31"/>
  <c r="DK59" i="31" s="1"/>
  <c r="CT50" i="31"/>
  <c r="DK50" i="31" s="1"/>
  <c r="CT57" i="31"/>
  <c r="DK57" i="31" s="1"/>
  <c r="CT24" i="31"/>
  <c r="DK24" i="31" s="1"/>
  <c r="CT48" i="31"/>
  <c r="DK48" i="31" s="1"/>
  <c r="CT56" i="31"/>
  <c r="DK56" i="31" s="1"/>
  <c r="CT28" i="31"/>
  <c r="DK28" i="31" s="1"/>
  <c r="CT20" i="31"/>
  <c r="DK20" i="31" s="1"/>
  <c r="CT47" i="31"/>
  <c r="DK47" i="31" s="1"/>
  <c r="CT60" i="31"/>
  <c r="DK60" i="31" s="1"/>
  <c r="CT37" i="31"/>
  <c r="DK37" i="31" s="1"/>
  <c r="CT4" i="31"/>
  <c r="DK4" i="31" s="1"/>
  <c r="CT10" i="31"/>
  <c r="DK10" i="31" s="1"/>
  <c r="CT36" i="31"/>
  <c r="DK36" i="31" s="1"/>
  <c r="CT12" i="31"/>
  <c r="DK12" i="31" s="1"/>
  <c r="CT3" i="31"/>
  <c r="DK3" i="31" s="1"/>
  <c r="DK58" i="31"/>
  <c r="DK68" i="31"/>
  <c r="DK54" i="31"/>
  <c r="CT16" i="31"/>
  <c r="DK16" i="31" s="1"/>
  <c r="CT7" i="31"/>
  <c r="DK7" i="31" s="1"/>
  <c r="CT33" i="31"/>
  <c r="DK33" i="31" s="1"/>
  <c r="CT6" i="31"/>
  <c r="DK6" i="31" s="1"/>
  <c r="CT15" i="31"/>
  <c r="DK15" i="31" s="1"/>
  <c r="CT42" i="31"/>
  <c r="DK42" i="31" s="1"/>
  <c r="CT65" i="31"/>
  <c r="DK65" i="31" s="1"/>
  <c r="DK46" i="31"/>
  <c r="CT29" i="31"/>
  <c r="DK29" i="31" s="1"/>
  <c r="CT38" i="31"/>
  <c r="DK38" i="31" s="1"/>
  <c r="CT27" i="31"/>
  <c r="DK27" i="31" s="1"/>
  <c r="CT22" i="31"/>
  <c r="DK22" i="31" s="1"/>
  <c r="CT39" i="31"/>
  <c r="DK39" i="31" s="1"/>
  <c r="CT61" i="31"/>
  <c r="DK61" i="31" s="1"/>
  <c r="CT8" i="31"/>
  <c r="DK8" i="31" s="1"/>
  <c r="CT53" i="31"/>
  <c r="DK53" i="31" s="1"/>
  <c r="DK31" i="31"/>
  <c r="CT11" i="31"/>
  <c r="DK11" i="31" s="1"/>
  <c r="DK44" i="31"/>
  <c r="CT34" i="31"/>
  <c r="DK34" i="31" s="1"/>
  <c r="CT19" i="31"/>
  <c r="DK19" i="31" s="1"/>
  <c r="CT52" i="31"/>
  <c r="DK52" i="31" s="1"/>
  <c r="CT14" i="31"/>
  <c r="DK14" i="31" s="1"/>
  <c r="CT49" i="31"/>
  <c r="DK49" i="31" s="1"/>
  <c r="CT64" i="31"/>
  <c r="DK64" i="31" s="1"/>
  <c r="CT55" i="31"/>
  <c r="DK55" i="31" s="1"/>
  <c r="CT62" i="31"/>
  <c r="DK62" i="31" s="1"/>
  <c r="CT66" i="31"/>
  <c r="DK66" i="31" s="1"/>
  <c r="BE30" i="31" l="1"/>
  <c r="AZ35" i="31" s="1"/>
  <c r="AO35" i="31" s="1"/>
  <c r="AZ18" i="31" l="1"/>
  <c r="AO18" i="31" s="1"/>
  <c r="AZ25" i="31"/>
  <c r="AO25" i="31" s="1"/>
  <c r="AZ61" i="31"/>
  <c r="AO61" i="31" s="1"/>
  <c r="AZ56" i="31"/>
  <c r="AO56" i="31" s="1"/>
  <c r="AZ31" i="31"/>
  <c r="AO31" i="31" s="1"/>
  <c r="AZ41" i="31"/>
  <c r="AO41" i="31" s="1"/>
  <c r="AZ48" i="31"/>
  <c r="AO48" i="31" s="1"/>
  <c r="AZ10" i="31"/>
  <c r="AO10" i="31" s="1"/>
  <c r="AZ11" i="31"/>
  <c r="AO11" i="31" s="1"/>
  <c r="AZ55" i="31"/>
  <c r="AO55" i="31" s="1"/>
  <c r="AZ28" i="31"/>
  <c r="AO28" i="31" s="1"/>
  <c r="AZ6" i="31"/>
  <c r="AO6" i="31" s="1"/>
  <c r="AZ44" i="31"/>
  <c r="AO44" i="31" s="1"/>
  <c r="AZ24" i="31"/>
  <c r="AO24" i="31" s="1"/>
  <c r="AZ13" i="31"/>
  <c r="AO13" i="31" s="1"/>
  <c r="AZ30" i="31"/>
  <c r="AO30" i="31" s="1"/>
  <c r="AZ33" i="31"/>
  <c r="AO33" i="31" s="1"/>
  <c r="AO73" i="31" l="1"/>
  <c r="BE33" i="31" s="1"/>
  <c r="AF35" i="31" s="1"/>
  <c r="AM35" i="31" s="1"/>
  <c r="AF30" i="31" l="1"/>
  <c r="AM30" i="31" s="1"/>
  <c r="AF11" i="31"/>
  <c r="AM11" i="31" s="1"/>
  <c r="AF28" i="31"/>
  <c r="AM28" i="31" s="1"/>
  <c r="AF55" i="31"/>
  <c r="AM55" i="31" s="1"/>
  <c r="AF48" i="31"/>
  <c r="AM48" i="31" s="1"/>
  <c r="AF24" i="31"/>
  <c r="AM24" i="31" s="1"/>
  <c r="AF18" i="31"/>
  <c r="AM18" i="31" s="1"/>
  <c r="AF33" i="31"/>
  <c r="AM33" i="31" s="1"/>
  <c r="AF31" i="31"/>
  <c r="AM31" i="31" s="1"/>
  <c r="AF56" i="31"/>
  <c r="AM56" i="31" s="1"/>
  <c r="AF6" i="31"/>
  <c r="AF25" i="31"/>
  <c r="AM25" i="31" s="1"/>
  <c r="AF44" i="31"/>
  <c r="AM44" i="31" s="1"/>
  <c r="AF13" i="31"/>
  <c r="AM13" i="31" s="1"/>
  <c r="AF10" i="31"/>
  <c r="AM10" i="31" s="1"/>
  <c r="AF61" i="31"/>
  <c r="AM61" i="31" s="1"/>
  <c r="AF41" i="31"/>
  <c r="AM41" i="31" s="1"/>
  <c r="AF73" i="31" l="1"/>
  <c r="AM6" i="31"/>
  <c r="AM73" i="31" s="1"/>
  <c r="AM74" i="31" l="1"/>
</calcChain>
</file>

<file path=xl/comments1.xml><?xml version="1.0" encoding="utf-8"?>
<comments xmlns="http://schemas.openxmlformats.org/spreadsheetml/2006/main">
  <authors>
    <author>stano</author>
  </authors>
  <commentList>
    <comment ref="B12" authorId="0" shapeId="0">
      <text>
        <r>
          <rPr>
            <b/>
            <sz val="9"/>
            <rFont val="Times New Roman"/>
            <family val="1"/>
            <charset val="238"/>
          </rPr>
          <t>stano:</t>
        </r>
        <r>
          <rPr>
            <sz val="9"/>
            <rFont val="Times New Roman"/>
            <family val="1"/>
            <charset val="238"/>
          </rPr>
          <t xml:space="preserve">
Dna 21.4.2020 pretransformovany na Fakultu zdravotnickych vied</t>
        </r>
      </text>
    </comment>
  </commentList>
</comments>
</file>

<file path=xl/sharedStrings.xml><?xml version="1.0" encoding="utf-8"?>
<sst xmlns="http://schemas.openxmlformats.org/spreadsheetml/2006/main" count="1695" uniqueCount="477">
  <si>
    <t>VS_NAZOV</t>
  </si>
  <si>
    <t>FAKULTA_NAZOV / sucasti</t>
  </si>
  <si>
    <t>počet</t>
  </si>
  <si>
    <t>Univerzita Komenského v Bratislave</t>
  </si>
  <si>
    <t>Právnická fakulta UK</t>
  </si>
  <si>
    <t>pedagogické vedy</t>
  </si>
  <si>
    <t>humanitné vedy</t>
  </si>
  <si>
    <t>historické vedy a etnológia</t>
  </si>
  <si>
    <t>umenie</t>
  </si>
  <si>
    <t>projektovanie, inžinierstvo, technológie a vodné hospodárstvo</t>
  </si>
  <si>
    <t>spoločenské a behaviorálne vedy</t>
  </si>
  <si>
    <t>právo a medzinárodné vzťahy</t>
  </si>
  <si>
    <t>ekonómia a manažment</t>
  </si>
  <si>
    <t>fyzika</t>
  </si>
  <si>
    <t>vedy o Zemi a vesmíre</t>
  </si>
  <si>
    <t>environmentalistika a ekológia</t>
  </si>
  <si>
    <t>metalurgické a montánne vedy</t>
  </si>
  <si>
    <t>chémia, chemická technológia a biotechnológie</t>
  </si>
  <si>
    <t>vedy o živej prírode</t>
  </si>
  <si>
    <t>strojárstvo</t>
  </si>
  <si>
    <t>elektrotechnika a elektroenergetika</t>
  </si>
  <si>
    <t>informatické vedy, automatizácia a telekomunikácie</t>
  </si>
  <si>
    <t>inžinierstvo a technológie</t>
  </si>
  <si>
    <t>lekárske, farmaceutické a nelekárske zdravotnícke vedy</t>
  </si>
  <si>
    <t>poľnohospodárske a lesnícke vedy</t>
  </si>
  <si>
    <t>veterinárske vedy</t>
  </si>
  <si>
    <t>vedy o športe</t>
  </si>
  <si>
    <t>dopravné služby</t>
  </si>
  <si>
    <t>bezpečnostné služby</t>
  </si>
  <si>
    <t>matematika a štatistika</t>
  </si>
  <si>
    <t>Pedagogická fakulta UK</t>
  </si>
  <si>
    <t>Filozofická fakulta UK</t>
  </si>
  <si>
    <t>Jesseniova lekárska fakulta UK</t>
  </si>
  <si>
    <t>Fakulta managementu UK</t>
  </si>
  <si>
    <t>Prírodovedecká fakulta UK</t>
  </si>
  <si>
    <t>Fakulta matematiky, fyziky a informatiky UK</t>
  </si>
  <si>
    <t>Lekárska fakulta UK</t>
  </si>
  <si>
    <t>Fakulta telesnej výchovy a športu UK</t>
  </si>
  <si>
    <t>Fakulta sociálnych a ekonomických vied UK</t>
  </si>
  <si>
    <t>Evanjelická bohoslovecká fakulta UK</t>
  </si>
  <si>
    <t>Rímskokatolícka cyrilometodská bohoslovecká fakulta UK</t>
  </si>
  <si>
    <t>Farmaceutická fakulta UK</t>
  </si>
  <si>
    <t>Vedecký park UK</t>
  </si>
  <si>
    <t>Slovenská technická univerzita v Bratislave</t>
  </si>
  <si>
    <t>Ústav manažmentu STU</t>
  </si>
  <si>
    <t>Fakulta architektúry</t>
  </si>
  <si>
    <t>Materiálovotechnologická fakulta so sídlom v Trnave</t>
  </si>
  <si>
    <t>Stavebná fakulta STU v Bratislave</t>
  </si>
  <si>
    <t>Strojnícka fakulta Slovenskej technickej univerzity v Bratislave</t>
  </si>
  <si>
    <t>Fakulta elektrotechniky a informatiky</t>
  </si>
  <si>
    <t>Fakulta chemickej a potravinárskej technológie</t>
  </si>
  <si>
    <t>Fakulta informatiky a informačných technológií</t>
  </si>
  <si>
    <t>Ekonomická univerzita v Bratislave</t>
  </si>
  <si>
    <t>Podnikovohospodárska fakulta v Košiciach</t>
  </si>
  <si>
    <t>Fakulta podnikového manažmentu</t>
  </si>
  <si>
    <t>Obchodná fakulta</t>
  </si>
  <si>
    <t>Národohospodárska fakulta</t>
  </si>
  <si>
    <t>Fakulta hospodárskej informatiky</t>
  </si>
  <si>
    <t>Fakulta aplikovaných jazykov</t>
  </si>
  <si>
    <t>Fakulta medzinárodných vzťahov</t>
  </si>
  <si>
    <t>Slovenská poľnohospodárska univerzita v Nitre</t>
  </si>
  <si>
    <t>Technická fakulta</t>
  </si>
  <si>
    <t>Fakulta ekonomiky a manažmentu</t>
  </si>
  <si>
    <t>Fakulta biotechnológie a potravinárstva</t>
  </si>
  <si>
    <t>Fakulta európskych štúdií a regionálneho rozvoja</t>
  </si>
  <si>
    <t>Fakulta agrobiológie a potravinových zdrojov</t>
  </si>
  <si>
    <t>Fakulta záhradníctva a krajinného inžinierstva</t>
  </si>
  <si>
    <t>Výskumné centrum AgroBioTech</t>
  </si>
  <si>
    <t>Technická univerzita vo Zvolene</t>
  </si>
  <si>
    <t>Ústav cudzích jazykov</t>
  </si>
  <si>
    <t>Drevárska fakulta</t>
  </si>
  <si>
    <t>Fakulta techniky</t>
  </si>
  <si>
    <t>Fakulta ekológie a environmentalistiky</t>
  </si>
  <si>
    <t>Lesnícka fakulta</t>
  </si>
  <si>
    <t>Vysoká škola výtvarných umení v Bratislave</t>
  </si>
  <si>
    <t>Pracoviská VŠVU</t>
  </si>
  <si>
    <t>Vysoká škola múzických umení v Bratislave</t>
  </si>
  <si>
    <t>Hudobná a tanečná fakulta VŠMU</t>
  </si>
  <si>
    <t>Divadelná fakulta VŠMU</t>
  </si>
  <si>
    <t>Filmová a televízna fakulta VŠMU</t>
  </si>
  <si>
    <t>Univerzita veterinárskeho lekárstva a farmácie v Košiciach</t>
  </si>
  <si>
    <t>Pracoviská UVLF</t>
  </si>
  <si>
    <t>Univerzitná veterinárna nemocnica</t>
  </si>
  <si>
    <t>Technická univerzita v Košiciach</t>
  </si>
  <si>
    <t>Strojnícka fakulta</t>
  </si>
  <si>
    <t>Fakulta výrobných technológií</t>
  </si>
  <si>
    <t>Fakulta baníctva, ekológie, riadenia a geotechnológií</t>
  </si>
  <si>
    <t>Stavebná fakulta</t>
  </si>
  <si>
    <t>Letecká fakulta</t>
  </si>
  <si>
    <t>Ekonomická fakulta</t>
  </si>
  <si>
    <t>Fakulta materiálov, metalurgie a recyklácie</t>
  </si>
  <si>
    <t>Fakulta umení</t>
  </si>
  <si>
    <t>Žilinská univerzita v Žiline</t>
  </si>
  <si>
    <t>Fakulta riadenia a informatiky</t>
  </si>
  <si>
    <t>Fakulta bezpečnostného inžinierstva</t>
  </si>
  <si>
    <t>Fakulta humanitných vied</t>
  </si>
  <si>
    <t>Fakulta prevádzky a ekonomiky dopravy a spojov</t>
  </si>
  <si>
    <t>Fakulta elektrotechniky a informačných technológií</t>
  </si>
  <si>
    <t>Celouniverzitné pracovisko ŽU</t>
  </si>
  <si>
    <t>Univerzita Pavla Jozefa Šafárika v Košiciach</t>
  </si>
  <si>
    <t>Filozofická fakulta</t>
  </si>
  <si>
    <t>Právnická fakulta</t>
  </si>
  <si>
    <t>Lekárska fakulta, Košice</t>
  </si>
  <si>
    <t>Prírodovedecká fakulta</t>
  </si>
  <si>
    <t>Fakulta verejnej správy</t>
  </si>
  <si>
    <t>Celouniverzitné pracovisko UPJŠ</t>
  </si>
  <si>
    <t>Trnavská univerzita v Trnave</t>
  </si>
  <si>
    <t>Pedagogická fakulta</t>
  </si>
  <si>
    <t>Teologická fakulta</t>
  </si>
  <si>
    <t>Fakulta zdravotníctva a sociálnej práce</t>
  </si>
  <si>
    <t>Ústav dejín Trnavskej univerzity</t>
  </si>
  <si>
    <t>Univerzita Mateja Bela v Banskej Bystrici</t>
  </si>
  <si>
    <t>Fakulta politických vied a medzinárodných vzťahov</t>
  </si>
  <si>
    <t>Fakulta prírodných vied</t>
  </si>
  <si>
    <t>Univerzita Konštantína Filozofa v Nitre</t>
  </si>
  <si>
    <t>Fakulta sociálnych vied a zdravotníctva</t>
  </si>
  <si>
    <t>Pedagogická fakulta UKF</t>
  </si>
  <si>
    <t>Fakulta stredoeurópskych štúdií</t>
  </si>
  <si>
    <t>Prešovská univerzita v Prešove</t>
  </si>
  <si>
    <t>Fakulta humanitných a prírodných vied</t>
  </si>
  <si>
    <t>Fakulta manažmentu</t>
  </si>
  <si>
    <t>Fakulta športu</t>
  </si>
  <si>
    <t>Fakulta zdravotníckych odborov</t>
  </si>
  <si>
    <t>Gréckokatolícka teologická fakulta</t>
  </si>
  <si>
    <t>Pravoslávna bohoslovecká fakulta</t>
  </si>
  <si>
    <t>Akadémia umení</t>
  </si>
  <si>
    <t>Fakulta výtvarných umení</t>
  </si>
  <si>
    <t>Fakulta dramatických umení</t>
  </si>
  <si>
    <t>Fakulta múzických umení</t>
  </si>
  <si>
    <t>Trenčianska univerzita Alexandra Dubčeka v Trenčíne</t>
  </si>
  <si>
    <t>Fakulta sociálno-ekonomických vzťahov</t>
  </si>
  <si>
    <t>Fakulta zdravotníctva</t>
  </si>
  <si>
    <t>Fakulta špeciálnej techniky</t>
  </si>
  <si>
    <t>FunGlass - Centrum pre funkčné a povrchovo funkcionalizované sklá</t>
  </si>
  <si>
    <t>Fakulta priemyselných technológií v Púchove</t>
  </si>
  <si>
    <t>Univerzita sv. Cyrila a Metoda v Trnave</t>
  </si>
  <si>
    <t>Fakulta sociálnych  vied</t>
  </si>
  <si>
    <t>Fakulta masmediálnej komunikácie</t>
  </si>
  <si>
    <t>Katolícka univerzita v Ružomberku</t>
  </si>
  <si>
    <t>Univerzita J. Selyeho</t>
  </si>
  <si>
    <t>Fakulta ekonómie a informatiky</t>
  </si>
  <si>
    <t>Reformovaná teologická fakulta</t>
  </si>
  <si>
    <t>SPOLU</t>
  </si>
  <si>
    <t>Centrum jazykov a kultúr národnostných menšín</t>
  </si>
  <si>
    <t>Centrum celoživotného a kompetenčného vzdelávania</t>
  </si>
  <si>
    <t>Celouniverzitné pracovisko - Katedra politológie</t>
  </si>
  <si>
    <t>objem_zahr_granty</t>
  </si>
  <si>
    <t>výkon_publikácie</t>
  </si>
  <si>
    <t>váha 75%</t>
  </si>
  <si>
    <t>váha 25%</t>
  </si>
  <si>
    <t>váha 60%</t>
  </si>
  <si>
    <t>váha 40%</t>
  </si>
  <si>
    <t>výkon_total</t>
  </si>
  <si>
    <t>podiel</t>
  </si>
  <si>
    <t>%podiel</t>
  </si>
  <si>
    <t>suma</t>
  </si>
  <si>
    <t>váha 100%</t>
  </si>
  <si>
    <t>% podiel</t>
  </si>
  <si>
    <t>podiel/zam.</t>
  </si>
  <si>
    <t>váha</t>
  </si>
  <si>
    <t>alokácia</t>
  </si>
  <si>
    <t>výkon_umenie</t>
  </si>
  <si>
    <t>výkon_total_ume</t>
  </si>
  <si>
    <t>suma/zamest.</t>
  </si>
  <si>
    <t>váhaP</t>
  </si>
  <si>
    <t>výkon_final</t>
  </si>
  <si>
    <t>objem_zahr_granty_21</t>
  </si>
  <si>
    <t>objem_zahr_granty_22</t>
  </si>
  <si>
    <t>počet_zam</t>
  </si>
  <si>
    <t>výkon_model21</t>
  </si>
  <si>
    <t>výkon_model22</t>
  </si>
  <si>
    <t>výkon_podiel21</t>
  </si>
  <si>
    <t>výkon_podiel22</t>
  </si>
  <si>
    <t>váha_zam21</t>
  </si>
  <si>
    <t>podiel_exc21</t>
  </si>
  <si>
    <t>výkon_exc21</t>
  </si>
  <si>
    <t>výkon_exc22</t>
  </si>
  <si>
    <t>váha_zam22</t>
  </si>
  <si>
    <t>podiel_exc_22</t>
  </si>
  <si>
    <t>suma/zam22</t>
  </si>
  <si>
    <t>výkon_index22</t>
  </si>
  <si>
    <t>výkon_index_21</t>
  </si>
  <si>
    <t>výkon_pub/zam21</t>
  </si>
  <si>
    <t>výkon_pub/zam22</t>
  </si>
  <si>
    <t>%podiel_zam21</t>
  </si>
  <si>
    <t>%podiel_zam22</t>
  </si>
  <si>
    <t>výkon_zg/zam22</t>
  </si>
  <si>
    <t>výkon_zg/zam21</t>
  </si>
  <si>
    <t>výkon_index21</t>
  </si>
  <si>
    <t>Fakulta prírodných vied UMB</t>
  </si>
  <si>
    <t>Fakulta prírodných vied UKF</t>
  </si>
  <si>
    <t>Prírodovedecká fakulta UPJŠ</t>
  </si>
  <si>
    <t>Fakulta prírodných vied UCM</t>
  </si>
  <si>
    <t>Pedagogická fakulta KU</t>
  </si>
  <si>
    <t>podiel_exc22</t>
  </si>
  <si>
    <t>výkon_mono21</t>
  </si>
  <si>
    <t>výkon_indx/zam21</t>
  </si>
  <si>
    <t>%podiel_mono_zam21</t>
  </si>
  <si>
    <t>M1_PRIR</t>
  </si>
  <si>
    <t>M2_TECH</t>
  </si>
  <si>
    <t>M3_LEK</t>
  </si>
  <si>
    <t>M4_POL</t>
  </si>
  <si>
    <t>M5_SPOL</t>
  </si>
  <si>
    <t>M6_HUM</t>
  </si>
  <si>
    <t>model_22</t>
  </si>
  <si>
    <t>Slovenská technická univerzita</t>
  </si>
  <si>
    <t>Univerzita Mateja Bela</t>
  </si>
  <si>
    <t>Univerzita Konštantína Filozofa</t>
  </si>
  <si>
    <t>Prešovská univerzita</t>
  </si>
  <si>
    <t>Technická univerzita Zvolen</t>
  </si>
  <si>
    <t>Vysoká škola výtvarných umení</t>
  </si>
  <si>
    <t>Technická univerzita Košice</t>
  </si>
  <si>
    <t>zostatok bez umenia</t>
  </si>
  <si>
    <t>60% (publikácie)</t>
  </si>
  <si>
    <t>podiely</t>
  </si>
  <si>
    <t>final_podiel</t>
  </si>
  <si>
    <t>váha_zam_22</t>
  </si>
  <si>
    <t>30% KA 2021</t>
  </si>
  <si>
    <t>alokácia (100%)</t>
  </si>
  <si>
    <t>M1</t>
  </si>
  <si>
    <t>M2</t>
  </si>
  <si>
    <t>M3</t>
  </si>
  <si>
    <t>M4</t>
  </si>
  <si>
    <t>M5</t>
  </si>
  <si>
    <t>M6</t>
  </si>
  <si>
    <t>vyk_index</t>
  </si>
  <si>
    <t>fit_index</t>
  </si>
  <si>
    <t>res_index</t>
  </si>
  <si>
    <t>z_pub_index</t>
  </si>
  <si>
    <t>vyk_grant</t>
  </si>
  <si>
    <t>fit_grant</t>
  </si>
  <si>
    <t>res_grant</t>
  </si>
  <si>
    <t>z_grant</t>
  </si>
  <si>
    <t>vyk_mon</t>
  </si>
  <si>
    <t>fit_mon</t>
  </si>
  <si>
    <t>z_pub_mon</t>
  </si>
  <si>
    <t>res_mon</t>
  </si>
  <si>
    <t>z_pub</t>
  </si>
  <si>
    <t>rozdiel</t>
  </si>
  <si>
    <t>fit_index_correct</t>
  </si>
  <si>
    <t>res_index_correct</t>
  </si>
  <si>
    <t>z_pub_index_correct</t>
  </si>
  <si>
    <t>výk_model22_correct</t>
  </si>
  <si>
    <t>výkon_model22_correct</t>
  </si>
  <si>
    <t>suma_correct</t>
  </si>
  <si>
    <t>vyk_index_correct</t>
  </si>
  <si>
    <t>M6_UM_VIZUAL</t>
  </si>
  <si>
    <t>M6_UM_PERFORM</t>
  </si>
  <si>
    <t>umelecké výkony</t>
  </si>
  <si>
    <t>Vysoká škola muzických umení</t>
  </si>
  <si>
    <t>Katolícka univerzita</t>
  </si>
  <si>
    <t>Vizuálna časť</t>
  </si>
  <si>
    <t>Performatívna časť</t>
  </si>
  <si>
    <t>výkon</t>
  </si>
  <si>
    <t>fit_výkon</t>
  </si>
  <si>
    <t>res_výkon</t>
  </si>
  <si>
    <t>z_výkon</t>
  </si>
  <si>
    <t>Počet záznamov</t>
  </si>
  <si>
    <t>Prepočet cez váhy</t>
  </si>
  <si>
    <t>vyk-V</t>
  </si>
  <si>
    <t>VVŠ</t>
  </si>
  <si>
    <t>ZZZ</t>
  </si>
  <si>
    <t>ZZY</t>
  </si>
  <si>
    <t>ZYZ</t>
  </si>
  <si>
    <t>ZYY</t>
  </si>
  <si>
    <t>spolu</t>
  </si>
  <si>
    <t>vyk-P</t>
  </si>
  <si>
    <t>SD</t>
  </si>
  <si>
    <t>z_grant_formula</t>
  </si>
  <si>
    <t>z_pub_index_formula</t>
  </si>
  <si>
    <t>mean_res_g</t>
  </si>
  <si>
    <t>mean_res_pub</t>
  </si>
  <si>
    <t>podiel_exc22_correct</t>
  </si>
  <si>
    <t>výk_exc22_correct</t>
  </si>
  <si>
    <t>váha_zam22_correct</t>
  </si>
  <si>
    <t>suma/zam22_correct</t>
  </si>
  <si>
    <t>rozdiely</t>
  </si>
  <si>
    <t>sumy</t>
  </si>
  <si>
    <t>%</t>
  </si>
  <si>
    <t>vyk_grant_correct</t>
  </si>
  <si>
    <t>granty_correct</t>
  </si>
  <si>
    <t>publikácie_correct</t>
  </si>
  <si>
    <t>podiel_correct</t>
  </si>
  <si>
    <t>final_podiel_correct</t>
  </si>
  <si>
    <t>podiely_correct</t>
  </si>
  <si>
    <t>z_pub_correct</t>
  </si>
  <si>
    <t>fit_grant_correct</t>
  </si>
  <si>
    <t>res_grant_correct</t>
  </si>
  <si>
    <t>z_grant_correct</t>
  </si>
  <si>
    <t>výkon_22_correct</t>
  </si>
  <si>
    <t>podiel_exc_22_correct</t>
  </si>
  <si>
    <t>váha_zam_22_correct</t>
  </si>
  <si>
    <t>korekcia2022</t>
  </si>
  <si>
    <t>suma_correct_fin</t>
  </si>
  <si>
    <t>výkon_model22_correct_fin</t>
  </si>
  <si>
    <t>výk_exc_22_correct_fin</t>
  </si>
  <si>
    <t>podiel_exc_22_correct_fin</t>
  </si>
  <si>
    <t>váha_zam22_correct_fin</t>
  </si>
  <si>
    <t>suma/zam22_correct_fin</t>
  </si>
  <si>
    <t>výkon_model_22_correct</t>
  </si>
  <si>
    <t>mean_res_p</t>
  </si>
  <si>
    <t>výk22_exc</t>
  </si>
  <si>
    <t>model_22correct</t>
  </si>
  <si>
    <t>exc22</t>
  </si>
  <si>
    <t>podiel_exc22correct</t>
  </si>
  <si>
    <t>váha_correct</t>
  </si>
  <si>
    <t>prir</t>
  </si>
  <si>
    <t>Fakulta matematiky, fyziky a informatiky</t>
  </si>
  <si>
    <t>Univerzitné poradenské a podporné centrum</t>
  </si>
  <si>
    <t>Univerzita veterinárskeho lekárstva a farmácie</t>
  </si>
  <si>
    <t>Predklinické pracoviská</t>
  </si>
  <si>
    <t>Ústav jazykov, spoločenských vied a akademického športu</t>
  </si>
  <si>
    <t>Fakulta zdravotníckych vied</t>
  </si>
  <si>
    <t>Inštitút manažmentu</t>
  </si>
  <si>
    <t>family=SICHEL</t>
  </si>
  <si>
    <t>fit_index_pomer23</t>
  </si>
  <si>
    <t>fit_index_model23</t>
  </si>
  <si>
    <t>res_index_pomer23</t>
  </si>
  <si>
    <t>res_index_model23</t>
  </si>
  <si>
    <t>z_pub_index_model23</t>
  </si>
  <si>
    <t>vyk_mon23</t>
  </si>
  <si>
    <t>res_mon23</t>
  </si>
  <si>
    <t>fit_mon23</t>
  </si>
  <si>
    <t>z_pub23</t>
  </si>
  <si>
    <t>fit_grant23</t>
  </si>
  <si>
    <t>res_grant23</t>
  </si>
  <si>
    <t>z_grant23</t>
  </si>
  <si>
    <t>z_final23</t>
  </si>
  <si>
    <t>výkon23</t>
  </si>
  <si>
    <t>zam2021</t>
  </si>
  <si>
    <t>zam2019</t>
  </si>
  <si>
    <t>Slovenská poľnohospodárska univerzita</t>
  </si>
  <si>
    <t>Centrum jazykov</t>
  </si>
  <si>
    <t>vyk_index_correct22</t>
  </si>
  <si>
    <t>fit_index_correct22</t>
  </si>
  <si>
    <t>priemer/zam/pomer</t>
  </si>
  <si>
    <t>priemer/zam/model</t>
  </si>
  <si>
    <t>z_index_pomer23</t>
  </si>
  <si>
    <t>z_index_model23</t>
  </si>
  <si>
    <t>vyk_mon22</t>
  </si>
  <si>
    <t>mon/pomer</t>
  </si>
  <si>
    <t>mon/model</t>
  </si>
  <si>
    <t>grant23</t>
  </si>
  <si>
    <t>pomer/zam</t>
  </si>
  <si>
    <t>pomer/model</t>
  </si>
  <si>
    <t>fit_frant23</t>
  </si>
  <si>
    <t>z_granty23</t>
  </si>
  <si>
    <t>fit_index23</t>
  </si>
  <si>
    <t>res_index23</t>
  </si>
  <si>
    <t>z_index23</t>
  </si>
  <si>
    <t>granty23</t>
  </si>
  <si>
    <t>fit_granty23</t>
  </si>
  <si>
    <t>res_granty23</t>
  </si>
  <si>
    <t>final23</t>
  </si>
  <si>
    <t>index23</t>
  </si>
  <si>
    <t>Materiálovo-technologická fakulta</t>
  </si>
  <si>
    <t>UMB</t>
  </si>
  <si>
    <t>STU</t>
  </si>
  <si>
    <t>TUKE</t>
  </si>
  <si>
    <t>TUZV</t>
  </si>
  <si>
    <t>VŠVU</t>
  </si>
  <si>
    <t>AU</t>
  </si>
  <si>
    <t>spolu 2020+2021</t>
  </si>
  <si>
    <t>PU</t>
  </si>
  <si>
    <t>UKF</t>
  </si>
  <si>
    <t>VŠMU</t>
  </si>
  <si>
    <t>KU</t>
  </si>
  <si>
    <t>spolu vizuálne+performatívne</t>
  </si>
  <si>
    <t>podiel vizuálne</t>
  </si>
  <si>
    <t>podiel performatívne</t>
  </si>
  <si>
    <t>publikácie2022</t>
  </si>
  <si>
    <t>publikácie2023</t>
  </si>
  <si>
    <t>podiel_correct22</t>
  </si>
  <si>
    <t>granty22</t>
  </si>
  <si>
    <t>granty_podiel23</t>
  </si>
  <si>
    <t>publik_podiel23</t>
  </si>
  <si>
    <t>final_podiel23</t>
  </si>
  <si>
    <t>podiely23</t>
  </si>
  <si>
    <t>kod skoly</t>
  </si>
  <si>
    <t>Fakulta architektúry a dizajnu</t>
  </si>
  <si>
    <t>Centrum jazykov SPU</t>
  </si>
  <si>
    <t>Ústav telesnej výchovy a športu</t>
  </si>
  <si>
    <t>Pracoviská chémie a farmácie</t>
  </si>
  <si>
    <t>Pracoviská hygieny potravín, chovu zvierat a životného prostredia</t>
  </si>
  <si>
    <t>Výskumné centrá a laboratóriá</t>
  </si>
  <si>
    <t>Univerzitný vedecký park UNIZA</t>
  </si>
  <si>
    <t xml:space="preserve">Celouniverzitné pracoviská ŽU </t>
  </si>
  <si>
    <t>Výskumné centrum UNIZA</t>
  </si>
  <si>
    <t>alokácia_correct22</t>
  </si>
  <si>
    <t>alokácia23</t>
  </si>
  <si>
    <t>podiel_exc23</t>
  </si>
  <si>
    <t>váha_zam23</t>
  </si>
  <si>
    <t>suma/zam23</t>
  </si>
  <si>
    <t>suma23</t>
  </si>
  <si>
    <t>podiel_exc_23</t>
  </si>
  <si>
    <t>SICHEL</t>
  </si>
  <si>
    <t>TWEEDIE</t>
  </si>
  <si>
    <t>fit_mon_pomer23</t>
  </si>
  <si>
    <t>res_mon_pomer23</t>
  </si>
  <si>
    <t>z_mon_pomer23</t>
  </si>
  <si>
    <t>pomer</t>
  </si>
  <si>
    <t>fit_index23a</t>
  </si>
  <si>
    <t>res_index23a</t>
  </si>
  <si>
    <t>z_index23a</t>
  </si>
  <si>
    <t>fit_index23b</t>
  </si>
  <si>
    <t>res_index23b</t>
  </si>
  <si>
    <t>z_index23b</t>
  </si>
  <si>
    <t>res_index23c</t>
  </si>
  <si>
    <t>z_index23c</t>
  </si>
  <si>
    <t>index23rev</t>
  </si>
  <si>
    <t>granty23rev</t>
  </si>
  <si>
    <t>pomer(simple)</t>
  </si>
  <si>
    <t>pomer(model)</t>
  </si>
  <si>
    <t>fit_index23rev</t>
  </si>
  <si>
    <t>z_index23rev</t>
  </si>
  <si>
    <t>res_index23rev</t>
  </si>
  <si>
    <t>podiel_exc_index</t>
  </si>
  <si>
    <t>váha_zam_index</t>
  </si>
  <si>
    <t>suma23index</t>
  </si>
  <si>
    <t>fit_granty23rev</t>
  </si>
  <si>
    <t>res_granty23rev</t>
  </si>
  <si>
    <t>z_granty23rev</t>
  </si>
  <si>
    <t>podiel_exc_granty</t>
  </si>
  <si>
    <t>váha_zam_granty</t>
  </si>
  <si>
    <t>suma23granty</t>
  </si>
  <si>
    <t>final23rev</t>
  </si>
  <si>
    <t>podiel_exc23rev</t>
  </si>
  <si>
    <t>váha_zam23rev</t>
  </si>
  <si>
    <t>suma/zam23rev</t>
  </si>
  <si>
    <t>suma23revA</t>
  </si>
  <si>
    <t>suma23revB</t>
  </si>
  <si>
    <t>suma22</t>
  </si>
  <si>
    <t>model</t>
  </si>
  <si>
    <t>mon23rev</t>
  </si>
  <si>
    <t>publikácie2023rev</t>
  </si>
  <si>
    <t>pub_podiel23rev</t>
  </si>
  <si>
    <t>granty_podiel23rev</t>
  </si>
  <si>
    <t>final_podiel23revA</t>
  </si>
  <si>
    <t>publikácie</t>
  </si>
  <si>
    <t>granty</t>
  </si>
  <si>
    <t>podiel_exc23pub</t>
  </si>
  <si>
    <t>váha_zam23pub</t>
  </si>
  <si>
    <t>suma23revBpub</t>
  </si>
  <si>
    <t>podiel_exc23gra</t>
  </si>
  <si>
    <t>váha_zam23gra</t>
  </si>
  <si>
    <t>suma23revBgra</t>
  </si>
  <si>
    <t>z_final23rev</t>
  </si>
  <si>
    <t>fit_mon23rev</t>
  </si>
  <si>
    <t>res_mon23rev</t>
  </si>
  <si>
    <t>z_mon23rev</t>
  </si>
  <si>
    <t>z_pub23rev</t>
  </si>
  <si>
    <t>fit_grant23rev</t>
  </si>
  <si>
    <t>res_grant23rev</t>
  </si>
  <si>
    <t>z_grant23rev</t>
  </si>
  <si>
    <t>alokácia23rev</t>
  </si>
  <si>
    <t>index23fin</t>
  </si>
  <si>
    <t>fit_index23fin</t>
  </si>
  <si>
    <t>publikácie2023fin</t>
  </si>
  <si>
    <t>publik_podiel23fin</t>
  </si>
  <si>
    <t>final_podiel23fin</t>
  </si>
  <si>
    <t>podiely23fin</t>
  </si>
  <si>
    <t>final23fin</t>
  </si>
  <si>
    <t>res_index23fin</t>
  </si>
  <si>
    <t>z_index23fin</t>
  </si>
  <si>
    <t>výkon23fin</t>
  </si>
  <si>
    <t>podiel_exc23fin</t>
  </si>
  <si>
    <t>váha_zam23fin</t>
  </si>
  <si>
    <t>alokácia23fin</t>
  </si>
  <si>
    <t>suma/zam23fin</t>
  </si>
  <si>
    <t>suma23fin</t>
  </si>
  <si>
    <t>suma23finA</t>
  </si>
  <si>
    <t>výkon_exc23fin</t>
  </si>
  <si>
    <t>výk_exc23fin</t>
  </si>
  <si>
    <t>z_final23fin</t>
  </si>
  <si>
    <t>index_2023</t>
  </si>
  <si>
    <t>z_mon23</t>
  </si>
  <si>
    <t>z_pub23fin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</si>
</sst>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0.000"/>
    <numFmt numFmtId="165" formatCode="#,##0.000"/>
    <numFmt numFmtId="166" formatCode="0.0000"/>
    <numFmt numFmtId="167" formatCode="#,##0.00\ &quot;€&quot;"/>
    <numFmt numFmtId="168" formatCode="0.0"/>
    <numFmt numFmtId="169" formatCode="_-* #,##0\ _€_-;\-* #,##0\ _€_-;_-* &quot;-&quot;??\ _€_-;_-@_-"/>
    <numFmt numFmtId="170" formatCode="#,##0.0000"/>
    <numFmt numFmtId="171" formatCode="0.00000"/>
    <numFmt numFmtId="172" formatCode="0.000000"/>
  </numFmts>
  <fonts count="39" x14ac:knownFonts="1">
    <font>
      <sz val="11"/>
      <color theme="1"/>
      <name val="Calibri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9"/>
      <name val="Times New Roman"/>
      <family val="1"/>
      <charset val="238"/>
    </font>
    <font>
      <b/>
      <sz val="9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2065187536243"/>
        <bgColor theme="4" tint="0.79992065187536243"/>
      </patternFill>
    </fill>
  </fills>
  <borders count="42">
    <border>
      <left/>
      <right/>
      <top/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</borders>
  <cellStyleXfs count="3">
    <xf numFmtId="0" fontId="0" fillId="0" borderId="0"/>
    <xf numFmtId="0" fontId="30" fillId="0" borderId="0"/>
    <xf numFmtId="43" fontId="18" fillId="0" borderId="0" applyFont="0" applyFill="0" applyBorder="0" applyAlignment="0" applyProtection="0"/>
  </cellStyleXfs>
  <cellXfs count="310">
    <xf numFmtId="0" fontId="0" fillId="0" borderId="0" xfId="0"/>
    <xf numFmtId="0" fontId="25" fillId="0" borderId="0" xfId="0" applyFont="1"/>
    <xf numFmtId="0" fontId="2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25" fillId="0" borderId="0" xfId="0" applyFont="1" applyAlignment="1">
      <alignment wrapText="1"/>
    </xf>
    <xf numFmtId="0" fontId="0" fillId="0" borderId="1" xfId="0" applyBorder="1"/>
    <xf numFmtId="0" fontId="0" fillId="0" borderId="0" xfId="0" applyFont="1" applyFill="1" applyAlignment="1"/>
    <xf numFmtId="0" fontId="0" fillId="3" borderId="1" xfId="0" applyFill="1" applyBorder="1"/>
    <xf numFmtId="0" fontId="25" fillId="0" borderId="0" xfId="0" applyFont="1" applyFill="1" applyAlignment="1"/>
    <xf numFmtId="0" fontId="26" fillId="0" borderId="0" xfId="0" applyFont="1" applyFill="1" applyAlignment="1"/>
    <xf numFmtId="0" fontId="0" fillId="0" borderId="2" xfId="0" applyFont="1" applyFill="1" applyBorder="1" applyAlignment="1"/>
    <xf numFmtId="0" fontId="0" fillId="4" borderId="2" xfId="0" applyFont="1" applyFill="1" applyBorder="1" applyAlignment="1"/>
    <xf numFmtId="0" fontId="27" fillId="0" borderId="0" xfId="1" applyFont="1" applyProtection="1">
      <protection locked="0"/>
    </xf>
    <xf numFmtId="0" fontId="0" fillId="0" borderId="0" xfId="0" applyFont="1" applyFill="1" applyBorder="1" applyAlignment="1"/>
    <xf numFmtId="0" fontId="0" fillId="0" borderId="0" xfId="0" applyFill="1"/>
    <xf numFmtId="0" fontId="31" fillId="0" borderId="0" xfId="0" applyFont="1"/>
    <xf numFmtId="0" fontId="31" fillId="0" borderId="0" xfId="0" applyFont="1" applyFill="1"/>
    <xf numFmtId="0" fontId="24" fillId="0" borderId="0" xfId="0" applyFont="1" applyFill="1"/>
    <xf numFmtId="0" fontId="0" fillId="4" borderId="0" xfId="0" applyFont="1" applyFill="1" applyBorder="1" applyAlignment="1"/>
    <xf numFmtId="0" fontId="24" fillId="0" borderId="0" xfId="0" applyFont="1"/>
    <xf numFmtId="9" fontId="24" fillId="0" borderId="0" xfId="0" applyNumberFormat="1" applyFont="1"/>
    <xf numFmtId="164" fontId="0" fillId="0" borderId="0" xfId="0" applyNumberFormat="1"/>
    <xf numFmtId="0" fontId="32" fillId="0" borderId="0" xfId="0" applyFont="1" applyAlignment="1">
      <alignment horizontal="right"/>
    </xf>
    <xf numFmtId="164" fontId="0" fillId="5" borderId="0" xfId="0" applyNumberFormat="1" applyFill="1"/>
    <xf numFmtId="164" fontId="0" fillId="0" borderId="0" xfId="0" applyNumberFormat="1" applyFill="1"/>
    <xf numFmtId="164" fontId="0" fillId="6" borderId="0" xfId="0" applyNumberFormat="1" applyFill="1"/>
    <xf numFmtId="0" fontId="0" fillId="7" borderId="0" xfId="0" applyFill="1"/>
    <xf numFmtId="0" fontId="0" fillId="7" borderId="0" xfId="0" applyFont="1" applyFill="1" applyAlignment="1"/>
    <xf numFmtId="0" fontId="26" fillId="7" borderId="0" xfId="0" applyFont="1" applyFill="1" applyAlignment="1"/>
    <xf numFmtId="164" fontId="31" fillId="0" borderId="0" xfId="0" applyNumberFormat="1" applyFont="1"/>
    <xf numFmtId="0" fontId="25" fillId="7" borderId="0" xfId="0" applyFont="1" applyFill="1" applyAlignment="1"/>
    <xf numFmtId="0" fontId="33" fillId="0" borderId="0" xfId="0" applyFont="1" applyFill="1" applyAlignment="1"/>
    <xf numFmtId="3" fontId="0" fillId="0" borderId="0" xfId="0" applyNumberFormat="1"/>
    <xf numFmtId="3" fontId="31" fillId="0" borderId="0" xfId="0" applyNumberFormat="1" applyFont="1"/>
    <xf numFmtId="165" fontId="0" fillId="0" borderId="0" xfId="0" applyNumberFormat="1"/>
    <xf numFmtId="4" fontId="0" fillId="0" borderId="0" xfId="0" applyNumberFormat="1"/>
    <xf numFmtId="0" fontId="33" fillId="0" borderId="0" xfId="0" applyFont="1" applyFill="1" applyBorder="1" applyAlignment="1"/>
    <xf numFmtId="0" fontId="32" fillId="0" borderId="0" xfId="0" applyFont="1"/>
    <xf numFmtId="166" fontId="0" fillId="0" borderId="0" xfId="0" applyNumberFormat="1"/>
    <xf numFmtId="166" fontId="31" fillId="0" borderId="0" xfId="0" applyNumberFormat="1" applyFont="1"/>
    <xf numFmtId="166" fontId="0" fillId="5" borderId="0" xfId="0" applyNumberFormat="1" applyFill="1"/>
    <xf numFmtId="0" fontId="23" fillId="0" borderId="0" xfId="0" applyFont="1" applyFill="1"/>
    <xf numFmtId="0" fontId="0" fillId="2" borderId="0" xfId="0" applyFont="1" applyFill="1" applyAlignment="1">
      <alignment horizontal="center" vertical="center" wrapText="1"/>
    </xf>
    <xf numFmtId="0" fontId="23" fillId="3" borderId="1" xfId="0" applyFont="1" applyFill="1" applyBorder="1"/>
    <xf numFmtId="166" fontId="0" fillId="6" borderId="0" xfId="0" applyNumberFormat="1" applyFill="1"/>
    <xf numFmtId="166" fontId="0" fillId="0" borderId="0" xfId="0" applyNumberFormat="1" applyFill="1"/>
    <xf numFmtId="166" fontId="31" fillId="0" borderId="0" xfId="0" applyNumberFormat="1" applyFont="1" applyFill="1"/>
    <xf numFmtId="4" fontId="31" fillId="0" borderId="0" xfId="0" applyNumberFormat="1" applyFont="1"/>
    <xf numFmtId="0" fontId="0" fillId="2" borderId="0" xfId="0" applyFill="1"/>
    <xf numFmtId="166" fontId="0" fillId="2" borderId="0" xfId="0" applyNumberFormat="1" applyFill="1"/>
    <xf numFmtId="0" fontId="25" fillId="7" borderId="0" xfId="0" applyFont="1" applyFill="1"/>
    <xf numFmtId="164" fontId="25" fillId="0" borderId="0" xfId="0" applyNumberFormat="1" applyFont="1"/>
    <xf numFmtId="3" fontId="25" fillId="0" borderId="0" xfId="0" applyNumberFormat="1" applyFont="1"/>
    <xf numFmtId="3" fontId="32" fillId="0" borderId="0" xfId="0" applyNumberFormat="1" applyFont="1"/>
    <xf numFmtId="166" fontId="25" fillId="0" borderId="0" xfId="0" applyNumberFormat="1" applyFont="1"/>
    <xf numFmtId="4" fontId="32" fillId="0" borderId="0" xfId="0" applyNumberFormat="1" applyFont="1"/>
    <xf numFmtId="2" fontId="0" fillId="0" borderId="0" xfId="0" applyNumberFormat="1"/>
    <xf numFmtId="2" fontId="25" fillId="0" borderId="0" xfId="0" applyNumberFormat="1" applyFont="1"/>
    <xf numFmtId="4" fontId="25" fillId="0" borderId="0" xfId="0" applyNumberFormat="1" applyFont="1"/>
    <xf numFmtId="0" fontId="25" fillId="0" borderId="0" xfId="0" applyFont="1" applyFill="1"/>
    <xf numFmtId="4" fontId="32" fillId="2" borderId="0" xfId="0" applyNumberFormat="1" applyFont="1" applyFill="1"/>
    <xf numFmtId="2" fontId="32" fillId="0" borderId="0" xfId="0" applyNumberFormat="1" applyFont="1"/>
    <xf numFmtId="10" fontId="0" fillId="0" borderId="0" xfId="0" applyNumberFormat="1"/>
    <xf numFmtId="4" fontId="25" fillId="2" borderId="0" xfId="0" applyNumberFormat="1" applyFont="1" applyFill="1"/>
    <xf numFmtId="4" fontId="0" fillId="2" borderId="0" xfId="0" applyNumberFormat="1" applyFill="1"/>
    <xf numFmtId="4" fontId="0" fillId="0" borderId="0" xfId="0" applyNumberFormat="1" applyFill="1"/>
    <xf numFmtId="4" fontId="25" fillId="0" borderId="0" xfId="0" applyNumberFormat="1" applyFont="1" applyFill="1"/>
    <xf numFmtId="0" fontId="0" fillId="0" borderId="0" xfId="0" applyBorder="1"/>
    <xf numFmtId="3" fontId="0" fillId="5" borderId="0" xfId="0" applyNumberFormat="1" applyFill="1"/>
    <xf numFmtId="0" fontId="0" fillId="6" borderId="0" xfId="0" applyFill="1"/>
    <xf numFmtId="165" fontId="22" fillId="0" borderId="0" xfId="0" applyNumberFormat="1" applyFont="1"/>
    <xf numFmtId="167" fontId="25" fillId="0" borderId="0" xfId="0" applyNumberFormat="1" applyFont="1"/>
    <xf numFmtId="168" fontId="31" fillId="0" borderId="0" xfId="0" applyNumberFormat="1" applyFont="1"/>
    <xf numFmtId="3" fontId="0" fillId="0" borderId="0" xfId="0" applyNumberFormat="1" applyFill="1"/>
    <xf numFmtId="0" fontId="0" fillId="5" borderId="0" xfId="0" applyFill="1"/>
    <xf numFmtId="0" fontId="20" fillId="0" borderId="0" xfId="0" applyFont="1"/>
    <xf numFmtId="4" fontId="32" fillId="6" borderId="0" xfId="0" applyNumberFormat="1" applyFont="1" applyFill="1"/>
    <xf numFmtId="164" fontId="25" fillId="0" borderId="0" xfId="0" applyNumberFormat="1" applyFont="1" applyFill="1"/>
    <xf numFmtId="166" fontId="25" fillId="0" borderId="0" xfId="0" applyNumberFormat="1" applyFont="1" applyFill="1"/>
    <xf numFmtId="0" fontId="32" fillId="0" borderId="0" xfId="0" applyFont="1" applyFill="1"/>
    <xf numFmtId="0" fontId="25" fillId="0" borderId="1" xfId="0" applyFont="1" applyBorder="1" applyAlignment="1">
      <alignment wrapText="1"/>
    </xf>
    <xf numFmtId="9" fontId="23" fillId="0" borderId="3" xfId="0" applyNumberFormat="1" applyFont="1" applyBorder="1"/>
    <xf numFmtId="9" fontId="23" fillId="0" borderId="4" xfId="0" applyNumberFormat="1" applyFont="1" applyBorder="1"/>
    <xf numFmtId="0" fontId="24" fillId="0" borderId="4" xfId="0" applyFont="1" applyBorder="1"/>
    <xf numFmtId="0" fontId="24" fillId="0" borderId="4" xfId="0" applyFont="1" applyFill="1" applyBorder="1"/>
    <xf numFmtId="0" fontId="24" fillId="0" borderId="5" xfId="0" applyFont="1" applyFill="1" applyBorder="1"/>
    <xf numFmtId="0" fontId="25" fillId="0" borderId="6" xfId="0" applyFont="1" applyBorder="1"/>
    <xf numFmtId="0" fontId="25" fillId="0" borderId="0" xfId="0" applyFont="1" applyBorder="1"/>
    <xf numFmtId="0" fontId="25" fillId="0" borderId="0" xfId="0" applyFont="1" applyFill="1" applyBorder="1"/>
    <xf numFmtId="0" fontId="25" fillId="0" borderId="7" xfId="0" applyFont="1" applyFill="1" applyBorder="1"/>
    <xf numFmtId="0" fontId="0" fillId="0" borderId="6" xfId="0" applyFont="1" applyFill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 applyBorder="1"/>
    <xf numFmtId="164" fontId="0" fillId="0" borderId="7" xfId="0" applyNumberFormat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0" fontId="33" fillId="0" borderId="6" xfId="0" applyFont="1" applyFill="1" applyBorder="1" applyAlignment="1"/>
    <xf numFmtId="0" fontId="33" fillId="0" borderId="8" xfId="0" applyFont="1" applyFill="1" applyBorder="1" applyAlignment="1"/>
    <xf numFmtId="0" fontId="33" fillId="0" borderId="9" xfId="0" applyFont="1" applyFill="1" applyBorder="1" applyAlignment="1"/>
    <xf numFmtId="164" fontId="0" fillId="0" borderId="9" xfId="0" applyNumberFormat="1" applyFont="1" applyFill="1" applyBorder="1" applyAlignment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6" xfId="0" applyFill="1" applyBorder="1"/>
    <xf numFmtId="166" fontId="0" fillId="0" borderId="0" xfId="0" applyNumberFormat="1" applyFill="1" applyBorder="1"/>
    <xf numFmtId="166" fontId="0" fillId="0" borderId="7" xfId="0" applyNumberFormat="1" applyFill="1" applyBorder="1"/>
    <xf numFmtId="0" fontId="26" fillId="0" borderId="6" xfId="0" applyFont="1" applyFill="1" applyBorder="1" applyAlignment="1"/>
    <xf numFmtId="0" fontId="26" fillId="0" borderId="0" xfId="0" applyFont="1" applyFill="1" applyBorder="1" applyAlignment="1"/>
    <xf numFmtId="0" fontId="26" fillId="0" borderId="8" xfId="0" applyFont="1" applyFill="1" applyBorder="1" applyAlignment="1"/>
    <xf numFmtId="0" fontId="26" fillId="0" borderId="9" xfId="0" applyFont="1" applyFill="1" applyBorder="1" applyAlignment="1"/>
    <xf numFmtId="164" fontId="0" fillId="0" borderId="9" xfId="0" applyNumberFormat="1" applyBorder="1"/>
    <xf numFmtId="166" fontId="0" fillId="0" borderId="9" xfId="0" applyNumberFormat="1" applyFill="1" applyBorder="1"/>
    <xf numFmtId="166" fontId="0" fillId="0" borderId="10" xfId="0" applyNumberFormat="1" applyFill="1" applyBorder="1"/>
    <xf numFmtId="3" fontId="25" fillId="0" borderId="0" xfId="0" applyNumberFormat="1" applyFont="1" applyFill="1"/>
    <xf numFmtId="0" fontId="20" fillId="3" borderId="1" xfId="0" applyFont="1" applyFill="1" applyBorder="1"/>
    <xf numFmtId="0" fontId="20" fillId="0" borderId="1" xfId="0" applyFont="1" applyBorder="1"/>
    <xf numFmtId="1" fontId="0" fillId="0" borderId="0" xfId="0" applyNumberFormat="1"/>
    <xf numFmtId="164" fontId="21" fillId="0" borderId="0" xfId="0" applyNumberFormat="1" applyFont="1" applyBorder="1"/>
    <xf numFmtId="0" fontId="25" fillId="0" borderId="6" xfId="0" applyFont="1" applyFill="1" applyBorder="1"/>
    <xf numFmtId="164" fontId="25" fillId="0" borderId="0" xfId="0" applyNumberFormat="1" applyFont="1" applyBorder="1"/>
    <xf numFmtId="164" fontId="25" fillId="0" borderId="7" xfId="0" applyNumberFormat="1" applyFont="1" applyBorder="1"/>
    <xf numFmtId="0" fontId="0" fillId="0" borderId="8" xfId="0" applyFill="1" applyBorder="1"/>
    <xf numFmtId="0" fontId="0" fillId="0" borderId="9" xfId="0" applyBorder="1"/>
    <xf numFmtId="164" fontId="0" fillId="0" borderId="10" xfId="0" applyNumberFormat="1" applyBorder="1"/>
    <xf numFmtId="4" fontId="20" fillId="0" borderId="0" xfId="0" applyNumberFormat="1" applyFont="1" applyFill="1"/>
    <xf numFmtId="166" fontId="0" fillId="0" borderId="0" xfId="0" applyNumberFormat="1" applyBorder="1"/>
    <xf numFmtId="166" fontId="0" fillId="0" borderId="7" xfId="0" applyNumberFormat="1" applyBorder="1"/>
    <xf numFmtId="166" fontId="25" fillId="0" borderId="0" xfId="0" applyNumberFormat="1" applyFont="1" applyBorder="1"/>
    <xf numFmtId="166" fontId="25" fillId="0" borderId="7" xfId="0" applyNumberFormat="1" applyFont="1" applyBorder="1"/>
    <xf numFmtId="0" fontId="0" fillId="0" borderId="7" xfId="0" applyBorder="1"/>
    <xf numFmtId="166" fontId="0" fillId="0" borderId="9" xfId="0" applyNumberFormat="1" applyBorder="1"/>
    <xf numFmtId="0" fontId="0" fillId="0" borderId="10" xfId="0" applyBorder="1"/>
    <xf numFmtId="167" fontId="25" fillId="0" borderId="0" xfId="0" applyNumberFormat="1" applyFont="1" applyFill="1"/>
    <xf numFmtId="4" fontId="32" fillId="0" borderId="0" xfId="0" applyNumberFormat="1" applyFont="1" applyFill="1"/>
    <xf numFmtId="164" fontId="20" fillId="0" borderId="0" xfId="0" applyNumberFormat="1" applyFont="1" applyFill="1"/>
    <xf numFmtId="0" fontId="20" fillId="0" borderId="0" xfId="0" applyFont="1" applyFill="1"/>
    <xf numFmtId="164" fontId="20" fillId="5" borderId="0" xfId="0" applyNumberFormat="1" applyFont="1" applyFill="1"/>
    <xf numFmtId="4" fontId="0" fillId="6" borderId="0" xfId="0" applyNumberFormat="1" applyFill="1"/>
    <xf numFmtId="4" fontId="34" fillId="0" borderId="0" xfId="0" applyNumberFormat="1" applyFont="1" applyFill="1"/>
    <xf numFmtId="0" fontId="19" fillId="0" borderId="0" xfId="0" applyFont="1"/>
    <xf numFmtId="4" fontId="0" fillId="5" borderId="0" xfId="0" applyNumberFormat="1" applyFill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4" fontId="25" fillId="6" borderId="0" xfId="0" applyNumberFormat="1" applyFont="1" applyFill="1"/>
    <xf numFmtId="0" fontId="25" fillId="0" borderId="0" xfId="0" applyFont="1" applyFill="1" applyAlignment="1">
      <alignment horizontal="center" vertical="center"/>
    </xf>
    <xf numFmtId="169" fontId="0" fillId="0" borderId="0" xfId="2" applyNumberFormat="1" applyFont="1"/>
    <xf numFmtId="0" fontId="30" fillId="0" borderId="0" xfId="1"/>
    <xf numFmtId="0" fontId="30" fillId="2" borderId="0" xfId="1" applyFill="1"/>
    <xf numFmtId="0" fontId="30" fillId="6" borderId="0" xfId="1" applyFill="1"/>
    <xf numFmtId="0" fontId="30" fillId="5" borderId="0" xfId="1" applyFill="1"/>
    <xf numFmtId="0" fontId="30" fillId="8" borderId="0" xfId="1" applyFill="1"/>
    <xf numFmtId="0" fontId="30" fillId="9" borderId="0" xfId="1" applyFill="1"/>
    <xf numFmtId="1" fontId="25" fillId="0" borderId="0" xfId="0" applyNumberFormat="1" applyFont="1"/>
    <xf numFmtId="164" fontId="20" fillId="0" borderId="0" xfId="0" applyNumberFormat="1" applyFont="1"/>
    <xf numFmtId="2" fontId="0" fillId="6" borderId="0" xfId="0" applyNumberFormat="1" applyFill="1"/>
    <xf numFmtId="0" fontId="17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17" fillId="0" borderId="13" xfId="0" applyFont="1" applyBorder="1"/>
    <xf numFmtId="0" fontId="17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25" fillId="0" borderId="16" xfId="0" applyFont="1" applyBorder="1"/>
    <xf numFmtId="0" fontId="25" fillId="0" borderId="0" xfId="0" applyFont="1" applyAlignment="1">
      <alignment horizontal="right"/>
    </xf>
    <xf numFmtId="0" fontId="25" fillId="0" borderId="16" xfId="0" applyFont="1" applyBorder="1" applyAlignment="1">
      <alignment horizontal="right"/>
    </xf>
    <xf numFmtId="0" fontId="25" fillId="0" borderId="25" xfId="0" applyFont="1" applyBorder="1"/>
    <xf numFmtId="0" fontId="25" fillId="0" borderId="26" xfId="0" applyFont="1" applyBorder="1"/>
    <xf numFmtId="0" fontId="25" fillId="0" borderId="0" xfId="0" applyFont="1" applyFill="1" applyBorder="1" applyAlignment="1">
      <alignment horizontal="right"/>
    </xf>
    <xf numFmtId="170" fontId="0" fillId="0" borderId="0" xfId="0" applyNumberFormat="1"/>
    <xf numFmtId="0" fontId="25" fillId="0" borderId="0" xfId="0" applyFont="1" applyFill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3" xfId="0" applyBorder="1"/>
    <xf numFmtId="0" fontId="0" fillId="0" borderId="17" xfId="0" applyBorder="1"/>
    <xf numFmtId="0" fontId="0" fillId="0" borderId="34" xfId="0" applyBorder="1"/>
    <xf numFmtId="0" fontId="0" fillId="0" borderId="35" xfId="0" applyBorder="1"/>
    <xf numFmtId="0" fontId="0" fillId="0" borderId="2" xfId="0" applyNumberFormat="1" applyBorder="1"/>
    <xf numFmtId="0" fontId="0" fillId="0" borderId="19" xfId="0" applyNumberFormat="1" applyBorder="1"/>
    <xf numFmtId="0" fontId="0" fillId="0" borderId="36" xfId="0" applyBorder="1"/>
    <xf numFmtId="0" fontId="0" fillId="0" borderId="15" xfId="0" applyNumberFormat="1" applyBorder="1"/>
    <xf numFmtId="0" fontId="0" fillId="0" borderId="20" xfId="0" applyNumberFormat="1" applyBorder="1"/>
    <xf numFmtId="0" fontId="25" fillId="0" borderId="0" xfId="0" applyFont="1" applyAlignment="1">
      <alignment horizontal="left"/>
    </xf>
    <xf numFmtId="0" fontId="0" fillId="0" borderId="37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38" xfId="0" applyBorder="1"/>
    <xf numFmtId="0" fontId="16" fillId="0" borderId="0" xfId="0" applyFont="1"/>
    <xf numFmtId="3" fontId="15" fillId="0" borderId="0" xfId="0" applyNumberFormat="1" applyFont="1" applyFill="1" applyBorder="1"/>
    <xf numFmtId="3" fontId="0" fillId="0" borderId="0" xfId="0" applyNumberFormat="1" applyFill="1" applyBorder="1"/>
    <xf numFmtId="164" fontId="0" fillId="2" borderId="0" xfId="0" applyNumberFormat="1" applyFill="1"/>
    <xf numFmtId="0" fontId="14" fillId="0" borderId="0" xfId="0" applyFont="1"/>
    <xf numFmtId="165" fontId="31" fillId="0" borderId="0" xfId="0" applyNumberFormat="1" applyFont="1"/>
    <xf numFmtId="2" fontId="31" fillId="0" borderId="0" xfId="0" applyNumberFormat="1" applyFont="1"/>
    <xf numFmtId="2" fontId="25" fillId="2" borderId="0" xfId="0" applyNumberFormat="1" applyFont="1" applyFill="1"/>
    <xf numFmtId="4" fontId="36" fillId="0" borderId="0" xfId="0" applyNumberFormat="1" applyFont="1" applyFill="1" applyBorder="1"/>
    <xf numFmtId="4" fontId="37" fillId="0" borderId="0" xfId="0" applyNumberFormat="1" applyFont="1" applyFill="1" applyBorder="1"/>
    <xf numFmtId="0" fontId="25" fillId="6" borderId="0" xfId="0" applyFont="1" applyFill="1"/>
    <xf numFmtId="0" fontId="25" fillId="6" borderId="0" xfId="0" applyFont="1" applyFill="1" applyAlignment="1">
      <alignment horizontal="center" vertical="center"/>
    </xf>
    <xf numFmtId="0" fontId="13" fillId="0" borderId="0" xfId="0" applyFont="1"/>
    <xf numFmtId="2" fontId="0" fillId="0" borderId="0" xfId="0" applyNumberFormat="1" applyFill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Fill="1"/>
    <xf numFmtId="1" fontId="25" fillId="0" borderId="0" xfId="0" applyNumberFormat="1" applyFont="1" applyFill="1"/>
    <xf numFmtId="0" fontId="12" fillId="3" borderId="1" xfId="0" applyFont="1" applyFill="1" applyBorder="1"/>
    <xf numFmtId="1" fontId="25" fillId="7" borderId="0" xfId="0" applyNumberFormat="1" applyFont="1" applyFill="1"/>
    <xf numFmtId="164" fontId="12" fillId="0" borderId="0" xfId="0" applyNumberFormat="1" applyFont="1"/>
    <xf numFmtId="171" fontId="25" fillId="6" borderId="0" xfId="0" applyNumberFormat="1" applyFont="1" applyFill="1"/>
    <xf numFmtId="0" fontId="11" fillId="0" borderId="0" xfId="0" applyFont="1"/>
    <xf numFmtId="171" fontId="25" fillId="0" borderId="0" xfId="0" applyNumberFormat="1" applyFont="1" applyFill="1"/>
    <xf numFmtId="165" fontId="0" fillId="5" borderId="0" xfId="0" applyNumberFormat="1" applyFill="1"/>
    <xf numFmtId="164" fontId="11" fillId="0" borderId="0" xfId="0" applyNumberFormat="1" applyFont="1" applyFill="1"/>
    <xf numFmtId="164" fontId="11" fillId="5" borderId="0" xfId="0" applyNumberFormat="1" applyFont="1" applyFill="1"/>
    <xf numFmtId="0" fontId="11" fillId="0" borderId="1" xfId="0" applyFont="1" applyBorder="1"/>
    <xf numFmtId="0" fontId="10" fillId="0" borderId="1" xfId="0" applyFont="1" applyBorder="1" applyAlignment="1">
      <alignment wrapText="1"/>
    </xf>
    <xf numFmtId="0" fontId="10" fillId="0" borderId="0" xfId="0" applyFont="1"/>
    <xf numFmtId="164" fontId="10" fillId="0" borderId="0" xfId="0" applyNumberFormat="1" applyFont="1"/>
    <xf numFmtId="164" fontId="10" fillId="5" borderId="0" xfId="0" applyNumberFormat="1" applyFont="1" applyFill="1"/>
    <xf numFmtId="3" fontId="10" fillId="0" borderId="0" xfId="0" applyNumberFormat="1" applyFont="1"/>
    <xf numFmtId="165" fontId="10" fillId="0" borderId="0" xfId="0" applyNumberFormat="1" applyFont="1"/>
    <xf numFmtId="165" fontId="10" fillId="5" borderId="0" xfId="0" applyNumberFormat="1" applyFont="1" applyFill="1"/>
    <xf numFmtId="165" fontId="10" fillId="0" borderId="0" xfId="0" applyNumberFormat="1" applyFont="1" applyFill="1"/>
    <xf numFmtId="164" fontId="10" fillId="0" borderId="0" xfId="0" applyNumberFormat="1" applyFont="1" applyFill="1"/>
    <xf numFmtId="0" fontId="10" fillId="0" borderId="0" xfId="0" applyFont="1" applyFill="1" applyAlignment="1"/>
    <xf numFmtId="0" fontId="10" fillId="3" borderId="1" xfId="0" applyFont="1" applyFill="1" applyBorder="1"/>
    <xf numFmtId="165" fontId="0" fillId="0" borderId="0" xfId="0" applyNumberFormat="1" applyFill="1"/>
    <xf numFmtId="0" fontId="10" fillId="0" borderId="1" xfId="0" applyFont="1" applyBorder="1"/>
    <xf numFmtId="1" fontId="31" fillId="0" borderId="0" xfId="0" applyNumberFormat="1" applyFont="1" applyFill="1"/>
    <xf numFmtId="0" fontId="25" fillId="0" borderId="25" xfId="0" applyFont="1" applyFill="1" applyBorder="1"/>
    <xf numFmtId="0" fontId="25" fillId="0" borderId="26" xfId="0" applyFont="1" applyFill="1" applyBorder="1"/>
    <xf numFmtId="0" fontId="0" fillId="0" borderId="0" xfId="0" applyFill="1" applyBorder="1"/>
    <xf numFmtId="1" fontId="35" fillId="0" borderId="0" xfId="0" applyNumberFormat="1" applyFont="1" applyFill="1" applyBorder="1"/>
    <xf numFmtId="0" fontId="17" fillId="0" borderId="0" xfId="0" applyFont="1" applyFill="1" applyBorder="1"/>
    <xf numFmtId="0" fontId="0" fillId="0" borderId="4" xfId="0" applyBorder="1"/>
    <xf numFmtId="0" fontId="0" fillId="0" borderId="16" xfId="0" applyBorder="1"/>
    <xf numFmtId="0" fontId="10" fillId="0" borderId="11" xfId="0" applyFont="1" applyBorder="1"/>
    <xf numFmtId="0" fontId="10" fillId="0" borderId="13" xfId="0" applyFont="1" applyBorder="1"/>
    <xf numFmtId="0" fontId="10" fillId="0" borderId="14" xfId="0" applyFont="1" applyBorder="1"/>
    <xf numFmtId="0" fontId="0" fillId="0" borderId="0" xfId="0" applyNumberFormat="1" applyBorder="1"/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32" xfId="0" applyBorder="1"/>
    <xf numFmtId="2" fontId="0" fillId="0" borderId="0" xfId="0" applyNumberFormat="1" applyFill="1" applyAlignment="1">
      <alignment horizontal="right"/>
    </xf>
    <xf numFmtId="0" fontId="10" fillId="0" borderId="0" xfId="0" applyFont="1" applyFill="1" applyBorder="1"/>
    <xf numFmtId="172" fontId="35" fillId="0" borderId="0" xfId="0" applyNumberFormat="1" applyFont="1" applyFill="1" applyBorder="1"/>
    <xf numFmtId="4" fontId="25" fillId="2" borderId="0" xfId="0" applyNumberFormat="1" applyFont="1" applyFill="1" applyBorder="1"/>
    <xf numFmtId="167" fontId="0" fillId="6" borderId="0" xfId="0" applyNumberFormat="1" applyFill="1"/>
    <xf numFmtId="165" fontId="25" fillId="0" borderId="0" xfId="0" applyNumberFormat="1" applyFont="1"/>
    <xf numFmtId="0" fontId="0" fillId="0" borderId="41" xfId="0" applyBorder="1"/>
    <xf numFmtId="0" fontId="0" fillId="12" borderId="41" xfId="0" applyFill="1" applyBorder="1"/>
    <xf numFmtId="0" fontId="26" fillId="0" borderId="0" xfId="0" applyFont="1"/>
    <xf numFmtId="0" fontId="26" fillId="0" borderId="41" xfId="0" applyFont="1" applyBorder="1"/>
    <xf numFmtId="0" fontId="26" fillId="12" borderId="41" xfId="0" applyFont="1" applyFill="1" applyBorder="1"/>
    <xf numFmtId="0" fontId="0" fillId="4" borderId="0" xfId="0" applyFill="1"/>
    <xf numFmtId="0" fontId="0" fillId="4" borderId="2" xfId="0" applyFill="1" applyBorder="1"/>
    <xf numFmtId="0" fontId="10" fillId="0" borderId="0" xfId="0" applyFont="1" applyFill="1"/>
    <xf numFmtId="4" fontId="22" fillId="0" borderId="0" xfId="0" applyNumberFormat="1" applyFont="1"/>
    <xf numFmtId="4" fontId="36" fillId="2" borderId="0" xfId="0" applyNumberFormat="1" applyFont="1" applyFill="1" applyBorder="1"/>
    <xf numFmtId="0" fontId="9" fillId="0" borderId="0" xfId="0" applyFont="1"/>
    <xf numFmtId="0" fontId="8" fillId="0" borderId="0" xfId="0" applyFont="1" applyFill="1" applyBorder="1"/>
    <xf numFmtId="0" fontId="7" fillId="3" borderId="1" xfId="0" applyFont="1" applyFill="1" applyBorder="1"/>
    <xf numFmtId="165" fontId="25" fillId="6" borderId="0" xfId="0" applyNumberFormat="1" applyFont="1" applyFill="1"/>
    <xf numFmtId="0" fontId="5" fillId="0" borderId="0" xfId="0" applyFont="1"/>
    <xf numFmtId="0" fontId="5" fillId="0" borderId="0" xfId="0" applyFont="1" applyFill="1"/>
    <xf numFmtId="3" fontId="5" fillId="0" borderId="0" xfId="0" applyNumberFormat="1" applyFont="1"/>
    <xf numFmtId="170" fontId="5" fillId="0" borderId="0" xfId="0" applyNumberFormat="1" applyFont="1"/>
    <xf numFmtId="165" fontId="38" fillId="0" borderId="0" xfId="0" applyNumberFormat="1" applyFont="1" applyFill="1" applyBorder="1"/>
    <xf numFmtId="165" fontId="35" fillId="0" borderId="0" xfId="0" applyNumberFormat="1" applyFont="1" applyFill="1" applyBorder="1"/>
    <xf numFmtId="165" fontId="38" fillId="5" borderId="0" xfId="0" applyNumberFormat="1" applyFont="1" applyFill="1" applyBorder="1"/>
    <xf numFmtId="165" fontId="35" fillId="5" borderId="0" xfId="0" applyNumberFormat="1" applyFont="1" applyFill="1" applyBorder="1"/>
    <xf numFmtId="164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right"/>
    </xf>
    <xf numFmtId="0" fontId="3" fillId="0" borderId="0" xfId="0" applyFont="1"/>
    <xf numFmtId="2" fontId="0" fillId="5" borderId="0" xfId="0" applyNumberFormat="1" applyFill="1"/>
    <xf numFmtId="0" fontId="2" fillId="0" borderId="0" xfId="0" applyFont="1"/>
    <xf numFmtId="4" fontId="2" fillId="2" borderId="0" xfId="0" applyNumberFormat="1" applyFont="1" applyFill="1"/>
    <xf numFmtId="4" fontId="22" fillId="2" borderId="0" xfId="0" applyNumberFormat="1" applyFont="1" applyFill="1"/>
    <xf numFmtId="4" fontId="38" fillId="0" borderId="0" xfId="0" applyNumberFormat="1" applyFont="1" applyFill="1" applyBorder="1"/>
    <xf numFmtId="4" fontId="35" fillId="0" borderId="0" xfId="0" applyNumberFormat="1" applyFont="1" applyFill="1" applyBorder="1"/>
    <xf numFmtId="4" fontId="38" fillId="2" borderId="0" xfId="0" applyNumberFormat="1" applyFont="1" applyFill="1" applyBorder="1"/>
    <xf numFmtId="4" fontId="38" fillId="11" borderId="0" xfId="0" applyNumberFormat="1" applyFont="1" applyFill="1" applyBorder="1"/>
    <xf numFmtId="166" fontId="2" fillId="0" borderId="0" xfId="0" applyNumberFormat="1" applyFont="1" applyFill="1"/>
    <xf numFmtId="4" fontId="2" fillId="0" borderId="0" xfId="0" applyNumberFormat="1" applyFont="1" applyFill="1"/>
    <xf numFmtId="4" fontId="2" fillId="0" borderId="0" xfId="0" applyNumberFormat="1" applyFont="1"/>
    <xf numFmtId="4" fontId="31" fillId="0" borderId="0" xfId="0" applyNumberFormat="1" applyFont="1" applyFill="1"/>
    <xf numFmtId="0" fontId="25" fillId="0" borderId="0" xfId="0" applyFont="1" applyFill="1" applyAlignment="1">
      <alignment horizontal="left"/>
    </xf>
    <xf numFmtId="0" fontId="2" fillId="0" borderId="0" xfId="0" applyFont="1" applyFill="1"/>
    <xf numFmtId="0" fontId="6" fillId="0" borderId="0" xfId="0" applyFont="1" applyFill="1"/>
    <xf numFmtId="4" fontId="1" fillId="2" borderId="0" xfId="0" applyNumberFormat="1" applyFont="1" applyFill="1"/>
    <xf numFmtId="4" fontId="1" fillId="0" borderId="0" xfId="0" applyNumberFormat="1" applyFont="1"/>
    <xf numFmtId="0" fontId="13" fillId="0" borderId="0" xfId="0" applyFont="1" applyFill="1"/>
    <xf numFmtId="167" fontId="32" fillId="0" borderId="0" xfId="0" applyNumberFormat="1" applyFont="1" applyFill="1"/>
    <xf numFmtId="0" fontId="4" fillId="0" borderId="0" xfId="0" applyFont="1" applyFill="1"/>
    <xf numFmtId="0" fontId="3" fillId="0" borderId="0" xfId="0" applyFont="1" applyFill="1"/>
  </cellXfs>
  <cellStyles count="3">
    <cellStyle name="Čiarka 2" xfId="2"/>
    <cellStyle name="Normálna" xfId="0" builtinId="0"/>
    <cellStyle name="Normáln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opLeftCell="B1" workbookViewId="0">
      <selection activeCell="AD14" sqref="AD14"/>
    </sheetView>
  </sheetViews>
  <sheetFormatPr defaultRowHeight="15" x14ac:dyDescent="0.25"/>
  <cols>
    <col min="1" max="1" width="17.7109375" hidden="1" customWidth="1"/>
    <col min="2" max="2" width="18" bestFit="1" customWidth="1"/>
    <col min="3" max="3" width="16.5703125" bestFit="1" customWidth="1"/>
    <col min="4" max="4" width="13.42578125" bestFit="1" customWidth="1"/>
    <col min="5" max="5" width="16.5703125" hidden="1" customWidth="1"/>
    <col min="6" max="6" width="6.7109375" hidden="1" customWidth="1"/>
    <col min="7" max="7" width="14.85546875" hidden="1" customWidth="1"/>
    <col min="8" max="8" width="16" hidden="1" customWidth="1"/>
    <col min="9" max="9" width="16" customWidth="1"/>
    <col min="10" max="10" width="14.85546875" customWidth="1"/>
    <col min="11" max="11" width="16.42578125" bestFit="1" customWidth="1"/>
    <col min="12" max="12" width="14.85546875" hidden="1" customWidth="1"/>
    <col min="13" max="14" width="11.140625" customWidth="1"/>
    <col min="15" max="15" width="13.85546875" hidden="1" customWidth="1"/>
    <col min="16" max="16" width="6.7109375" hidden="1" customWidth="1"/>
    <col min="17" max="17" width="14" hidden="1" customWidth="1"/>
    <col min="18" max="18" width="10.7109375" hidden="1" customWidth="1"/>
    <col min="19" max="19" width="14" customWidth="1"/>
    <col min="20" max="20" width="17.140625" hidden="1" customWidth="1"/>
    <col min="21" max="21" width="8.5703125" bestFit="1" customWidth="1"/>
    <col min="22" max="22" width="11.7109375" hidden="1" customWidth="1"/>
    <col min="23" max="23" width="19.140625" hidden="1" customWidth="1"/>
    <col min="24" max="24" width="12.5703125" bestFit="1" customWidth="1"/>
    <col min="25" max="25" width="14.85546875" bestFit="1" customWidth="1"/>
    <col min="26" max="26" width="19.140625" hidden="1" customWidth="1"/>
    <col min="27" max="27" width="12.42578125" hidden="1" customWidth="1"/>
    <col min="28" max="28" width="15" hidden="1" customWidth="1"/>
    <col min="29" max="30" width="12.140625" bestFit="1" customWidth="1"/>
  </cols>
  <sheetData>
    <row r="1" spans="1:30" x14ac:dyDescent="0.25">
      <c r="A1" s="1" t="s">
        <v>218</v>
      </c>
      <c r="B1" s="1" t="s">
        <v>160</v>
      </c>
      <c r="C1" s="1" t="s">
        <v>213</v>
      </c>
      <c r="D1" s="39" t="s">
        <v>8</v>
      </c>
      <c r="E1" s="39"/>
      <c r="F1" s="39"/>
    </row>
    <row r="2" spans="1:30" x14ac:dyDescent="0.25">
      <c r="A2" s="141">
        <v>26884645.07</v>
      </c>
      <c r="B2" s="138">
        <f>A2-A4</f>
        <v>18658146.296399999</v>
      </c>
      <c r="C2" s="37">
        <f>B2*0.6</f>
        <v>11194887.77784</v>
      </c>
      <c r="D2" s="138">
        <f>C2*0.1</f>
        <v>1119488.7777839999</v>
      </c>
      <c r="E2" s="138"/>
      <c r="F2" s="138"/>
      <c r="G2" s="37"/>
      <c r="H2" s="37"/>
      <c r="I2" s="37"/>
      <c r="J2" s="37"/>
      <c r="K2" s="37"/>
      <c r="L2" s="37"/>
    </row>
    <row r="3" spans="1:30" x14ac:dyDescent="0.25">
      <c r="A3" s="1" t="s">
        <v>217</v>
      </c>
      <c r="B3" s="1" t="s">
        <v>212</v>
      </c>
    </row>
    <row r="4" spans="1:30" x14ac:dyDescent="0.25">
      <c r="A4" s="141">
        <v>8226498.7736</v>
      </c>
      <c r="B4" s="138">
        <f>B2-D2</f>
        <v>17538657.518615998</v>
      </c>
    </row>
    <row r="5" spans="1:30" x14ac:dyDescent="0.25">
      <c r="A5" s="16"/>
      <c r="C5" s="1" t="s">
        <v>370</v>
      </c>
      <c r="D5" s="1" t="s">
        <v>371</v>
      </c>
      <c r="E5" s="1" t="s">
        <v>281</v>
      </c>
      <c r="F5" s="1" t="s">
        <v>153</v>
      </c>
      <c r="G5" s="1" t="s">
        <v>372</v>
      </c>
      <c r="H5" s="1" t="s">
        <v>434</v>
      </c>
      <c r="I5" s="1" t="s">
        <v>457</v>
      </c>
      <c r="J5" s="1" t="s">
        <v>375</v>
      </c>
      <c r="K5" s="1" t="s">
        <v>458</v>
      </c>
      <c r="L5" s="1" t="s">
        <v>435</v>
      </c>
      <c r="M5" s="1" t="s">
        <v>373</v>
      </c>
      <c r="N5" s="1" t="s">
        <v>350</v>
      </c>
      <c r="O5" s="1" t="s">
        <v>280</v>
      </c>
      <c r="P5" s="1" t="s">
        <v>153</v>
      </c>
      <c r="Q5" s="1" t="s">
        <v>282</v>
      </c>
      <c r="R5" s="1" t="s">
        <v>410</v>
      </c>
      <c r="S5" s="1" t="s">
        <v>374</v>
      </c>
      <c r="T5" s="1" t="s">
        <v>436</v>
      </c>
      <c r="V5" s="1" t="s">
        <v>215</v>
      </c>
      <c r="W5" s="1" t="s">
        <v>283</v>
      </c>
      <c r="X5" s="1" t="s">
        <v>376</v>
      </c>
      <c r="Y5" s="1" t="s">
        <v>459</v>
      </c>
      <c r="Z5" s="1" t="s">
        <v>437</v>
      </c>
      <c r="AA5" s="1" t="s">
        <v>214</v>
      </c>
      <c r="AB5" s="1" t="s">
        <v>284</v>
      </c>
      <c r="AC5" s="1" t="s">
        <v>377</v>
      </c>
      <c r="AD5" s="1" t="s">
        <v>460</v>
      </c>
    </row>
    <row r="6" spans="1:30" x14ac:dyDescent="0.25">
      <c r="A6" s="136"/>
      <c r="B6" s="140" t="s">
        <v>198</v>
      </c>
      <c r="C6" s="34">
        <v>28658</v>
      </c>
      <c r="D6" s="34">
        <v>29370</v>
      </c>
      <c r="E6" s="34">
        <v>28765</v>
      </c>
      <c r="F6" s="36">
        <f t="shared" ref="F6:F11" si="0">C6/C$12</f>
        <v>0.36897128878588903</v>
      </c>
      <c r="G6" s="36">
        <f t="shared" ref="G6:G11" si="1">E6/E$12</f>
        <v>0.36682096994274199</v>
      </c>
      <c r="H6" s="34">
        <v>43970</v>
      </c>
      <c r="I6" s="34">
        <v>20025</v>
      </c>
      <c r="J6" s="36">
        <f>D6/D$12</f>
        <v>0.31360447609793601</v>
      </c>
      <c r="K6" s="36">
        <f t="shared" ref="K6:K11" si="2">I6/I$12</f>
        <v>0.32551448356578561</v>
      </c>
      <c r="L6" s="36">
        <f t="shared" ref="L6:L11" si="3">H6/H$12</f>
        <v>0.33834528609683279</v>
      </c>
      <c r="M6" s="34">
        <v>5347944</v>
      </c>
      <c r="N6" s="34">
        <v>6025106</v>
      </c>
      <c r="O6" s="34">
        <v>5530171</v>
      </c>
      <c r="P6" s="36">
        <f t="shared" ref="P6:P11" si="4">M6/M$12</f>
        <v>0.26606922190654225</v>
      </c>
      <c r="Q6" s="36">
        <f t="shared" ref="Q6:Q11" si="5">O6/O$12</f>
        <v>0.28494306415925896</v>
      </c>
      <c r="R6" s="34">
        <v>6962631</v>
      </c>
      <c r="S6" s="36">
        <f t="shared" ref="S6:S11" si="6">N6/N$12</f>
        <v>0.30916484985269133</v>
      </c>
      <c r="T6" s="36">
        <f t="shared" ref="T6:T11" si="7">R6/R$12</f>
        <v>0.25773257201643651</v>
      </c>
      <c r="U6" s="140" t="s">
        <v>198</v>
      </c>
      <c r="V6" s="204">
        <f t="shared" ref="V6:W11" si="8">(0.6*F6)+(0.4*P6)</f>
        <v>0.32781046203415032</v>
      </c>
      <c r="W6" s="204">
        <f t="shared" si="8"/>
        <v>0.33406980762934879</v>
      </c>
      <c r="X6" s="204">
        <f t="shared" ref="X6:X11" si="9">(0.6*J6)+(0.4*S6)</f>
        <v>0.31182862559983815</v>
      </c>
      <c r="Y6" s="204">
        <f t="shared" ref="Y6:Z11" si="10">(0.6*K6)+(0.4*S6)</f>
        <v>0.31897463008054788</v>
      </c>
      <c r="Z6" s="204">
        <f t="shared" si="10"/>
        <v>0.30610020046467429</v>
      </c>
      <c r="AA6" s="66">
        <f t="shared" ref="AA6:AA11" si="11">V6*B$4</f>
        <v>5749355.4246362345</v>
      </c>
      <c r="AB6" s="37">
        <f t="shared" ref="AB6:AB11" si="12">W6*B$4</f>
        <v>5859135.9433210781</v>
      </c>
      <c r="AC6" s="37">
        <f t="shared" ref="AC6:AC11" si="13">X6*B$4</f>
        <v>5469055.4688962949</v>
      </c>
      <c r="AD6" s="37">
        <f t="shared" ref="AD6:AD11" si="14">Y6*B$4</f>
        <v>5594386.7941099582</v>
      </c>
    </row>
    <row r="7" spans="1:30" x14ac:dyDescent="0.25">
      <c r="A7" s="136"/>
      <c r="B7" s="140" t="s">
        <v>199</v>
      </c>
      <c r="C7" s="34">
        <v>19736</v>
      </c>
      <c r="D7" s="34">
        <v>27221</v>
      </c>
      <c r="E7" s="34">
        <v>20474</v>
      </c>
      <c r="F7" s="36">
        <f t="shared" si="0"/>
        <v>0.25410068237414701</v>
      </c>
      <c r="G7" s="36">
        <f t="shared" si="1"/>
        <v>0.26109134498896924</v>
      </c>
      <c r="H7" s="34">
        <v>36586</v>
      </c>
      <c r="I7" s="34">
        <v>18056</v>
      </c>
      <c r="J7" s="36">
        <f t="shared" ref="J7:J11" si="15">D7/D$12</f>
        <v>0.29065806754722218</v>
      </c>
      <c r="K7" s="36">
        <f t="shared" si="2"/>
        <v>0.29350759127409864</v>
      </c>
      <c r="L7" s="36">
        <f t="shared" si="3"/>
        <v>0.2815260549724522</v>
      </c>
      <c r="M7" s="34">
        <v>7006819</v>
      </c>
      <c r="N7" s="34">
        <v>5625731</v>
      </c>
      <c r="O7" s="34">
        <v>6652560</v>
      </c>
      <c r="P7" s="36">
        <f t="shared" si="4"/>
        <v>0.34860104731275732</v>
      </c>
      <c r="Q7" s="36">
        <f t="shared" si="5"/>
        <v>0.34277436102849623</v>
      </c>
      <c r="R7" s="34">
        <v>9409802</v>
      </c>
      <c r="S7" s="36">
        <f t="shared" si="6"/>
        <v>0.28867181422644367</v>
      </c>
      <c r="T7" s="36">
        <f t="shared" si="7"/>
        <v>0.34831839740256354</v>
      </c>
      <c r="U7" s="140" t="s">
        <v>199</v>
      </c>
      <c r="V7" s="204">
        <f t="shared" si="8"/>
        <v>0.29190082834959113</v>
      </c>
      <c r="W7" s="204">
        <f t="shared" si="8"/>
        <v>0.29376455140478008</v>
      </c>
      <c r="X7" s="204">
        <f t="shared" si="9"/>
        <v>0.28986356621891074</v>
      </c>
      <c r="Y7" s="204">
        <f t="shared" si="10"/>
        <v>0.29157328045503667</v>
      </c>
      <c r="Z7" s="204">
        <f t="shared" si="10"/>
        <v>0.30824299194449672</v>
      </c>
      <c r="AA7" s="66">
        <f t="shared" si="11"/>
        <v>5119548.6578237945</v>
      </c>
      <c r="AB7" s="37">
        <f t="shared" si="12"/>
        <v>5152235.8581983019</v>
      </c>
      <c r="AC7" s="37">
        <f t="shared" si="13"/>
        <v>5083817.8150381455</v>
      </c>
      <c r="AD7" s="37">
        <f t="shared" si="14"/>
        <v>5113803.9074802604</v>
      </c>
    </row>
    <row r="8" spans="1:30" x14ac:dyDescent="0.25">
      <c r="A8" s="136"/>
      <c r="B8" s="140" t="s">
        <v>200</v>
      </c>
      <c r="C8" s="34">
        <v>14214</v>
      </c>
      <c r="D8" s="34">
        <v>16882</v>
      </c>
      <c r="E8" s="34">
        <v>14086</v>
      </c>
      <c r="F8" s="36">
        <f t="shared" si="0"/>
        <v>0.18300502124372345</v>
      </c>
      <c r="G8" s="36">
        <f t="shared" si="1"/>
        <v>0.17962941709068186</v>
      </c>
      <c r="H8" s="34">
        <v>23082</v>
      </c>
      <c r="I8" s="34">
        <v>9557</v>
      </c>
      <c r="J8" s="36">
        <f t="shared" si="15"/>
        <v>0.18026117689769683</v>
      </c>
      <c r="K8" s="36">
        <f t="shared" si="2"/>
        <v>0.15535290484085959</v>
      </c>
      <c r="L8" s="36">
        <f t="shared" si="3"/>
        <v>0.17761396164855797</v>
      </c>
      <c r="M8" s="34">
        <v>970457</v>
      </c>
      <c r="N8" s="34">
        <v>1595531</v>
      </c>
      <c r="O8" s="34">
        <v>980457</v>
      </c>
      <c r="P8" s="36">
        <f t="shared" si="4"/>
        <v>4.8281870356861864E-2</v>
      </c>
      <c r="Q8" s="36">
        <f t="shared" si="5"/>
        <v>5.0518224817350958E-2</v>
      </c>
      <c r="R8" s="34">
        <v>1984718</v>
      </c>
      <c r="S8" s="36">
        <f t="shared" si="6"/>
        <v>8.1871107670191096E-2</v>
      </c>
      <c r="T8" s="36">
        <f t="shared" si="7"/>
        <v>7.3467411222470053E-2</v>
      </c>
      <c r="U8" s="140" t="s">
        <v>200</v>
      </c>
      <c r="V8" s="204">
        <f t="shared" si="8"/>
        <v>0.1291157608889788</v>
      </c>
      <c r="W8" s="204">
        <f t="shared" si="8"/>
        <v>0.12798494018134951</v>
      </c>
      <c r="X8" s="204">
        <f t="shared" si="9"/>
        <v>0.14090514920669453</v>
      </c>
      <c r="Y8" s="204">
        <f t="shared" si="10"/>
        <v>0.1259601859725922</v>
      </c>
      <c r="Z8" s="204">
        <f t="shared" si="10"/>
        <v>0.1359553414781228</v>
      </c>
      <c r="AA8" s="66">
        <f t="shared" si="11"/>
        <v>2264517.1104873135</v>
      </c>
      <c r="AB8" s="37">
        <f t="shared" si="12"/>
        <v>2244684.0333812442</v>
      </c>
      <c r="AC8" s="37">
        <f t="shared" si="13"/>
        <v>2471287.154545702</v>
      </c>
      <c r="AD8" s="37">
        <f t="shared" si="14"/>
        <v>2209172.5627544736</v>
      </c>
    </row>
    <row r="9" spans="1:30" x14ac:dyDescent="0.25">
      <c r="A9" s="136"/>
      <c r="B9" s="140" t="s">
        <v>201</v>
      </c>
      <c r="C9" s="34">
        <v>5908</v>
      </c>
      <c r="D9" s="34">
        <v>8667</v>
      </c>
      <c r="E9" s="34">
        <v>5956</v>
      </c>
      <c r="F9" s="36">
        <f t="shared" si="0"/>
        <v>7.6065404918243859E-2</v>
      </c>
      <c r="G9" s="36">
        <f t="shared" si="1"/>
        <v>7.5952918372291719E-2</v>
      </c>
      <c r="H9" s="34">
        <v>10743</v>
      </c>
      <c r="I9" s="34">
        <v>5238</v>
      </c>
      <c r="J9" s="36">
        <f t="shared" si="15"/>
        <v>9.2543751935335761E-2</v>
      </c>
      <c r="K9" s="36">
        <f t="shared" si="2"/>
        <v>8.5145810982151571E-2</v>
      </c>
      <c r="L9" s="36">
        <f t="shared" si="3"/>
        <v>8.2666440949244357E-2</v>
      </c>
      <c r="M9" s="34">
        <v>352408</v>
      </c>
      <c r="N9" s="34">
        <v>605541</v>
      </c>
      <c r="O9" s="34">
        <v>214129</v>
      </c>
      <c r="P9" s="36">
        <f t="shared" si="4"/>
        <v>1.7532891584811049E-2</v>
      </c>
      <c r="Q9" s="36">
        <f t="shared" si="5"/>
        <v>1.1033035576179826E-2</v>
      </c>
      <c r="R9" s="34">
        <v>722693</v>
      </c>
      <c r="S9" s="36">
        <f t="shared" si="6"/>
        <v>3.1071983189117094E-2</v>
      </c>
      <c r="T9" s="36">
        <f t="shared" si="7"/>
        <v>2.6751600891713859E-2</v>
      </c>
      <c r="U9" s="140" t="s">
        <v>201</v>
      </c>
      <c r="V9" s="204">
        <f t="shared" si="8"/>
        <v>5.2652399584870731E-2</v>
      </c>
      <c r="W9" s="204">
        <f t="shared" si="8"/>
        <v>4.9984965253846964E-2</v>
      </c>
      <c r="X9" s="204">
        <f t="shared" si="9"/>
        <v>6.79550444368483E-2</v>
      </c>
      <c r="Y9" s="204">
        <f t="shared" si="10"/>
        <v>6.3516279864937783E-2</v>
      </c>
      <c r="Z9" s="204">
        <f t="shared" si="10"/>
        <v>6.0300504926232158E-2</v>
      </c>
      <c r="AA9" s="66">
        <f t="shared" si="11"/>
        <v>923452.40385236696</v>
      </c>
      <c r="AB9" s="37">
        <f t="shared" si="12"/>
        <v>876669.18666714244</v>
      </c>
      <c r="AC9" s="37">
        <f t="shared" si="13"/>
        <v>1191840.2510402137</v>
      </c>
      <c r="AD9" s="37">
        <f t="shared" si="14"/>
        <v>1113990.2794077089</v>
      </c>
    </row>
    <row r="10" spans="1:30" x14ac:dyDescent="0.25">
      <c r="A10" s="136"/>
      <c r="B10" s="140" t="s">
        <v>202</v>
      </c>
      <c r="C10" s="34">
        <v>7871</v>
      </c>
      <c r="D10" s="34">
        <v>10201</v>
      </c>
      <c r="E10" s="34">
        <v>7861</v>
      </c>
      <c r="F10" s="36">
        <f t="shared" si="0"/>
        <v>0.10133899832625209</v>
      </c>
      <c r="G10" s="36">
        <f t="shared" si="1"/>
        <v>0.1002461201015086</v>
      </c>
      <c r="H10" s="34">
        <v>13662</v>
      </c>
      <c r="I10" s="34">
        <v>7428</v>
      </c>
      <c r="J10" s="36">
        <f t="shared" si="15"/>
        <v>0.10892336604273221</v>
      </c>
      <c r="K10" s="36">
        <f t="shared" si="2"/>
        <v>0.12074514776163074</v>
      </c>
      <c r="L10" s="36">
        <f t="shared" si="3"/>
        <v>0.1051278894395026</v>
      </c>
      <c r="M10" s="34">
        <v>5635669</v>
      </c>
      <c r="N10" s="34">
        <v>5222088</v>
      </c>
      <c r="O10" s="34">
        <v>5232366</v>
      </c>
      <c r="P10" s="36">
        <f t="shared" si="4"/>
        <v>0.28038402529136824</v>
      </c>
      <c r="Q10" s="36">
        <f t="shared" si="5"/>
        <v>0.26959860750105652</v>
      </c>
      <c r="R10" s="34">
        <v>7058737</v>
      </c>
      <c r="S10" s="36">
        <f t="shared" si="6"/>
        <v>0.26795977571806057</v>
      </c>
      <c r="T10" s="36">
        <f t="shared" si="7"/>
        <v>0.26129008448064894</v>
      </c>
      <c r="U10" s="140" t="s">
        <v>202</v>
      </c>
      <c r="V10" s="204">
        <f t="shared" si="8"/>
        <v>0.17295700911229855</v>
      </c>
      <c r="W10" s="204">
        <f t="shared" si="8"/>
        <v>0.16798711506132777</v>
      </c>
      <c r="X10" s="204">
        <f t="shared" si="9"/>
        <v>0.17253792991286357</v>
      </c>
      <c r="Y10" s="204">
        <f t="shared" si="10"/>
        <v>0.17963099894420267</v>
      </c>
      <c r="Z10" s="204">
        <f t="shared" si="10"/>
        <v>0.16759276745596113</v>
      </c>
      <c r="AA10" s="66">
        <f t="shared" si="11"/>
        <v>3033433.7482647509</v>
      </c>
      <c r="AB10" s="37">
        <f t="shared" si="12"/>
        <v>2946268.4786009672</v>
      </c>
      <c r="AC10" s="37">
        <f t="shared" si="13"/>
        <v>3026083.6617126847</v>
      </c>
      <c r="AD10" s="37">
        <f t="shared" si="14"/>
        <v>3150486.5702092429</v>
      </c>
    </row>
    <row r="11" spans="1:30" x14ac:dyDescent="0.25">
      <c r="A11" s="136"/>
      <c r="B11" s="140" t="s">
        <v>203</v>
      </c>
      <c r="C11" s="34">
        <v>1283</v>
      </c>
      <c r="D11" s="34">
        <v>1312</v>
      </c>
      <c r="E11" s="34">
        <v>1275</v>
      </c>
      <c r="F11" s="36">
        <f t="shared" si="0"/>
        <v>1.651860435174456E-2</v>
      </c>
      <c r="G11" s="36">
        <f t="shared" si="1"/>
        <v>1.6259229503806573E-2</v>
      </c>
      <c r="H11" s="34">
        <v>1913</v>
      </c>
      <c r="I11" s="34">
        <v>1214</v>
      </c>
      <c r="J11" s="36">
        <f t="shared" si="15"/>
        <v>1.4009161479077019E-2</v>
      </c>
      <c r="K11" s="36">
        <f t="shared" si="2"/>
        <v>1.9734061575473846E-2</v>
      </c>
      <c r="L11" s="36">
        <f t="shared" si="3"/>
        <v>1.4720366893410077E-2</v>
      </c>
      <c r="M11" s="34">
        <v>786525</v>
      </c>
      <c r="N11" s="34">
        <v>414331</v>
      </c>
      <c r="O11" s="34">
        <v>798303</v>
      </c>
      <c r="P11" s="36">
        <f t="shared" si="4"/>
        <v>3.913094354765928E-2</v>
      </c>
      <c r="Q11" s="36">
        <f t="shared" si="5"/>
        <v>4.1132706917657504E-2</v>
      </c>
      <c r="R11" s="34">
        <v>876363</v>
      </c>
      <c r="S11" s="36">
        <f t="shared" si="6"/>
        <v>2.126046934349627E-2</v>
      </c>
      <c r="T11" s="36">
        <f t="shared" si="7"/>
        <v>3.2439933986167062E-2</v>
      </c>
      <c r="U11" s="140" t="s">
        <v>203</v>
      </c>
      <c r="V11" s="204">
        <f t="shared" si="8"/>
        <v>2.5563540030110448E-2</v>
      </c>
      <c r="W11" s="204">
        <f t="shared" si="8"/>
        <v>2.6208620469346945E-2</v>
      </c>
      <c r="X11" s="204">
        <f t="shared" si="9"/>
        <v>1.6909684624844719E-2</v>
      </c>
      <c r="Y11" s="204">
        <f t="shared" si="10"/>
        <v>2.0344624682682815E-2</v>
      </c>
      <c r="Z11" s="204">
        <f t="shared" si="10"/>
        <v>2.1808193730512869E-2</v>
      </c>
      <c r="AA11" s="66">
        <f t="shared" si="11"/>
        <v>448350.17355153768</v>
      </c>
      <c r="AB11" s="37">
        <f t="shared" si="12"/>
        <v>459664.01844726497</v>
      </c>
      <c r="AC11" s="37">
        <f t="shared" si="13"/>
        <v>296573.16738295817</v>
      </c>
      <c r="AD11" s="37">
        <f t="shared" si="14"/>
        <v>356817.4046543556</v>
      </c>
    </row>
    <row r="12" spans="1:30" x14ac:dyDescent="0.25">
      <c r="A12" s="16"/>
      <c r="C12" s="54">
        <f t="shared" ref="C12:Q12" si="16">SUM(C6:C11)</f>
        <v>77670</v>
      </c>
      <c r="D12" s="54">
        <f>SUM(D6:D11)</f>
        <v>93653</v>
      </c>
      <c r="E12" s="54">
        <f t="shared" si="16"/>
        <v>78417</v>
      </c>
      <c r="F12" s="36">
        <f t="shared" si="16"/>
        <v>1</v>
      </c>
      <c r="G12" s="262">
        <f t="shared" si="16"/>
        <v>0.99999999999999978</v>
      </c>
      <c r="H12" s="54">
        <f>SUM(H6:H11)</f>
        <v>129956</v>
      </c>
      <c r="I12" s="54">
        <f>SUM(I6:I11)</f>
        <v>61518</v>
      </c>
      <c r="J12" s="262">
        <f>SUM(J6:J11)</f>
        <v>1</v>
      </c>
      <c r="K12" s="262">
        <f>SUM(K6:K11)</f>
        <v>1</v>
      </c>
      <c r="L12" s="262">
        <f>SUM(L6:L11)</f>
        <v>1</v>
      </c>
      <c r="M12" s="34">
        <f t="shared" si="16"/>
        <v>20099822</v>
      </c>
      <c r="N12" s="54">
        <f>SUM(N6:N11)</f>
        <v>19488328</v>
      </c>
      <c r="O12" s="54">
        <f t="shared" si="16"/>
        <v>19407986</v>
      </c>
      <c r="P12" s="36">
        <f t="shared" si="16"/>
        <v>1</v>
      </c>
      <c r="Q12" s="36">
        <f t="shared" si="16"/>
        <v>1</v>
      </c>
      <c r="R12" s="54">
        <f>SUM(R6:R11)</f>
        <v>27014944</v>
      </c>
      <c r="S12" s="262">
        <f>SUM(S6:S11)</f>
        <v>1.0000000000000002</v>
      </c>
      <c r="T12" s="262">
        <f>SUM(T6:T11)</f>
        <v>1</v>
      </c>
      <c r="V12" s="26">
        <f t="shared" ref="V12:AC12" si="17">SUM(V6:V11)</f>
        <v>1</v>
      </c>
      <c r="W12" s="26">
        <f t="shared" si="17"/>
        <v>1.0000000000000002</v>
      </c>
      <c r="X12" s="79">
        <f t="shared" si="17"/>
        <v>1</v>
      </c>
      <c r="Y12" s="79">
        <f>SUM(Y6:Y11)</f>
        <v>1</v>
      </c>
      <c r="Z12" s="79">
        <f>SUM(Z6:Z11)</f>
        <v>1</v>
      </c>
      <c r="AA12" s="138">
        <f t="shared" si="17"/>
        <v>17538657.518615998</v>
      </c>
      <c r="AB12" s="138">
        <f t="shared" si="17"/>
        <v>17538657.518615998</v>
      </c>
      <c r="AC12" s="138">
        <f t="shared" si="17"/>
        <v>17538657.518615998</v>
      </c>
      <c r="AD12" s="138">
        <f>SUM(AD6:AD11)</f>
        <v>17538657.518615998</v>
      </c>
    </row>
    <row r="13" spans="1:30" x14ac:dyDescent="0.25">
      <c r="B13" s="140"/>
      <c r="C13" s="54" t="s">
        <v>248</v>
      </c>
      <c r="D13" s="54"/>
      <c r="E13" s="54"/>
      <c r="F13" s="36"/>
      <c r="G13" s="36"/>
      <c r="H13" s="36"/>
      <c r="I13" s="36"/>
      <c r="J13" s="36"/>
      <c r="K13" s="36"/>
      <c r="L13" s="36"/>
      <c r="M13" s="34"/>
      <c r="N13" s="34"/>
      <c r="O13" s="34"/>
      <c r="P13" s="36"/>
      <c r="Q13" s="36"/>
      <c r="R13" s="36"/>
      <c r="S13" s="36"/>
      <c r="T13" s="36"/>
      <c r="U13" s="140"/>
      <c r="V13" s="26"/>
      <c r="W13" s="47"/>
      <c r="X13" s="47"/>
      <c r="Y13" s="47"/>
      <c r="Z13" s="47"/>
      <c r="AA13" s="67"/>
    </row>
    <row r="14" spans="1:30" x14ac:dyDescent="0.25">
      <c r="B14" s="156" t="s">
        <v>247</v>
      </c>
      <c r="C14" s="34">
        <v>4831</v>
      </c>
      <c r="D14" s="34">
        <v>4126</v>
      </c>
      <c r="E14" s="34"/>
      <c r="F14" s="36">
        <f>C14/C16</f>
        <v>0.70136469221835074</v>
      </c>
      <c r="G14" s="36"/>
      <c r="H14" s="36"/>
      <c r="I14" s="36"/>
      <c r="J14" s="36"/>
      <c r="K14" s="36"/>
      <c r="L14" s="36"/>
      <c r="M14" s="34"/>
      <c r="N14" s="34"/>
      <c r="O14" s="34"/>
      <c r="P14" s="36"/>
      <c r="Q14" s="36"/>
      <c r="R14" s="36"/>
      <c r="S14" s="36"/>
      <c r="T14" s="36"/>
      <c r="U14" s="140"/>
      <c r="V14" s="23">
        <v>0.70136469221835074</v>
      </c>
      <c r="W14" s="177"/>
      <c r="X14" s="177"/>
      <c r="Y14" s="177"/>
      <c r="Z14" s="280" t="s">
        <v>438</v>
      </c>
      <c r="AA14" s="66">
        <f>V14*D2</f>
        <v>785169.90207237273</v>
      </c>
      <c r="AC14" s="37"/>
    </row>
    <row r="15" spans="1:30" x14ac:dyDescent="0.25">
      <c r="B15" s="156" t="s">
        <v>246</v>
      </c>
      <c r="C15" s="34">
        <v>2057</v>
      </c>
      <c r="D15" s="34">
        <v>2002</v>
      </c>
      <c r="E15" s="34"/>
      <c r="F15" s="36">
        <f>C15/C16</f>
        <v>0.29863530778164926</v>
      </c>
      <c r="G15" s="36"/>
      <c r="H15" s="36"/>
      <c r="I15" s="36"/>
      <c r="J15" s="36"/>
      <c r="K15" s="36"/>
      <c r="L15" s="36"/>
      <c r="M15" s="34"/>
      <c r="N15" s="34"/>
      <c r="O15" s="34"/>
      <c r="P15" s="36"/>
      <c r="Q15" s="36"/>
      <c r="R15" s="36"/>
      <c r="S15" s="36"/>
      <c r="T15" s="36"/>
      <c r="U15" s="140"/>
      <c r="V15" s="23">
        <v>0.29863530778164926</v>
      </c>
      <c r="W15" s="177"/>
      <c r="X15" s="177"/>
      <c r="Y15" s="177"/>
      <c r="Z15" s="280" t="s">
        <v>439</v>
      </c>
      <c r="AA15" s="66">
        <f>V15*D2</f>
        <v>334318.87571162719</v>
      </c>
      <c r="AC15" s="37"/>
    </row>
    <row r="16" spans="1:30" x14ac:dyDescent="0.25">
      <c r="C16" s="34">
        <f>SUM(C14:C15)</f>
        <v>6888</v>
      </c>
      <c r="D16" s="34">
        <f>SUM(D14:D15)</f>
        <v>6128</v>
      </c>
      <c r="E16" s="34"/>
      <c r="AC16" s="6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29.5703125" customWidth="1"/>
    <col min="2" max="2" width="27.5703125" bestFit="1" customWidth="1"/>
    <col min="4" max="4" width="10" bestFit="1" customWidth="1"/>
    <col min="5" max="5" width="8.5703125" bestFit="1" customWidth="1"/>
    <col min="6" max="6" width="9.28515625" bestFit="1" customWidth="1"/>
    <col min="7" max="7" width="11.42578125" bestFit="1" customWidth="1"/>
    <col min="8" max="8" width="11.140625" bestFit="1" customWidth="1"/>
    <col min="9" max="9" width="12" bestFit="1" customWidth="1"/>
    <col min="10" max="10" width="11.140625" bestFit="1" customWidth="1"/>
    <col min="11" max="11" width="10" bestFit="1" customWidth="1"/>
    <col min="12" max="12" width="10.7109375" bestFit="1" customWidth="1"/>
    <col min="13" max="13" width="24.85546875" bestFit="1" customWidth="1"/>
    <col min="20" max="20" width="27.5703125" bestFit="1" customWidth="1"/>
  </cols>
  <sheetData>
    <row r="1" spans="1:35" x14ac:dyDescent="0.25">
      <c r="A1" s="1"/>
      <c r="B1" s="77"/>
      <c r="C1" s="77"/>
      <c r="D1" s="77"/>
      <c r="E1" s="136"/>
      <c r="F1" s="136"/>
      <c r="G1" s="136"/>
      <c r="H1" s="1" t="s">
        <v>155</v>
      </c>
      <c r="I1" s="16"/>
      <c r="J1" s="61"/>
      <c r="K1" s="61"/>
      <c r="L1" s="61"/>
      <c r="M1" s="79"/>
    </row>
    <row r="2" spans="1:35" ht="15.75" thickBot="1" x14ac:dyDescent="0.3">
      <c r="E2" s="16"/>
      <c r="G2" s="37"/>
      <c r="H2" s="138">
        <v>1119488.7779999999</v>
      </c>
      <c r="I2" s="26"/>
      <c r="J2" s="16"/>
      <c r="K2" s="16"/>
      <c r="L2" s="16"/>
      <c r="M2" s="16"/>
    </row>
    <row r="3" spans="1:35" ht="15.75" thickBot="1" x14ac:dyDescent="0.3">
      <c r="A3" s="171" t="s">
        <v>251</v>
      </c>
      <c r="B3" s="249"/>
      <c r="C3" s="173" t="s">
        <v>253</v>
      </c>
      <c r="D3" s="173" t="s">
        <v>329</v>
      </c>
      <c r="E3" s="172" t="s">
        <v>254</v>
      </c>
      <c r="F3" s="176" t="s">
        <v>255</v>
      </c>
      <c r="G3" s="176" t="s">
        <v>256</v>
      </c>
      <c r="H3" s="178"/>
      <c r="M3" s="172" t="s">
        <v>251</v>
      </c>
      <c r="N3" s="143">
        <v>2021</v>
      </c>
      <c r="O3" s="1"/>
      <c r="P3" s="1"/>
      <c r="Q3" s="1"/>
      <c r="R3" s="1"/>
      <c r="S3" s="1">
        <v>2020</v>
      </c>
      <c r="T3" s="172" t="s">
        <v>251</v>
      </c>
      <c r="U3" s="1"/>
      <c r="V3" s="1"/>
      <c r="W3" s="1"/>
      <c r="X3" s="1"/>
      <c r="Z3" s="1" t="s">
        <v>362</v>
      </c>
      <c r="AA3" s="1"/>
      <c r="AB3" s="1"/>
      <c r="AC3" s="1"/>
    </row>
    <row r="4" spans="1:35" ht="15.75" thickBot="1" x14ac:dyDescent="0.3">
      <c r="A4" s="163" t="s">
        <v>206</v>
      </c>
      <c r="B4" s="188"/>
      <c r="C4" s="168">
        <v>14</v>
      </c>
      <c r="D4" s="243">
        <v>13</v>
      </c>
      <c r="E4" s="117">
        <f t="shared" ref="E4:E9" si="0">D4*C$13</f>
        <v>113.15652173913044</v>
      </c>
      <c r="F4" s="217">
        <f>C4-E4</f>
        <v>-99.15652173913044</v>
      </c>
      <c r="G4" s="26">
        <f>(F4-F$10)/F$11</f>
        <v>-0.58979080435103104</v>
      </c>
      <c r="L4" t="s">
        <v>257</v>
      </c>
      <c r="AE4" t="s">
        <v>258</v>
      </c>
      <c r="AI4" t="s">
        <v>259</v>
      </c>
    </row>
    <row r="5" spans="1:35" ht="15.75" thickBot="1" x14ac:dyDescent="0.3">
      <c r="A5" s="163" t="s">
        <v>205</v>
      </c>
      <c r="B5" s="166"/>
      <c r="C5" s="169">
        <v>360</v>
      </c>
      <c r="D5" s="243">
        <v>29</v>
      </c>
      <c r="E5" s="117">
        <f t="shared" si="0"/>
        <v>252.42608695652177</v>
      </c>
      <c r="F5" s="217">
        <f t="shared" ref="F5:F9" si="1">C5-E5</f>
        <v>107.57391304347823</v>
      </c>
      <c r="G5" s="26">
        <f t="shared" ref="G5:G9" si="2">(F5-F$10)/F$11</f>
        <v>0.63985811107836599</v>
      </c>
      <c r="L5" s="179" t="s">
        <v>260</v>
      </c>
      <c r="M5" s="180"/>
      <c r="N5" s="183" t="s">
        <v>261</v>
      </c>
      <c r="O5" s="183" t="s">
        <v>262</v>
      </c>
      <c r="P5" s="183" t="s">
        <v>263</v>
      </c>
      <c r="Q5" s="184" t="s">
        <v>264</v>
      </c>
      <c r="S5" s="179" t="s">
        <v>260</v>
      </c>
      <c r="T5" s="180"/>
      <c r="U5" s="181" t="s">
        <v>261</v>
      </c>
      <c r="V5" s="181" t="s">
        <v>262</v>
      </c>
      <c r="W5" s="181" t="s">
        <v>263</v>
      </c>
      <c r="X5" s="182" t="s">
        <v>264</v>
      </c>
      <c r="Z5" s="254" t="s">
        <v>261</v>
      </c>
      <c r="AA5" s="183" t="s">
        <v>262</v>
      </c>
      <c r="AB5" s="183" t="s">
        <v>263</v>
      </c>
      <c r="AC5" s="184" t="s">
        <v>264</v>
      </c>
      <c r="AE5" s="185" t="s">
        <v>261</v>
      </c>
      <c r="AF5" s="181" t="s">
        <v>262</v>
      </c>
      <c r="AG5" s="181" t="s">
        <v>263</v>
      </c>
      <c r="AH5" s="186" t="s">
        <v>264</v>
      </c>
      <c r="AI5" s="187" t="s">
        <v>265</v>
      </c>
    </row>
    <row r="6" spans="1:35" x14ac:dyDescent="0.25">
      <c r="A6" s="163" t="s">
        <v>211</v>
      </c>
      <c r="B6" s="166"/>
      <c r="C6" s="169">
        <v>250</v>
      </c>
      <c r="D6" s="243">
        <v>28</v>
      </c>
      <c r="E6" s="117">
        <f t="shared" si="0"/>
        <v>243.7217391304348</v>
      </c>
      <c r="F6" s="217">
        <f t="shared" si="1"/>
        <v>6.2782608695652016</v>
      </c>
      <c r="G6" s="26">
        <f t="shared" si="2"/>
        <v>3.734359034828081E-2</v>
      </c>
      <c r="L6" s="250" t="s">
        <v>356</v>
      </c>
      <c r="M6" s="191"/>
      <c r="N6" s="189">
        <v>0</v>
      </c>
      <c r="O6" s="190">
        <v>0</v>
      </c>
      <c r="P6" s="190">
        <v>0</v>
      </c>
      <c r="Q6" s="165">
        <v>0</v>
      </c>
      <c r="S6" s="250" t="s">
        <v>356</v>
      </c>
      <c r="T6" s="158"/>
      <c r="U6" s="158">
        <v>0</v>
      </c>
      <c r="V6" s="158">
        <v>2</v>
      </c>
      <c r="W6" s="158">
        <v>0</v>
      </c>
      <c r="X6" s="188">
        <v>0</v>
      </c>
      <c r="Z6" s="189">
        <v>0</v>
      </c>
      <c r="AA6" s="190">
        <v>2</v>
      </c>
      <c r="AB6" s="190">
        <v>0</v>
      </c>
      <c r="AC6" s="165">
        <v>0</v>
      </c>
      <c r="AE6" s="157">
        <v>0</v>
      </c>
      <c r="AF6" s="158">
        <v>14</v>
      </c>
      <c r="AG6" s="158">
        <v>0</v>
      </c>
      <c r="AH6" s="191">
        <v>0</v>
      </c>
      <c r="AI6" s="168">
        <v>14</v>
      </c>
    </row>
    <row r="7" spans="1:35" x14ac:dyDescent="0.25">
      <c r="A7" s="163" t="s">
        <v>209</v>
      </c>
      <c r="B7" s="166"/>
      <c r="C7" s="169">
        <v>65</v>
      </c>
      <c r="D7" s="243">
        <v>12</v>
      </c>
      <c r="E7" s="117">
        <f t="shared" si="0"/>
        <v>104.45217391304348</v>
      </c>
      <c r="F7" s="217">
        <f t="shared" si="1"/>
        <v>-39.452173913043481</v>
      </c>
      <c r="G7" s="26">
        <f t="shared" si="2"/>
        <v>-0.23466463907222893</v>
      </c>
      <c r="L7" s="251" t="s">
        <v>357</v>
      </c>
      <c r="M7" s="194"/>
      <c r="N7" s="159">
        <v>0</v>
      </c>
      <c r="O7" s="160">
        <v>1</v>
      </c>
      <c r="P7" s="160">
        <v>6</v>
      </c>
      <c r="Q7" s="166">
        <v>14</v>
      </c>
      <c r="S7" s="251" t="s">
        <v>357</v>
      </c>
      <c r="T7" s="160"/>
      <c r="U7" s="160">
        <v>0</v>
      </c>
      <c r="V7" s="160">
        <v>2</v>
      </c>
      <c r="W7" s="160">
        <v>6</v>
      </c>
      <c r="X7" s="166">
        <v>13</v>
      </c>
      <c r="Z7" s="159">
        <v>0</v>
      </c>
      <c r="AA7" s="160">
        <v>3</v>
      </c>
      <c r="AB7" s="160">
        <v>12</v>
      </c>
      <c r="AC7" s="166">
        <v>27</v>
      </c>
      <c r="AE7" s="159">
        <v>0</v>
      </c>
      <c r="AF7" s="160">
        <v>22</v>
      </c>
      <c r="AG7" s="160">
        <v>144</v>
      </c>
      <c r="AH7" s="194">
        <v>194</v>
      </c>
      <c r="AI7" s="169">
        <v>360</v>
      </c>
    </row>
    <row r="8" spans="1:35" x14ac:dyDescent="0.25">
      <c r="A8" s="163" t="s">
        <v>210</v>
      </c>
      <c r="B8" s="166"/>
      <c r="C8" s="169">
        <v>1265</v>
      </c>
      <c r="D8" s="243">
        <v>116</v>
      </c>
      <c r="E8" s="117">
        <f t="shared" si="0"/>
        <v>1009.7043478260871</v>
      </c>
      <c r="F8" s="217">
        <f t="shared" si="1"/>
        <v>255.29565217391291</v>
      </c>
      <c r="G8" s="25">
        <f t="shared" si="2"/>
        <v>1.5185186551733683</v>
      </c>
      <c r="H8" s="138">
        <f>D11</f>
        <v>365733.76853067882</v>
      </c>
      <c r="L8" s="251" t="s">
        <v>358</v>
      </c>
      <c r="M8" s="194"/>
      <c r="N8" s="159">
        <v>0</v>
      </c>
      <c r="O8" s="160">
        <v>6</v>
      </c>
      <c r="P8" s="160">
        <v>2</v>
      </c>
      <c r="Q8" s="166">
        <v>4</v>
      </c>
      <c r="S8" s="251" t="s">
        <v>358</v>
      </c>
      <c r="T8" s="160"/>
      <c r="U8" s="160">
        <v>2</v>
      </c>
      <c r="V8" s="160">
        <v>4</v>
      </c>
      <c r="W8" s="160">
        <v>0</v>
      </c>
      <c r="X8" s="166">
        <v>14</v>
      </c>
      <c r="Z8" s="159">
        <v>2</v>
      </c>
      <c r="AA8" s="160">
        <v>10</v>
      </c>
      <c r="AB8" s="160">
        <v>2</v>
      </c>
      <c r="AC8" s="166">
        <v>18</v>
      </c>
      <c r="AE8" s="159">
        <v>24</v>
      </c>
      <c r="AF8" s="160">
        <v>72</v>
      </c>
      <c r="AG8" s="160">
        <v>24</v>
      </c>
      <c r="AH8" s="194">
        <v>130</v>
      </c>
      <c r="AI8" s="169">
        <v>250</v>
      </c>
    </row>
    <row r="9" spans="1:35" ht="15.75" thickBot="1" x14ac:dyDescent="0.3">
      <c r="A9" s="164" t="s">
        <v>125</v>
      </c>
      <c r="B9" s="167"/>
      <c r="C9" s="170">
        <v>48</v>
      </c>
      <c r="D9" s="244">
        <v>32</v>
      </c>
      <c r="E9" s="117">
        <f t="shared" si="0"/>
        <v>278.53913043478263</v>
      </c>
      <c r="F9" s="217">
        <f t="shared" si="1"/>
        <v>-230.53913043478263</v>
      </c>
      <c r="G9" s="26">
        <f t="shared" si="2"/>
        <v>-1.3712649131767551</v>
      </c>
      <c r="L9" s="251" t="s">
        <v>359</v>
      </c>
      <c r="M9" s="194"/>
      <c r="N9" s="159">
        <v>0</v>
      </c>
      <c r="O9" s="160">
        <v>0</v>
      </c>
      <c r="P9" s="160">
        <v>0</v>
      </c>
      <c r="Q9" s="166">
        <v>0</v>
      </c>
      <c r="S9" s="251" t="s">
        <v>359</v>
      </c>
      <c r="T9" s="160"/>
      <c r="U9" s="160">
        <v>0</v>
      </c>
      <c r="V9" s="160">
        <v>0</v>
      </c>
      <c r="W9" s="160">
        <v>0</v>
      </c>
      <c r="X9" s="166">
        <v>9</v>
      </c>
      <c r="Z9" s="159">
        <v>0</v>
      </c>
      <c r="AA9" s="160">
        <v>0</v>
      </c>
      <c r="AB9" s="160">
        <v>0</v>
      </c>
      <c r="AC9" s="166">
        <v>9</v>
      </c>
      <c r="AE9" s="159">
        <v>0</v>
      </c>
      <c r="AF9" s="160">
        <v>0</v>
      </c>
      <c r="AG9" s="160">
        <v>0</v>
      </c>
      <c r="AH9" s="194">
        <v>65</v>
      </c>
      <c r="AI9" s="169">
        <v>65</v>
      </c>
    </row>
    <row r="10" spans="1:35" x14ac:dyDescent="0.25">
      <c r="C10">
        <f>SUM(C4:C9)</f>
        <v>2002</v>
      </c>
      <c r="D10" s="230" t="s">
        <v>155</v>
      </c>
      <c r="F10" s="217">
        <f>AVERAGE(F4:F9)</f>
        <v>-3.7895612573872008E-14</v>
      </c>
      <c r="G10" s="16"/>
      <c r="L10" s="251" t="s">
        <v>360</v>
      </c>
      <c r="M10" s="194"/>
      <c r="N10" s="159">
        <v>6</v>
      </c>
      <c r="O10" s="160">
        <v>28</v>
      </c>
      <c r="P10" s="160">
        <v>2</v>
      </c>
      <c r="Q10" s="166">
        <v>37</v>
      </c>
      <c r="S10" s="251" t="s">
        <v>360</v>
      </c>
      <c r="T10" s="160"/>
      <c r="U10" s="160">
        <v>1</v>
      </c>
      <c r="V10" s="160">
        <v>43</v>
      </c>
      <c r="W10" s="160">
        <v>4</v>
      </c>
      <c r="X10" s="166">
        <v>46</v>
      </c>
      <c r="Z10" s="159">
        <v>7</v>
      </c>
      <c r="AA10" s="160">
        <v>71</v>
      </c>
      <c r="AB10" s="160">
        <v>6</v>
      </c>
      <c r="AC10" s="166">
        <v>83</v>
      </c>
      <c r="AE10" s="159">
        <v>84</v>
      </c>
      <c r="AF10" s="160">
        <v>511</v>
      </c>
      <c r="AG10" s="160">
        <v>72</v>
      </c>
      <c r="AH10" s="194">
        <v>598</v>
      </c>
      <c r="AI10" s="169">
        <v>1265</v>
      </c>
    </row>
    <row r="11" spans="1:35" ht="15.75" thickBot="1" x14ac:dyDescent="0.3">
      <c r="B11" s="230" t="s">
        <v>368</v>
      </c>
      <c r="C11">
        <f>C10/C12</f>
        <v>0.3266971279373368</v>
      </c>
      <c r="D11" s="65">
        <f>C11*H2</f>
        <v>365733.76853067882</v>
      </c>
      <c r="F11" s="26">
        <f>STDEV(F4:F9)</f>
        <v>168.12151191172953</v>
      </c>
      <c r="G11" s="16"/>
      <c r="L11" s="252" t="s">
        <v>361</v>
      </c>
      <c r="M11" s="255"/>
      <c r="N11" s="161">
        <v>0</v>
      </c>
      <c r="O11" s="162">
        <v>1</v>
      </c>
      <c r="P11" s="162">
        <v>0</v>
      </c>
      <c r="Q11" s="167">
        <v>0</v>
      </c>
      <c r="S11" s="252" t="s">
        <v>361</v>
      </c>
      <c r="T11" s="162"/>
      <c r="U11" s="162">
        <v>0</v>
      </c>
      <c r="V11" s="162">
        <v>4</v>
      </c>
      <c r="W11" s="162">
        <v>1</v>
      </c>
      <c r="X11" s="167">
        <v>0</v>
      </c>
      <c r="Z11" s="161">
        <v>0</v>
      </c>
      <c r="AA11" s="162">
        <v>5</v>
      </c>
      <c r="AB11" s="162">
        <v>1</v>
      </c>
      <c r="AC11" s="167">
        <v>0</v>
      </c>
      <c r="AE11" s="161">
        <v>0</v>
      </c>
      <c r="AF11" s="162">
        <v>36</v>
      </c>
      <c r="AG11" s="162">
        <v>12</v>
      </c>
      <c r="AH11" s="255">
        <v>0</v>
      </c>
      <c r="AI11" s="170">
        <v>48</v>
      </c>
    </row>
    <row r="12" spans="1:35" x14ac:dyDescent="0.25">
      <c r="B12" s="230" t="s">
        <v>367</v>
      </c>
      <c r="C12">
        <f>C10+C22</f>
        <v>6128</v>
      </c>
      <c r="F12" s="217"/>
      <c r="G12" s="16"/>
      <c r="L12" s="69"/>
      <c r="M12" s="69"/>
      <c r="N12" s="69"/>
      <c r="O12" s="69"/>
      <c r="P12" s="69"/>
      <c r="Q12" s="69"/>
      <c r="S12" s="89"/>
      <c r="T12" s="69"/>
      <c r="U12" s="253"/>
      <c r="V12" s="253"/>
      <c r="W12" s="253"/>
      <c r="X12" s="253"/>
      <c r="Z12" s="69"/>
      <c r="AA12" s="69"/>
      <c r="AB12" s="69"/>
      <c r="AC12" s="69"/>
      <c r="AE12" s="69"/>
      <c r="AF12" s="69"/>
      <c r="AG12" s="69"/>
      <c r="AH12" s="69"/>
      <c r="AI12" s="245"/>
    </row>
    <row r="13" spans="1:35" x14ac:dyDescent="0.25">
      <c r="B13" s="274" t="s">
        <v>400</v>
      </c>
      <c r="C13" s="246">
        <f>C10/230</f>
        <v>8.7043478260869573</v>
      </c>
      <c r="D13" s="90"/>
      <c r="F13" s="217"/>
      <c r="G13" s="16"/>
      <c r="H13" s="68"/>
      <c r="L13" s="89"/>
      <c r="M13" s="69"/>
      <c r="N13" s="69"/>
      <c r="O13" s="69"/>
      <c r="P13" s="69"/>
      <c r="Q13" s="69"/>
      <c r="S13" s="89"/>
      <c r="T13" s="69"/>
      <c r="U13" s="253"/>
      <c r="V13" s="253"/>
      <c r="W13" s="253"/>
      <c r="X13" s="253"/>
      <c r="Z13" s="69"/>
      <c r="AA13" s="69"/>
      <c r="AB13" s="69"/>
      <c r="AC13" s="69"/>
      <c r="AE13" s="69"/>
      <c r="AF13" s="69"/>
      <c r="AG13" s="69"/>
      <c r="AH13" s="69"/>
      <c r="AI13" s="245"/>
    </row>
    <row r="14" spans="1:35" x14ac:dyDescent="0.25">
      <c r="B14" s="245"/>
      <c r="C14" s="246"/>
      <c r="D14" s="90"/>
      <c r="F14" s="217"/>
      <c r="G14" s="16"/>
      <c r="L14" s="89"/>
      <c r="M14" s="69"/>
      <c r="N14" s="69"/>
      <c r="O14" s="69"/>
      <c r="P14" s="69"/>
      <c r="Q14" s="69"/>
      <c r="S14" s="89"/>
      <c r="T14" s="69"/>
      <c r="U14" s="253"/>
      <c r="V14" s="253"/>
      <c r="W14" s="253"/>
      <c r="X14" s="253"/>
      <c r="Z14" s="69"/>
      <c r="AA14" s="69"/>
      <c r="AB14" s="69"/>
      <c r="AC14" s="69"/>
      <c r="AE14" s="69"/>
      <c r="AF14" s="69"/>
      <c r="AG14" s="69"/>
      <c r="AH14" s="69"/>
      <c r="AI14" s="245"/>
    </row>
    <row r="15" spans="1:35" ht="15.75" thickBot="1" x14ac:dyDescent="0.3">
      <c r="L15" s="69"/>
      <c r="M15" s="69"/>
      <c r="N15" s="69"/>
      <c r="O15" s="69"/>
      <c r="P15" s="69"/>
      <c r="Q15" s="69"/>
      <c r="S15" s="89"/>
      <c r="T15" s="69"/>
      <c r="U15" s="253"/>
      <c r="V15" s="253"/>
      <c r="W15" s="253"/>
      <c r="X15" s="253"/>
      <c r="Z15" s="69"/>
      <c r="AA15" s="69"/>
      <c r="AB15" s="69"/>
      <c r="AC15" s="69"/>
      <c r="AE15" s="69"/>
      <c r="AF15" s="69"/>
      <c r="AG15" s="69"/>
      <c r="AH15" s="69"/>
      <c r="AI15" s="245"/>
    </row>
    <row r="16" spans="1:35" ht="15.75" thickBot="1" x14ac:dyDescent="0.3">
      <c r="A16" s="171" t="s">
        <v>252</v>
      </c>
      <c r="B16" s="248"/>
      <c r="C16" s="173" t="s">
        <v>253</v>
      </c>
      <c r="D16" s="173" t="s">
        <v>329</v>
      </c>
      <c r="E16" s="172" t="s">
        <v>254</v>
      </c>
      <c r="F16" s="176" t="s">
        <v>255</v>
      </c>
      <c r="G16" s="176" t="s">
        <v>256</v>
      </c>
      <c r="H16" s="176"/>
      <c r="I16" s="176"/>
      <c r="J16" s="67"/>
      <c r="M16" s="172" t="s">
        <v>252</v>
      </c>
      <c r="N16" s="1">
        <v>2021</v>
      </c>
      <c r="O16" s="1"/>
      <c r="P16" s="1"/>
      <c r="Q16" s="1"/>
      <c r="R16" s="1"/>
      <c r="S16" s="1">
        <v>2020</v>
      </c>
      <c r="T16" s="197" t="s">
        <v>252</v>
      </c>
      <c r="U16" s="1"/>
      <c r="V16" s="1"/>
      <c r="W16" s="1"/>
      <c r="X16" s="1"/>
      <c r="Z16" s="1" t="s">
        <v>362</v>
      </c>
      <c r="AA16" s="1"/>
      <c r="AB16" s="1"/>
      <c r="AC16" s="1"/>
    </row>
    <row r="17" spans="1:35" ht="15.75" thickBot="1" x14ac:dyDescent="0.3">
      <c r="A17" s="163" t="s">
        <v>208</v>
      </c>
      <c r="B17" s="166"/>
      <c r="C17" s="169">
        <v>0</v>
      </c>
      <c r="D17" s="174">
        <v>18</v>
      </c>
      <c r="E17" s="117">
        <f>D17*C$24</f>
        <v>313.36708860759495</v>
      </c>
      <c r="F17" s="117">
        <f>C17-E17</f>
        <v>-313.36708860759495</v>
      </c>
      <c r="G17" s="23">
        <f>(F17-F$22)/F$23</f>
        <v>-1.2637847891742247</v>
      </c>
      <c r="I17" s="257"/>
      <c r="L17" t="s">
        <v>257</v>
      </c>
      <c r="Z17">
        <v>12</v>
      </c>
      <c r="AA17">
        <v>7.2</v>
      </c>
      <c r="AB17">
        <v>12</v>
      </c>
      <c r="AC17">
        <v>7.2</v>
      </c>
      <c r="AE17" t="s">
        <v>258</v>
      </c>
      <c r="AI17" t="s">
        <v>266</v>
      </c>
    </row>
    <row r="18" spans="1:35" ht="15.75" thickBot="1" x14ac:dyDescent="0.3">
      <c r="A18" s="163" t="s">
        <v>207</v>
      </c>
      <c r="B18" s="166"/>
      <c r="C18" s="169">
        <v>151</v>
      </c>
      <c r="D18" s="174">
        <v>8</v>
      </c>
      <c r="E18" s="117">
        <f>D18*C$24</f>
        <v>139.27426160337552</v>
      </c>
      <c r="F18" s="117">
        <f t="shared" ref="F18:F21" si="3">C18-E18</f>
        <v>11.725738396624479</v>
      </c>
      <c r="G18" s="23">
        <f t="shared" ref="G18:G21" si="4">(F18-F$22)/F$23</f>
        <v>4.72889794947376E-2</v>
      </c>
      <c r="H18" s="1"/>
      <c r="I18" s="172"/>
      <c r="J18" s="172"/>
      <c r="L18" s="179" t="s">
        <v>260</v>
      </c>
      <c r="M18" s="180"/>
      <c r="N18" s="181" t="s">
        <v>261</v>
      </c>
      <c r="O18" s="181" t="s">
        <v>262</v>
      </c>
      <c r="P18" s="181" t="s">
        <v>263</v>
      </c>
      <c r="Q18" s="182" t="s">
        <v>264</v>
      </c>
      <c r="S18" s="179" t="s">
        <v>260</v>
      </c>
      <c r="T18" s="180"/>
      <c r="U18" s="181" t="s">
        <v>261</v>
      </c>
      <c r="V18" s="181" t="s">
        <v>262</v>
      </c>
      <c r="W18" s="181" t="s">
        <v>263</v>
      </c>
      <c r="X18" s="182" t="s">
        <v>264</v>
      </c>
      <c r="Z18" s="254" t="s">
        <v>261</v>
      </c>
      <c r="AA18" s="183" t="s">
        <v>262</v>
      </c>
      <c r="AB18" s="183" t="s">
        <v>263</v>
      </c>
      <c r="AC18" s="184" t="s">
        <v>264</v>
      </c>
      <c r="AE18" s="254" t="s">
        <v>261</v>
      </c>
      <c r="AF18" s="183" t="s">
        <v>262</v>
      </c>
      <c r="AG18" s="183" t="s">
        <v>263</v>
      </c>
      <c r="AH18" s="198" t="s">
        <v>264</v>
      </c>
      <c r="AI18" s="199" t="s">
        <v>265</v>
      </c>
    </row>
    <row r="19" spans="1:35" ht="15.75" thickBot="1" x14ac:dyDescent="0.3">
      <c r="A19" s="163" t="s">
        <v>249</v>
      </c>
      <c r="B19" s="166"/>
      <c r="C19" s="169">
        <v>2254</v>
      </c>
      <c r="D19" s="174">
        <v>115</v>
      </c>
      <c r="E19" s="117">
        <f>D19*C$24</f>
        <v>2002.0675105485232</v>
      </c>
      <c r="F19" s="117">
        <f t="shared" si="3"/>
        <v>251.93248945147684</v>
      </c>
      <c r="G19" s="25">
        <f t="shared" si="4"/>
        <v>1.0160238890506628</v>
      </c>
      <c r="H19" s="261">
        <f>G24*D23</f>
        <v>395309.57158135611</v>
      </c>
      <c r="I19" s="23"/>
      <c r="L19" s="250" t="s">
        <v>363</v>
      </c>
      <c r="M19" s="158"/>
      <c r="N19" s="158">
        <v>0</v>
      </c>
      <c r="O19" s="158">
        <v>0</v>
      </c>
      <c r="P19" s="158">
        <v>0</v>
      </c>
      <c r="Q19" s="188">
        <v>0</v>
      </c>
      <c r="S19" s="250" t="s">
        <v>363</v>
      </c>
      <c r="T19" s="158"/>
      <c r="U19" s="158">
        <v>0</v>
      </c>
      <c r="V19" s="158">
        <v>0</v>
      </c>
      <c r="W19" s="158">
        <v>0</v>
      </c>
      <c r="X19" s="188">
        <v>0</v>
      </c>
      <c r="Z19" s="189">
        <v>0</v>
      </c>
      <c r="AA19" s="190">
        <v>0</v>
      </c>
      <c r="AB19" s="190">
        <v>0</v>
      </c>
      <c r="AC19" s="165">
        <v>0</v>
      </c>
      <c r="AE19" s="189">
        <v>0</v>
      </c>
      <c r="AF19" s="190">
        <v>0</v>
      </c>
      <c r="AG19" s="190">
        <v>0</v>
      </c>
      <c r="AH19" s="200">
        <v>0</v>
      </c>
      <c r="AI19" s="169">
        <v>0</v>
      </c>
    </row>
    <row r="20" spans="1:35" ht="15.75" thickBot="1" x14ac:dyDescent="0.3">
      <c r="A20" s="163" t="s">
        <v>125</v>
      </c>
      <c r="B20" s="166"/>
      <c r="C20" s="169">
        <v>1656</v>
      </c>
      <c r="D20" s="174">
        <v>82</v>
      </c>
      <c r="E20" s="117">
        <f>D20*C$24</f>
        <v>1427.5611814345991</v>
      </c>
      <c r="F20" s="117">
        <f t="shared" si="3"/>
        <v>228.43881856540088</v>
      </c>
      <c r="G20" s="25">
        <f t="shared" si="4"/>
        <v>0.92127576460780602</v>
      </c>
      <c r="H20" s="261">
        <f>G25*D23</f>
        <v>358445.43788796506</v>
      </c>
      <c r="I20" s="23"/>
      <c r="L20" s="251" t="s">
        <v>364</v>
      </c>
      <c r="M20" s="160"/>
      <c r="N20" s="160">
        <v>2</v>
      </c>
      <c r="O20" s="160">
        <v>9</v>
      </c>
      <c r="P20" s="160">
        <v>1</v>
      </c>
      <c r="Q20" s="166">
        <v>1</v>
      </c>
      <c r="S20" s="251" t="s">
        <v>364</v>
      </c>
      <c r="T20" s="160"/>
      <c r="U20" s="192">
        <v>0</v>
      </c>
      <c r="V20" s="192">
        <v>5</v>
      </c>
      <c r="W20" s="192">
        <v>0</v>
      </c>
      <c r="X20" s="193">
        <v>1</v>
      </c>
      <c r="Z20" s="159">
        <v>2</v>
      </c>
      <c r="AA20" s="160">
        <v>14</v>
      </c>
      <c r="AB20" s="160">
        <v>1</v>
      </c>
      <c r="AC20" s="166">
        <v>2</v>
      </c>
      <c r="AE20" s="189">
        <v>24</v>
      </c>
      <c r="AF20" s="190">
        <v>101</v>
      </c>
      <c r="AG20" s="190">
        <v>12</v>
      </c>
      <c r="AH20" s="200">
        <v>14</v>
      </c>
      <c r="AI20" s="169">
        <v>151</v>
      </c>
    </row>
    <row r="21" spans="1:35" ht="15.75" thickBot="1" x14ac:dyDescent="0.3">
      <c r="A21" s="164" t="s">
        <v>250</v>
      </c>
      <c r="B21" s="167"/>
      <c r="C21" s="170">
        <v>65</v>
      </c>
      <c r="D21" s="175">
        <v>14</v>
      </c>
      <c r="E21" s="117">
        <f>D21*C$24</f>
        <v>243.72995780590716</v>
      </c>
      <c r="F21" s="117">
        <f t="shared" si="3"/>
        <v>-178.72995780590716</v>
      </c>
      <c r="G21" s="23">
        <f t="shared" si="4"/>
        <v>-0.72080384397898123</v>
      </c>
      <c r="I21" s="23"/>
      <c r="L21" s="251" t="s">
        <v>365</v>
      </c>
      <c r="M21" s="160"/>
      <c r="N21" s="160">
        <v>15</v>
      </c>
      <c r="O21" s="160">
        <v>150</v>
      </c>
      <c r="P21" s="160">
        <v>4</v>
      </c>
      <c r="Q21" s="166">
        <v>20</v>
      </c>
      <c r="S21" s="251" t="s">
        <v>365</v>
      </c>
      <c r="T21" s="160"/>
      <c r="U21" s="160">
        <v>19</v>
      </c>
      <c r="V21" s="160">
        <v>84</v>
      </c>
      <c r="W21" s="160">
        <v>19</v>
      </c>
      <c r="X21" s="166">
        <v>14</v>
      </c>
      <c r="Z21" s="159">
        <v>34</v>
      </c>
      <c r="AA21" s="160">
        <v>234</v>
      </c>
      <c r="AB21" s="160">
        <v>23</v>
      </c>
      <c r="AC21" s="166">
        <v>34</v>
      </c>
      <c r="AE21" s="189">
        <v>48</v>
      </c>
      <c r="AF21" s="190">
        <v>1685</v>
      </c>
      <c r="AG21" s="190">
        <v>276</v>
      </c>
      <c r="AH21" s="200">
        <v>245</v>
      </c>
      <c r="AI21" s="169">
        <v>2254</v>
      </c>
    </row>
    <row r="22" spans="1:35" ht="15.75" thickBot="1" x14ac:dyDescent="0.3">
      <c r="C22">
        <f>SUM(C17:C21)</f>
        <v>4126</v>
      </c>
      <c r="F22" s="117">
        <f>AVERAGE(F17:F21)</f>
        <v>0</v>
      </c>
      <c r="G22" s="16"/>
      <c r="H22" s="26"/>
      <c r="I22" s="26"/>
      <c r="J22" s="67"/>
      <c r="L22" s="251" t="s">
        <v>361</v>
      </c>
      <c r="M22" s="160"/>
      <c r="N22" s="160">
        <v>25</v>
      </c>
      <c r="O22" s="160">
        <v>105</v>
      </c>
      <c r="P22" s="160">
        <v>3</v>
      </c>
      <c r="Q22" s="166">
        <v>3</v>
      </c>
      <c r="S22" s="251" t="s">
        <v>361</v>
      </c>
      <c r="T22" s="160"/>
      <c r="U22" s="160">
        <v>11</v>
      </c>
      <c r="V22" s="160">
        <v>51</v>
      </c>
      <c r="W22" s="160">
        <v>3</v>
      </c>
      <c r="X22" s="166">
        <v>1</v>
      </c>
      <c r="Z22" s="159">
        <v>36</v>
      </c>
      <c r="AA22" s="160">
        <v>156</v>
      </c>
      <c r="AB22" s="160">
        <v>6</v>
      </c>
      <c r="AC22" s="166">
        <v>4</v>
      </c>
      <c r="AE22" s="189">
        <v>432</v>
      </c>
      <c r="AF22" s="190">
        <v>1123</v>
      </c>
      <c r="AG22" s="190">
        <v>72</v>
      </c>
      <c r="AH22" s="200">
        <v>29</v>
      </c>
      <c r="AI22" s="169">
        <v>1656</v>
      </c>
    </row>
    <row r="23" spans="1:35" ht="15.75" thickBot="1" x14ac:dyDescent="0.3">
      <c r="A23" s="247"/>
      <c r="B23" s="258" t="s">
        <v>369</v>
      </c>
      <c r="C23" s="259">
        <f>C22/C12</f>
        <v>0.67330287206266315</v>
      </c>
      <c r="D23" s="260">
        <f>C23*H2</f>
        <v>753755.00946932111</v>
      </c>
      <c r="F23" s="117">
        <f>STDEV(F17:F21)</f>
        <v>247.95921844600895</v>
      </c>
      <c r="G23" s="26">
        <f>SUM(G19:G20)</f>
        <v>1.9372996536584688</v>
      </c>
      <c r="H23" s="26"/>
      <c r="I23" s="26"/>
      <c r="J23" s="67"/>
      <c r="L23" s="252" t="s">
        <v>366</v>
      </c>
      <c r="M23" s="162"/>
      <c r="N23" s="162">
        <v>0</v>
      </c>
      <c r="O23" s="162">
        <v>0</v>
      </c>
      <c r="P23" s="162">
        <v>0</v>
      </c>
      <c r="Q23" s="167">
        <v>0</v>
      </c>
      <c r="S23" s="252" t="s">
        <v>366</v>
      </c>
      <c r="T23" s="162"/>
      <c r="U23" s="195">
        <v>0</v>
      </c>
      <c r="V23" s="195">
        <v>5</v>
      </c>
      <c r="W23" s="195">
        <v>0</v>
      </c>
      <c r="X23" s="196">
        <v>0</v>
      </c>
      <c r="Z23" s="161">
        <v>0</v>
      </c>
      <c r="AA23" s="162">
        <v>5</v>
      </c>
      <c r="AB23" s="162">
        <v>0</v>
      </c>
      <c r="AC23" s="167">
        <v>0</v>
      </c>
      <c r="AE23" s="179">
        <v>0</v>
      </c>
      <c r="AF23" s="180">
        <v>65</v>
      </c>
      <c r="AG23" s="180">
        <v>0</v>
      </c>
      <c r="AH23" s="256">
        <v>0</v>
      </c>
      <c r="AI23" s="170">
        <v>65</v>
      </c>
    </row>
    <row r="24" spans="1:35" x14ac:dyDescent="0.25">
      <c r="A24" s="247"/>
      <c r="B24" s="274" t="s">
        <v>400</v>
      </c>
      <c r="C24" s="246">
        <f>C22/237</f>
        <v>17.40928270042194</v>
      </c>
      <c r="D24" s="90"/>
      <c r="F24" s="117"/>
      <c r="G24" s="16">
        <f>G19/G23</f>
        <v>0.52445365750825668</v>
      </c>
      <c r="H24" s="26"/>
      <c r="I24" s="26"/>
      <c r="J24" s="67"/>
      <c r="L24" s="69"/>
      <c r="M24" s="69"/>
      <c r="N24" s="69"/>
      <c r="O24" s="69"/>
      <c r="P24" s="69"/>
      <c r="Q24" s="69"/>
      <c r="S24" s="89"/>
      <c r="T24" s="69"/>
      <c r="U24" s="253"/>
      <c r="V24" s="253"/>
      <c r="W24" s="253"/>
      <c r="X24" s="253"/>
      <c r="Z24" s="245"/>
      <c r="AA24" s="245"/>
      <c r="AB24" s="245"/>
      <c r="AC24" s="245"/>
      <c r="AD24" s="245"/>
      <c r="AE24" s="245"/>
      <c r="AF24" s="245"/>
      <c r="AG24" s="245"/>
      <c r="AH24" s="245"/>
      <c r="AI24" s="245"/>
    </row>
    <row r="25" spans="1:35" x14ac:dyDescent="0.25">
      <c r="A25" s="247"/>
      <c r="B25" s="245"/>
      <c r="C25" s="246"/>
      <c r="D25" s="90"/>
      <c r="G25" s="16">
        <f>G20/G23</f>
        <v>0.47554634249174338</v>
      </c>
      <c r="H25" s="26"/>
      <c r="I25" s="26"/>
      <c r="J25" s="67"/>
      <c r="L25" s="69"/>
      <c r="M25" s="69"/>
      <c r="N25" s="69"/>
      <c r="O25" s="69"/>
      <c r="P25" s="69"/>
      <c r="Q25" s="69"/>
      <c r="S25" s="89"/>
      <c r="T25" s="69"/>
      <c r="U25" s="253"/>
      <c r="V25" s="253"/>
      <c r="W25" s="253"/>
      <c r="X25" s="253"/>
      <c r="Z25" s="245"/>
      <c r="AA25" s="245"/>
      <c r="AB25" s="245"/>
      <c r="AC25" s="245"/>
      <c r="AD25" s="245"/>
      <c r="AE25" s="245"/>
      <c r="AF25" s="245"/>
      <c r="AG25" s="245"/>
      <c r="AH25" s="245"/>
      <c r="AI25" s="245"/>
    </row>
    <row r="26" spans="1:35" x14ac:dyDescent="0.25">
      <c r="A26" s="245"/>
      <c r="B26" s="245"/>
      <c r="C26" s="245"/>
      <c r="D26" s="245"/>
      <c r="F26" s="117"/>
      <c r="G26" s="16"/>
      <c r="H26" s="26"/>
      <c r="I26" s="26"/>
      <c r="J26" s="67"/>
      <c r="L26" s="69"/>
      <c r="M26" s="69"/>
      <c r="N26" s="69"/>
      <c r="O26" s="69"/>
      <c r="P26" s="69"/>
      <c r="Q26" s="69"/>
      <c r="S26" s="89"/>
      <c r="T26" s="69"/>
      <c r="U26" s="253"/>
      <c r="V26" s="253"/>
      <c r="W26" s="253"/>
      <c r="X26" s="253"/>
      <c r="Z26" s="245"/>
      <c r="AA26" s="245"/>
      <c r="AB26" s="245"/>
      <c r="AC26" s="245"/>
      <c r="AD26" s="245"/>
      <c r="AE26" s="245"/>
      <c r="AF26" s="245"/>
      <c r="AG26" s="245"/>
      <c r="AH26" s="245"/>
      <c r="AI26" s="245"/>
    </row>
    <row r="27" spans="1:35" x14ac:dyDescent="0.25">
      <c r="A27" s="247"/>
      <c r="B27" s="245"/>
      <c r="C27" s="246"/>
      <c r="D27" s="90"/>
      <c r="F27" s="117"/>
      <c r="G27" s="16"/>
      <c r="H27" s="26"/>
      <c r="I27" s="26"/>
      <c r="J27" s="67"/>
      <c r="L27" s="69"/>
      <c r="M27" s="69"/>
      <c r="N27" s="69"/>
      <c r="O27" s="69"/>
      <c r="P27" s="69"/>
      <c r="Q27" s="69"/>
      <c r="S27" s="69"/>
      <c r="T27" s="69"/>
      <c r="U27" s="69"/>
      <c r="V27" s="69"/>
      <c r="W27" s="69"/>
      <c r="X27" s="69"/>
      <c r="Z27" s="245"/>
      <c r="AA27" s="245"/>
      <c r="AB27" s="245"/>
      <c r="AC27" s="245"/>
      <c r="AD27" s="245"/>
      <c r="AE27" s="245"/>
      <c r="AF27" s="245"/>
      <c r="AG27" s="245"/>
      <c r="AH27" s="245"/>
      <c r="AI27" s="245"/>
    </row>
    <row r="28" spans="1:35" x14ac:dyDescent="0.25">
      <c r="A28" s="245"/>
      <c r="B28" s="245"/>
      <c r="C28" s="245"/>
      <c r="D28" s="245"/>
      <c r="F28" s="117"/>
      <c r="G28" s="16"/>
      <c r="H28" s="16"/>
      <c r="I28" s="26"/>
      <c r="J28" s="16"/>
      <c r="L28" s="69"/>
      <c r="M28" s="69"/>
      <c r="N28" s="69"/>
      <c r="O28" s="69"/>
      <c r="P28" s="69"/>
      <c r="Q28" s="69"/>
      <c r="S28" s="89"/>
      <c r="T28" s="69"/>
      <c r="U28" s="253"/>
      <c r="V28" s="253"/>
      <c r="W28" s="253"/>
      <c r="X28" s="253"/>
      <c r="Z28" s="245"/>
      <c r="AA28" s="245"/>
      <c r="AB28" s="245"/>
      <c r="AC28" s="245"/>
      <c r="AD28" s="245"/>
      <c r="AE28" s="245"/>
      <c r="AF28" s="245"/>
      <c r="AG28" s="245"/>
      <c r="AH28" s="245"/>
      <c r="AI28" s="245"/>
    </row>
    <row r="29" spans="1:35" x14ac:dyDescent="0.25">
      <c r="A29" s="247"/>
      <c r="B29" s="245"/>
      <c r="C29" s="246"/>
      <c r="D29" s="90"/>
      <c r="G29" s="16"/>
      <c r="H29" s="16"/>
      <c r="I29" s="26"/>
      <c r="J29" s="68"/>
      <c r="L29" s="69"/>
      <c r="M29" s="69"/>
      <c r="N29" s="69"/>
      <c r="O29" s="69"/>
      <c r="P29" s="69"/>
      <c r="Q29" s="69"/>
      <c r="S29" s="89"/>
      <c r="T29" s="69"/>
      <c r="U29" s="253"/>
      <c r="V29" s="253"/>
      <c r="W29" s="253"/>
      <c r="X29" s="253"/>
      <c r="Z29" s="245"/>
      <c r="AA29" s="245"/>
      <c r="AB29" s="245"/>
      <c r="AC29" s="245"/>
      <c r="AD29" s="245"/>
      <c r="AE29" s="245"/>
      <c r="AF29" s="245"/>
      <c r="AG29" s="245"/>
      <c r="AH29" s="245"/>
      <c r="AI29" s="245"/>
    </row>
    <row r="30" spans="1:35" x14ac:dyDescent="0.25">
      <c r="L30" s="69"/>
      <c r="M30" s="69"/>
      <c r="N30" s="69"/>
      <c r="O30" s="69"/>
      <c r="P30" s="69"/>
      <c r="Q30" s="69"/>
      <c r="S30" s="89"/>
      <c r="T30" s="69"/>
      <c r="U30" s="253"/>
      <c r="V30" s="253"/>
      <c r="W30" s="253"/>
      <c r="X30" s="253"/>
      <c r="Z30" s="245"/>
      <c r="AA30" s="245"/>
      <c r="AB30" s="245"/>
      <c r="AC30" s="245"/>
      <c r="AD30" s="245"/>
      <c r="AE30" s="245"/>
      <c r="AF30" s="245"/>
      <c r="AG30" s="245"/>
      <c r="AH30" s="245"/>
      <c r="AI30" s="245"/>
    </row>
    <row r="31" spans="1:35" x14ac:dyDescent="0.25">
      <c r="L31" s="69"/>
      <c r="M31" s="69"/>
      <c r="N31" s="69"/>
      <c r="O31" s="69"/>
      <c r="P31" s="69"/>
      <c r="Q31" s="69"/>
      <c r="S31" s="89"/>
      <c r="T31" s="69"/>
      <c r="U31" s="253"/>
      <c r="V31" s="253"/>
      <c r="W31" s="253"/>
      <c r="X31" s="253"/>
      <c r="Z31" s="245"/>
      <c r="AA31" s="245"/>
      <c r="AB31" s="245"/>
      <c r="AC31" s="245"/>
      <c r="AD31" s="245"/>
      <c r="AE31" s="245"/>
      <c r="AF31" s="245"/>
      <c r="AG31" s="245"/>
      <c r="AH31" s="245"/>
      <c r="AI31" s="245"/>
    </row>
    <row r="32" spans="1:35" x14ac:dyDescent="0.25">
      <c r="S32" s="69"/>
      <c r="T32" s="69"/>
      <c r="U32" s="69"/>
      <c r="V32" s="69"/>
      <c r="W32" s="69"/>
      <c r="X32" s="69"/>
      <c r="Z32" s="245"/>
      <c r="AA32" s="245"/>
      <c r="AB32" s="245"/>
      <c r="AC32" s="245"/>
      <c r="AD32" s="245"/>
      <c r="AE32" s="245"/>
      <c r="AF32" s="245"/>
      <c r="AG32" s="245"/>
      <c r="AH32" s="245"/>
      <c r="AI32" s="245"/>
    </row>
    <row r="33" spans="26:35" x14ac:dyDescent="0.25">
      <c r="Z33" s="245"/>
      <c r="AA33" s="245"/>
      <c r="AB33" s="245"/>
      <c r="AC33" s="245"/>
      <c r="AD33" s="245"/>
      <c r="AE33" s="245"/>
      <c r="AF33" s="245"/>
      <c r="AG33" s="245"/>
      <c r="AH33" s="245"/>
      <c r="AI33" s="245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7"/>
  <sheetViews>
    <sheetView workbookViewId="0">
      <pane ySplit="2" topLeftCell="A35" activePane="bottomLeft" state="frozen"/>
      <selection pane="bottomLeft" activeCell="A43" sqref="A43"/>
    </sheetView>
  </sheetViews>
  <sheetFormatPr defaultColWidth="8.7109375" defaultRowHeight="15" x14ac:dyDescent="0.25"/>
  <cols>
    <col min="1" max="1" width="9.7109375" style="16" bestFit="1" customWidth="1"/>
    <col min="2" max="2" width="56.140625" style="16" bestFit="1" customWidth="1"/>
    <col min="3" max="3" width="56.140625" style="1" bestFit="1" customWidth="1"/>
    <col min="4" max="4" width="15.7109375" customWidth="1"/>
    <col min="5" max="5" width="14.7109375" customWidth="1"/>
    <col min="6" max="6" width="16.140625" customWidth="1"/>
    <col min="8" max="8" width="24.7109375" customWidth="1"/>
    <col min="9" max="9" width="17.5703125" customWidth="1"/>
    <col min="10" max="10" width="13.85546875" customWidth="1"/>
    <col min="11" max="11" width="12.85546875" customWidth="1"/>
    <col min="12" max="12" width="7.5703125" customWidth="1"/>
    <col min="14" max="14" width="17.28515625" customWidth="1"/>
    <col min="15" max="15" width="15.28515625" customWidth="1"/>
    <col min="16" max="16" width="17.140625" customWidth="1"/>
    <col min="18" max="18" width="10" customWidth="1"/>
    <col min="19" max="19" width="15.5703125" customWidth="1"/>
    <col min="20" max="20" width="17" customWidth="1"/>
    <col min="21" max="21" width="12.7109375" customWidth="1"/>
    <col min="22" max="22" width="16.85546875" customWidth="1"/>
    <col min="23" max="23" width="16.42578125" customWidth="1"/>
    <col min="24" max="24" width="12.140625" customWidth="1"/>
    <col min="27" max="27" width="12.7109375" customWidth="1"/>
    <col min="28" max="28" width="13.42578125" customWidth="1"/>
  </cols>
  <sheetData>
    <row r="1" spans="1:29" ht="38.450000000000003" customHeight="1" x14ac:dyDescent="0.25">
      <c r="A1"/>
      <c r="B1"/>
      <c r="C1"/>
      <c r="D1" s="2" t="s">
        <v>142</v>
      </c>
      <c r="E1" s="3" t="s">
        <v>5</v>
      </c>
      <c r="F1" s="3" t="s">
        <v>6</v>
      </c>
      <c r="G1" s="4" t="s">
        <v>7</v>
      </c>
      <c r="H1" s="3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</row>
    <row r="2" spans="1:29" ht="16.5" customHeight="1" x14ac:dyDescent="0.25">
      <c r="A2" t="s">
        <v>378</v>
      </c>
      <c r="B2" s="5" t="s">
        <v>0</v>
      </c>
      <c r="C2" s="5" t="s">
        <v>1</v>
      </c>
      <c r="D2" s="6"/>
    </row>
    <row r="3" spans="1:29" x14ac:dyDescent="0.25">
      <c r="A3">
        <v>701000000</v>
      </c>
      <c r="B3" s="7" t="s">
        <v>3</v>
      </c>
      <c r="C3" s="7" t="s">
        <v>4</v>
      </c>
      <c r="D3" s="1">
        <f t="shared" ref="D3:D66" si="0">SUM(E3:AC3)</f>
        <v>137</v>
      </c>
      <c r="E3">
        <v>7</v>
      </c>
      <c r="K3">
        <v>125</v>
      </c>
      <c r="L3">
        <v>5</v>
      </c>
    </row>
    <row r="4" spans="1:29" x14ac:dyDescent="0.25">
      <c r="A4">
        <v>701000000</v>
      </c>
      <c r="B4" s="9" t="s">
        <v>3</v>
      </c>
      <c r="C4" s="9" t="s">
        <v>30</v>
      </c>
      <c r="D4" s="1">
        <f t="shared" si="0"/>
        <v>140</v>
      </c>
      <c r="E4">
        <v>120</v>
      </c>
      <c r="F4">
        <v>9</v>
      </c>
      <c r="J4">
        <v>11</v>
      </c>
    </row>
    <row r="5" spans="1:29" x14ac:dyDescent="0.25">
      <c r="A5">
        <v>701000000</v>
      </c>
      <c r="B5" s="9" t="s">
        <v>3</v>
      </c>
      <c r="C5" s="9" t="s">
        <v>31</v>
      </c>
      <c r="D5" s="1">
        <f t="shared" si="0"/>
        <v>254</v>
      </c>
      <c r="E5">
        <v>9</v>
      </c>
      <c r="F5">
        <v>136</v>
      </c>
      <c r="G5">
        <v>47</v>
      </c>
      <c r="J5">
        <v>62</v>
      </c>
    </row>
    <row r="6" spans="1:29" x14ac:dyDescent="0.25">
      <c r="A6">
        <v>701000000</v>
      </c>
      <c r="B6" s="7" t="s">
        <v>3</v>
      </c>
      <c r="C6" s="7" t="s">
        <v>32</v>
      </c>
      <c r="D6" s="1">
        <f t="shared" si="0"/>
        <v>230</v>
      </c>
      <c r="F6">
        <v>6</v>
      </c>
      <c r="W6">
        <v>224</v>
      </c>
    </row>
    <row r="7" spans="1:29" x14ac:dyDescent="0.25">
      <c r="A7">
        <v>701000000</v>
      </c>
      <c r="B7" s="9" t="s">
        <v>3</v>
      </c>
      <c r="C7" s="9" t="s">
        <v>33</v>
      </c>
      <c r="D7" s="1">
        <f t="shared" si="0"/>
        <v>78</v>
      </c>
      <c r="F7">
        <v>3</v>
      </c>
      <c r="J7">
        <v>2</v>
      </c>
      <c r="K7">
        <v>1</v>
      </c>
      <c r="L7">
        <v>71</v>
      </c>
      <c r="W7">
        <v>1</v>
      </c>
    </row>
    <row r="8" spans="1:29" x14ac:dyDescent="0.25">
      <c r="A8">
        <v>701000000</v>
      </c>
      <c r="B8" s="9" t="s">
        <v>3</v>
      </c>
      <c r="C8" s="9" t="s">
        <v>34</v>
      </c>
      <c r="D8" s="1">
        <f t="shared" si="0"/>
        <v>354</v>
      </c>
      <c r="E8">
        <v>18</v>
      </c>
      <c r="N8">
        <v>109</v>
      </c>
      <c r="O8">
        <v>34</v>
      </c>
      <c r="Q8">
        <v>86</v>
      </c>
      <c r="R8">
        <v>101</v>
      </c>
      <c r="Z8">
        <v>6</v>
      </c>
    </row>
    <row r="9" spans="1:29" x14ac:dyDescent="0.25">
      <c r="A9">
        <v>701000000</v>
      </c>
      <c r="B9" s="9" t="s">
        <v>3</v>
      </c>
      <c r="C9" s="9" t="s">
        <v>35</v>
      </c>
      <c r="D9" s="1">
        <f t="shared" si="0"/>
        <v>276</v>
      </c>
      <c r="F9">
        <v>8</v>
      </c>
      <c r="M9">
        <v>91</v>
      </c>
      <c r="N9">
        <v>15</v>
      </c>
      <c r="O9">
        <v>21</v>
      </c>
      <c r="U9">
        <v>65</v>
      </c>
      <c r="Z9">
        <v>8</v>
      </c>
      <c r="AC9">
        <v>68</v>
      </c>
    </row>
    <row r="10" spans="1:29" x14ac:dyDescent="0.25">
      <c r="A10">
        <v>701000000</v>
      </c>
      <c r="B10" s="9" t="s">
        <v>3</v>
      </c>
      <c r="C10" s="9" t="s">
        <v>36</v>
      </c>
      <c r="D10" s="1">
        <f t="shared" si="0"/>
        <v>507</v>
      </c>
      <c r="F10">
        <v>16</v>
      </c>
      <c r="R10">
        <v>33</v>
      </c>
      <c r="W10">
        <v>452</v>
      </c>
      <c r="Z10">
        <v>6</v>
      </c>
    </row>
    <row r="11" spans="1:29" x14ac:dyDescent="0.25">
      <c r="A11">
        <v>701000000</v>
      </c>
      <c r="B11" s="7" t="s">
        <v>3</v>
      </c>
      <c r="C11" s="7" t="s">
        <v>37</v>
      </c>
      <c r="D11" s="1">
        <f t="shared" si="0"/>
        <v>61</v>
      </c>
      <c r="W11">
        <v>2</v>
      </c>
      <c r="Z11">
        <v>59</v>
      </c>
    </row>
    <row r="12" spans="1:29" x14ac:dyDescent="0.25">
      <c r="A12">
        <v>701000000</v>
      </c>
      <c r="B12" s="7" t="s">
        <v>3</v>
      </c>
      <c r="C12" s="7" t="s">
        <v>38</v>
      </c>
      <c r="D12" s="1">
        <f t="shared" si="0"/>
        <v>48</v>
      </c>
      <c r="J12">
        <v>41</v>
      </c>
      <c r="K12">
        <v>1</v>
      </c>
      <c r="L12">
        <v>6</v>
      </c>
    </row>
    <row r="13" spans="1:29" x14ac:dyDescent="0.25">
      <c r="A13">
        <v>701000000</v>
      </c>
      <c r="B13" s="9" t="s">
        <v>3</v>
      </c>
      <c r="C13" s="9" t="s">
        <v>39</v>
      </c>
      <c r="D13" s="1">
        <f t="shared" si="0"/>
        <v>12</v>
      </c>
      <c r="F13">
        <v>12</v>
      </c>
    </row>
    <row r="14" spans="1:29" x14ac:dyDescent="0.25">
      <c r="A14">
        <v>701000000</v>
      </c>
      <c r="B14" s="9" t="s">
        <v>3</v>
      </c>
      <c r="C14" s="9" t="s">
        <v>40</v>
      </c>
      <c r="D14" s="1">
        <f t="shared" si="0"/>
        <v>16</v>
      </c>
      <c r="F14">
        <v>15</v>
      </c>
      <c r="G14">
        <v>1</v>
      </c>
    </row>
    <row r="15" spans="1:29" x14ac:dyDescent="0.25">
      <c r="A15">
        <v>701000000</v>
      </c>
      <c r="B15" s="7" t="s">
        <v>3</v>
      </c>
      <c r="C15" s="7" t="s">
        <v>41</v>
      </c>
      <c r="D15" s="1">
        <f t="shared" si="0"/>
        <v>103</v>
      </c>
      <c r="E15">
        <v>2</v>
      </c>
      <c r="W15">
        <v>97</v>
      </c>
      <c r="Z15">
        <v>4</v>
      </c>
    </row>
    <row r="16" spans="1:29" x14ac:dyDescent="0.25">
      <c r="A16">
        <v>701000000</v>
      </c>
      <c r="B16" s="9" t="s">
        <v>3</v>
      </c>
      <c r="C16" s="9" t="s">
        <v>42</v>
      </c>
      <c r="D16" s="1">
        <f t="shared" si="0"/>
        <v>13</v>
      </c>
      <c r="R16">
        <v>13</v>
      </c>
    </row>
    <row r="17" spans="1:29" x14ac:dyDescent="0.25">
      <c r="A17">
        <v>702000000</v>
      </c>
      <c r="B17" s="7" t="s">
        <v>43</v>
      </c>
      <c r="C17" s="7" t="s">
        <v>44</v>
      </c>
      <c r="D17" s="1">
        <f t="shared" si="0"/>
        <v>30</v>
      </c>
      <c r="E17">
        <v>1</v>
      </c>
      <c r="I17">
        <v>11</v>
      </c>
      <c r="L17">
        <v>18</v>
      </c>
    </row>
    <row r="18" spans="1:29" x14ac:dyDescent="0.25">
      <c r="A18">
        <v>702000000</v>
      </c>
      <c r="B18" s="9" t="s">
        <v>43</v>
      </c>
      <c r="C18" s="9" t="s">
        <v>379</v>
      </c>
      <c r="D18" s="1">
        <f t="shared" si="0"/>
        <v>97</v>
      </c>
      <c r="H18">
        <v>27</v>
      </c>
      <c r="I18">
        <v>70</v>
      </c>
    </row>
    <row r="19" spans="1:29" x14ac:dyDescent="0.25">
      <c r="A19">
        <v>702000000</v>
      </c>
      <c r="B19" s="7" t="s">
        <v>43</v>
      </c>
      <c r="C19" s="7" t="s">
        <v>46</v>
      </c>
      <c r="D19" s="1">
        <f t="shared" si="0"/>
        <v>184</v>
      </c>
      <c r="E19">
        <v>3</v>
      </c>
      <c r="M19">
        <v>6</v>
      </c>
      <c r="P19">
        <v>41</v>
      </c>
      <c r="S19">
        <v>93</v>
      </c>
      <c r="U19">
        <v>38</v>
      </c>
      <c r="AC19">
        <v>3</v>
      </c>
    </row>
    <row r="20" spans="1:29" x14ac:dyDescent="0.25">
      <c r="A20">
        <v>702000000</v>
      </c>
      <c r="B20" s="9" t="s">
        <v>43</v>
      </c>
      <c r="C20" s="9" t="s">
        <v>47</v>
      </c>
      <c r="D20" s="1">
        <f t="shared" si="0"/>
        <v>216</v>
      </c>
      <c r="F20">
        <v>10</v>
      </c>
      <c r="H20">
        <v>2</v>
      </c>
      <c r="I20">
        <v>152</v>
      </c>
      <c r="N20">
        <v>9</v>
      </c>
      <c r="Z20">
        <v>6</v>
      </c>
      <c r="AC20">
        <v>37</v>
      </c>
    </row>
    <row r="21" spans="1:29" x14ac:dyDescent="0.25">
      <c r="A21">
        <v>702000000</v>
      </c>
      <c r="B21" s="7" t="s">
        <v>43</v>
      </c>
      <c r="C21" s="7" t="s">
        <v>48</v>
      </c>
      <c r="D21" s="1">
        <f t="shared" si="0"/>
        <v>108</v>
      </c>
      <c r="F21">
        <v>3</v>
      </c>
      <c r="M21">
        <v>3</v>
      </c>
      <c r="S21">
        <v>82</v>
      </c>
      <c r="U21">
        <v>10</v>
      </c>
      <c r="Z21">
        <v>4</v>
      </c>
      <c r="AC21">
        <v>6</v>
      </c>
    </row>
    <row r="22" spans="1:29" x14ac:dyDescent="0.25">
      <c r="A22">
        <v>702000000</v>
      </c>
      <c r="B22" s="9" t="s">
        <v>43</v>
      </c>
      <c r="C22" s="9" t="s">
        <v>49</v>
      </c>
      <c r="D22" s="1">
        <f t="shared" si="0"/>
        <v>200</v>
      </c>
      <c r="F22">
        <v>4</v>
      </c>
      <c r="M22">
        <v>8</v>
      </c>
      <c r="T22">
        <v>91</v>
      </c>
      <c r="U22">
        <v>76</v>
      </c>
      <c r="Z22">
        <v>7</v>
      </c>
      <c r="AC22">
        <v>14</v>
      </c>
    </row>
    <row r="23" spans="1:29" x14ac:dyDescent="0.25">
      <c r="A23">
        <v>702000000</v>
      </c>
      <c r="B23" s="9" t="s">
        <v>43</v>
      </c>
      <c r="C23" s="9" t="s">
        <v>50</v>
      </c>
      <c r="D23" s="1">
        <f t="shared" si="0"/>
        <v>238</v>
      </c>
      <c r="E23">
        <v>5</v>
      </c>
      <c r="F23">
        <v>4</v>
      </c>
      <c r="Q23">
        <v>87</v>
      </c>
      <c r="U23">
        <v>11</v>
      </c>
      <c r="V23">
        <v>118</v>
      </c>
      <c r="AC23">
        <v>13</v>
      </c>
    </row>
    <row r="24" spans="1:29" x14ac:dyDescent="0.25">
      <c r="A24">
        <v>702000000</v>
      </c>
      <c r="B24" s="9" t="s">
        <v>43</v>
      </c>
      <c r="C24" s="9" t="s">
        <v>51</v>
      </c>
      <c r="D24" s="1">
        <f t="shared" si="0"/>
        <v>42</v>
      </c>
      <c r="F24">
        <v>1</v>
      </c>
      <c r="U24">
        <v>41</v>
      </c>
    </row>
    <row r="25" spans="1:29" x14ac:dyDescent="0.25">
      <c r="A25">
        <v>703000000</v>
      </c>
      <c r="B25" s="9" t="s">
        <v>52</v>
      </c>
      <c r="C25" s="9" t="s">
        <v>53</v>
      </c>
      <c r="D25" s="1">
        <f t="shared" si="0"/>
        <v>35</v>
      </c>
      <c r="L25">
        <v>35</v>
      </c>
    </row>
    <row r="26" spans="1:29" x14ac:dyDescent="0.25">
      <c r="A26">
        <v>703000000</v>
      </c>
      <c r="B26" s="9" t="s">
        <v>52</v>
      </c>
      <c r="C26" s="9" t="s">
        <v>54</v>
      </c>
      <c r="D26" s="1">
        <f t="shared" si="0"/>
        <v>75</v>
      </c>
      <c r="L26">
        <v>75</v>
      </c>
    </row>
    <row r="27" spans="1:29" x14ac:dyDescent="0.25">
      <c r="A27">
        <v>703000000</v>
      </c>
      <c r="B27" s="7" t="s">
        <v>52</v>
      </c>
      <c r="C27" s="7" t="s">
        <v>55</v>
      </c>
      <c r="D27" s="1">
        <f t="shared" si="0"/>
        <v>65</v>
      </c>
      <c r="L27">
        <v>65</v>
      </c>
    </row>
    <row r="28" spans="1:29" x14ac:dyDescent="0.25">
      <c r="A28">
        <v>703000000</v>
      </c>
      <c r="B28" s="7" t="s">
        <v>52</v>
      </c>
      <c r="C28" s="7" t="s">
        <v>56</v>
      </c>
      <c r="D28" s="1">
        <f t="shared" si="0"/>
        <v>92</v>
      </c>
      <c r="L28">
        <v>92</v>
      </c>
    </row>
    <row r="29" spans="1:29" x14ac:dyDescent="0.25">
      <c r="A29">
        <v>703000000</v>
      </c>
      <c r="B29" s="9" t="s">
        <v>52</v>
      </c>
      <c r="C29" s="9" t="s">
        <v>57</v>
      </c>
      <c r="D29" s="1">
        <f t="shared" si="0"/>
        <v>70</v>
      </c>
      <c r="L29">
        <v>59</v>
      </c>
      <c r="U29">
        <v>11</v>
      </c>
    </row>
    <row r="30" spans="1:29" x14ac:dyDescent="0.25">
      <c r="A30">
        <v>703000000</v>
      </c>
      <c r="B30" s="7" t="s">
        <v>52</v>
      </c>
      <c r="C30" s="7" t="s">
        <v>58</v>
      </c>
      <c r="D30" s="1">
        <f t="shared" si="0"/>
        <v>57</v>
      </c>
      <c r="F30">
        <v>57</v>
      </c>
    </row>
    <row r="31" spans="1:29" x14ac:dyDescent="0.25">
      <c r="A31">
        <v>703000000</v>
      </c>
      <c r="B31" s="9" t="s">
        <v>52</v>
      </c>
      <c r="C31" s="9" t="s">
        <v>59</v>
      </c>
      <c r="D31" s="1">
        <f t="shared" si="0"/>
        <v>26</v>
      </c>
      <c r="L31">
        <v>26</v>
      </c>
    </row>
    <row r="32" spans="1:29" x14ac:dyDescent="0.25">
      <c r="A32">
        <v>704000000</v>
      </c>
      <c r="B32" s="9" t="s">
        <v>60</v>
      </c>
      <c r="C32" s="9" t="s">
        <v>61</v>
      </c>
      <c r="D32" s="1">
        <f t="shared" si="0"/>
        <v>75</v>
      </c>
      <c r="S32">
        <v>46</v>
      </c>
      <c r="X32">
        <v>29</v>
      </c>
    </row>
    <row r="33" spans="1:28" x14ac:dyDescent="0.25">
      <c r="A33">
        <v>704000000</v>
      </c>
      <c r="B33" s="7" t="s">
        <v>60</v>
      </c>
      <c r="C33" s="7" t="s">
        <v>62</v>
      </c>
      <c r="D33" s="1">
        <f t="shared" si="0"/>
        <v>90</v>
      </c>
      <c r="L33">
        <v>90</v>
      </c>
    </row>
    <row r="34" spans="1:28" x14ac:dyDescent="0.25">
      <c r="A34">
        <v>704000000</v>
      </c>
      <c r="B34" s="7" t="s">
        <v>60</v>
      </c>
      <c r="C34" s="7" t="s">
        <v>63</v>
      </c>
      <c r="D34" s="1">
        <f t="shared" si="0"/>
        <v>73</v>
      </c>
      <c r="Q34">
        <v>16</v>
      </c>
      <c r="R34">
        <v>16</v>
      </c>
      <c r="X34">
        <v>41</v>
      </c>
    </row>
    <row r="35" spans="1:28" x14ac:dyDescent="0.25">
      <c r="A35">
        <v>704000000</v>
      </c>
      <c r="B35" s="9" t="s">
        <v>60</v>
      </c>
      <c r="C35" s="9" t="s">
        <v>64</v>
      </c>
      <c r="D35" s="1">
        <f t="shared" si="0"/>
        <v>35</v>
      </c>
      <c r="L35">
        <v>29</v>
      </c>
      <c r="O35">
        <v>6</v>
      </c>
    </row>
    <row r="36" spans="1:28" x14ac:dyDescent="0.25">
      <c r="A36">
        <v>704000000</v>
      </c>
      <c r="B36" s="9" t="s">
        <v>60</v>
      </c>
      <c r="C36" s="9" t="s">
        <v>65</v>
      </c>
      <c r="D36" s="1">
        <f t="shared" si="0"/>
        <v>91</v>
      </c>
      <c r="X36">
        <v>91</v>
      </c>
    </row>
    <row r="37" spans="1:28" x14ac:dyDescent="0.25">
      <c r="A37">
        <v>704000000</v>
      </c>
      <c r="B37" s="7" t="s">
        <v>60</v>
      </c>
      <c r="C37" s="7" t="s">
        <v>66</v>
      </c>
      <c r="D37" s="1">
        <f t="shared" si="0"/>
        <v>40</v>
      </c>
      <c r="X37">
        <v>40</v>
      </c>
    </row>
    <row r="38" spans="1:28" x14ac:dyDescent="0.25">
      <c r="A38">
        <v>704000000</v>
      </c>
      <c r="B38" s="9" t="s">
        <v>60</v>
      </c>
      <c r="C38" s="9" t="s">
        <v>67</v>
      </c>
      <c r="D38" s="1">
        <f t="shared" si="0"/>
        <v>27</v>
      </c>
      <c r="O38">
        <v>5</v>
      </c>
      <c r="Q38">
        <v>7</v>
      </c>
      <c r="X38">
        <v>15</v>
      </c>
    </row>
    <row r="39" spans="1:28" x14ac:dyDescent="0.25">
      <c r="A39">
        <v>704000000</v>
      </c>
      <c r="B39" s="7" t="s">
        <v>60</v>
      </c>
      <c r="C39" s="9" t="s">
        <v>380</v>
      </c>
      <c r="D39" s="1">
        <f t="shared" si="0"/>
        <v>9</v>
      </c>
      <c r="F39">
        <v>9</v>
      </c>
    </row>
    <row r="40" spans="1:28" x14ac:dyDescent="0.25">
      <c r="A40">
        <v>704000000</v>
      </c>
      <c r="B40" s="9" t="s">
        <v>60</v>
      </c>
      <c r="C40" s="263" t="s">
        <v>308</v>
      </c>
      <c r="D40" s="1">
        <f t="shared" si="0"/>
        <v>4</v>
      </c>
      <c r="E40">
        <v>2</v>
      </c>
      <c r="L40">
        <v>2</v>
      </c>
    </row>
    <row r="41" spans="1:28" x14ac:dyDescent="0.25">
      <c r="A41">
        <v>705000000</v>
      </c>
      <c r="B41" s="7" t="s">
        <v>68</v>
      </c>
      <c r="C41" s="7" t="s">
        <v>69</v>
      </c>
      <c r="D41" s="1">
        <f t="shared" si="0"/>
        <v>9</v>
      </c>
      <c r="F41">
        <v>9</v>
      </c>
    </row>
    <row r="42" spans="1:28" x14ac:dyDescent="0.25">
      <c r="A42">
        <v>705000000</v>
      </c>
      <c r="B42" s="7" t="s">
        <v>68</v>
      </c>
      <c r="C42" s="7" t="s">
        <v>381</v>
      </c>
      <c r="D42" s="1">
        <f t="shared" si="0"/>
        <v>3</v>
      </c>
      <c r="F42">
        <v>3</v>
      </c>
    </row>
    <row r="43" spans="1:28" x14ac:dyDescent="0.25">
      <c r="A43">
        <v>705000000</v>
      </c>
      <c r="B43" s="9" t="s">
        <v>68</v>
      </c>
      <c r="C43" s="9" t="s">
        <v>70</v>
      </c>
      <c r="D43" s="1">
        <f t="shared" si="0"/>
        <v>92</v>
      </c>
      <c r="H43">
        <v>12</v>
      </c>
      <c r="L43">
        <v>21</v>
      </c>
      <c r="V43">
        <v>48</v>
      </c>
      <c r="AB43">
        <v>11</v>
      </c>
    </row>
    <row r="44" spans="1:28" x14ac:dyDescent="0.25">
      <c r="A44">
        <v>705000000</v>
      </c>
      <c r="B44" s="7" t="s">
        <v>68</v>
      </c>
      <c r="C44" s="7" t="s">
        <v>71</v>
      </c>
      <c r="D44" s="1">
        <f t="shared" si="0"/>
        <v>23</v>
      </c>
      <c r="S44">
        <v>14</v>
      </c>
      <c r="V44">
        <v>5</v>
      </c>
      <c r="X44">
        <v>4</v>
      </c>
    </row>
    <row r="45" spans="1:28" x14ac:dyDescent="0.25">
      <c r="A45">
        <v>705000000</v>
      </c>
      <c r="B45" s="9" t="s">
        <v>68</v>
      </c>
      <c r="C45" s="9" t="s">
        <v>72</v>
      </c>
      <c r="D45" s="1">
        <f t="shared" si="0"/>
        <v>35</v>
      </c>
      <c r="O45">
        <v>35</v>
      </c>
    </row>
    <row r="46" spans="1:28" x14ac:dyDescent="0.25">
      <c r="A46">
        <v>705000000</v>
      </c>
      <c r="B46" s="9" t="s">
        <v>68</v>
      </c>
      <c r="C46" s="9" t="s">
        <v>73</v>
      </c>
      <c r="D46" s="1">
        <f t="shared" si="0"/>
        <v>75</v>
      </c>
      <c r="X46">
        <v>75</v>
      </c>
    </row>
    <row r="47" spans="1:28" x14ac:dyDescent="0.25">
      <c r="A47">
        <v>706000000</v>
      </c>
      <c r="B47" s="9" t="s">
        <v>74</v>
      </c>
      <c r="C47" s="9" t="s">
        <v>75</v>
      </c>
      <c r="D47" s="1">
        <f t="shared" si="0"/>
        <v>116</v>
      </c>
      <c r="H47">
        <v>116</v>
      </c>
    </row>
    <row r="48" spans="1:28" x14ac:dyDescent="0.25">
      <c r="A48">
        <v>707000000</v>
      </c>
      <c r="B48" s="7" t="s">
        <v>76</v>
      </c>
      <c r="C48" s="7" t="s">
        <v>77</v>
      </c>
      <c r="D48" s="1">
        <f t="shared" si="0"/>
        <v>52</v>
      </c>
      <c r="F48">
        <v>7</v>
      </c>
      <c r="H48">
        <v>45</v>
      </c>
    </row>
    <row r="49" spans="1:27" x14ac:dyDescent="0.25">
      <c r="A49">
        <v>707000000</v>
      </c>
      <c r="B49" s="7" t="s">
        <v>76</v>
      </c>
      <c r="C49" s="7" t="s">
        <v>78</v>
      </c>
      <c r="D49" s="1">
        <f t="shared" si="0"/>
        <v>44</v>
      </c>
      <c r="F49">
        <v>5</v>
      </c>
      <c r="H49">
        <v>39</v>
      </c>
    </row>
    <row r="50" spans="1:27" x14ac:dyDescent="0.25">
      <c r="A50">
        <v>707000000</v>
      </c>
      <c r="B50" s="7" t="s">
        <v>76</v>
      </c>
      <c r="C50" s="7" t="s">
        <v>79</v>
      </c>
      <c r="D50" s="1">
        <f t="shared" si="0"/>
        <v>35</v>
      </c>
      <c r="F50">
        <v>4</v>
      </c>
      <c r="H50">
        <v>31</v>
      </c>
    </row>
    <row r="51" spans="1:27" x14ac:dyDescent="0.25">
      <c r="A51">
        <v>708000000</v>
      </c>
      <c r="B51" s="9" t="s">
        <v>80</v>
      </c>
      <c r="C51" s="264" t="s">
        <v>310</v>
      </c>
      <c r="D51" s="1">
        <f t="shared" si="0"/>
        <v>79</v>
      </c>
      <c r="E51">
        <v>9</v>
      </c>
      <c r="R51">
        <v>14</v>
      </c>
      <c r="W51">
        <v>10</v>
      </c>
      <c r="Y51">
        <v>46</v>
      </c>
    </row>
    <row r="52" spans="1:27" x14ac:dyDescent="0.25">
      <c r="A52">
        <v>708000000</v>
      </c>
      <c r="B52" s="9" t="s">
        <v>80</v>
      </c>
      <c r="C52" s="264" t="s">
        <v>382</v>
      </c>
      <c r="D52" s="1">
        <f t="shared" si="0"/>
        <v>47</v>
      </c>
      <c r="R52">
        <v>5</v>
      </c>
      <c r="W52">
        <v>25</v>
      </c>
      <c r="Y52">
        <v>17</v>
      </c>
    </row>
    <row r="53" spans="1:27" x14ac:dyDescent="0.25">
      <c r="A53">
        <v>708000000</v>
      </c>
      <c r="B53" s="9" t="s">
        <v>80</v>
      </c>
      <c r="C53" s="264" t="s">
        <v>383</v>
      </c>
      <c r="D53" s="1">
        <f t="shared" si="0"/>
        <v>46</v>
      </c>
      <c r="Y53">
        <v>46</v>
      </c>
    </row>
    <row r="54" spans="1:27" x14ac:dyDescent="0.25">
      <c r="A54">
        <v>708000000</v>
      </c>
      <c r="B54" s="9" t="s">
        <v>80</v>
      </c>
      <c r="C54" s="264" t="s">
        <v>82</v>
      </c>
      <c r="D54" s="1">
        <f t="shared" si="0"/>
        <v>52</v>
      </c>
      <c r="Y54">
        <v>52</v>
      </c>
    </row>
    <row r="55" spans="1:27" x14ac:dyDescent="0.25">
      <c r="A55">
        <v>708000000</v>
      </c>
      <c r="B55" s="9" t="s">
        <v>80</v>
      </c>
      <c r="C55" s="264" t="s">
        <v>384</v>
      </c>
      <c r="D55" s="1">
        <f t="shared" si="0"/>
        <v>11</v>
      </c>
      <c r="R55">
        <v>5</v>
      </c>
      <c r="Y55">
        <v>6</v>
      </c>
    </row>
    <row r="56" spans="1:27" x14ac:dyDescent="0.25">
      <c r="A56">
        <v>709000000</v>
      </c>
      <c r="B56" s="9" t="s">
        <v>83</v>
      </c>
      <c r="C56" s="9" t="s">
        <v>84</v>
      </c>
      <c r="D56" s="1">
        <f t="shared" si="0"/>
        <v>118</v>
      </c>
      <c r="S56">
        <v>104</v>
      </c>
      <c r="T56">
        <v>14</v>
      </c>
    </row>
    <row r="57" spans="1:27" x14ac:dyDescent="0.25">
      <c r="A57">
        <v>709000000</v>
      </c>
      <c r="B57" s="7" t="s">
        <v>83</v>
      </c>
      <c r="C57" s="7" t="s">
        <v>85</v>
      </c>
      <c r="D57" s="1">
        <f t="shared" si="0"/>
        <v>65</v>
      </c>
      <c r="S57">
        <v>65</v>
      </c>
    </row>
    <row r="58" spans="1:27" x14ac:dyDescent="0.25">
      <c r="A58">
        <v>709000000</v>
      </c>
      <c r="B58" s="7" t="s">
        <v>83</v>
      </c>
      <c r="C58" s="7" t="s">
        <v>86</v>
      </c>
      <c r="D58" s="1">
        <f t="shared" si="0"/>
        <v>103</v>
      </c>
      <c r="I58">
        <v>13</v>
      </c>
      <c r="L58">
        <v>23</v>
      </c>
      <c r="P58">
        <v>50</v>
      </c>
      <c r="U58">
        <v>17</v>
      </c>
    </row>
    <row r="59" spans="1:27" x14ac:dyDescent="0.25">
      <c r="A59">
        <v>709000000</v>
      </c>
      <c r="B59" s="7" t="s">
        <v>83</v>
      </c>
      <c r="C59" s="7" t="s">
        <v>87</v>
      </c>
      <c r="D59" s="1">
        <f t="shared" si="0"/>
        <v>61</v>
      </c>
      <c r="I59">
        <v>61</v>
      </c>
    </row>
    <row r="60" spans="1:27" x14ac:dyDescent="0.25">
      <c r="A60">
        <v>709000000</v>
      </c>
      <c r="B60" s="7" t="s">
        <v>83</v>
      </c>
      <c r="C60" s="7" t="s">
        <v>88</v>
      </c>
      <c r="D60" s="1">
        <f t="shared" si="0"/>
        <v>49</v>
      </c>
      <c r="AA60">
        <v>49</v>
      </c>
    </row>
    <row r="61" spans="1:27" x14ac:dyDescent="0.25">
      <c r="A61">
        <v>709000000</v>
      </c>
      <c r="B61" s="7" t="s">
        <v>83</v>
      </c>
      <c r="C61" s="7" t="s">
        <v>89</v>
      </c>
      <c r="D61" s="1">
        <f t="shared" si="0"/>
        <v>63</v>
      </c>
      <c r="L61">
        <v>63</v>
      </c>
    </row>
    <row r="62" spans="1:27" x14ac:dyDescent="0.25">
      <c r="A62">
        <v>709000000</v>
      </c>
      <c r="B62" s="9" t="s">
        <v>83</v>
      </c>
      <c r="C62" s="9" t="s">
        <v>90</v>
      </c>
      <c r="D62" s="1">
        <f t="shared" si="0"/>
        <v>56</v>
      </c>
      <c r="P62">
        <v>56</v>
      </c>
    </row>
    <row r="63" spans="1:27" x14ac:dyDescent="0.25">
      <c r="A63">
        <v>709000000</v>
      </c>
      <c r="B63" s="7" t="s">
        <v>83</v>
      </c>
      <c r="C63" s="7" t="s">
        <v>49</v>
      </c>
      <c r="D63" s="1">
        <f t="shared" si="0"/>
        <v>131</v>
      </c>
      <c r="T63">
        <v>63</v>
      </c>
      <c r="U63">
        <v>68</v>
      </c>
    </row>
    <row r="64" spans="1:27" x14ac:dyDescent="0.25">
      <c r="A64">
        <v>709000000</v>
      </c>
      <c r="B64" s="9" t="s">
        <v>83</v>
      </c>
      <c r="C64" s="9" t="s">
        <v>91</v>
      </c>
      <c r="D64" s="1">
        <f t="shared" si="0"/>
        <v>40</v>
      </c>
      <c r="H64">
        <v>28</v>
      </c>
      <c r="I64">
        <v>12</v>
      </c>
    </row>
    <row r="65" spans="1:29" x14ac:dyDescent="0.25">
      <c r="A65">
        <v>709000000</v>
      </c>
      <c r="B65" s="9" t="s">
        <v>83</v>
      </c>
      <c r="C65" s="9" t="s">
        <v>311</v>
      </c>
      <c r="D65" s="1">
        <f t="shared" si="0"/>
        <v>18</v>
      </c>
      <c r="E65">
        <v>7</v>
      </c>
      <c r="J65">
        <v>4</v>
      </c>
      <c r="Z65">
        <v>7</v>
      </c>
    </row>
    <row r="66" spans="1:29" x14ac:dyDescent="0.25">
      <c r="A66">
        <v>710000000</v>
      </c>
      <c r="B66" s="9" t="s">
        <v>92</v>
      </c>
      <c r="C66" s="9" t="s">
        <v>93</v>
      </c>
      <c r="D66" s="1">
        <f t="shared" si="0"/>
        <v>89</v>
      </c>
      <c r="E66" s="265"/>
      <c r="F66" s="265"/>
      <c r="G66" s="265"/>
      <c r="H66" s="265"/>
      <c r="I66" s="265"/>
      <c r="J66" s="265"/>
      <c r="K66" s="265"/>
      <c r="L66" s="265">
        <v>22</v>
      </c>
      <c r="M66" s="265"/>
      <c r="N66" s="265"/>
      <c r="O66" s="265"/>
      <c r="P66" s="265"/>
      <c r="Q66" s="265"/>
      <c r="R66" s="265"/>
      <c r="S66" s="265"/>
      <c r="T66" s="265"/>
      <c r="U66" s="265">
        <v>60</v>
      </c>
      <c r="V66" s="265"/>
      <c r="W66" s="265"/>
      <c r="X66" s="265"/>
      <c r="Y66" s="265"/>
      <c r="Z66" s="265"/>
      <c r="AA66" s="265"/>
      <c r="AB66" s="265"/>
      <c r="AC66" s="265">
        <v>7</v>
      </c>
    </row>
    <row r="67" spans="1:29" x14ac:dyDescent="0.25">
      <c r="A67">
        <v>710000000</v>
      </c>
      <c r="B67" s="7" t="s">
        <v>92</v>
      </c>
      <c r="C67" s="7" t="s">
        <v>84</v>
      </c>
      <c r="D67" s="1">
        <f>SUM(E67:AC67)</f>
        <v>120</v>
      </c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  <c r="P67" s="265"/>
      <c r="Q67" s="265"/>
      <c r="R67" s="265"/>
      <c r="S67" s="265">
        <v>120</v>
      </c>
      <c r="T67" s="265"/>
      <c r="U67" s="265"/>
      <c r="V67" s="265"/>
      <c r="W67" s="265"/>
      <c r="X67" s="265"/>
      <c r="Y67" s="265"/>
      <c r="Z67" s="265"/>
      <c r="AA67" s="265"/>
      <c r="AB67" s="265"/>
      <c r="AC67" s="265"/>
    </row>
    <row r="68" spans="1:29" x14ac:dyDescent="0.25">
      <c r="A68">
        <v>710000000</v>
      </c>
      <c r="B68" s="9" t="s">
        <v>92</v>
      </c>
      <c r="C68" s="9" t="s">
        <v>94</v>
      </c>
      <c r="D68" s="1">
        <f>SUM(E68:AC68)</f>
        <v>44</v>
      </c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>
        <v>44</v>
      </c>
      <c r="AC68" s="265"/>
    </row>
    <row r="69" spans="1:29" x14ac:dyDescent="0.25">
      <c r="A69">
        <v>710000000</v>
      </c>
      <c r="B69" s="7" t="s">
        <v>92</v>
      </c>
      <c r="C69" s="7" t="s">
        <v>95</v>
      </c>
      <c r="D69" s="1">
        <f t="shared" ref="D69:D130" si="1">SUM(E69:AC69)</f>
        <v>29</v>
      </c>
      <c r="E69" s="265">
        <v>9</v>
      </c>
      <c r="F69" s="265">
        <v>12</v>
      </c>
      <c r="G69" s="265">
        <v>1</v>
      </c>
      <c r="H69" s="265">
        <v>1</v>
      </c>
      <c r="I69" s="265"/>
      <c r="J69" s="265">
        <v>4</v>
      </c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5">
        <v>1</v>
      </c>
      <c r="V69" s="265"/>
      <c r="W69" s="265"/>
      <c r="X69" s="265"/>
      <c r="Y69" s="265"/>
      <c r="Z69" s="265"/>
      <c r="AA69" s="265"/>
      <c r="AB69" s="265"/>
      <c r="AC69" s="265">
        <v>1</v>
      </c>
    </row>
    <row r="70" spans="1:29" x14ac:dyDescent="0.25">
      <c r="A70">
        <v>710000000</v>
      </c>
      <c r="B70" s="9" t="s">
        <v>92</v>
      </c>
      <c r="C70" s="9" t="s">
        <v>96</v>
      </c>
      <c r="D70" s="1">
        <f t="shared" si="1"/>
        <v>115</v>
      </c>
      <c r="E70" s="265"/>
      <c r="F70" s="265"/>
      <c r="G70" s="265"/>
      <c r="H70" s="265"/>
      <c r="I70" s="265"/>
      <c r="J70" s="265"/>
      <c r="K70" s="265"/>
      <c r="L70" s="265">
        <v>41</v>
      </c>
      <c r="M70" s="265"/>
      <c r="N70" s="265"/>
      <c r="O70" s="265"/>
      <c r="P70" s="265"/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>
        <v>74</v>
      </c>
      <c r="AB70" s="265"/>
      <c r="AC70" s="265"/>
    </row>
    <row r="71" spans="1:29" x14ac:dyDescent="0.25">
      <c r="A71">
        <v>710000000</v>
      </c>
      <c r="B71" s="7" t="s">
        <v>92</v>
      </c>
      <c r="C71" s="7" t="s">
        <v>87</v>
      </c>
      <c r="D71" s="1">
        <f t="shared" si="1"/>
        <v>70</v>
      </c>
      <c r="E71" s="265"/>
      <c r="F71" s="265"/>
      <c r="G71" s="265"/>
      <c r="H71" s="265"/>
      <c r="I71" s="265">
        <v>49</v>
      </c>
      <c r="J71" s="265"/>
      <c r="K71" s="265"/>
      <c r="L71" s="265"/>
      <c r="M71" s="265"/>
      <c r="N71" s="265">
        <v>6</v>
      </c>
      <c r="O71" s="265">
        <v>2</v>
      </c>
      <c r="P71" s="265"/>
      <c r="Q71" s="265"/>
      <c r="R71" s="265"/>
      <c r="S71" s="265"/>
      <c r="T71" s="265"/>
      <c r="U71" s="265"/>
      <c r="V71" s="265">
        <v>10</v>
      </c>
      <c r="W71" s="265"/>
      <c r="X71" s="265"/>
      <c r="Y71" s="265"/>
      <c r="Z71" s="265"/>
      <c r="AA71" s="265"/>
      <c r="AB71" s="265"/>
      <c r="AC71" s="265">
        <v>3</v>
      </c>
    </row>
    <row r="72" spans="1:29" x14ac:dyDescent="0.25">
      <c r="A72">
        <v>710000000</v>
      </c>
      <c r="B72" s="9" t="s">
        <v>92</v>
      </c>
      <c r="C72" s="9" t="s">
        <v>97</v>
      </c>
      <c r="D72" s="1">
        <f t="shared" si="1"/>
        <v>103</v>
      </c>
      <c r="E72" s="265"/>
      <c r="F72" s="265"/>
      <c r="G72" s="265"/>
      <c r="H72" s="265"/>
      <c r="I72" s="265"/>
      <c r="J72" s="265"/>
      <c r="K72" s="265"/>
      <c r="L72" s="265"/>
      <c r="M72" s="265">
        <v>19</v>
      </c>
      <c r="N72" s="265"/>
      <c r="O72" s="265"/>
      <c r="P72" s="265"/>
      <c r="Q72" s="265"/>
      <c r="R72" s="265"/>
      <c r="S72" s="265"/>
      <c r="T72" s="265">
        <v>46</v>
      </c>
      <c r="U72" s="265">
        <v>38</v>
      </c>
      <c r="V72" s="265"/>
      <c r="W72" s="265"/>
      <c r="X72" s="265"/>
      <c r="Y72" s="265"/>
      <c r="Z72" s="265"/>
      <c r="AA72" s="265"/>
      <c r="AB72" s="265"/>
      <c r="AC72" s="265"/>
    </row>
    <row r="73" spans="1:29" x14ac:dyDescent="0.25">
      <c r="A73">
        <v>710000000</v>
      </c>
      <c r="B73" s="9" t="s">
        <v>92</v>
      </c>
      <c r="C73" s="266" t="s">
        <v>385</v>
      </c>
      <c r="D73" s="1">
        <f t="shared" si="1"/>
        <v>23</v>
      </c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5"/>
      <c r="S73" s="265"/>
      <c r="T73" s="265"/>
      <c r="U73" s="265">
        <v>23</v>
      </c>
      <c r="V73" s="265"/>
      <c r="W73" s="265"/>
      <c r="X73" s="265"/>
      <c r="Y73" s="265"/>
      <c r="Z73" s="265"/>
      <c r="AA73" s="265"/>
      <c r="AB73" s="265"/>
      <c r="AC73" s="265"/>
    </row>
    <row r="74" spans="1:29" x14ac:dyDescent="0.25">
      <c r="A74">
        <v>710000000</v>
      </c>
      <c r="B74" s="9" t="s">
        <v>92</v>
      </c>
      <c r="C74" s="267" t="s">
        <v>386</v>
      </c>
      <c r="D74" s="1">
        <f t="shared" si="1"/>
        <v>32</v>
      </c>
      <c r="E74" s="265">
        <v>12</v>
      </c>
      <c r="F74" s="265"/>
      <c r="G74" s="265"/>
      <c r="H74" s="265"/>
      <c r="I74" s="265"/>
      <c r="J74" s="265"/>
      <c r="K74" s="265"/>
      <c r="L74" s="265"/>
      <c r="M74" s="265"/>
      <c r="N74" s="265"/>
      <c r="O74" s="265">
        <v>6</v>
      </c>
      <c r="P74" s="265">
        <v>1</v>
      </c>
      <c r="Q74" s="265"/>
      <c r="R74" s="265"/>
      <c r="S74" s="265">
        <v>8</v>
      </c>
      <c r="T74" s="265"/>
      <c r="U74" s="265"/>
      <c r="V74" s="265">
        <v>5</v>
      </c>
      <c r="W74" s="265"/>
      <c r="X74" s="265"/>
      <c r="Y74" s="265"/>
      <c r="Z74" s="265"/>
      <c r="AA74" s="265"/>
      <c r="AB74" s="265"/>
      <c r="AC74" s="265"/>
    </row>
    <row r="75" spans="1:29" x14ac:dyDescent="0.25">
      <c r="A75">
        <v>710000000</v>
      </c>
      <c r="B75" s="7" t="s">
        <v>92</v>
      </c>
      <c r="C75" s="266" t="s">
        <v>387</v>
      </c>
      <c r="D75" s="1">
        <f t="shared" si="1"/>
        <v>31</v>
      </c>
      <c r="E75" s="265"/>
      <c r="F75" s="265"/>
      <c r="G75" s="265"/>
      <c r="H75" s="265"/>
      <c r="I75" s="265"/>
      <c r="J75" s="265">
        <v>1</v>
      </c>
      <c r="K75" s="265"/>
      <c r="L75" s="265">
        <v>1</v>
      </c>
      <c r="M75" s="265"/>
      <c r="N75" s="265"/>
      <c r="O75" s="265"/>
      <c r="P75" s="265">
        <v>10</v>
      </c>
      <c r="Q75" s="265">
        <v>2</v>
      </c>
      <c r="R75" s="265"/>
      <c r="S75" s="265">
        <v>7</v>
      </c>
      <c r="T75" s="265">
        <v>6</v>
      </c>
      <c r="U75" s="265">
        <v>4</v>
      </c>
      <c r="V75" s="265"/>
      <c r="W75" s="265"/>
      <c r="X75" s="265"/>
      <c r="Y75" s="265"/>
      <c r="Z75" s="265"/>
      <c r="AA75" s="265"/>
      <c r="AB75" s="265"/>
      <c r="AC75" s="265"/>
    </row>
    <row r="76" spans="1:29" x14ac:dyDescent="0.25">
      <c r="A76">
        <v>711000000</v>
      </c>
      <c r="B76" s="7" t="s">
        <v>99</v>
      </c>
      <c r="C76" s="7" t="s">
        <v>100</v>
      </c>
      <c r="D76" s="1">
        <f t="shared" si="1"/>
        <v>111</v>
      </c>
      <c r="E76">
        <v>3</v>
      </c>
      <c r="F76">
        <v>64</v>
      </c>
      <c r="G76">
        <v>13</v>
      </c>
      <c r="J76">
        <v>31</v>
      </c>
    </row>
    <row r="77" spans="1:29" x14ac:dyDescent="0.25">
      <c r="A77">
        <v>711000000</v>
      </c>
      <c r="B77" s="9" t="s">
        <v>99</v>
      </c>
      <c r="C77" s="9" t="s">
        <v>101</v>
      </c>
      <c r="D77" s="1">
        <f t="shared" si="1"/>
        <v>52</v>
      </c>
      <c r="K77">
        <v>52</v>
      </c>
    </row>
    <row r="78" spans="1:29" x14ac:dyDescent="0.25">
      <c r="A78">
        <v>711000000</v>
      </c>
      <c r="B78" s="7" t="s">
        <v>99</v>
      </c>
      <c r="C78" s="7" t="s">
        <v>102</v>
      </c>
      <c r="D78" s="1">
        <f t="shared" si="1"/>
        <v>315</v>
      </c>
      <c r="W78">
        <v>315</v>
      </c>
    </row>
    <row r="79" spans="1:29" x14ac:dyDescent="0.25">
      <c r="A79">
        <v>711000000</v>
      </c>
      <c r="B79" s="9" t="s">
        <v>99</v>
      </c>
      <c r="C79" s="9" t="s">
        <v>103</v>
      </c>
      <c r="D79" s="1">
        <f t="shared" si="1"/>
        <v>183</v>
      </c>
      <c r="M79">
        <v>41</v>
      </c>
      <c r="N79">
        <v>15</v>
      </c>
      <c r="O79">
        <v>9</v>
      </c>
      <c r="Q79">
        <v>43</v>
      </c>
      <c r="R79">
        <v>37</v>
      </c>
      <c r="U79">
        <v>16</v>
      </c>
      <c r="AC79">
        <v>22</v>
      </c>
    </row>
    <row r="80" spans="1:29" x14ac:dyDescent="0.25">
      <c r="A80">
        <v>711000000</v>
      </c>
      <c r="B80" s="9" t="s">
        <v>99</v>
      </c>
      <c r="C80" s="9" t="s">
        <v>104</v>
      </c>
      <c r="D80" s="1">
        <f t="shared" si="1"/>
        <v>31</v>
      </c>
      <c r="J80">
        <v>12</v>
      </c>
      <c r="K80">
        <v>10</v>
      </c>
      <c r="L80">
        <v>9</v>
      </c>
    </row>
    <row r="81" spans="1:29" x14ac:dyDescent="0.25">
      <c r="A81">
        <v>711000000</v>
      </c>
      <c r="B81" s="9" t="s">
        <v>99</v>
      </c>
      <c r="C81" s="9" t="s">
        <v>105</v>
      </c>
      <c r="D81" s="1">
        <f t="shared" si="1"/>
        <v>24</v>
      </c>
      <c r="M81">
        <v>5</v>
      </c>
      <c r="N81">
        <v>1</v>
      </c>
      <c r="Q81">
        <v>2</v>
      </c>
      <c r="R81">
        <v>4</v>
      </c>
      <c r="Z81">
        <v>11</v>
      </c>
      <c r="AC81">
        <v>1</v>
      </c>
    </row>
    <row r="82" spans="1:29" x14ac:dyDescent="0.25">
      <c r="A82">
        <v>713000000</v>
      </c>
      <c r="B82" s="7" t="s">
        <v>106</v>
      </c>
      <c r="C82" s="7" t="s">
        <v>100</v>
      </c>
      <c r="D82" s="1">
        <f t="shared" si="1"/>
        <v>57</v>
      </c>
      <c r="F82">
        <v>32</v>
      </c>
      <c r="J82">
        <v>25</v>
      </c>
    </row>
    <row r="83" spans="1:29" x14ac:dyDescent="0.25">
      <c r="A83">
        <v>713000000</v>
      </c>
      <c r="B83" s="9" t="s">
        <v>106</v>
      </c>
      <c r="C83" s="9" t="s">
        <v>101</v>
      </c>
      <c r="D83" s="1">
        <f t="shared" si="1"/>
        <v>47</v>
      </c>
      <c r="K83">
        <v>47</v>
      </c>
    </row>
    <row r="84" spans="1:29" x14ac:dyDescent="0.25">
      <c r="A84">
        <v>713000000</v>
      </c>
      <c r="B84" s="7" t="s">
        <v>106</v>
      </c>
      <c r="C84" s="7" t="s">
        <v>107</v>
      </c>
      <c r="D84" s="1">
        <f t="shared" si="1"/>
        <v>93</v>
      </c>
      <c r="E84">
        <v>91</v>
      </c>
      <c r="F84">
        <v>2</v>
      </c>
    </row>
    <row r="85" spans="1:29" x14ac:dyDescent="0.25">
      <c r="A85">
        <v>713000000</v>
      </c>
      <c r="B85" s="9" t="s">
        <v>106</v>
      </c>
      <c r="C85" s="9" t="s">
        <v>108</v>
      </c>
      <c r="D85" s="1">
        <f t="shared" si="1"/>
        <v>19</v>
      </c>
      <c r="F85">
        <v>19</v>
      </c>
    </row>
    <row r="86" spans="1:29" x14ac:dyDescent="0.25">
      <c r="A86">
        <v>713000000</v>
      </c>
      <c r="B86" s="9" t="s">
        <v>106</v>
      </c>
      <c r="C86" s="9" t="s">
        <v>109</v>
      </c>
      <c r="D86" s="1">
        <f t="shared" si="1"/>
        <v>60</v>
      </c>
      <c r="J86">
        <v>14</v>
      </c>
      <c r="W86">
        <v>46</v>
      </c>
    </row>
    <row r="87" spans="1:29" x14ac:dyDescent="0.25">
      <c r="A87">
        <v>713000000</v>
      </c>
      <c r="B87" s="9" t="s">
        <v>106</v>
      </c>
      <c r="C87" s="9" t="s">
        <v>110</v>
      </c>
      <c r="D87" s="1">
        <v>2</v>
      </c>
      <c r="G87">
        <v>2</v>
      </c>
    </row>
    <row r="88" spans="1:29" x14ac:dyDescent="0.25">
      <c r="A88">
        <v>714000000</v>
      </c>
      <c r="B88" s="7" t="s">
        <v>111</v>
      </c>
      <c r="C88" s="7" t="s">
        <v>100</v>
      </c>
      <c r="D88" s="1">
        <f t="shared" ref="D88:D93" si="2">SUM(E88:AC88)</f>
        <v>121</v>
      </c>
      <c r="F88">
        <v>76</v>
      </c>
      <c r="G88">
        <v>20</v>
      </c>
      <c r="Z88">
        <v>25</v>
      </c>
    </row>
    <row r="89" spans="1:29" x14ac:dyDescent="0.25">
      <c r="A89">
        <v>714000000</v>
      </c>
      <c r="B89" s="7" t="s">
        <v>111</v>
      </c>
      <c r="C89" s="7" t="s">
        <v>101</v>
      </c>
      <c r="D89" s="1">
        <f t="shared" si="2"/>
        <v>39</v>
      </c>
      <c r="K89">
        <v>39</v>
      </c>
    </row>
    <row r="90" spans="1:29" x14ac:dyDescent="0.25">
      <c r="A90">
        <v>714000000</v>
      </c>
      <c r="B90" s="9" t="s">
        <v>111</v>
      </c>
      <c r="C90" s="9" t="s">
        <v>107</v>
      </c>
      <c r="D90" s="1">
        <f t="shared" si="2"/>
        <v>68</v>
      </c>
      <c r="E90">
        <v>34</v>
      </c>
      <c r="F90">
        <v>5</v>
      </c>
      <c r="H90">
        <v>13</v>
      </c>
      <c r="J90">
        <v>16</v>
      </c>
    </row>
    <row r="91" spans="1:29" x14ac:dyDescent="0.25">
      <c r="A91">
        <v>714000000</v>
      </c>
      <c r="B91" s="7" t="s">
        <v>111</v>
      </c>
      <c r="C91" s="7" t="s">
        <v>112</v>
      </c>
      <c r="D91" s="1">
        <f t="shared" si="2"/>
        <v>37</v>
      </c>
      <c r="J91">
        <v>10</v>
      </c>
      <c r="K91">
        <v>27</v>
      </c>
    </row>
    <row r="92" spans="1:29" x14ac:dyDescent="0.25">
      <c r="A92">
        <v>714000000</v>
      </c>
      <c r="B92" s="9" t="s">
        <v>111</v>
      </c>
      <c r="C92" s="9" t="s">
        <v>113</v>
      </c>
      <c r="D92" s="1">
        <f t="shared" si="2"/>
        <v>82</v>
      </c>
      <c r="E92" s="265">
        <v>15</v>
      </c>
      <c r="F92" s="265"/>
      <c r="G92" s="265"/>
      <c r="H92" s="265"/>
      <c r="J92" s="265"/>
      <c r="K92" s="265"/>
      <c r="L92" s="265"/>
      <c r="M92" s="265">
        <v>2</v>
      </c>
      <c r="N92" s="265">
        <v>13</v>
      </c>
      <c r="O92" s="265">
        <v>20</v>
      </c>
      <c r="Q92">
        <v>8</v>
      </c>
      <c r="R92">
        <v>2</v>
      </c>
      <c r="U92">
        <v>11</v>
      </c>
      <c r="V92">
        <v>3</v>
      </c>
      <c r="Z92" s="265"/>
      <c r="AC92" s="265">
        <v>8</v>
      </c>
    </row>
    <row r="93" spans="1:29" x14ac:dyDescent="0.25">
      <c r="A93">
        <v>714000000</v>
      </c>
      <c r="B93" s="9" t="s">
        <v>111</v>
      </c>
      <c r="C93" s="9" t="s">
        <v>89</v>
      </c>
      <c r="D93" s="1">
        <f t="shared" si="2"/>
        <v>96</v>
      </c>
      <c r="L93">
        <v>96</v>
      </c>
    </row>
    <row r="94" spans="1:29" x14ac:dyDescent="0.25">
      <c r="A94">
        <v>716000000</v>
      </c>
      <c r="B94" s="7" t="s">
        <v>114</v>
      </c>
      <c r="C94" s="7" t="s">
        <v>115</v>
      </c>
      <c r="D94" s="1">
        <f t="shared" si="1"/>
        <v>44</v>
      </c>
      <c r="J94">
        <v>27</v>
      </c>
      <c r="W94">
        <v>17</v>
      </c>
      <c r="Z94" s="160"/>
      <c r="AB94" s="160"/>
      <c r="AC94" s="160"/>
    </row>
    <row r="95" spans="1:29" x14ac:dyDescent="0.25">
      <c r="A95">
        <v>716000000</v>
      </c>
      <c r="B95" s="9" t="s">
        <v>114</v>
      </c>
      <c r="C95" s="9" t="s">
        <v>116</v>
      </c>
      <c r="D95" s="1">
        <f t="shared" si="1"/>
        <v>90</v>
      </c>
      <c r="E95">
        <v>82</v>
      </c>
      <c r="H95">
        <v>8</v>
      </c>
      <c r="Z95" s="160"/>
      <c r="AB95" s="160"/>
      <c r="AC95" s="160"/>
    </row>
    <row r="96" spans="1:29" x14ac:dyDescent="0.25">
      <c r="A96">
        <v>716000000</v>
      </c>
      <c r="B96" s="7" t="s">
        <v>114</v>
      </c>
      <c r="C96" s="7" t="s">
        <v>100</v>
      </c>
      <c r="D96" s="1">
        <f t="shared" si="1"/>
        <v>186</v>
      </c>
      <c r="E96" s="268">
        <v>13</v>
      </c>
      <c r="F96" s="268">
        <v>134</v>
      </c>
      <c r="G96" s="268">
        <v>30</v>
      </c>
      <c r="J96" s="268">
        <v>9</v>
      </c>
      <c r="U96" s="268"/>
      <c r="Z96" s="269"/>
      <c r="AB96" s="269"/>
      <c r="AC96" s="269"/>
    </row>
    <row r="97" spans="1:29" x14ac:dyDescent="0.25">
      <c r="A97">
        <v>716000000</v>
      </c>
      <c r="B97" s="9" t="s">
        <v>114</v>
      </c>
      <c r="C97" s="9" t="s">
        <v>113</v>
      </c>
      <c r="D97" s="1">
        <f t="shared" si="1"/>
        <v>113</v>
      </c>
      <c r="E97">
        <v>37</v>
      </c>
      <c r="M97">
        <v>5</v>
      </c>
      <c r="N97">
        <v>13</v>
      </c>
      <c r="O97">
        <v>13</v>
      </c>
      <c r="R97">
        <v>25</v>
      </c>
      <c r="U97">
        <v>14</v>
      </c>
      <c r="Z97" s="160"/>
      <c r="AB97" s="160"/>
      <c r="AC97" s="160">
        <v>6</v>
      </c>
    </row>
    <row r="98" spans="1:29" x14ac:dyDescent="0.25">
      <c r="A98">
        <v>716000000</v>
      </c>
      <c r="B98" s="7" t="s">
        <v>114</v>
      </c>
      <c r="C98" s="7" t="s">
        <v>117</v>
      </c>
      <c r="D98" s="1">
        <f t="shared" si="1"/>
        <v>41</v>
      </c>
      <c r="E98">
        <v>15</v>
      </c>
      <c r="F98">
        <v>18</v>
      </c>
      <c r="L98">
        <v>8</v>
      </c>
      <c r="Z98" s="160"/>
      <c r="AB98" s="160"/>
      <c r="AC98" s="160"/>
    </row>
    <row r="99" spans="1:29" x14ac:dyDescent="0.25">
      <c r="A99">
        <v>717000000</v>
      </c>
      <c r="B99" s="9" t="s">
        <v>118</v>
      </c>
      <c r="C99" s="9" t="s">
        <v>119</v>
      </c>
      <c r="D99" s="1">
        <f t="shared" si="1"/>
        <v>78</v>
      </c>
      <c r="E99">
        <v>21</v>
      </c>
      <c r="J99">
        <v>5</v>
      </c>
      <c r="M99">
        <v>7</v>
      </c>
      <c r="N99">
        <v>15</v>
      </c>
      <c r="O99">
        <v>16</v>
      </c>
      <c r="R99">
        <v>14</v>
      </c>
    </row>
    <row r="100" spans="1:29" x14ac:dyDescent="0.25">
      <c r="A100">
        <v>717000000</v>
      </c>
      <c r="B100" s="7" t="s">
        <v>118</v>
      </c>
      <c r="C100" s="7" t="s">
        <v>120</v>
      </c>
      <c r="D100" s="1">
        <f t="shared" si="1"/>
        <v>69</v>
      </c>
      <c r="L100">
        <v>67</v>
      </c>
      <c r="O100">
        <v>2</v>
      </c>
    </row>
    <row r="101" spans="1:29" x14ac:dyDescent="0.25">
      <c r="A101">
        <v>717000000</v>
      </c>
      <c r="B101" s="9" t="s">
        <v>118</v>
      </c>
      <c r="C101" s="9" t="s">
        <v>121</v>
      </c>
      <c r="D101" s="1">
        <f t="shared" si="1"/>
        <v>24</v>
      </c>
      <c r="Z101">
        <v>24</v>
      </c>
    </row>
    <row r="102" spans="1:29" x14ac:dyDescent="0.25">
      <c r="A102">
        <v>717000000</v>
      </c>
      <c r="B102" s="7" t="s">
        <v>118</v>
      </c>
      <c r="C102" s="7" t="s">
        <v>100</v>
      </c>
      <c r="D102" s="1">
        <f t="shared" si="1"/>
        <v>161</v>
      </c>
      <c r="E102">
        <v>39</v>
      </c>
      <c r="F102">
        <v>51</v>
      </c>
      <c r="G102">
        <v>17</v>
      </c>
      <c r="H102">
        <v>18</v>
      </c>
      <c r="J102">
        <v>36</v>
      </c>
    </row>
    <row r="103" spans="1:29" x14ac:dyDescent="0.25">
      <c r="A103">
        <v>717000000</v>
      </c>
      <c r="B103" s="7" t="s">
        <v>118</v>
      </c>
      <c r="C103" s="7" t="s">
        <v>107</v>
      </c>
      <c r="D103" s="1">
        <f t="shared" si="1"/>
        <v>57</v>
      </c>
      <c r="E103">
        <v>57</v>
      </c>
    </row>
    <row r="104" spans="1:29" x14ac:dyDescent="0.25">
      <c r="A104">
        <v>717000000</v>
      </c>
      <c r="B104" s="7" t="s">
        <v>118</v>
      </c>
      <c r="C104" s="7" t="s">
        <v>122</v>
      </c>
      <c r="D104" s="1">
        <f t="shared" si="1"/>
        <v>74</v>
      </c>
      <c r="W104">
        <v>74</v>
      </c>
    </row>
    <row r="105" spans="1:29" x14ac:dyDescent="0.25">
      <c r="A105">
        <v>717000000</v>
      </c>
      <c r="B105" s="7" t="s">
        <v>118</v>
      </c>
      <c r="C105" s="7" t="s">
        <v>123</v>
      </c>
      <c r="D105" s="1">
        <f t="shared" si="1"/>
        <v>17</v>
      </c>
      <c r="F105">
        <v>11</v>
      </c>
      <c r="G105">
        <v>6</v>
      </c>
    </row>
    <row r="106" spans="1:29" x14ac:dyDescent="0.25">
      <c r="A106">
        <v>717000000</v>
      </c>
      <c r="B106" s="9" t="s">
        <v>118</v>
      </c>
      <c r="C106" s="9" t="s">
        <v>124</v>
      </c>
      <c r="D106" s="1">
        <f t="shared" si="1"/>
        <v>17</v>
      </c>
      <c r="F106">
        <v>10</v>
      </c>
      <c r="J106">
        <v>7</v>
      </c>
    </row>
    <row r="107" spans="1:29" x14ac:dyDescent="0.25">
      <c r="A107">
        <v>717000000</v>
      </c>
      <c r="B107" s="9" t="s">
        <v>118</v>
      </c>
      <c r="C107" s="9" t="s">
        <v>143</v>
      </c>
      <c r="D107" s="1">
        <f t="shared" si="1"/>
        <v>15</v>
      </c>
      <c r="F107">
        <v>15</v>
      </c>
    </row>
    <row r="108" spans="1:29" x14ac:dyDescent="0.25">
      <c r="A108">
        <v>717000000</v>
      </c>
      <c r="B108" s="9" t="s">
        <v>118</v>
      </c>
      <c r="C108" s="9" t="s">
        <v>144</v>
      </c>
      <c r="D108" s="1">
        <f t="shared" si="1"/>
        <v>10</v>
      </c>
      <c r="E108">
        <v>10</v>
      </c>
    </row>
    <row r="109" spans="1:29" x14ac:dyDescent="0.25">
      <c r="A109">
        <v>718000000</v>
      </c>
      <c r="B109" s="7" t="s">
        <v>125</v>
      </c>
      <c r="C109" s="7" t="s">
        <v>126</v>
      </c>
      <c r="D109" s="1">
        <f t="shared" si="1"/>
        <v>32</v>
      </c>
      <c r="H109">
        <v>32</v>
      </c>
    </row>
    <row r="110" spans="1:29" x14ac:dyDescent="0.25">
      <c r="A110">
        <v>718000000</v>
      </c>
      <c r="B110" s="9" t="s">
        <v>125</v>
      </c>
      <c r="C110" s="9" t="s">
        <v>127</v>
      </c>
      <c r="D110" s="1">
        <f t="shared" si="1"/>
        <v>33</v>
      </c>
      <c r="H110">
        <v>33</v>
      </c>
    </row>
    <row r="111" spans="1:29" x14ac:dyDescent="0.25">
      <c r="A111">
        <v>718000000</v>
      </c>
      <c r="B111" s="7" t="s">
        <v>125</v>
      </c>
      <c r="C111" s="7" t="s">
        <v>128</v>
      </c>
      <c r="D111" s="1">
        <f t="shared" si="1"/>
        <v>49</v>
      </c>
      <c r="H111">
        <v>49</v>
      </c>
    </row>
    <row r="112" spans="1:29" x14ac:dyDescent="0.25">
      <c r="A112">
        <v>719000000</v>
      </c>
      <c r="B112" s="7" t="s">
        <v>129</v>
      </c>
      <c r="C112" s="7" t="s">
        <v>130</v>
      </c>
      <c r="D112" s="1">
        <f t="shared" si="1"/>
        <v>26</v>
      </c>
      <c r="L112">
        <v>26</v>
      </c>
    </row>
    <row r="113" spans="1:29" x14ac:dyDescent="0.25">
      <c r="A113">
        <v>719000000</v>
      </c>
      <c r="B113" s="9" t="s">
        <v>129</v>
      </c>
      <c r="C113" s="9" t="s">
        <v>131</v>
      </c>
      <c r="D113" s="1">
        <f t="shared" si="1"/>
        <v>28</v>
      </c>
      <c r="W113">
        <v>28</v>
      </c>
    </row>
    <row r="114" spans="1:29" x14ac:dyDescent="0.25">
      <c r="A114">
        <v>719000000</v>
      </c>
      <c r="B114" s="9" t="s">
        <v>129</v>
      </c>
      <c r="C114" s="9" t="s">
        <v>132</v>
      </c>
      <c r="D114" s="1">
        <f t="shared" si="1"/>
        <v>20</v>
      </c>
      <c r="S114">
        <v>20</v>
      </c>
    </row>
    <row r="115" spans="1:29" x14ac:dyDescent="0.25">
      <c r="A115">
        <v>719000000</v>
      </c>
      <c r="B115" s="7" t="s">
        <v>129</v>
      </c>
      <c r="C115" s="7" t="s">
        <v>133</v>
      </c>
      <c r="D115" s="1">
        <f t="shared" si="1"/>
        <v>41</v>
      </c>
      <c r="Q115">
        <v>41</v>
      </c>
    </row>
    <row r="116" spans="1:29" x14ac:dyDescent="0.25">
      <c r="A116">
        <v>719000000</v>
      </c>
      <c r="B116" s="7" t="s">
        <v>129</v>
      </c>
      <c r="C116" s="7" t="s">
        <v>134</v>
      </c>
      <c r="D116" s="1">
        <f t="shared" si="1"/>
        <v>24</v>
      </c>
      <c r="S116">
        <v>24</v>
      </c>
    </row>
    <row r="117" spans="1:29" x14ac:dyDescent="0.25">
      <c r="A117">
        <v>719000000</v>
      </c>
      <c r="B117" s="7" t="s">
        <v>129</v>
      </c>
      <c r="C117" s="7" t="s">
        <v>145</v>
      </c>
      <c r="D117" s="1">
        <f t="shared" si="1"/>
        <v>7</v>
      </c>
      <c r="J117">
        <v>7</v>
      </c>
    </row>
    <row r="118" spans="1:29" x14ac:dyDescent="0.25">
      <c r="A118">
        <v>720000000</v>
      </c>
      <c r="B118" s="9" t="s">
        <v>135</v>
      </c>
      <c r="C118" s="9" t="s">
        <v>100</v>
      </c>
      <c r="D118" s="1">
        <f t="shared" si="1"/>
        <v>81</v>
      </c>
      <c r="E118">
        <v>6</v>
      </c>
      <c r="F118">
        <v>45</v>
      </c>
      <c r="G118">
        <v>20</v>
      </c>
      <c r="J118">
        <v>10</v>
      </c>
    </row>
    <row r="119" spans="1:29" x14ac:dyDescent="0.25">
      <c r="A119">
        <v>720000000</v>
      </c>
      <c r="B119" s="7" t="s">
        <v>135</v>
      </c>
      <c r="C119" s="7" t="s">
        <v>136</v>
      </c>
      <c r="D119" s="1">
        <f t="shared" si="1"/>
        <v>39</v>
      </c>
      <c r="J119">
        <v>39</v>
      </c>
    </row>
    <row r="120" spans="1:29" x14ac:dyDescent="0.25">
      <c r="A120">
        <v>720000000</v>
      </c>
      <c r="B120" s="9" t="s">
        <v>135</v>
      </c>
      <c r="C120" s="9" t="s">
        <v>137</v>
      </c>
      <c r="D120" s="1">
        <f t="shared" si="1"/>
        <v>85</v>
      </c>
      <c r="J120">
        <v>85</v>
      </c>
    </row>
    <row r="121" spans="1:29" x14ac:dyDescent="0.25">
      <c r="A121">
        <v>720000000</v>
      </c>
      <c r="B121" s="9" t="s">
        <v>135</v>
      </c>
      <c r="C121" s="9" t="s">
        <v>312</v>
      </c>
      <c r="D121" s="1">
        <f t="shared" si="1"/>
        <v>37</v>
      </c>
      <c r="F121">
        <v>2</v>
      </c>
      <c r="J121">
        <v>5</v>
      </c>
      <c r="Q121">
        <v>2</v>
      </c>
      <c r="V121">
        <v>1</v>
      </c>
      <c r="W121">
        <v>27</v>
      </c>
    </row>
    <row r="122" spans="1:29" x14ac:dyDescent="0.25">
      <c r="A122">
        <v>720000000</v>
      </c>
      <c r="B122" s="7" t="s">
        <v>135</v>
      </c>
      <c r="C122" s="7" t="s">
        <v>113</v>
      </c>
      <c r="D122" s="1">
        <f t="shared" si="1"/>
        <v>54</v>
      </c>
      <c r="F122">
        <v>3</v>
      </c>
      <c r="M122">
        <v>2</v>
      </c>
      <c r="O122">
        <v>6</v>
      </c>
      <c r="Q122">
        <v>21</v>
      </c>
      <c r="R122">
        <v>11</v>
      </c>
      <c r="U122">
        <v>10</v>
      </c>
      <c r="AC122">
        <v>1</v>
      </c>
    </row>
    <row r="123" spans="1:29" x14ac:dyDescent="0.25">
      <c r="A123">
        <v>720000000</v>
      </c>
      <c r="B123" s="9" t="s">
        <v>135</v>
      </c>
      <c r="C123" s="9" t="s">
        <v>313</v>
      </c>
      <c r="D123" s="1">
        <f t="shared" si="1"/>
        <v>10</v>
      </c>
      <c r="L123">
        <v>10</v>
      </c>
    </row>
    <row r="124" spans="1:29" x14ac:dyDescent="0.25">
      <c r="A124">
        <v>722000000</v>
      </c>
      <c r="B124" s="9" t="s">
        <v>138</v>
      </c>
      <c r="C124" s="9" t="s">
        <v>107</v>
      </c>
      <c r="D124" s="1">
        <f t="shared" si="1"/>
        <v>126</v>
      </c>
      <c r="E124">
        <v>46</v>
      </c>
      <c r="F124">
        <v>11</v>
      </c>
      <c r="H124">
        <v>14</v>
      </c>
      <c r="J124">
        <v>12</v>
      </c>
      <c r="L124">
        <v>12</v>
      </c>
      <c r="N124">
        <v>5</v>
      </c>
      <c r="O124">
        <v>1</v>
      </c>
      <c r="Q124">
        <v>4</v>
      </c>
      <c r="R124">
        <v>6</v>
      </c>
      <c r="U124">
        <v>5</v>
      </c>
      <c r="Z124">
        <v>6</v>
      </c>
      <c r="AC124">
        <v>4</v>
      </c>
    </row>
    <row r="125" spans="1:29" x14ac:dyDescent="0.25">
      <c r="A125">
        <v>722000000</v>
      </c>
      <c r="B125" s="7" t="s">
        <v>138</v>
      </c>
      <c r="C125" s="7" t="s">
        <v>108</v>
      </c>
      <c r="D125" s="1">
        <f t="shared" si="1"/>
        <v>40</v>
      </c>
      <c r="E125">
        <v>9</v>
      </c>
      <c r="F125">
        <v>21</v>
      </c>
      <c r="J125">
        <v>10</v>
      </c>
    </row>
    <row r="126" spans="1:29" x14ac:dyDescent="0.25">
      <c r="A126">
        <v>722000000</v>
      </c>
      <c r="B126" s="9" t="s">
        <v>138</v>
      </c>
      <c r="C126" s="9" t="s">
        <v>100</v>
      </c>
      <c r="D126" s="1">
        <f t="shared" si="1"/>
        <v>44</v>
      </c>
      <c r="E126">
        <v>30</v>
      </c>
      <c r="F126">
        <v>7</v>
      </c>
      <c r="J126">
        <v>7</v>
      </c>
    </row>
    <row r="127" spans="1:29" x14ac:dyDescent="0.25">
      <c r="A127">
        <v>722000000</v>
      </c>
      <c r="B127" s="7" t="s">
        <v>138</v>
      </c>
      <c r="C127" s="7" t="s">
        <v>131</v>
      </c>
      <c r="D127" s="1">
        <f t="shared" si="1"/>
        <v>41</v>
      </c>
      <c r="W127">
        <v>41</v>
      </c>
    </row>
    <row r="128" spans="1:29" x14ac:dyDescent="0.25">
      <c r="A128">
        <v>725000000</v>
      </c>
      <c r="B128" s="9" t="s">
        <v>139</v>
      </c>
      <c r="C128" s="9" t="s">
        <v>107</v>
      </c>
      <c r="D128" s="1">
        <f t="shared" si="1"/>
        <v>62</v>
      </c>
      <c r="E128">
        <v>53</v>
      </c>
      <c r="F128">
        <v>9</v>
      </c>
    </row>
    <row r="129" spans="1:29" x14ac:dyDescent="0.25">
      <c r="A129">
        <v>725000000</v>
      </c>
      <c r="B129" s="7" t="s">
        <v>139</v>
      </c>
      <c r="C129" s="7" t="s">
        <v>140</v>
      </c>
      <c r="D129" s="1">
        <f t="shared" si="1"/>
        <v>42</v>
      </c>
      <c r="L129">
        <v>18</v>
      </c>
      <c r="U129">
        <v>14</v>
      </c>
      <c r="AC129">
        <v>10</v>
      </c>
    </row>
    <row r="130" spans="1:29" x14ac:dyDescent="0.25">
      <c r="A130">
        <v>725000000</v>
      </c>
      <c r="B130" s="7" t="s">
        <v>139</v>
      </c>
      <c r="C130" s="7" t="s">
        <v>141</v>
      </c>
      <c r="D130" s="1">
        <f t="shared" si="1"/>
        <v>11</v>
      </c>
      <c r="F130">
        <v>11</v>
      </c>
    </row>
    <row r="131" spans="1:29" x14ac:dyDescent="0.25">
      <c r="A131"/>
      <c r="B131"/>
      <c r="C131"/>
      <c r="D131" s="1">
        <f>SUM(D3:D130)</f>
        <v>9652</v>
      </c>
    </row>
    <row r="132" spans="1:29" x14ac:dyDescent="0.25">
      <c r="A132"/>
      <c r="B132"/>
      <c r="C132"/>
      <c r="D132" s="1"/>
    </row>
    <row r="133" spans="1:29" ht="18.75" x14ac:dyDescent="0.3">
      <c r="A133"/>
      <c r="B133" s="14" t="s">
        <v>5</v>
      </c>
      <c r="C133"/>
      <c r="D133" s="1"/>
    </row>
    <row r="134" spans="1:29" ht="18.75" x14ac:dyDescent="0.3">
      <c r="A134"/>
      <c r="B134" s="14" t="s">
        <v>6</v>
      </c>
      <c r="C134"/>
      <c r="D134" s="1"/>
    </row>
    <row r="135" spans="1:29" ht="18.75" x14ac:dyDescent="0.3">
      <c r="A135"/>
      <c r="B135" s="14" t="s">
        <v>7</v>
      </c>
      <c r="C135"/>
      <c r="D135" s="1"/>
    </row>
    <row r="136" spans="1:29" ht="18.75" x14ac:dyDescent="0.3">
      <c r="A136"/>
      <c r="B136" s="14" t="s">
        <v>8</v>
      </c>
      <c r="C136"/>
      <c r="D136" s="1"/>
    </row>
    <row r="137" spans="1:29" ht="18.75" x14ac:dyDescent="0.3">
      <c r="A137"/>
      <c r="B137" s="14" t="s">
        <v>9</v>
      </c>
      <c r="C137"/>
      <c r="D137" s="1"/>
    </row>
    <row r="138" spans="1:29" ht="18.75" x14ac:dyDescent="0.3">
      <c r="A138"/>
      <c r="B138" s="14" t="s">
        <v>10</v>
      </c>
      <c r="C138"/>
      <c r="D138" s="1"/>
    </row>
    <row r="139" spans="1:29" ht="18.75" x14ac:dyDescent="0.3">
      <c r="A139"/>
      <c r="B139" s="14" t="s">
        <v>11</v>
      </c>
      <c r="C139"/>
      <c r="D139" s="1"/>
    </row>
    <row r="140" spans="1:29" ht="18.75" x14ac:dyDescent="0.3">
      <c r="A140"/>
      <c r="B140" s="14" t="s">
        <v>12</v>
      </c>
      <c r="C140"/>
      <c r="D140" s="1"/>
    </row>
    <row r="141" spans="1:29" ht="18.75" x14ac:dyDescent="0.3">
      <c r="A141"/>
      <c r="B141" s="14" t="s">
        <v>13</v>
      </c>
      <c r="C141"/>
      <c r="D141" s="1"/>
    </row>
    <row r="142" spans="1:29" ht="18.75" x14ac:dyDescent="0.3">
      <c r="A142"/>
      <c r="B142" s="14" t="s">
        <v>14</v>
      </c>
      <c r="C142"/>
      <c r="D142" s="1"/>
    </row>
    <row r="143" spans="1:29" ht="18.75" x14ac:dyDescent="0.3">
      <c r="A143"/>
      <c r="B143" s="14" t="s">
        <v>15</v>
      </c>
      <c r="C143"/>
      <c r="D143" s="1"/>
    </row>
    <row r="144" spans="1:29" ht="18.75" x14ac:dyDescent="0.3">
      <c r="A144"/>
      <c r="B144" s="14" t="s">
        <v>16</v>
      </c>
      <c r="C144"/>
      <c r="D144" s="1"/>
    </row>
    <row r="145" spans="1:4" ht="18.75" x14ac:dyDescent="0.3">
      <c r="A145"/>
      <c r="B145" s="14" t="s">
        <v>17</v>
      </c>
      <c r="C145"/>
      <c r="D145" s="1"/>
    </row>
    <row r="146" spans="1:4" ht="18.75" x14ac:dyDescent="0.3">
      <c r="A146"/>
      <c r="B146" s="14" t="s">
        <v>18</v>
      </c>
      <c r="C146"/>
      <c r="D146" s="1"/>
    </row>
    <row r="147" spans="1:4" ht="18.75" x14ac:dyDescent="0.3">
      <c r="A147"/>
      <c r="B147" s="14" t="s">
        <v>19</v>
      </c>
      <c r="C147"/>
      <c r="D147" s="1"/>
    </row>
    <row r="148" spans="1:4" ht="18.75" x14ac:dyDescent="0.3">
      <c r="A148"/>
      <c r="B148" s="14" t="s">
        <v>20</v>
      </c>
      <c r="C148"/>
      <c r="D148" s="1"/>
    </row>
    <row r="149" spans="1:4" ht="18.75" x14ac:dyDescent="0.3">
      <c r="A149"/>
      <c r="B149" s="14" t="s">
        <v>21</v>
      </c>
      <c r="C149"/>
      <c r="D149" s="1"/>
    </row>
    <row r="150" spans="1:4" ht="18.75" x14ac:dyDescent="0.3">
      <c r="A150"/>
      <c r="B150" s="14" t="s">
        <v>22</v>
      </c>
      <c r="C150"/>
      <c r="D150" s="1"/>
    </row>
    <row r="151" spans="1:4" ht="18.75" x14ac:dyDescent="0.3">
      <c r="A151"/>
      <c r="B151" s="14" t="s">
        <v>23</v>
      </c>
      <c r="C151"/>
      <c r="D151" s="1"/>
    </row>
    <row r="152" spans="1:4" ht="18.75" x14ac:dyDescent="0.3">
      <c r="A152"/>
      <c r="B152" s="14" t="s">
        <v>24</v>
      </c>
      <c r="C152"/>
      <c r="D152" s="1"/>
    </row>
    <row r="153" spans="1:4" ht="18.75" x14ac:dyDescent="0.3">
      <c r="A153"/>
      <c r="B153" s="14" t="s">
        <v>25</v>
      </c>
      <c r="C153"/>
      <c r="D153" s="1"/>
    </row>
    <row r="154" spans="1:4" ht="18.75" x14ac:dyDescent="0.3">
      <c r="A154"/>
      <c r="B154" s="14" t="s">
        <v>26</v>
      </c>
      <c r="C154"/>
      <c r="D154" s="1"/>
    </row>
    <row r="155" spans="1:4" ht="18.75" x14ac:dyDescent="0.3">
      <c r="A155"/>
      <c r="B155" s="14" t="s">
        <v>27</v>
      </c>
      <c r="C155"/>
      <c r="D155" s="1"/>
    </row>
    <row r="156" spans="1:4" ht="18.75" x14ac:dyDescent="0.3">
      <c r="A156"/>
      <c r="B156" s="14" t="s">
        <v>28</v>
      </c>
      <c r="C156"/>
      <c r="D156" s="1"/>
    </row>
    <row r="157" spans="1:4" ht="18.75" x14ac:dyDescent="0.3">
      <c r="A157"/>
      <c r="B157" s="14" t="s">
        <v>29</v>
      </c>
      <c r="C157"/>
      <c r="D157" s="1"/>
    </row>
  </sheetData>
  <dataValidations count="1">
    <dataValidation type="list" showInputMessage="1" showErrorMessage="1" sqref="E1:AC1">
      <formula1>$B$133:$B$157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36" sqref="A36"/>
    </sheetView>
  </sheetViews>
  <sheetFormatPr defaultRowHeight="15" x14ac:dyDescent="0.25"/>
  <cols>
    <col min="2" max="2" width="51.5703125" bestFit="1" customWidth="1"/>
  </cols>
  <sheetData>
    <row r="1" spans="1:3" x14ac:dyDescent="0.25">
      <c r="A1" s="146">
        <v>91</v>
      </c>
      <c r="B1" s="147" t="s">
        <v>13</v>
      </c>
      <c r="C1" s="148" t="s">
        <v>219</v>
      </c>
    </row>
    <row r="2" spans="1:3" x14ac:dyDescent="0.25">
      <c r="A2" s="146">
        <v>92</v>
      </c>
      <c r="B2" s="147" t="s">
        <v>14</v>
      </c>
      <c r="C2" s="148" t="s">
        <v>219</v>
      </c>
    </row>
    <row r="3" spans="1:3" x14ac:dyDescent="0.25">
      <c r="A3" s="146">
        <v>120</v>
      </c>
      <c r="B3" s="147" t="s">
        <v>17</v>
      </c>
      <c r="C3" s="148" t="s">
        <v>219</v>
      </c>
    </row>
    <row r="4" spans="1:3" x14ac:dyDescent="0.25">
      <c r="A4" s="146">
        <v>130</v>
      </c>
      <c r="B4" s="147" t="s">
        <v>18</v>
      </c>
      <c r="C4" s="148" t="s">
        <v>219</v>
      </c>
    </row>
    <row r="5" spans="1:3" x14ac:dyDescent="0.25">
      <c r="A5" s="146">
        <v>240</v>
      </c>
      <c r="B5" s="147" t="s">
        <v>29</v>
      </c>
      <c r="C5" s="148" t="s">
        <v>219</v>
      </c>
    </row>
    <row r="6" spans="1:3" x14ac:dyDescent="0.25">
      <c r="A6" s="146">
        <v>50</v>
      </c>
      <c r="B6" s="147" t="s">
        <v>9</v>
      </c>
      <c r="C6" s="149" t="s">
        <v>220</v>
      </c>
    </row>
    <row r="7" spans="1:3" x14ac:dyDescent="0.25">
      <c r="A7" s="146">
        <v>100</v>
      </c>
      <c r="B7" s="147" t="s">
        <v>15</v>
      </c>
      <c r="C7" s="149" t="s">
        <v>220</v>
      </c>
    </row>
    <row r="8" spans="1:3" x14ac:dyDescent="0.25">
      <c r="A8" s="146">
        <v>110</v>
      </c>
      <c r="B8" s="147" t="s">
        <v>16</v>
      </c>
      <c r="C8" s="149" t="s">
        <v>220</v>
      </c>
    </row>
    <row r="9" spans="1:3" x14ac:dyDescent="0.25">
      <c r="A9" s="146">
        <v>140</v>
      </c>
      <c r="B9" s="147" t="s">
        <v>19</v>
      </c>
      <c r="C9" s="149" t="s">
        <v>220</v>
      </c>
    </row>
    <row r="10" spans="1:3" x14ac:dyDescent="0.25">
      <c r="A10" s="146">
        <v>150</v>
      </c>
      <c r="B10" s="147" t="s">
        <v>20</v>
      </c>
      <c r="C10" s="149" t="s">
        <v>220</v>
      </c>
    </row>
    <row r="11" spans="1:3" x14ac:dyDescent="0.25">
      <c r="A11" s="146">
        <v>160</v>
      </c>
      <c r="B11" s="147" t="s">
        <v>21</v>
      </c>
      <c r="C11" s="149" t="s">
        <v>220</v>
      </c>
    </row>
    <row r="12" spans="1:3" x14ac:dyDescent="0.25">
      <c r="A12" s="146">
        <v>170</v>
      </c>
      <c r="B12" s="147" t="s">
        <v>22</v>
      </c>
      <c r="C12" s="149" t="s">
        <v>220</v>
      </c>
    </row>
    <row r="13" spans="1:3" x14ac:dyDescent="0.25">
      <c r="A13" s="146">
        <v>180</v>
      </c>
      <c r="B13" s="147" t="s">
        <v>23</v>
      </c>
      <c r="C13" s="150" t="s">
        <v>221</v>
      </c>
    </row>
    <row r="14" spans="1:3" x14ac:dyDescent="0.25">
      <c r="A14" s="146">
        <v>190</v>
      </c>
      <c r="B14" s="147" t="s">
        <v>24</v>
      </c>
      <c r="C14" s="151" t="s">
        <v>222</v>
      </c>
    </row>
    <row r="15" spans="1:3" x14ac:dyDescent="0.25">
      <c r="A15" s="146">
        <v>200</v>
      </c>
      <c r="B15" s="147" t="s">
        <v>25</v>
      </c>
      <c r="C15" s="151" t="s">
        <v>222</v>
      </c>
    </row>
    <row r="16" spans="1:3" x14ac:dyDescent="0.25">
      <c r="A16" s="146">
        <v>10</v>
      </c>
      <c r="B16" s="147" t="s">
        <v>5</v>
      </c>
      <c r="C16" s="152" t="s">
        <v>223</v>
      </c>
    </row>
    <row r="17" spans="1:3" x14ac:dyDescent="0.25">
      <c r="A17" s="146">
        <v>60</v>
      </c>
      <c r="B17" s="147" t="s">
        <v>10</v>
      </c>
      <c r="C17" s="152" t="s">
        <v>223</v>
      </c>
    </row>
    <row r="18" spans="1:3" x14ac:dyDescent="0.25">
      <c r="A18" s="146">
        <v>70</v>
      </c>
      <c r="B18" s="147" t="s">
        <v>11</v>
      </c>
      <c r="C18" s="152" t="s">
        <v>223</v>
      </c>
    </row>
    <row r="19" spans="1:3" x14ac:dyDescent="0.25">
      <c r="A19" s="146">
        <v>80</v>
      </c>
      <c r="B19" s="147" t="s">
        <v>12</v>
      </c>
      <c r="C19" s="152" t="s">
        <v>223</v>
      </c>
    </row>
    <row r="20" spans="1:3" x14ac:dyDescent="0.25">
      <c r="A20" s="146">
        <v>210</v>
      </c>
      <c r="B20" s="147" t="s">
        <v>26</v>
      </c>
      <c r="C20" s="152" t="s">
        <v>223</v>
      </c>
    </row>
    <row r="21" spans="1:3" x14ac:dyDescent="0.25">
      <c r="A21" s="146">
        <v>220</v>
      </c>
      <c r="B21" s="147" t="s">
        <v>27</v>
      </c>
      <c r="C21" s="149" t="s">
        <v>220</v>
      </c>
    </row>
    <row r="22" spans="1:3" x14ac:dyDescent="0.25">
      <c r="A22" s="146">
        <v>230</v>
      </c>
      <c r="B22" s="147" t="s">
        <v>28</v>
      </c>
      <c r="C22" s="152" t="s">
        <v>223</v>
      </c>
    </row>
    <row r="23" spans="1:3" x14ac:dyDescent="0.25">
      <c r="A23" s="146">
        <v>20</v>
      </c>
      <c r="B23" s="147" t="s">
        <v>6</v>
      </c>
      <c r="C23" s="147" t="s">
        <v>224</v>
      </c>
    </row>
    <row r="24" spans="1:3" x14ac:dyDescent="0.25">
      <c r="A24" s="146">
        <v>30</v>
      </c>
      <c r="B24" s="147" t="s">
        <v>7</v>
      </c>
      <c r="C24" s="147" t="s">
        <v>224</v>
      </c>
    </row>
    <row r="25" spans="1:3" x14ac:dyDescent="0.25">
      <c r="A25" s="146">
        <v>40</v>
      </c>
      <c r="B25" s="147" t="s">
        <v>8</v>
      </c>
      <c r="C25" s="147" t="s">
        <v>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3"/>
  <sheetViews>
    <sheetView tabSelected="1" topLeftCell="C1" workbookViewId="0">
      <pane ySplit="2" topLeftCell="A3" activePane="bottomLeft" state="frozen"/>
      <selection pane="bottomLeft" activeCell="AJ23" sqref="AJ23"/>
    </sheetView>
  </sheetViews>
  <sheetFormatPr defaultColWidth="8.7109375" defaultRowHeight="15" x14ac:dyDescent="0.25"/>
  <cols>
    <col min="1" max="1" width="48" bestFit="1" customWidth="1"/>
    <col min="2" max="2" width="56.140625" bestFit="1" customWidth="1"/>
    <col min="3" max="3" width="8.7109375" style="1" customWidth="1"/>
    <col min="4" max="4" width="7.5703125" hidden="1" customWidth="1"/>
    <col min="5" max="5" width="8.7109375" hidden="1" customWidth="1"/>
    <col min="6" max="6" width="17.140625" hidden="1" customWidth="1"/>
    <col min="7" max="7" width="8.7109375" hidden="1" customWidth="1"/>
    <col min="8" max="8" width="13.42578125" hidden="1" customWidth="1"/>
    <col min="9" max="9" width="13.28515625" hidden="1" customWidth="1"/>
    <col min="10" max="10" width="14.28515625" hidden="1" customWidth="1"/>
    <col min="11" max="12" width="16.28515625" hidden="1" customWidth="1"/>
    <col min="13" max="14" width="13.85546875" hidden="1" customWidth="1"/>
    <col min="15" max="15" width="20.140625" hidden="1" customWidth="1"/>
    <col min="16" max="16" width="20" hidden="1" customWidth="1"/>
    <col min="17" max="18" width="14.7109375" hidden="1" customWidth="1"/>
    <col min="19" max="20" width="13.85546875" hidden="1" customWidth="1"/>
    <col min="21" max="22" width="14" hidden="1" customWidth="1"/>
    <col min="23" max="23" width="16.85546875" hidden="1" customWidth="1"/>
    <col min="24" max="24" width="14.140625" hidden="1" customWidth="1"/>
    <col min="25" max="25" width="8.140625" style="16" customWidth="1"/>
    <col min="26" max="26" width="6.42578125" style="16" hidden="1" customWidth="1"/>
    <col min="27" max="27" width="15.5703125" hidden="1" customWidth="1"/>
    <col min="28" max="28" width="11.42578125" hidden="1" customWidth="1"/>
    <col min="29" max="30" width="12.85546875" hidden="1" customWidth="1"/>
    <col min="31" max="32" width="12.7109375" hidden="1" customWidth="1"/>
    <col min="33" max="33" width="11.42578125" hidden="1" customWidth="1"/>
    <col min="34" max="34" width="19.140625" hidden="1" customWidth="1"/>
    <col min="35" max="35" width="13.85546875" hidden="1" customWidth="1"/>
    <col min="36" max="36" width="11.140625" bestFit="1" customWidth="1"/>
    <col min="37" max="37" width="11.7109375" hidden="1" customWidth="1"/>
    <col min="38" max="38" width="12.42578125" hidden="1" customWidth="1"/>
    <col min="39" max="39" width="11.85546875" hidden="1" customWidth="1"/>
    <col min="40" max="40" width="13.85546875" hidden="1" customWidth="1"/>
    <col min="41" max="41" width="11.140625" bestFit="1" customWidth="1"/>
    <col min="42" max="42" width="11.140625" hidden="1" customWidth="1"/>
    <col min="43" max="44" width="11.140625" bestFit="1" customWidth="1"/>
    <col min="45" max="45" width="13.42578125" bestFit="1" customWidth="1"/>
    <col min="46" max="46" width="11.5703125" hidden="1" customWidth="1"/>
    <col min="47" max="47" width="19.5703125" hidden="1" customWidth="1"/>
    <col min="48" max="48" width="11.140625" hidden="1" customWidth="1"/>
    <col min="49" max="49" width="9.7109375" hidden="1" customWidth="1"/>
    <col min="50" max="50" width="14.42578125" style="16" hidden="1" customWidth="1"/>
    <col min="51" max="51" width="15.7109375" style="16" hidden="1" customWidth="1"/>
    <col min="52" max="53" width="15.85546875" style="16" hidden="1" customWidth="1"/>
    <col min="54" max="55" width="16.85546875" style="16" hidden="1" customWidth="1"/>
    <col min="56" max="56" width="13.85546875" style="16" bestFit="1" customWidth="1"/>
    <col min="57" max="57" width="16.42578125" bestFit="1" customWidth="1"/>
    <col min="58" max="58" width="12.140625" hidden="1" customWidth="1"/>
    <col min="59" max="59" width="11.28515625" hidden="1" customWidth="1"/>
    <col min="60" max="60" width="18.85546875" style="16" bestFit="1" customWidth="1"/>
    <col min="61" max="61" width="11.85546875" hidden="1" customWidth="1"/>
    <col min="62" max="62" width="14.42578125" bestFit="1" customWidth="1"/>
    <col min="63" max="63" width="10" hidden="1" customWidth="1"/>
    <col min="64" max="64" width="16" hidden="1" customWidth="1"/>
    <col min="65" max="65" width="7.7109375" hidden="1" customWidth="1"/>
    <col min="66" max="66" width="14.28515625" hidden="1" customWidth="1"/>
    <col min="67" max="67" width="8" bestFit="1" customWidth="1"/>
    <col min="68" max="68" width="10.85546875" hidden="1" customWidth="1"/>
    <col min="69" max="69" width="9.5703125" bestFit="1" customWidth="1"/>
    <col min="70" max="70" width="12" hidden="1" customWidth="1"/>
    <col min="71" max="71" width="14" hidden="1" customWidth="1"/>
    <col min="72" max="72" width="12.7109375" hidden="1" customWidth="1"/>
    <col min="73" max="73" width="14.7109375" hidden="1" customWidth="1"/>
    <col min="74" max="74" width="10.85546875" hidden="1" customWidth="1"/>
    <col min="75" max="75" width="15" hidden="1" customWidth="1"/>
    <col min="76" max="76" width="12" hidden="1" customWidth="1"/>
    <col min="77" max="77" width="15.7109375" hidden="1" customWidth="1"/>
    <col min="78" max="78" width="12.85546875" hidden="1" customWidth="1"/>
    <col min="79" max="79" width="20.5703125" hidden="1" customWidth="1"/>
    <col min="80" max="80" width="12.5703125" hidden="1" customWidth="1"/>
    <col min="81" max="81" width="9.5703125" hidden="1" customWidth="1"/>
    <col min="82" max="82" width="15.85546875" hidden="1" customWidth="1"/>
    <col min="83" max="84" width="11.7109375" hidden="1" customWidth="1"/>
    <col min="85" max="85" width="12.85546875" hidden="1" customWidth="1"/>
    <col min="86" max="86" width="14.42578125" hidden="1" customWidth="1"/>
    <col min="87" max="87" width="12.7109375" style="16" hidden="1" customWidth="1"/>
    <col min="88" max="88" width="12.7109375" style="16" customWidth="1"/>
    <col min="89" max="89" width="13.140625" style="16" bestFit="1" customWidth="1"/>
    <col min="90" max="90" width="11.28515625" style="16" bestFit="1" customWidth="1"/>
    <col min="91" max="91" width="8.5703125" bestFit="1" customWidth="1"/>
    <col min="92" max="92" width="11.42578125" hidden="1" customWidth="1"/>
    <col min="93" max="93" width="11.7109375" customWidth="1"/>
    <col min="94" max="95" width="14.5703125" hidden="1" customWidth="1"/>
    <col min="96" max="96" width="11.7109375" customWidth="1"/>
    <col min="97" max="97" width="13.42578125" hidden="1" customWidth="1"/>
    <col min="98" max="98" width="9.85546875" bestFit="1" customWidth="1"/>
    <col min="99" max="99" width="6.42578125" style="16" hidden="1" customWidth="1"/>
    <col min="100" max="100" width="14.85546875" hidden="1" customWidth="1"/>
    <col min="101" max="101" width="0" hidden="1" customWidth="1"/>
    <col min="102" max="102" width="15.5703125" hidden="1" customWidth="1"/>
    <col min="103" max="103" width="6.85546875" hidden="1" customWidth="1"/>
    <col min="104" max="104" width="15.5703125" hidden="1" customWidth="1"/>
    <col min="105" max="105" width="13.85546875" hidden="1" customWidth="1"/>
    <col min="106" max="106" width="9.85546875" hidden="1" customWidth="1"/>
  </cols>
  <sheetData>
    <row r="1" spans="1:107" ht="45" x14ac:dyDescent="0.25">
      <c r="C1" s="2" t="s">
        <v>142</v>
      </c>
      <c r="D1" s="4" t="s">
        <v>13</v>
      </c>
      <c r="E1" s="4" t="s">
        <v>14</v>
      </c>
      <c r="F1" s="4" t="s">
        <v>17</v>
      </c>
      <c r="G1" s="4" t="s">
        <v>18</v>
      </c>
      <c r="H1" s="4" t="s">
        <v>29</v>
      </c>
      <c r="I1" s="83" t="s">
        <v>156</v>
      </c>
      <c r="J1" s="84" t="s">
        <v>156</v>
      </c>
      <c r="K1" s="85" t="s">
        <v>150</v>
      </c>
      <c r="L1" s="85" t="s">
        <v>150</v>
      </c>
      <c r="M1" s="86"/>
      <c r="N1" s="87"/>
      <c r="O1" s="19"/>
      <c r="P1" s="21" t="s">
        <v>151</v>
      </c>
      <c r="Q1" s="21"/>
      <c r="R1" s="21"/>
      <c r="S1" s="21"/>
      <c r="T1" s="21"/>
      <c r="U1" s="21"/>
      <c r="V1" s="21"/>
      <c r="W1" s="21"/>
      <c r="AV1" s="64"/>
      <c r="BG1" t="s">
        <v>175</v>
      </c>
      <c r="BI1" t="s">
        <v>176</v>
      </c>
      <c r="BJ1" s="205"/>
    </row>
    <row r="2" spans="1:107" ht="30" x14ac:dyDescent="0.25">
      <c r="A2" s="82" t="s">
        <v>0</v>
      </c>
      <c r="B2" s="82" t="s">
        <v>1</v>
      </c>
      <c r="C2" s="6" t="s">
        <v>330</v>
      </c>
      <c r="I2" s="88" t="s">
        <v>180</v>
      </c>
      <c r="J2" s="89" t="s">
        <v>181</v>
      </c>
      <c r="K2" s="89" t="s">
        <v>183</v>
      </c>
      <c r="L2" s="89" t="s">
        <v>182</v>
      </c>
      <c r="M2" s="90" t="s">
        <v>184</v>
      </c>
      <c r="N2" s="91" t="s">
        <v>185</v>
      </c>
      <c r="O2" s="1" t="s">
        <v>167</v>
      </c>
      <c r="P2" s="1" t="s">
        <v>166</v>
      </c>
      <c r="Q2" s="1" t="s">
        <v>186</v>
      </c>
      <c r="R2" s="1" t="s">
        <v>187</v>
      </c>
      <c r="S2" s="1" t="s">
        <v>184</v>
      </c>
      <c r="T2" s="1" t="s">
        <v>185</v>
      </c>
      <c r="U2" s="1" t="s">
        <v>171</v>
      </c>
      <c r="V2" s="1" t="s">
        <v>172</v>
      </c>
      <c r="W2" s="1" t="s">
        <v>170</v>
      </c>
      <c r="X2" s="1" t="s">
        <v>169</v>
      </c>
      <c r="Y2" s="61" t="s">
        <v>329</v>
      </c>
      <c r="Z2" s="61" t="s">
        <v>353</v>
      </c>
      <c r="AA2" s="1" t="s">
        <v>289</v>
      </c>
      <c r="AB2" s="142" t="s">
        <v>155</v>
      </c>
      <c r="AC2" s="142" t="s">
        <v>244</v>
      </c>
      <c r="AD2" s="212" t="s">
        <v>292</v>
      </c>
      <c r="AE2" s="1" t="s">
        <v>216</v>
      </c>
      <c r="AF2" s="1" t="s">
        <v>174</v>
      </c>
      <c r="AG2" s="1" t="s">
        <v>393</v>
      </c>
      <c r="AH2" s="1" t="s">
        <v>291</v>
      </c>
      <c r="AI2" s="1" t="s">
        <v>178</v>
      </c>
      <c r="AJ2" s="1" t="s">
        <v>431</v>
      </c>
      <c r="AK2" s="1" t="s">
        <v>429</v>
      </c>
      <c r="AL2" s="1" t="s">
        <v>430</v>
      </c>
      <c r="AM2" s="1" t="s">
        <v>418</v>
      </c>
      <c r="AN2" s="1" t="s">
        <v>424</v>
      </c>
      <c r="AO2" s="1" t="s">
        <v>393</v>
      </c>
      <c r="AP2" s="1" t="s">
        <v>391</v>
      </c>
      <c r="AQ2" s="1" t="s">
        <v>470</v>
      </c>
      <c r="AR2" s="1" t="s">
        <v>469</v>
      </c>
      <c r="AS2" s="1" t="s">
        <v>466</v>
      </c>
      <c r="AT2" s="1" t="s">
        <v>390</v>
      </c>
      <c r="AU2" s="1" t="s">
        <v>290</v>
      </c>
      <c r="AV2" s="1" t="s">
        <v>160</v>
      </c>
      <c r="AW2" s="1" t="s">
        <v>168</v>
      </c>
      <c r="AX2" s="61" t="s">
        <v>426</v>
      </c>
      <c r="AY2" s="61" t="s">
        <v>427</v>
      </c>
      <c r="AZ2" s="61" t="s">
        <v>417</v>
      </c>
      <c r="BA2" s="61" t="s">
        <v>423</v>
      </c>
      <c r="BB2" s="61" t="s">
        <v>416</v>
      </c>
      <c r="BC2" s="61" t="s">
        <v>422</v>
      </c>
      <c r="BD2" s="61" t="s">
        <v>465</v>
      </c>
      <c r="BE2" s="1" t="s">
        <v>388</v>
      </c>
      <c r="BF2" s="16"/>
      <c r="BG2" s="50">
        <v>5.694</v>
      </c>
      <c r="BI2" s="25" t="e">
        <f>SUM(W3,W4,W11,W18,W23)</f>
        <v>#REF!</v>
      </c>
      <c r="BJ2" s="26"/>
      <c r="BK2" s="1" t="s">
        <v>225</v>
      </c>
      <c r="BL2" s="1" t="s">
        <v>245</v>
      </c>
      <c r="BM2" s="1" t="s">
        <v>238</v>
      </c>
      <c r="BN2" s="1" t="s">
        <v>226</v>
      </c>
      <c r="BO2" s="1" t="s">
        <v>354</v>
      </c>
      <c r="BP2" s="1" t="s">
        <v>409</v>
      </c>
      <c r="BQ2" s="1" t="s">
        <v>455</v>
      </c>
      <c r="BR2" s="1" t="s">
        <v>401</v>
      </c>
      <c r="BS2" s="1" t="s">
        <v>413</v>
      </c>
      <c r="BT2" s="1" t="s">
        <v>402</v>
      </c>
      <c r="BU2" s="1" t="s">
        <v>415</v>
      </c>
      <c r="BV2" s="1" t="s">
        <v>403</v>
      </c>
      <c r="BW2" s="1" t="s">
        <v>239</v>
      </c>
      <c r="BX2" s="1" t="s">
        <v>227</v>
      </c>
      <c r="BY2" s="1" t="s">
        <v>240</v>
      </c>
      <c r="BZ2" s="1" t="s">
        <v>228</v>
      </c>
      <c r="CA2" s="1" t="s">
        <v>269</v>
      </c>
      <c r="CB2" s="1" t="s">
        <v>285</v>
      </c>
      <c r="CC2" s="1" t="s">
        <v>229</v>
      </c>
      <c r="CD2" s="1" t="s">
        <v>279</v>
      </c>
      <c r="CE2" s="1" t="s">
        <v>230</v>
      </c>
      <c r="CF2" s="1" t="s">
        <v>404</v>
      </c>
      <c r="CG2" s="1" t="s">
        <v>405</v>
      </c>
      <c r="CH2" s="1" t="s">
        <v>406</v>
      </c>
      <c r="CI2" s="61" t="s">
        <v>414</v>
      </c>
      <c r="CJ2" s="61" t="s">
        <v>456</v>
      </c>
      <c r="CK2" s="61" t="s">
        <v>462</v>
      </c>
      <c r="CL2" s="61" t="s">
        <v>463</v>
      </c>
      <c r="CM2" s="1" t="s">
        <v>350</v>
      </c>
      <c r="CN2" s="1" t="s">
        <v>410</v>
      </c>
      <c r="CO2" s="1" t="s">
        <v>351</v>
      </c>
      <c r="CP2" s="1" t="s">
        <v>419</v>
      </c>
      <c r="CQ2" s="1" t="s">
        <v>420</v>
      </c>
      <c r="CR2" s="1" t="s">
        <v>352</v>
      </c>
      <c r="CS2" s="1" t="s">
        <v>421</v>
      </c>
      <c r="CT2" s="1" t="s">
        <v>346</v>
      </c>
      <c r="CU2" s="61" t="s">
        <v>353</v>
      </c>
      <c r="CV2" s="1" t="s">
        <v>286</v>
      </c>
      <c r="CW2" s="1" t="s">
        <v>231</v>
      </c>
      <c r="CX2" s="1" t="s">
        <v>287</v>
      </c>
      <c r="CY2" s="1" t="s">
        <v>232</v>
      </c>
      <c r="CZ2" s="1" t="s">
        <v>268</v>
      </c>
      <c r="DA2" s="1" t="s">
        <v>288</v>
      </c>
      <c r="DB2" s="1" t="s">
        <v>425</v>
      </c>
      <c r="DC2" s="1" t="s">
        <v>461</v>
      </c>
    </row>
    <row r="3" spans="1:107" x14ac:dyDescent="0.25">
      <c r="A3" s="9" t="s">
        <v>3</v>
      </c>
      <c r="B3" s="9" t="s">
        <v>34</v>
      </c>
      <c r="C3" s="1">
        <f t="shared" ref="C3:C26" si="0">SUM(D3:H3)</f>
        <v>288</v>
      </c>
      <c r="D3" s="8">
        <v>0</v>
      </c>
      <c r="E3" s="8">
        <v>110</v>
      </c>
      <c r="F3" s="8">
        <v>83</v>
      </c>
      <c r="G3" s="8">
        <v>95</v>
      </c>
      <c r="H3" s="8">
        <v>0</v>
      </c>
      <c r="I3" s="92">
        <v>2936.5</v>
      </c>
      <c r="J3" s="15">
        <v>2737.5</v>
      </c>
      <c r="K3" s="93">
        <f t="shared" ref="K3:K13" si="1">I3/C3</f>
        <v>10.196180555555555</v>
      </c>
      <c r="L3" s="94">
        <v>9.5052083333333339</v>
      </c>
      <c r="M3" s="94" t="e">
        <f>L3/L29</f>
        <v>#DIV/0!</v>
      </c>
      <c r="N3" s="95" t="e">
        <f>K3/K29</f>
        <v>#DIV/0!</v>
      </c>
      <c r="O3" s="34">
        <v>961782</v>
      </c>
      <c r="P3" s="34">
        <v>1449596</v>
      </c>
      <c r="Q3" s="34">
        <f t="shared" ref="Q3:Q27" si="2">O3/C3</f>
        <v>3339.5208333333335</v>
      </c>
      <c r="R3" s="75">
        <f t="shared" ref="R3:R27" si="3">P3/C3</f>
        <v>5033.3194444444443</v>
      </c>
      <c r="S3" s="23" t="e">
        <f>R3/R29</f>
        <v>#DIV/0!</v>
      </c>
      <c r="T3" s="23" t="e">
        <f>Q3/Q29</f>
        <v>#DIV/0!</v>
      </c>
      <c r="U3" s="23" t="e">
        <f t="shared" ref="U3:U26" si="4">((0.6*M3)+(0.4*S3))</f>
        <v>#DIV/0!</v>
      </c>
      <c r="V3" s="23" t="e">
        <f t="shared" ref="V3:V26" si="5">((0.6*N3)+(0.4*T3))</f>
        <v>#DIV/0!</v>
      </c>
      <c r="W3" s="25" t="e">
        <f>(0.6*CA3)+(0.4*CZ3)</f>
        <v>#REF!</v>
      </c>
      <c r="X3" s="27">
        <v>0.251</v>
      </c>
      <c r="Y3" s="217">
        <v>296</v>
      </c>
      <c r="Z3" s="26">
        <v>-0.49264124238985885</v>
      </c>
      <c r="AA3" s="25" t="e">
        <f>(0.6*CB3)+(0.4*DA3)</f>
        <v>#REF!</v>
      </c>
      <c r="AB3" s="65" t="e">
        <f>AE3*BF$5</f>
        <v>#REF!</v>
      </c>
      <c r="AC3" s="65" t="e">
        <f>(AH3*BH$5)</f>
        <v>#REF!</v>
      </c>
      <c r="AD3" s="144" t="e">
        <f>AC3-AB3</f>
        <v>#REF!</v>
      </c>
      <c r="AE3" s="65" t="e">
        <f>C3*AI3</f>
        <v>#REF!</v>
      </c>
      <c r="AF3" s="72">
        <f>X3/BG2</f>
        <v>4.4081489286968742E-2</v>
      </c>
      <c r="AG3" s="68"/>
      <c r="AH3" s="208" t="e">
        <f>C3*AU3</f>
        <v>#REF!</v>
      </c>
      <c r="AI3" s="72" t="e">
        <f>W3/BI$2</f>
        <v>#REF!</v>
      </c>
      <c r="AJ3" s="292">
        <v>2038303.801940578</v>
      </c>
      <c r="AK3" s="144" t="e">
        <f>AY3*BH$18</f>
        <v>#DIV/0!</v>
      </c>
      <c r="AL3" s="276" t="e">
        <f>SUM(AM3:AN3)</f>
        <v>#DIV/0!</v>
      </c>
      <c r="AM3" s="65" t="e">
        <f>AZ3*BH$15</f>
        <v>#DIV/0!</v>
      </c>
      <c r="AN3" s="68"/>
      <c r="AO3" s="291">
        <f>AS3*BH$22</f>
        <v>2234433.4427083246</v>
      </c>
      <c r="AP3" s="72"/>
      <c r="AQ3" s="304">
        <f>AVERAGE(AJ3,AO3)</f>
        <v>2136368.6223244513</v>
      </c>
      <c r="AR3" s="65">
        <f>AQ3-(BD3*AQ$28)</f>
        <v>2109608.2211286495</v>
      </c>
      <c r="AS3" s="72">
        <f>Y3*BD3</f>
        <v>59.83836984979942</v>
      </c>
      <c r="AT3" s="72"/>
      <c r="AU3" s="72" t="e">
        <f>AA3/BJ$2</f>
        <v>#REF!</v>
      </c>
      <c r="AV3" s="138">
        <v>5749355.4246362345</v>
      </c>
      <c r="AW3" s="50">
        <v>868</v>
      </c>
      <c r="AX3" s="26" t="e">
        <f>DB3/BH$17</f>
        <v>#DIV/0!</v>
      </c>
      <c r="AY3" s="26" t="e">
        <f>Y3*AX3</f>
        <v>#DIV/0!</v>
      </c>
      <c r="AZ3" s="26" t="e">
        <f>Y3*BB3</f>
        <v>#DIV/0!</v>
      </c>
      <c r="BA3" s="26"/>
      <c r="BB3" s="26" t="e">
        <f>CI3/BH$13</f>
        <v>#DIV/0!</v>
      </c>
      <c r="BC3" s="26"/>
      <c r="BD3" s="26">
        <f>DC3/BJ$8</f>
        <v>0.20215665489797102</v>
      </c>
      <c r="BE3" s="67">
        <v>5859135.9433210781</v>
      </c>
      <c r="BF3" s="57"/>
      <c r="BK3">
        <v>5873</v>
      </c>
      <c r="BL3">
        <v>5901</v>
      </c>
      <c r="BM3">
        <f>BK3-BL3</f>
        <v>-28</v>
      </c>
      <c r="BN3">
        <v>1762</v>
      </c>
      <c r="BO3" s="34">
        <v>6907</v>
      </c>
      <c r="BP3" s="34">
        <v>9888</v>
      </c>
      <c r="BQ3" s="34">
        <v>5307</v>
      </c>
      <c r="BR3" s="34">
        <f>Y3*BP$29</f>
        <v>10882.207357859532</v>
      </c>
      <c r="BS3" s="34">
        <f>Y3*BP$30</f>
        <v>7270.9440000000004</v>
      </c>
      <c r="BT3" s="34">
        <f>BO3-BR3</f>
        <v>-3975.2073578595318</v>
      </c>
      <c r="BU3" s="34">
        <f>BP3-BS3</f>
        <v>2617.0559999999996</v>
      </c>
      <c r="BV3" s="26">
        <f t="shared" ref="BV3:BV26" si="6">(BT3-BT$27)/BT$28</f>
        <v>-4.1143244394524778</v>
      </c>
      <c r="BW3" s="117">
        <v>1651.14564</v>
      </c>
      <c r="BX3">
        <f>BK3-BN3</f>
        <v>4111</v>
      </c>
      <c r="BY3" s="117">
        <f>BL3-BW3</f>
        <v>4249.8543600000003</v>
      </c>
      <c r="BZ3" s="23">
        <v>1.99207</v>
      </c>
      <c r="CA3" s="23" t="e">
        <f t="shared" ref="CA3:CB6" si="7">(BX3-BX$28)/BX$29</f>
        <v>#REF!</v>
      </c>
      <c r="CB3" s="23" t="e">
        <f t="shared" si="7"/>
        <v>#REF!</v>
      </c>
      <c r="CC3" s="34">
        <v>961782</v>
      </c>
      <c r="CD3" s="75">
        <v>961781.45</v>
      </c>
      <c r="CE3" s="117">
        <v>1138904.93</v>
      </c>
      <c r="CF3" s="34">
        <f t="shared" ref="CF3:CF21" si="8">Y3*BO$30</f>
        <v>5043.5203200000005</v>
      </c>
      <c r="CG3" s="34">
        <f>BO3-CF3</f>
        <v>1863.4796799999995</v>
      </c>
      <c r="CH3" s="25">
        <f t="shared" ref="CH3:CH21" si="9">(CG3-CG$27)/CG$28</f>
        <v>1.52260867376798</v>
      </c>
      <c r="CI3" s="25">
        <f>(BU3-BU$27)/BU$28</f>
        <v>1.2660017727168411</v>
      </c>
      <c r="CJ3" s="75">
        <f>Y3*BQ$30</f>
        <v>3177.2136799999998</v>
      </c>
      <c r="CK3" s="75">
        <f>BQ3-CJ3</f>
        <v>2129.7863200000002</v>
      </c>
      <c r="CL3" s="25">
        <f>(CK3-CK$27)/CK$28</f>
        <v>2.4311897671605123</v>
      </c>
      <c r="CM3" s="34">
        <v>1327285</v>
      </c>
      <c r="CN3" s="34">
        <v>1598080</v>
      </c>
      <c r="CO3" s="34">
        <f t="shared" ref="CO3:CO26" si="10">Y3*CM$29</f>
        <v>1491163.3578595319</v>
      </c>
      <c r="CP3" s="34">
        <f>Y3*CN$30</f>
        <v>1620008</v>
      </c>
      <c r="CQ3" s="34">
        <f>CN3-CP3</f>
        <v>-21928</v>
      </c>
      <c r="CR3" s="34">
        <f>CM3-CO3</f>
        <v>-163878.35785953188</v>
      </c>
      <c r="CS3" s="36">
        <f>(CQ3-CQ$27)/CQ$28</f>
        <v>-9.0189169062671257E-2</v>
      </c>
      <c r="CT3" s="36">
        <f>(CR3-CR$27)/CR$28</f>
        <v>-0.39063407970958897</v>
      </c>
      <c r="CU3" s="240">
        <f t="shared" ref="CU3:CU26" si="11">(0.6*BV3)+(0.4*CT3)</f>
        <v>-2.6248482955553221</v>
      </c>
      <c r="CV3" s="34">
        <v>978364.31</v>
      </c>
      <c r="CW3" s="117">
        <f>CC3-CE3</f>
        <v>-177122.92999999993</v>
      </c>
      <c r="CX3" s="117">
        <f>CD3-CV3</f>
        <v>-16582.860000000102</v>
      </c>
      <c r="CY3" s="23">
        <v>-0.37397999999999998</v>
      </c>
      <c r="CZ3" s="23" t="e">
        <f t="shared" ref="CZ3:DA6" si="12">(CW3-CW$28)/CW$29</f>
        <v>#REF!</v>
      </c>
      <c r="DA3" s="23" t="e">
        <f t="shared" si="12"/>
        <v>#REF!</v>
      </c>
      <c r="DB3" s="25">
        <f>(0.6*CI3)+(0.4*CS3)</f>
        <v>0.72352539600503607</v>
      </c>
      <c r="DC3" s="25">
        <f>(0.6*CL3)+(0.4*CT3)</f>
        <v>1.3024602284124716</v>
      </c>
    </row>
    <row r="4" spans="1:107" x14ac:dyDescent="0.25">
      <c r="A4" s="9" t="s">
        <v>3</v>
      </c>
      <c r="B4" s="9" t="s">
        <v>35</v>
      </c>
      <c r="C4" s="1">
        <f t="shared" si="0"/>
        <v>178</v>
      </c>
      <c r="D4" s="8">
        <v>113</v>
      </c>
      <c r="E4" s="8">
        <v>0</v>
      </c>
      <c r="F4" s="8">
        <v>0</v>
      </c>
      <c r="G4" s="8">
        <v>0</v>
      </c>
      <c r="H4" s="8">
        <v>65</v>
      </c>
      <c r="I4" s="92">
        <v>3395</v>
      </c>
      <c r="J4" s="15">
        <v>3794.5</v>
      </c>
      <c r="K4" s="93">
        <f t="shared" si="1"/>
        <v>19.073033707865168</v>
      </c>
      <c r="L4" s="96">
        <v>21.317415730337078</v>
      </c>
      <c r="M4" s="96" t="e">
        <f>L4/L29</f>
        <v>#DIV/0!</v>
      </c>
      <c r="N4" s="95" t="e">
        <f>K4/K29</f>
        <v>#DIV/0!</v>
      </c>
      <c r="O4" s="75">
        <v>1326752</v>
      </c>
      <c r="P4" s="34">
        <v>1501496</v>
      </c>
      <c r="Q4" s="34">
        <f t="shared" si="2"/>
        <v>7453.6629213483147</v>
      </c>
      <c r="R4" s="75">
        <f t="shared" si="3"/>
        <v>8435.3707865168544</v>
      </c>
      <c r="S4" s="23" t="e">
        <f>R4/R29</f>
        <v>#DIV/0!</v>
      </c>
      <c r="T4" s="23" t="e">
        <f>Q4/Q29</f>
        <v>#DIV/0!</v>
      </c>
      <c r="U4" s="23" t="e">
        <f t="shared" si="4"/>
        <v>#DIV/0!</v>
      </c>
      <c r="V4" s="23" t="e">
        <f t="shared" si="5"/>
        <v>#DIV/0!</v>
      </c>
      <c r="W4" s="25" t="e">
        <f>(0.6*CA4)+(0.4*CZ4)</f>
        <v>#REF!</v>
      </c>
      <c r="X4" s="27">
        <v>3.2770000000000001</v>
      </c>
      <c r="Y4" s="217">
        <v>174</v>
      </c>
      <c r="Z4" s="25">
        <v>2.5581645863696867</v>
      </c>
      <c r="AA4" s="25" t="e">
        <f>(0.6*CB4)+(0.4*DA4)</f>
        <v>#REF!</v>
      </c>
      <c r="AB4" s="65" t="e">
        <f>AE4*BF$5</f>
        <v>#REF!</v>
      </c>
      <c r="AC4" s="65" t="e">
        <f>(AH4*BH$5)</f>
        <v>#REF!</v>
      </c>
      <c r="AD4" s="144" t="e">
        <f>AC4-AB4</f>
        <v>#REF!</v>
      </c>
      <c r="AE4" s="65" t="e">
        <f>C4*AI4</f>
        <v>#REF!</v>
      </c>
      <c r="AF4" s="72">
        <f>X4/BG2</f>
        <v>0.57551808921671943</v>
      </c>
      <c r="AG4" s="65">
        <f>AP4*BH$8</f>
        <v>0</v>
      </c>
      <c r="AH4" s="208" t="e">
        <f>C4*AU4</f>
        <v>#REF!</v>
      </c>
      <c r="AI4" s="72" t="e">
        <f>W4/BI$2</f>
        <v>#REF!</v>
      </c>
      <c r="AJ4" s="292">
        <v>2480191.370343117</v>
      </c>
      <c r="AK4" s="144" t="e">
        <f>AY4*BH$18</f>
        <v>#DIV/0!</v>
      </c>
      <c r="AL4" s="276" t="e">
        <f>SUM(AM4:AN4)</f>
        <v>#DIV/0!</v>
      </c>
      <c r="AM4" s="65" t="e">
        <f>AZ4*BH$15</f>
        <v>#DIV/0!</v>
      </c>
      <c r="AN4" s="65" t="e">
        <f>BA4*BH$16</f>
        <v>#DIV/0!</v>
      </c>
      <c r="AO4" s="291">
        <f>AS4*BH$22</f>
        <v>2211209.7725760196</v>
      </c>
      <c r="AP4" s="72">
        <f>Y4*AT4</f>
        <v>70.241285713392728</v>
      </c>
      <c r="AQ4" s="304">
        <f>AVERAGE(AJ4,AO4)</f>
        <v>2345700.5714595681</v>
      </c>
      <c r="AR4" s="65">
        <f>AQ4-(BD4*AQ$28)</f>
        <v>2300650.2799851904</v>
      </c>
      <c r="AS4" s="72">
        <f>Y4*BD4</f>
        <v>59.21643744577927</v>
      </c>
      <c r="AT4" s="72">
        <f>Z4/BJ$5</f>
        <v>0.40368555007696971</v>
      </c>
      <c r="AU4" s="72" t="e">
        <f>AA4/BJ$2</f>
        <v>#REF!</v>
      </c>
      <c r="AW4" s="26"/>
      <c r="AX4" s="26" t="e">
        <f>DB4/BH$17</f>
        <v>#DIV/0!</v>
      </c>
      <c r="AY4" s="26" t="e">
        <f>Y4*AX4</f>
        <v>#DIV/0!</v>
      </c>
      <c r="AZ4" s="26" t="e">
        <f>Y4*BB4</f>
        <v>#DIV/0!</v>
      </c>
      <c r="BA4" s="26" t="e">
        <f>Y4*BC4</f>
        <v>#DIV/0!</v>
      </c>
      <c r="BB4" s="26" t="e">
        <f>CI4/BH$13</f>
        <v>#DIV/0!</v>
      </c>
      <c r="BC4" s="26" t="e">
        <f>CS4/BH$14</f>
        <v>#DIV/0!</v>
      </c>
      <c r="BD4" s="26">
        <f>DC4/BJ$8</f>
        <v>0.34032435313666248</v>
      </c>
      <c r="BE4" s="26"/>
      <c r="BF4" s="39" t="s">
        <v>179</v>
      </c>
      <c r="BH4" s="81"/>
      <c r="BJ4" s="230" t="s">
        <v>328</v>
      </c>
      <c r="BK4">
        <v>6790</v>
      </c>
      <c r="BL4">
        <v>6806</v>
      </c>
      <c r="BM4">
        <f t="shared" ref="BM4:BM27" si="13">BK4-BL4</f>
        <v>-16</v>
      </c>
      <c r="BN4">
        <v>1089</v>
      </c>
      <c r="BO4" s="34">
        <v>6455</v>
      </c>
      <c r="BP4" s="34">
        <v>10057</v>
      </c>
      <c r="BQ4" s="34">
        <v>4254</v>
      </c>
      <c r="BR4" s="34">
        <f t="shared" ref="BR4:BR26" si="14">Y4*BP$29</f>
        <v>6396.9732441471579</v>
      </c>
      <c r="BS4" s="34">
        <f t="shared" ref="BS4:BS26" si="15">Y4*BP$30</f>
        <v>4274.1360000000004</v>
      </c>
      <c r="BT4" s="34">
        <f t="shared" ref="BT4:BT14" si="16">BO4-BR4</f>
        <v>58.026755852842143</v>
      </c>
      <c r="BU4" s="34">
        <f t="shared" ref="BU4:BU26" si="17">BP4-BS4</f>
        <v>5782.8639999999996</v>
      </c>
      <c r="BV4" s="25">
        <f t="shared" si="6"/>
        <v>0.81429289615319922</v>
      </c>
      <c r="BW4" s="117">
        <v>1020.49973</v>
      </c>
      <c r="BX4">
        <f t="shared" ref="BX4:BX26" si="18">BK4-BN4</f>
        <v>5701</v>
      </c>
      <c r="BY4" s="117">
        <f t="shared" ref="BY4:BY26" si="19">BL4-BW4</f>
        <v>5785.5002700000005</v>
      </c>
      <c r="BZ4" s="23">
        <v>2.9653700000000001</v>
      </c>
      <c r="CA4" s="23" t="e">
        <f t="shared" si="7"/>
        <v>#REF!</v>
      </c>
      <c r="CB4" s="23" t="e">
        <f t="shared" si="7"/>
        <v>#REF!</v>
      </c>
      <c r="CC4" s="34">
        <v>1326752</v>
      </c>
      <c r="CD4" s="75">
        <v>1326752.1200000001</v>
      </c>
      <c r="CE4" s="117">
        <v>730155.01</v>
      </c>
      <c r="CF4" s="34">
        <f t="shared" si="8"/>
        <v>2964.7720800000002</v>
      </c>
      <c r="CG4" s="34">
        <f t="shared" ref="CG4:CG14" si="20">BO4-CF4</f>
        <v>3490.2279199999998</v>
      </c>
      <c r="CH4" s="25">
        <f t="shared" si="9"/>
        <v>3.1862581376254648</v>
      </c>
      <c r="CI4" s="25">
        <f t="shared" ref="CI4:CI26" si="21">(BU4-BU$27)/BU$28</f>
        <v>3.2609055097272175</v>
      </c>
      <c r="CJ4" s="75">
        <f t="shared" ref="CJ4:CJ26" si="22">Y4*BQ$30</f>
        <v>1867.6864199999998</v>
      </c>
      <c r="CK4" s="75">
        <f t="shared" ref="CK4:CK26" si="23">BQ4-CJ4</f>
        <v>2386.31358</v>
      </c>
      <c r="CL4" s="25">
        <f t="shared" ref="CL4:CL26" si="24">(CK4-CK$27)/CK$28</f>
        <v>2.7719326676623184</v>
      </c>
      <c r="CM4" s="34">
        <v>1431891</v>
      </c>
      <c r="CN4" s="34">
        <v>1882041</v>
      </c>
      <c r="CO4" s="34">
        <f t="shared" si="10"/>
        <v>876562.24414715718</v>
      </c>
      <c r="CP4" s="34">
        <f t="shared" ref="CP4:CP26" si="25">Y4*CN$30</f>
        <v>952302</v>
      </c>
      <c r="CQ4" s="34">
        <f t="shared" ref="CQ4:CQ26" si="26">CN4-CP4</f>
        <v>929739</v>
      </c>
      <c r="CR4" s="34">
        <f t="shared" ref="CR4:CR14" si="27">CM4-CO4</f>
        <v>555328.75585284282</v>
      </c>
      <c r="CS4" s="225">
        <f t="shared" ref="CS4:CS26" si="28">(CQ4-CQ$27)/CQ$28</f>
        <v>2.0937932978765765</v>
      </c>
      <c r="CT4" s="225">
        <f t="shared" ref="CT4:CT21" si="29">(CR4-CR$27)/CR$28</f>
        <v>1.3237277961058642</v>
      </c>
      <c r="CU4" s="225">
        <f t="shared" si="11"/>
        <v>1.0180668561342654</v>
      </c>
      <c r="CV4" s="34">
        <v>669840.06000000006</v>
      </c>
      <c r="CW4" s="117">
        <f>CC4-CE4</f>
        <v>596596.99</v>
      </c>
      <c r="CX4" s="117">
        <f>CD4-CV4</f>
        <v>656912.06000000006</v>
      </c>
      <c r="CY4" s="23">
        <v>1.3890100000000001</v>
      </c>
      <c r="CZ4" s="23" t="e">
        <f t="shared" si="12"/>
        <v>#REF!</v>
      </c>
      <c r="DA4" s="23" t="e">
        <f t="shared" si="12"/>
        <v>#REF!</v>
      </c>
      <c r="DB4" s="25">
        <f t="shared" ref="DB4:DB26" si="30">(0.6*CI4)+(0.4*CS4)</f>
        <v>2.7940606249869608</v>
      </c>
      <c r="DC4" s="25">
        <f t="shared" ref="DC4:DC26" si="31">(0.6*CL4)+(0.4*CT4)</f>
        <v>2.1926507190397366</v>
      </c>
    </row>
    <row r="5" spans="1:107" x14ac:dyDescent="0.25">
      <c r="A5" s="9" t="s">
        <v>3</v>
      </c>
      <c r="B5" s="9" t="s">
        <v>36</v>
      </c>
      <c r="C5" s="1">
        <f t="shared" si="0"/>
        <v>35</v>
      </c>
      <c r="D5" s="8">
        <v>0</v>
      </c>
      <c r="E5" s="8">
        <v>0</v>
      </c>
      <c r="F5" s="8">
        <v>0</v>
      </c>
      <c r="G5" s="8">
        <v>35</v>
      </c>
      <c r="H5" s="8">
        <v>0</v>
      </c>
      <c r="I5" s="92">
        <v>73</v>
      </c>
      <c r="J5" s="15">
        <v>62</v>
      </c>
      <c r="K5" s="93">
        <f t="shared" si="1"/>
        <v>2.0857142857142859</v>
      </c>
      <c r="L5" s="96">
        <v>1.7714285714285714</v>
      </c>
      <c r="M5" s="96" t="e">
        <f>L5/L29</f>
        <v>#DIV/0!</v>
      </c>
      <c r="N5" s="97" t="e">
        <f>K5/K29</f>
        <v>#DIV/0!</v>
      </c>
      <c r="O5" s="75">
        <v>0</v>
      </c>
      <c r="P5" s="34">
        <v>0</v>
      </c>
      <c r="Q5" s="34">
        <f t="shared" si="2"/>
        <v>0</v>
      </c>
      <c r="R5" s="75">
        <f t="shared" si="3"/>
        <v>0</v>
      </c>
      <c r="S5" s="23" t="e">
        <f>R5/R29</f>
        <v>#DIV/0!</v>
      </c>
      <c r="T5" s="23" t="e">
        <f>Q5/Q29</f>
        <v>#DIV/0!</v>
      </c>
      <c r="U5" s="23" t="e">
        <f t="shared" si="4"/>
        <v>#DIV/0!</v>
      </c>
      <c r="V5" s="23" t="e">
        <f t="shared" si="5"/>
        <v>#DIV/0!</v>
      </c>
      <c r="W5" s="26" t="e">
        <f>(0.6*CA5)+(0.4*CZ5)</f>
        <v>#REF!</v>
      </c>
      <c r="X5" s="23">
        <v>-1.0089999999999999</v>
      </c>
      <c r="Y5" s="217">
        <v>33</v>
      </c>
      <c r="Z5" s="26">
        <v>-0.79104574889309986</v>
      </c>
      <c r="AA5" s="26" t="e">
        <f>(0.6*CB5)+(0.4*DA5)</f>
        <v>#REF!</v>
      </c>
      <c r="AB5" s="60"/>
      <c r="AC5" s="60"/>
      <c r="AD5" s="60"/>
      <c r="AE5" s="60"/>
      <c r="AF5" s="36"/>
      <c r="AG5" s="37"/>
      <c r="AH5" s="59"/>
      <c r="AI5" s="36"/>
      <c r="AJ5" s="37"/>
      <c r="AK5" s="60"/>
      <c r="AL5" s="262"/>
      <c r="AM5" s="60"/>
      <c r="AN5" s="60"/>
      <c r="AO5" s="60"/>
      <c r="AP5" s="36"/>
      <c r="AQ5" s="305"/>
      <c r="AR5" s="37"/>
      <c r="AS5" s="36"/>
      <c r="AT5" s="36"/>
      <c r="AU5" s="36"/>
      <c r="AX5" s="26"/>
      <c r="AY5" s="26"/>
      <c r="AZ5" s="26"/>
      <c r="BA5" s="26"/>
      <c r="BB5" s="26"/>
      <c r="BC5" s="26"/>
      <c r="BD5" s="26"/>
      <c r="BE5" s="16"/>
      <c r="BF5" s="134" t="e">
        <f>AV3/AE27</f>
        <v>#REF!</v>
      </c>
      <c r="BG5" s="16"/>
      <c r="BH5" s="134"/>
      <c r="BJ5" s="25">
        <f>Z4+Z11+Z18+Z19+Z23</f>
        <v>6.3370229275779817</v>
      </c>
      <c r="BK5">
        <v>150</v>
      </c>
      <c r="BL5">
        <v>146</v>
      </c>
      <c r="BM5">
        <f t="shared" si="13"/>
        <v>4</v>
      </c>
      <c r="BN5">
        <v>214</v>
      </c>
      <c r="BO5" s="34">
        <v>130</v>
      </c>
      <c r="BP5" s="34">
        <v>189</v>
      </c>
      <c r="BQ5" s="34">
        <v>46</v>
      </c>
      <c r="BR5" s="34">
        <f t="shared" si="14"/>
        <v>1213.2190635451504</v>
      </c>
      <c r="BS5" s="34">
        <f t="shared" si="15"/>
        <v>810.61199999999997</v>
      </c>
      <c r="BT5" s="34">
        <f t="shared" si="16"/>
        <v>-1083.2190635451504</v>
      </c>
      <c r="BU5" s="34">
        <f t="shared" si="17"/>
        <v>-621.61199999999997</v>
      </c>
      <c r="BV5" s="23">
        <f t="shared" si="6"/>
        <v>-0.58031098031137829</v>
      </c>
      <c r="BW5" s="117">
        <v>200.66005999999999</v>
      </c>
      <c r="BX5">
        <f t="shared" si="18"/>
        <v>-64</v>
      </c>
      <c r="BY5" s="117">
        <f t="shared" si="19"/>
        <v>-54.660059999999987</v>
      </c>
      <c r="BZ5" s="23">
        <v>-0.56413000000000002</v>
      </c>
      <c r="CA5" s="23" t="e">
        <f t="shared" si="7"/>
        <v>#REF!</v>
      </c>
      <c r="CB5" s="23" t="e">
        <f t="shared" si="7"/>
        <v>#REF!</v>
      </c>
      <c r="CC5" s="34">
        <v>0</v>
      </c>
      <c r="CD5" s="75">
        <v>0</v>
      </c>
      <c r="CE5" s="117">
        <v>162482.76</v>
      </c>
      <c r="CF5" s="34">
        <f t="shared" si="8"/>
        <v>562.28435999999999</v>
      </c>
      <c r="CG5" s="34">
        <f t="shared" si="20"/>
        <v>-432.28435999999999</v>
      </c>
      <c r="CH5" s="26">
        <f t="shared" si="9"/>
        <v>-0.82523257196116317</v>
      </c>
      <c r="CI5" s="26">
        <f t="shared" si="21"/>
        <v>-0.7748139988447702</v>
      </c>
      <c r="CJ5" s="75">
        <f t="shared" si="22"/>
        <v>354.21638999999999</v>
      </c>
      <c r="CK5" s="75">
        <f t="shared" si="23"/>
        <v>-308.21638999999999</v>
      </c>
      <c r="CL5" s="26">
        <f t="shared" si="24"/>
        <v>-0.80718776369786693</v>
      </c>
      <c r="CM5" s="34">
        <v>0</v>
      </c>
      <c r="CN5" s="34">
        <v>0</v>
      </c>
      <c r="CO5" s="34">
        <f t="shared" si="10"/>
        <v>166244.56354515051</v>
      </c>
      <c r="CP5" s="34">
        <f t="shared" si="25"/>
        <v>180609</v>
      </c>
      <c r="CQ5" s="34">
        <f t="shared" si="26"/>
        <v>-180609</v>
      </c>
      <c r="CR5" s="34">
        <f t="shared" si="27"/>
        <v>-166244.56354515051</v>
      </c>
      <c r="CS5" s="36">
        <f t="shared" si="28"/>
        <v>-0.4543465075396666</v>
      </c>
      <c r="CT5" s="36">
        <f t="shared" si="29"/>
        <v>-0.39627436432360441</v>
      </c>
      <c r="CU5" s="240">
        <f t="shared" si="11"/>
        <v>-0.50669633391626867</v>
      </c>
      <c r="CV5" s="34">
        <v>186140.91</v>
      </c>
      <c r="CW5" s="117">
        <f>CC5-CE5</f>
        <v>-162482.76</v>
      </c>
      <c r="CX5" s="117">
        <f>CD5-CV5</f>
        <v>-186140.91</v>
      </c>
      <c r="CY5" s="23">
        <v>-0.34061999999999998</v>
      </c>
      <c r="CZ5" s="23" t="e">
        <f t="shared" si="12"/>
        <v>#REF!</v>
      </c>
      <c r="DA5" s="23" t="e">
        <f t="shared" si="12"/>
        <v>#REF!</v>
      </c>
      <c r="DB5" s="23">
        <f t="shared" si="30"/>
        <v>-0.64662700232272874</v>
      </c>
      <c r="DC5" s="23">
        <f t="shared" si="31"/>
        <v>-0.64282240394816192</v>
      </c>
    </row>
    <row r="6" spans="1:107" x14ac:dyDescent="0.25">
      <c r="A6" s="9" t="s">
        <v>3</v>
      </c>
      <c r="B6" s="9" t="s">
        <v>42</v>
      </c>
      <c r="C6" s="1">
        <f t="shared" si="0"/>
        <v>6</v>
      </c>
      <c r="D6" s="8">
        <v>0</v>
      </c>
      <c r="E6" s="8">
        <v>0</v>
      </c>
      <c r="F6" s="8">
        <v>0</v>
      </c>
      <c r="G6" s="8">
        <v>6</v>
      </c>
      <c r="H6" s="8">
        <v>0</v>
      </c>
      <c r="I6" s="92">
        <v>116</v>
      </c>
      <c r="J6" s="15">
        <v>119</v>
      </c>
      <c r="K6" s="93">
        <f t="shared" si="1"/>
        <v>19.333333333333332</v>
      </c>
      <c r="L6" s="96">
        <v>19.833333333333332</v>
      </c>
      <c r="M6" s="96" t="e">
        <f>L6/L29</f>
        <v>#DIV/0!</v>
      </c>
      <c r="N6" s="97" t="e">
        <f>K6/K29</f>
        <v>#DIV/0!</v>
      </c>
      <c r="O6" s="75">
        <v>87150</v>
      </c>
      <c r="P6" s="34">
        <v>115802</v>
      </c>
      <c r="Q6" s="34">
        <f t="shared" si="2"/>
        <v>14525</v>
      </c>
      <c r="R6" s="75">
        <f t="shared" si="3"/>
        <v>19300.333333333332</v>
      </c>
      <c r="S6" s="23" t="e">
        <f>R6/R29</f>
        <v>#DIV/0!</v>
      </c>
      <c r="T6" s="23" t="e">
        <f>Q6/Q29</f>
        <v>#DIV/0!</v>
      </c>
      <c r="U6" s="23" t="e">
        <f t="shared" si="4"/>
        <v>#DIV/0!</v>
      </c>
      <c r="V6" s="23" t="e">
        <f t="shared" si="5"/>
        <v>#DIV/0!</v>
      </c>
      <c r="W6" s="26" t="e">
        <f>(0.6*CA6)+(0.4*CZ6)</f>
        <v>#REF!</v>
      </c>
      <c r="X6" s="26">
        <v>-4.0000000000000001E-3</v>
      </c>
      <c r="Y6" s="217">
        <v>13</v>
      </c>
      <c r="Z6" s="26">
        <v>-0.15656379445190446</v>
      </c>
      <c r="AA6" s="26" t="e">
        <f>(0.6*CB6)+(0.4*DA6)</f>
        <v>#REF!</v>
      </c>
      <c r="AB6" s="68"/>
      <c r="AC6" s="68"/>
      <c r="AD6" s="68"/>
      <c r="AE6" s="68"/>
      <c r="AF6" s="72"/>
      <c r="AG6" s="271"/>
      <c r="AH6" s="59"/>
      <c r="AI6" s="72"/>
      <c r="AJ6" s="271"/>
      <c r="AK6" s="60"/>
      <c r="AL6" s="262"/>
      <c r="AM6" s="60"/>
      <c r="AN6" s="60"/>
      <c r="AO6" s="60"/>
      <c r="AP6" s="72"/>
      <c r="AQ6" s="305"/>
      <c r="AR6" s="271"/>
      <c r="AS6" s="72"/>
      <c r="AT6" s="72"/>
      <c r="AU6" s="72"/>
      <c r="AX6" s="26"/>
      <c r="AY6" s="26"/>
      <c r="AZ6" s="26"/>
      <c r="BA6" s="26"/>
      <c r="BB6" s="26"/>
      <c r="BC6" s="26"/>
      <c r="BD6" s="26"/>
      <c r="BE6" s="61"/>
      <c r="BF6" s="81"/>
      <c r="BG6" s="16"/>
      <c r="BK6">
        <v>232</v>
      </c>
      <c r="BL6">
        <v>232</v>
      </c>
      <c r="BM6">
        <f t="shared" si="13"/>
        <v>0</v>
      </c>
      <c r="BN6">
        <v>37</v>
      </c>
      <c r="BO6" s="34">
        <v>218</v>
      </c>
      <c r="BP6" s="34">
        <v>354</v>
      </c>
      <c r="BQ6" s="34">
        <v>108</v>
      </c>
      <c r="BR6" s="34">
        <f t="shared" si="14"/>
        <v>477.93478260869568</v>
      </c>
      <c r="BS6" s="34">
        <f t="shared" si="15"/>
        <v>319.33199999999999</v>
      </c>
      <c r="BT6" s="34">
        <f t="shared" si="16"/>
        <v>-259.93478260869568</v>
      </c>
      <c r="BU6" s="34">
        <f t="shared" si="17"/>
        <v>34.668000000000006</v>
      </c>
      <c r="BV6" s="25">
        <f t="shared" si="6"/>
        <v>0.42574348237395648</v>
      </c>
      <c r="BW6" s="117">
        <v>34.398870000000002</v>
      </c>
      <c r="BX6">
        <f t="shared" si="18"/>
        <v>195</v>
      </c>
      <c r="BY6" s="117">
        <f t="shared" si="19"/>
        <v>197.60113000000001</v>
      </c>
      <c r="BZ6" s="23">
        <v>-0.40533999999999998</v>
      </c>
      <c r="CA6" s="23" t="e">
        <f t="shared" si="7"/>
        <v>#REF!</v>
      </c>
      <c r="CB6" s="23" t="e">
        <f t="shared" si="7"/>
        <v>#REF!</v>
      </c>
      <c r="CC6" s="34">
        <v>87150</v>
      </c>
      <c r="CD6" s="75">
        <v>87149.57</v>
      </c>
      <c r="CE6" s="117">
        <v>31854.2</v>
      </c>
      <c r="CF6" s="34">
        <f t="shared" si="8"/>
        <v>221.50596000000002</v>
      </c>
      <c r="CG6" s="34">
        <f t="shared" si="20"/>
        <v>-3.505960000000016</v>
      </c>
      <c r="CH6" s="26">
        <f t="shared" si="9"/>
        <v>-0.38672774513333769</v>
      </c>
      <c r="CI6" s="26">
        <f t="shared" si="21"/>
        <v>-0.36126541203054452</v>
      </c>
      <c r="CJ6" s="75">
        <f t="shared" si="22"/>
        <v>139.53978999999998</v>
      </c>
      <c r="CK6" s="75">
        <f t="shared" si="23"/>
        <v>-31.539789999999982</v>
      </c>
      <c r="CL6" s="26">
        <f t="shared" si="24"/>
        <v>-0.43968067230735264</v>
      </c>
      <c r="CM6" s="34">
        <v>0</v>
      </c>
      <c r="CN6" s="34">
        <v>87150</v>
      </c>
      <c r="CO6" s="34">
        <f t="shared" si="10"/>
        <v>65490.282608695656</v>
      </c>
      <c r="CP6" s="34">
        <f t="shared" si="25"/>
        <v>71149</v>
      </c>
      <c r="CQ6" s="34">
        <f t="shared" si="26"/>
        <v>16001</v>
      </c>
      <c r="CR6" s="34">
        <f t="shared" si="27"/>
        <v>-65490.282608695656</v>
      </c>
      <c r="CS6" s="36">
        <f t="shared" si="28"/>
        <v>-3.1458324874419647E-3</v>
      </c>
      <c r="CT6" s="36">
        <f t="shared" si="29"/>
        <v>-0.1561080829153593</v>
      </c>
      <c r="CU6" s="240">
        <f t="shared" si="11"/>
        <v>0.19300285625823013</v>
      </c>
      <c r="CV6" s="34">
        <v>46431.81</v>
      </c>
      <c r="CW6" s="117">
        <f>CC6-CE6</f>
        <v>55295.8</v>
      </c>
      <c r="CX6" s="117">
        <f>CD6-CV6</f>
        <v>40717.760000000009</v>
      </c>
      <c r="CY6" s="23">
        <v>0.15561</v>
      </c>
      <c r="CZ6" s="23" t="e">
        <f t="shared" si="12"/>
        <v>#REF!</v>
      </c>
      <c r="DA6" s="23" t="e">
        <f t="shared" si="12"/>
        <v>#REF!</v>
      </c>
      <c r="DB6" s="23">
        <f t="shared" si="30"/>
        <v>-0.2180175802133035</v>
      </c>
      <c r="DC6" s="23">
        <f t="shared" si="31"/>
        <v>-0.32625163655055534</v>
      </c>
    </row>
    <row r="7" spans="1:107" x14ac:dyDescent="0.25">
      <c r="A7" s="9" t="s">
        <v>43</v>
      </c>
      <c r="B7" s="239" t="s">
        <v>355</v>
      </c>
      <c r="C7" s="1">
        <v>0</v>
      </c>
      <c r="D7" s="8"/>
      <c r="E7" s="8"/>
      <c r="F7" s="8"/>
      <c r="G7" s="8"/>
      <c r="H7" s="8"/>
      <c r="I7" s="92"/>
      <c r="J7" s="15"/>
      <c r="K7" s="93"/>
      <c r="L7" s="96"/>
      <c r="M7" s="96"/>
      <c r="N7" s="97"/>
      <c r="O7" s="75"/>
      <c r="P7" s="34"/>
      <c r="Q7" s="34"/>
      <c r="R7" s="75"/>
      <c r="S7" s="23"/>
      <c r="T7" s="23"/>
      <c r="U7" s="23"/>
      <c r="V7" s="23"/>
      <c r="W7" s="26"/>
      <c r="X7" s="26"/>
      <c r="Y7" s="217">
        <v>9</v>
      </c>
      <c r="Z7" s="26">
        <v>-0.13027444431225516</v>
      </c>
      <c r="AA7" s="26"/>
      <c r="AB7" s="68"/>
      <c r="AC7" s="68"/>
      <c r="AD7" s="68"/>
      <c r="AE7" s="68"/>
      <c r="AF7" s="72"/>
      <c r="AG7" s="271"/>
      <c r="AH7" s="59"/>
      <c r="AI7" s="72"/>
      <c r="AJ7" s="271"/>
      <c r="AK7" s="60"/>
      <c r="AL7" s="262"/>
      <c r="AM7" s="60"/>
      <c r="AN7" s="60"/>
      <c r="AO7" s="60"/>
      <c r="AP7" s="72"/>
      <c r="AQ7" s="305"/>
      <c r="AR7" s="271"/>
      <c r="AS7" s="72"/>
      <c r="AT7" s="72"/>
      <c r="AU7" s="72"/>
      <c r="AX7" s="26"/>
      <c r="AY7" s="26"/>
      <c r="AZ7" s="26"/>
      <c r="BA7" s="26"/>
      <c r="BB7" s="26"/>
      <c r="BC7" s="26"/>
      <c r="BD7" s="26"/>
      <c r="BE7" s="67"/>
      <c r="BF7" s="81"/>
      <c r="BG7" s="16"/>
      <c r="BH7" s="81"/>
      <c r="BJ7" s="290" t="s">
        <v>464</v>
      </c>
      <c r="BO7" s="34">
        <v>112</v>
      </c>
      <c r="BP7" s="34">
        <v>161</v>
      </c>
      <c r="BQ7" s="34">
        <v>60</v>
      </c>
      <c r="BR7" s="34">
        <f t="shared" si="14"/>
        <v>330.87792642140471</v>
      </c>
      <c r="BS7" s="34">
        <f t="shared" si="15"/>
        <v>221.07599999999999</v>
      </c>
      <c r="BT7" s="34">
        <f t="shared" si="16"/>
        <v>-218.87792642140471</v>
      </c>
      <c r="BU7" s="34">
        <f t="shared" si="17"/>
        <v>-60.075999999999993</v>
      </c>
      <c r="BV7" s="23">
        <f t="shared" si="6"/>
        <v>0.47591501406416525</v>
      </c>
      <c r="BW7" s="117"/>
      <c r="BY7" s="117"/>
      <c r="BZ7" s="23"/>
      <c r="CA7" s="23"/>
      <c r="CB7" s="23"/>
      <c r="CC7" s="34"/>
      <c r="CD7" s="75"/>
      <c r="CE7" s="117"/>
      <c r="CF7" s="34">
        <f t="shared" si="8"/>
        <v>153.35028</v>
      </c>
      <c r="CG7" s="34">
        <f t="shared" si="20"/>
        <v>-41.350279999999998</v>
      </c>
      <c r="CH7" s="26">
        <f t="shared" si="9"/>
        <v>-0.42543052724180397</v>
      </c>
      <c r="CI7" s="26">
        <f t="shared" si="21"/>
        <v>-0.42096744059933683</v>
      </c>
      <c r="CJ7" s="75">
        <f t="shared" si="22"/>
        <v>96.604469999999992</v>
      </c>
      <c r="CK7" s="75">
        <f t="shared" si="23"/>
        <v>-36.604469999999992</v>
      </c>
      <c r="CL7" s="26">
        <f t="shared" si="24"/>
        <v>-0.44640804215223184</v>
      </c>
      <c r="CM7" s="34">
        <v>15000</v>
      </c>
      <c r="CN7" s="34">
        <v>15000</v>
      </c>
      <c r="CO7" s="34">
        <f t="shared" si="10"/>
        <v>45339.426421404685</v>
      </c>
      <c r="CP7" s="34">
        <f t="shared" si="25"/>
        <v>49257</v>
      </c>
      <c r="CQ7" s="34">
        <f t="shared" si="26"/>
        <v>-34257</v>
      </c>
      <c r="CR7" s="34">
        <f t="shared" si="27"/>
        <v>-30339.426421404685</v>
      </c>
      <c r="CS7" s="36">
        <f t="shared" si="28"/>
        <v>-0.11848301537119511</v>
      </c>
      <c r="CT7" s="36">
        <f t="shared" si="29"/>
        <v>-7.2319579435869141E-2</v>
      </c>
      <c r="CU7" s="240">
        <f t="shared" si="11"/>
        <v>0.25662117666415146</v>
      </c>
      <c r="CV7" s="34"/>
      <c r="CW7" s="117"/>
      <c r="CX7" s="117"/>
      <c r="CY7" s="23"/>
      <c r="CZ7" s="23"/>
      <c r="DA7" s="23"/>
      <c r="DB7" s="23">
        <f t="shared" si="30"/>
        <v>-0.2999736705080801</v>
      </c>
      <c r="DC7" s="23">
        <f t="shared" si="31"/>
        <v>-0.29677265706568673</v>
      </c>
    </row>
    <row r="8" spans="1:107" x14ac:dyDescent="0.25">
      <c r="A8" s="9" t="s">
        <v>43</v>
      </c>
      <c r="B8" s="9" t="s">
        <v>47</v>
      </c>
      <c r="C8" s="10">
        <f t="shared" si="0"/>
        <v>56</v>
      </c>
      <c r="D8">
        <v>4</v>
      </c>
      <c r="E8">
        <v>12</v>
      </c>
      <c r="F8">
        <v>0</v>
      </c>
      <c r="G8">
        <v>0</v>
      </c>
      <c r="H8">
        <v>40</v>
      </c>
      <c r="I8" s="92">
        <v>558</v>
      </c>
      <c r="J8" s="15">
        <v>590</v>
      </c>
      <c r="K8" s="93">
        <f t="shared" si="1"/>
        <v>9.9642857142857135</v>
      </c>
      <c r="L8" s="96">
        <v>10.535714285714286</v>
      </c>
      <c r="M8" s="96" t="e">
        <f>L8/L29</f>
        <v>#DIV/0!</v>
      </c>
      <c r="N8" s="97" t="e">
        <f>K8/K29</f>
        <v>#DIV/0!</v>
      </c>
      <c r="O8" s="75">
        <v>82320</v>
      </c>
      <c r="P8" s="34">
        <v>96000</v>
      </c>
      <c r="Q8" s="34">
        <f t="shared" si="2"/>
        <v>1470</v>
      </c>
      <c r="R8" s="75">
        <f t="shared" si="3"/>
        <v>1714.2857142857142</v>
      </c>
      <c r="S8" s="23" t="e">
        <f>R8/R29</f>
        <v>#DIV/0!</v>
      </c>
      <c r="T8" s="23" t="e">
        <f>Q8/Q29</f>
        <v>#DIV/0!</v>
      </c>
      <c r="U8" s="23" t="e">
        <f t="shared" si="4"/>
        <v>#DIV/0!</v>
      </c>
      <c r="V8" s="23" t="e">
        <f t="shared" si="5"/>
        <v>#DIV/0!</v>
      </c>
      <c r="W8" s="26" t="e">
        <f>(0.6*CA8)+(0.4*CZ8)</f>
        <v>#REF!</v>
      </c>
      <c r="X8" s="27">
        <v>9.2999999999999999E-2</v>
      </c>
      <c r="Y8" s="217">
        <v>46</v>
      </c>
      <c r="Z8" s="26">
        <v>-0.53032953177321596</v>
      </c>
      <c r="AA8" s="26" t="e">
        <f>(0.6*CB8)+(0.4*DA8)</f>
        <v>#REF!</v>
      </c>
      <c r="AB8" s="68"/>
      <c r="AC8" s="68"/>
      <c r="AD8" s="68"/>
      <c r="AE8" s="68"/>
      <c r="AF8" s="72">
        <f>X8/BG2</f>
        <v>1.6332982086406742E-2</v>
      </c>
      <c r="AG8" s="271"/>
      <c r="AH8" s="59"/>
      <c r="AI8" s="72"/>
      <c r="AJ8" s="271"/>
      <c r="AK8" s="60"/>
      <c r="AL8" s="262"/>
      <c r="AM8" s="60"/>
      <c r="AN8" s="60"/>
      <c r="AO8" s="60"/>
      <c r="AP8" s="72"/>
      <c r="AQ8" s="305"/>
      <c r="AR8" s="271"/>
      <c r="AS8" s="72"/>
      <c r="AT8" s="72"/>
      <c r="AU8" s="72"/>
      <c r="AV8" s="37"/>
      <c r="AX8" s="26"/>
      <c r="AY8" s="26"/>
      <c r="AZ8" s="26"/>
      <c r="BA8" s="26"/>
      <c r="BB8" s="26"/>
      <c r="BC8" s="26"/>
      <c r="BD8" s="26"/>
      <c r="BE8" s="67"/>
      <c r="BF8" s="16"/>
      <c r="BG8" s="16"/>
      <c r="BH8" s="134"/>
      <c r="BJ8" s="25">
        <f>SUM(DC3,DC4,DC11,DC18,DC19,DC23)</f>
        <v>6.4428263767513689</v>
      </c>
      <c r="BK8">
        <v>1116</v>
      </c>
      <c r="BL8">
        <v>1122</v>
      </c>
      <c r="BM8">
        <f t="shared" si="13"/>
        <v>-6</v>
      </c>
      <c r="BN8">
        <v>343</v>
      </c>
      <c r="BO8" s="34">
        <v>776</v>
      </c>
      <c r="BP8" s="34">
        <v>1375</v>
      </c>
      <c r="BQ8" s="34">
        <v>684</v>
      </c>
      <c r="BR8" s="34">
        <f t="shared" si="14"/>
        <v>1691.1538461538462</v>
      </c>
      <c r="BS8" s="34">
        <f t="shared" si="15"/>
        <v>1129.944</v>
      </c>
      <c r="BT8" s="34">
        <f t="shared" si="16"/>
        <v>-915.15384615384619</v>
      </c>
      <c r="BU8" s="34">
        <f t="shared" si="17"/>
        <v>245.05600000000004</v>
      </c>
      <c r="BV8" s="23">
        <f t="shared" si="6"/>
        <v>-0.37493506594753628</v>
      </c>
      <c r="BW8" s="117">
        <v>321.05610000000001</v>
      </c>
      <c r="BX8">
        <f t="shared" si="18"/>
        <v>773</v>
      </c>
      <c r="BY8" s="117">
        <f t="shared" si="19"/>
        <v>800.94389999999999</v>
      </c>
      <c r="BZ8" s="23">
        <v>-5.1389999999999998E-2</v>
      </c>
      <c r="CA8" s="23" t="e">
        <f t="shared" ref="CA8:CB12" si="32">(BX8-BX$28)/BX$29</f>
        <v>#REF!</v>
      </c>
      <c r="CB8" s="23" t="e">
        <f t="shared" si="32"/>
        <v>#REF!</v>
      </c>
      <c r="CC8" s="34">
        <v>82320</v>
      </c>
      <c r="CD8" s="75">
        <v>80320</v>
      </c>
      <c r="CE8" s="117">
        <v>250839.77</v>
      </c>
      <c r="CF8" s="34">
        <f t="shared" si="8"/>
        <v>783.79032000000007</v>
      </c>
      <c r="CG8" s="34">
        <f t="shared" si="20"/>
        <v>-7.7903200000000652</v>
      </c>
      <c r="CH8" s="26">
        <f t="shared" si="9"/>
        <v>-0.39110929173145942</v>
      </c>
      <c r="CI8" s="26">
        <f t="shared" si="21"/>
        <v>-0.22869141909662713</v>
      </c>
      <c r="CJ8" s="75">
        <f t="shared" si="22"/>
        <v>493.75617999999997</v>
      </c>
      <c r="CK8" s="75">
        <f t="shared" si="23"/>
        <v>190.24382000000003</v>
      </c>
      <c r="CL8" s="26">
        <f t="shared" si="24"/>
        <v>-0.14508745615105981</v>
      </c>
      <c r="CM8" s="34">
        <v>20320</v>
      </c>
      <c r="CN8" s="34">
        <v>20320</v>
      </c>
      <c r="CO8" s="34">
        <f t="shared" si="10"/>
        <v>231734.84615384616</v>
      </c>
      <c r="CP8" s="34">
        <f t="shared" si="25"/>
        <v>251758</v>
      </c>
      <c r="CQ8" s="34">
        <f t="shared" si="26"/>
        <v>-231438</v>
      </c>
      <c r="CR8" s="34">
        <f t="shared" si="27"/>
        <v>-211414.84615384616</v>
      </c>
      <c r="CS8" s="36">
        <f t="shared" si="28"/>
        <v>-0.5709940794446029</v>
      </c>
      <c r="CT8" s="36">
        <f t="shared" si="29"/>
        <v>-0.50394600570162151</v>
      </c>
      <c r="CU8" s="240">
        <f t="shared" si="11"/>
        <v>-0.42653944184917036</v>
      </c>
      <c r="CV8" s="34">
        <v>269495.06</v>
      </c>
      <c r="CW8" s="117">
        <f>CC8-CE8</f>
        <v>-168519.77</v>
      </c>
      <c r="CX8" s="117">
        <f>CD8-CV8</f>
        <v>-189175.06</v>
      </c>
      <c r="CY8" s="23">
        <v>-0.35437999999999997</v>
      </c>
      <c r="CZ8" s="23" t="e">
        <f t="shared" ref="CZ8:DA12" si="33">(CW8-CW$28)/CW$29</f>
        <v>#REF!</v>
      </c>
      <c r="DA8" s="23" t="e">
        <f t="shared" si="33"/>
        <v>#REF!</v>
      </c>
      <c r="DB8" s="23">
        <f t="shared" si="30"/>
        <v>-0.36561248323581741</v>
      </c>
      <c r="DC8" s="23">
        <f t="shared" si="31"/>
        <v>-0.28863087597128451</v>
      </c>
    </row>
    <row r="9" spans="1:107" x14ac:dyDescent="0.25">
      <c r="A9" s="7" t="s">
        <v>43</v>
      </c>
      <c r="B9" s="7" t="s">
        <v>48</v>
      </c>
      <c r="C9" s="10">
        <f t="shared" si="0"/>
        <v>10</v>
      </c>
      <c r="D9">
        <v>3</v>
      </c>
      <c r="E9">
        <v>0</v>
      </c>
      <c r="F9">
        <v>0</v>
      </c>
      <c r="G9">
        <v>0</v>
      </c>
      <c r="H9">
        <v>7</v>
      </c>
      <c r="I9" s="92">
        <v>16.5</v>
      </c>
      <c r="J9" s="15">
        <v>23.5</v>
      </c>
      <c r="K9" s="93">
        <f t="shared" si="1"/>
        <v>1.65</v>
      </c>
      <c r="L9" s="96">
        <v>2.35</v>
      </c>
      <c r="M9" s="96" t="e">
        <f>L9/L29</f>
        <v>#DIV/0!</v>
      </c>
      <c r="N9" s="97" t="e">
        <f>K9/K29</f>
        <v>#DIV/0!</v>
      </c>
      <c r="O9" s="75">
        <v>0</v>
      </c>
      <c r="P9" s="34">
        <v>0</v>
      </c>
      <c r="Q9" s="34">
        <f t="shared" si="2"/>
        <v>0</v>
      </c>
      <c r="R9" s="75">
        <f t="shared" si="3"/>
        <v>0</v>
      </c>
      <c r="S9" s="23" t="e">
        <f>R9/R29</f>
        <v>#DIV/0!</v>
      </c>
      <c r="T9" s="23" t="e">
        <f>Q9/Q29</f>
        <v>#DIV/0!</v>
      </c>
      <c r="U9" s="23" t="e">
        <f t="shared" si="4"/>
        <v>#DIV/0!</v>
      </c>
      <c r="V9" s="23" t="e">
        <f t="shared" si="5"/>
        <v>#DIV/0!</v>
      </c>
      <c r="W9" s="26" t="e">
        <f>(0.6*CA9)+(0.4*CZ9)</f>
        <v>#REF!</v>
      </c>
      <c r="X9" s="23">
        <v>-0.36499999999999999</v>
      </c>
      <c r="Y9" s="217">
        <v>9</v>
      </c>
      <c r="Z9" s="26">
        <v>-0.21244359167702281</v>
      </c>
      <c r="AA9" s="26" t="e">
        <f>(0.6*CB9)+(0.4*DA9)</f>
        <v>#REF!</v>
      </c>
      <c r="AB9" s="37"/>
      <c r="AC9" s="37"/>
      <c r="AD9" s="37"/>
      <c r="AE9" s="37"/>
      <c r="AF9" s="36"/>
      <c r="AG9" s="37"/>
      <c r="AH9" s="59"/>
      <c r="AI9" s="36"/>
      <c r="AJ9" s="37"/>
      <c r="AK9" s="60"/>
      <c r="AL9" s="262"/>
      <c r="AM9" s="60"/>
      <c r="AN9" s="60"/>
      <c r="AO9" s="60"/>
      <c r="AP9" s="36"/>
      <c r="AQ9" s="305"/>
      <c r="AR9" s="37"/>
      <c r="AS9" s="36"/>
      <c r="AT9" s="36"/>
      <c r="AU9" s="36"/>
      <c r="AX9" s="26"/>
      <c r="AY9" s="26"/>
      <c r="AZ9" s="26"/>
      <c r="BA9" s="26"/>
      <c r="BB9" s="26"/>
      <c r="BC9" s="26"/>
      <c r="BD9" s="26"/>
      <c r="BE9" s="67"/>
      <c r="BF9" s="16"/>
      <c r="BG9" s="16"/>
      <c r="BK9">
        <v>33</v>
      </c>
      <c r="BL9">
        <v>33</v>
      </c>
      <c r="BM9">
        <f t="shared" si="13"/>
        <v>0</v>
      </c>
      <c r="BN9">
        <v>61</v>
      </c>
      <c r="BO9" s="34">
        <v>39</v>
      </c>
      <c r="BP9" s="34">
        <v>56</v>
      </c>
      <c r="BQ9" s="34">
        <v>21</v>
      </c>
      <c r="BR9" s="34">
        <f t="shared" si="14"/>
        <v>330.87792642140471</v>
      </c>
      <c r="BS9" s="34">
        <f t="shared" si="15"/>
        <v>221.07599999999999</v>
      </c>
      <c r="BT9" s="34">
        <f t="shared" si="16"/>
        <v>-291.87792642140471</v>
      </c>
      <c r="BU9" s="34">
        <f t="shared" si="17"/>
        <v>-165.07599999999999</v>
      </c>
      <c r="BV9" s="23">
        <f t="shared" si="6"/>
        <v>0.38670891906561633</v>
      </c>
      <c r="BW9" s="117">
        <v>57.331449999999997</v>
      </c>
      <c r="BX9">
        <f t="shared" si="18"/>
        <v>-28</v>
      </c>
      <c r="BY9" s="117">
        <f t="shared" si="19"/>
        <v>-24.331449999999997</v>
      </c>
      <c r="BZ9" s="23">
        <v>-0.54215000000000002</v>
      </c>
      <c r="CA9" s="23" t="e">
        <f t="shared" si="32"/>
        <v>#REF!</v>
      </c>
      <c r="CB9" s="23" t="e">
        <f t="shared" si="32"/>
        <v>#REF!</v>
      </c>
      <c r="CC9" s="34">
        <v>0</v>
      </c>
      <c r="CD9" s="75">
        <v>0</v>
      </c>
      <c r="CE9" s="117">
        <v>51066.46</v>
      </c>
      <c r="CF9" s="34">
        <f t="shared" si="8"/>
        <v>153.35028</v>
      </c>
      <c r="CG9" s="34">
        <f t="shared" si="20"/>
        <v>-114.35028</v>
      </c>
      <c r="CH9" s="26">
        <f t="shared" si="9"/>
        <v>-0.50008646223860254</v>
      </c>
      <c r="CI9" s="26">
        <f t="shared" si="21"/>
        <v>-0.48713218981536305</v>
      </c>
      <c r="CJ9" s="75">
        <f t="shared" si="22"/>
        <v>96.604469999999992</v>
      </c>
      <c r="CK9" s="75">
        <f t="shared" si="23"/>
        <v>-75.604469999999992</v>
      </c>
      <c r="CL9" s="26">
        <f t="shared" si="24"/>
        <v>-0.498211398721707</v>
      </c>
      <c r="CM9" s="34">
        <v>0</v>
      </c>
      <c r="CN9" s="34">
        <v>0</v>
      </c>
      <c r="CO9" s="34">
        <f t="shared" si="10"/>
        <v>45339.426421404685</v>
      </c>
      <c r="CP9" s="34">
        <f t="shared" si="25"/>
        <v>49257</v>
      </c>
      <c r="CQ9" s="34">
        <f t="shared" si="26"/>
        <v>-49257</v>
      </c>
      <c r="CR9" s="34">
        <f t="shared" si="27"/>
        <v>-45339.426421404685</v>
      </c>
      <c r="CS9" s="36">
        <f t="shared" si="28"/>
        <v>-0.15290654482434282</v>
      </c>
      <c r="CT9" s="36">
        <f t="shared" si="29"/>
        <v>-0.10807482663371028</v>
      </c>
      <c r="CU9" s="240">
        <f t="shared" si="11"/>
        <v>0.18879542078588568</v>
      </c>
      <c r="CV9" s="34">
        <v>69419.72</v>
      </c>
      <c r="CW9" s="117">
        <f>CC9-CE9</f>
        <v>-51066.46</v>
      </c>
      <c r="CX9" s="117">
        <f>CD9-CV9</f>
        <v>-69419.72</v>
      </c>
      <c r="CY9" s="23">
        <v>-8.6749999999999994E-2</v>
      </c>
      <c r="CZ9" s="23" t="e">
        <f t="shared" si="33"/>
        <v>#REF!</v>
      </c>
      <c r="DA9" s="23" t="e">
        <f t="shared" si="33"/>
        <v>#REF!</v>
      </c>
      <c r="DB9" s="23">
        <f t="shared" si="30"/>
        <v>-0.35344193181895495</v>
      </c>
      <c r="DC9" s="23">
        <f t="shared" si="31"/>
        <v>-0.34215676988650834</v>
      </c>
    </row>
    <row r="10" spans="1:107" x14ac:dyDescent="0.25">
      <c r="A10" s="9" t="s">
        <v>43</v>
      </c>
      <c r="B10" s="9" t="s">
        <v>49</v>
      </c>
      <c r="C10" s="10">
        <f t="shared" si="0"/>
        <v>23</v>
      </c>
      <c r="D10">
        <v>10</v>
      </c>
      <c r="E10">
        <v>1</v>
      </c>
      <c r="F10">
        <v>0</v>
      </c>
      <c r="G10">
        <v>0</v>
      </c>
      <c r="H10">
        <v>12</v>
      </c>
      <c r="I10" s="92">
        <v>84.5</v>
      </c>
      <c r="J10" s="15">
        <v>116.5</v>
      </c>
      <c r="K10" s="93">
        <f t="shared" si="1"/>
        <v>3.6739130434782608</v>
      </c>
      <c r="L10" s="96">
        <v>5.0652173913043477</v>
      </c>
      <c r="M10" s="96" t="e">
        <f>L10/L29</f>
        <v>#DIV/0!</v>
      </c>
      <c r="N10" s="97" t="e">
        <f>K10/K29</f>
        <v>#DIV/0!</v>
      </c>
      <c r="O10" s="75">
        <v>269015</v>
      </c>
      <c r="P10" s="34">
        <v>32226</v>
      </c>
      <c r="Q10" s="34">
        <f t="shared" si="2"/>
        <v>11696.304347826086</v>
      </c>
      <c r="R10" s="75">
        <f t="shared" si="3"/>
        <v>1401.1304347826087</v>
      </c>
      <c r="S10" s="23" t="e">
        <f>R10/R29</f>
        <v>#DIV/0!</v>
      </c>
      <c r="T10" s="23" t="e">
        <f>Q10/Q29</f>
        <v>#DIV/0!</v>
      </c>
      <c r="U10" s="23" t="e">
        <f t="shared" si="4"/>
        <v>#DIV/0!</v>
      </c>
      <c r="V10" s="23" t="e">
        <f t="shared" si="5"/>
        <v>#DIV/0!</v>
      </c>
      <c r="W10" s="26" t="e">
        <f>(0.6*CA10)+(0.4*CZ10)</f>
        <v>#REF!</v>
      </c>
      <c r="X10" s="23">
        <v>-0.25900000000000001</v>
      </c>
      <c r="Y10" s="217">
        <v>22</v>
      </c>
      <c r="Z10" s="26">
        <v>-0.24419623558882686</v>
      </c>
      <c r="AA10" s="26" t="e">
        <f>(0.6*CB10)+(0.4*DA10)</f>
        <v>#REF!</v>
      </c>
      <c r="AB10" s="139"/>
      <c r="AC10" s="139"/>
      <c r="AD10" s="139"/>
      <c r="AE10" s="139"/>
      <c r="AF10" s="36"/>
      <c r="AG10" s="37"/>
      <c r="AH10" s="59"/>
      <c r="AI10" s="36"/>
      <c r="AJ10" s="37"/>
      <c r="AK10" s="60"/>
      <c r="AL10" s="276" t="e">
        <f t="shared" ref="AL10:AL11" si="34">SUM(AM10:AN10)</f>
        <v>#DIV/0!</v>
      </c>
      <c r="AM10" s="60"/>
      <c r="AN10" s="65" t="e">
        <f>BA10*BH$16</f>
        <v>#DIV/0!</v>
      </c>
      <c r="AO10" s="68"/>
      <c r="AP10" s="36"/>
      <c r="AQ10" s="305"/>
      <c r="AR10" s="37"/>
      <c r="AS10" s="36"/>
      <c r="AT10" s="36"/>
      <c r="AU10" s="36"/>
      <c r="AX10" s="26"/>
      <c r="AY10" s="26"/>
      <c r="AZ10" s="26"/>
      <c r="BA10" s="26" t="e">
        <f>Y10*BC10</f>
        <v>#DIV/0!</v>
      </c>
      <c r="BB10" s="26"/>
      <c r="BC10" s="26" t="e">
        <f>CS10/BH$14</f>
        <v>#DIV/0!</v>
      </c>
      <c r="BD10" s="26"/>
      <c r="BE10" s="16"/>
      <c r="BF10" s="16"/>
      <c r="BG10" s="16"/>
      <c r="BK10">
        <v>169</v>
      </c>
      <c r="BL10">
        <v>169</v>
      </c>
      <c r="BM10">
        <f t="shared" si="13"/>
        <v>0</v>
      </c>
      <c r="BN10">
        <v>141</v>
      </c>
      <c r="BO10" s="34">
        <v>113</v>
      </c>
      <c r="BP10" s="34">
        <v>211</v>
      </c>
      <c r="BQ10" s="34">
        <v>52</v>
      </c>
      <c r="BR10" s="34">
        <f t="shared" si="14"/>
        <v>808.81270903010034</v>
      </c>
      <c r="BS10" s="34">
        <f t="shared" si="15"/>
        <v>540.40800000000002</v>
      </c>
      <c r="BT10" s="34">
        <f t="shared" si="16"/>
        <v>-695.81270903010034</v>
      </c>
      <c r="BU10" s="34">
        <f t="shared" si="17"/>
        <v>-329.40800000000002</v>
      </c>
      <c r="BV10" s="23">
        <f t="shared" si="6"/>
        <v>-0.10689991094273325</v>
      </c>
      <c r="BW10" s="117">
        <v>131.86232999999999</v>
      </c>
      <c r="BX10">
        <f t="shared" si="18"/>
        <v>28</v>
      </c>
      <c r="BY10" s="117">
        <f t="shared" si="19"/>
        <v>37.137670000000014</v>
      </c>
      <c r="BZ10" s="23">
        <v>-0.50756999999999997</v>
      </c>
      <c r="CA10" s="23" t="e">
        <f t="shared" si="32"/>
        <v>#REF!</v>
      </c>
      <c r="CB10" s="23" t="e">
        <f t="shared" si="32"/>
        <v>#REF!</v>
      </c>
      <c r="CC10" s="34">
        <v>269015</v>
      </c>
      <c r="CD10" s="75">
        <v>269015.78000000003</v>
      </c>
      <c r="CE10" s="117">
        <v>110240.4</v>
      </c>
      <c r="CF10" s="34">
        <f t="shared" si="8"/>
        <v>374.85624000000001</v>
      </c>
      <c r="CG10" s="34">
        <f t="shared" si="20"/>
        <v>-261.85624000000001</v>
      </c>
      <c r="CH10" s="26">
        <f t="shared" si="9"/>
        <v>-0.65093845349066226</v>
      </c>
      <c r="CI10" s="26">
        <f t="shared" si="21"/>
        <v>-0.59068443332172516</v>
      </c>
      <c r="CJ10" s="75">
        <f t="shared" si="22"/>
        <v>236.14425999999997</v>
      </c>
      <c r="CK10" s="75">
        <f t="shared" si="23"/>
        <v>-184.14425999999997</v>
      </c>
      <c r="CL10" s="26">
        <f t="shared" si="24"/>
        <v>-0.64238384598698794</v>
      </c>
      <c r="CM10" s="34">
        <v>271309</v>
      </c>
      <c r="CN10" s="34">
        <v>271309</v>
      </c>
      <c r="CO10" s="34">
        <f t="shared" si="10"/>
        <v>110829.70903010033</v>
      </c>
      <c r="CP10" s="34">
        <f t="shared" si="25"/>
        <v>120406</v>
      </c>
      <c r="CQ10" s="34">
        <f t="shared" si="26"/>
        <v>150903</v>
      </c>
      <c r="CR10" s="34">
        <f t="shared" si="27"/>
        <v>160479.29096989968</v>
      </c>
      <c r="CS10" s="225">
        <f t="shared" si="28"/>
        <v>0.30644103219846014</v>
      </c>
      <c r="CT10" s="225">
        <f t="shared" si="29"/>
        <v>0.38253178125086923</v>
      </c>
      <c r="CU10" s="240">
        <f t="shared" si="11"/>
        <v>8.8872765934707748E-2</v>
      </c>
      <c r="CV10" s="34">
        <v>133745.95000000001</v>
      </c>
      <c r="CW10" s="117">
        <f>CC10-CE10</f>
        <v>158774.6</v>
      </c>
      <c r="CX10" s="117">
        <f>CD10-CV10</f>
        <v>135269.83000000002</v>
      </c>
      <c r="CY10" s="23">
        <v>0.39139000000000002</v>
      </c>
      <c r="CZ10" s="23" t="e">
        <f t="shared" si="33"/>
        <v>#REF!</v>
      </c>
      <c r="DA10" s="23" t="e">
        <f t="shared" si="33"/>
        <v>#REF!</v>
      </c>
      <c r="DB10" s="23">
        <f t="shared" si="30"/>
        <v>-0.231834247113651</v>
      </c>
      <c r="DC10" s="23">
        <f t="shared" si="31"/>
        <v>-0.23241759509184506</v>
      </c>
    </row>
    <row r="11" spans="1:107" x14ac:dyDescent="0.25">
      <c r="A11" s="9" t="s">
        <v>43</v>
      </c>
      <c r="B11" s="9" t="s">
        <v>50</v>
      </c>
      <c r="C11" s="10">
        <f t="shared" si="0"/>
        <v>224</v>
      </c>
      <c r="D11">
        <v>0</v>
      </c>
      <c r="E11">
        <v>0</v>
      </c>
      <c r="F11">
        <v>224</v>
      </c>
      <c r="G11">
        <v>0</v>
      </c>
      <c r="H11">
        <v>0</v>
      </c>
      <c r="I11" s="92">
        <v>2028</v>
      </c>
      <c r="J11" s="15">
        <v>1960.5</v>
      </c>
      <c r="K11" s="93">
        <f t="shared" si="1"/>
        <v>9.0535714285714288</v>
      </c>
      <c r="L11" s="96">
        <v>8.7522321428571423</v>
      </c>
      <c r="M11" s="96" t="e">
        <f>L11/L29</f>
        <v>#DIV/0!</v>
      </c>
      <c r="N11" s="97" t="e">
        <f>K11/K29</f>
        <v>#DIV/0!</v>
      </c>
      <c r="O11" s="75">
        <v>233645</v>
      </c>
      <c r="P11" s="34">
        <v>207193</v>
      </c>
      <c r="Q11" s="34">
        <f t="shared" si="2"/>
        <v>1043.0580357142858</v>
      </c>
      <c r="R11" s="75">
        <f t="shared" si="3"/>
        <v>924.96875</v>
      </c>
      <c r="S11" s="23" t="e">
        <f>R11/R29</f>
        <v>#DIV/0!</v>
      </c>
      <c r="T11" s="23" t="e">
        <f>Q11/Q29</f>
        <v>#DIV/0!</v>
      </c>
      <c r="U11" s="23" t="e">
        <f t="shared" si="4"/>
        <v>#DIV/0!</v>
      </c>
      <c r="V11" s="23" t="e">
        <f t="shared" si="5"/>
        <v>#DIV/0!</v>
      </c>
      <c r="W11" s="25" t="e">
        <f>(0.6*CA11)+(0.4*CZ11)</f>
        <v>#REF!</v>
      </c>
      <c r="X11" s="27">
        <v>0.55800000000000005</v>
      </c>
      <c r="Y11" s="217">
        <v>100</v>
      </c>
      <c r="Z11" s="25">
        <v>0.77524131368688476</v>
      </c>
      <c r="AA11" s="25" t="e">
        <f>(0.6*CB11)+(0.4*DA11)</f>
        <v>#REF!</v>
      </c>
      <c r="AB11" s="65" t="e">
        <f>AE11*BF$5</f>
        <v>#REF!</v>
      </c>
      <c r="AC11" s="65" t="e">
        <f>(AH11*BH$5)</f>
        <v>#REF!</v>
      </c>
      <c r="AD11" s="144" t="e">
        <f>AC11-AB11</f>
        <v>#REF!</v>
      </c>
      <c r="AE11" s="65" t="e">
        <f>C11*AI11</f>
        <v>#REF!</v>
      </c>
      <c r="AF11" s="36">
        <f>X11/BG2</f>
        <v>9.7997892518440474E-2</v>
      </c>
      <c r="AG11" s="65">
        <f>AP11*BH$8</f>
        <v>0</v>
      </c>
      <c r="AH11" s="208" t="e">
        <f>C11*AU11</f>
        <v>#REF!</v>
      </c>
      <c r="AI11" s="72" t="e">
        <f>W11/BI$2</f>
        <v>#REF!</v>
      </c>
      <c r="AJ11" s="292">
        <v>161355.39767464454</v>
      </c>
      <c r="AK11" s="144" t="e">
        <f>AY11*BH$18</f>
        <v>#DIV/0!</v>
      </c>
      <c r="AL11" s="276" t="e">
        <f t="shared" si="34"/>
        <v>#DIV/0!</v>
      </c>
      <c r="AM11" s="65" t="e">
        <f>AZ11*BH$15</f>
        <v>#DIV/0!</v>
      </c>
      <c r="AN11" s="68"/>
      <c r="AO11" s="291">
        <f>AS11*BH$22</f>
        <v>327736.63069079042</v>
      </c>
      <c r="AP11" s="72">
        <f>Y11*AT11</f>
        <v>12.233525466873811</v>
      </c>
      <c r="AQ11" s="304">
        <f>AVERAGE(AJ11,AO11)</f>
        <v>244546.01418271748</v>
      </c>
      <c r="AR11" s="65">
        <f>AQ11-(BD11*AQ$28)</f>
        <v>232927.73273096941</v>
      </c>
      <c r="AS11" s="72">
        <f>Y11*BD11</f>
        <v>8.7768225026350102</v>
      </c>
      <c r="AT11" s="72">
        <f>Z11/BJ$5</f>
        <v>0.12233525466873811</v>
      </c>
      <c r="AU11" s="72" t="e">
        <f>AA11/BJ$2</f>
        <v>#REF!</v>
      </c>
      <c r="AX11" s="26" t="e">
        <f>DB11/BH$17</f>
        <v>#DIV/0!</v>
      </c>
      <c r="AY11" s="26" t="e">
        <f>Y11*AX11</f>
        <v>#DIV/0!</v>
      </c>
      <c r="AZ11" s="26" t="e">
        <f>Y11*BB11</f>
        <v>#DIV/0!</v>
      </c>
      <c r="BA11" s="26"/>
      <c r="BB11" s="26" t="e">
        <f>CI11/BH$13</f>
        <v>#DIV/0!</v>
      </c>
      <c r="BC11" s="26"/>
      <c r="BD11" s="26">
        <f>DC11/BJ$8</f>
        <v>8.7768225026350108E-2</v>
      </c>
      <c r="BE11" s="16"/>
      <c r="BF11" s="16"/>
      <c r="BG11" s="16"/>
      <c r="BK11">
        <v>4056</v>
      </c>
      <c r="BL11">
        <v>4095</v>
      </c>
      <c r="BM11">
        <f t="shared" si="13"/>
        <v>-39</v>
      </c>
      <c r="BN11">
        <v>1370</v>
      </c>
      <c r="BO11" s="34">
        <v>3711</v>
      </c>
      <c r="BP11" s="34">
        <v>5765</v>
      </c>
      <c r="BQ11" s="34">
        <v>2574</v>
      </c>
      <c r="BR11" s="34">
        <f t="shared" si="14"/>
        <v>3676.4214046822744</v>
      </c>
      <c r="BS11" s="34">
        <f t="shared" si="15"/>
        <v>2456.4</v>
      </c>
      <c r="BT11" s="34">
        <f t="shared" si="16"/>
        <v>34.578595317725558</v>
      </c>
      <c r="BU11" s="34">
        <f t="shared" si="17"/>
        <v>3308.6</v>
      </c>
      <c r="BV11" s="25">
        <f t="shared" si="6"/>
        <v>0.7856392134650233</v>
      </c>
      <c r="BW11" s="117">
        <v>1284.2243800000001</v>
      </c>
      <c r="BX11">
        <f t="shared" si="18"/>
        <v>2686</v>
      </c>
      <c r="BY11" s="117">
        <f t="shared" si="19"/>
        <v>2810.7756199999999</v>
      </c>
      <c r="BZ11" s="23">
        <v>1.11937</v>
      </c>
      <c r="CA11" s="23" t="e">
        <f t="shared" si="32"/>
        <v>#REF!</v>
      </c>
      <c r="CB11" s="23" t="e">
        <f t="shared" si="32"/>
        <v>#REF!</v>
      </c>
      <c r="CC11" s="34">
        <v>233645</v>
      </c>
      <c r="CD11" s="75">
        <v>167695.71000000002</v>
      </c>
      <c r="CE11" s="117">
        <v>902916.26</v>
      </c>
      <c r="CF11" s="34">
        <f t="shared" si="8"/>
        <v>1703.8920000000001</v>
      </c>
      <c r="CG11" s="34">
        <f t="shared" si="20"/>
        <v>2007.1079999999999</v>
      </c>
      <c r="CH11" s="25">
        <f t="shared" si="9"/>
        <v>1.6694950644750952</v>
      </c>
      <c r="CI11" s="25">
        <f t="shared" si="21"/>
        <v>1.701771633020152</v>
      </c>
      <c r="CJ11" s="75">
        <f t="shared" si="22"/>
        <v>1073.383</v>
      </c>
      <c r="CK11" s="75">
        <f t="shared" si="23"/>
        <v>1500.617</v>
      </c>
      <c r="CL11" s="25">
        <f t="shared" si="24"/>
        <v>1.5954696998134803</v>
      </c>
      <c r="CM11" s="34">
        <v>92846</v>
      </c>
      <c r="CN11" s="34">
        <v>92846</v>
      </c>
      <c r="CO11" s="34">
        <f t="shared" si="10"/>
        <v>503771.40468227427</v>
      </c>
      <c r="CP11" s="34">
        <f t="shared" si="25"/>
        <v>547300</v>
      </c>
      <c r="CQ11" s="34">
        <f t="shared" si="26"/>
        <v>-454454</v>
      </c>
      <c r="CR11" s="34">
        <f t="shared" si="27"/>
        <v>-410925.40468227427</v>
      </c>
      <c r="CS11" s="36">
        <f t="shared" si="28"/>
        <v>-1.0827939357461489</v>
      </c>
      <c r="CT11" s="36">
        <f t="shared" si="29"/>
        <v>-0.97951596161917487</v>
      </c>
      <c r="CU11" s="225">
        <f t="shared" si="11"/>
        <v>7.9577143431343977E-2</v>
      </c>
      <c r="CV11" s="34">
        <v>802727.82</v>
      </c>
      <c r="CW11" s="117">
        <f>CC11-CE11</f>
        <v>-669271.26</v>
      </c>
      <c r="CX11" s="117">
        <f>CD11-CV11</f>
        <v>-635032.10999999987</v>
      </c>
      <c r="CY11" s="23">
        <v>-1.4953799999999999</v>
      </c>
      <c r="CZ11" s="23" t="e">
        <f t="shared" si="33"/>
        <v>#REF!</v>
      </c>
      <c r="DA11" s="23" t="e">
        <f t="shared" si="33"/>
        <v>#REF!</v>
      </c>
      <c r="DB11" s="25">
        <f t="shared" si="30"/>
        <v>0.5879454055136315</v>
      </c>
      <c r="DC11" s="25">
        <f t="shared" si="31"/>
        <v>0.5654754352404181</v>
      </c>
    </row>
    <row r="12" spans="1:107" x14ac:dyDescent="0.25">
      <c r="A12" s="7" t="s">
        <v>60</v>
      </c>
      <c r="B12" s="7" t="s">
        <v>63</v>
      </c>
      <c r="C12" s="10">
        <f t="shared" si="0"/>
        <v>26</v>
      </c>
      <c r="D12">
        <v>0</v>
      </c>
      <c r="E12">
        <v>0</v>
      </c>
      <c r="F12" s="8">
        <v>12</v>
      </c>
      <c r="G12" s="8">
        <v>14</v>
      </c>
      <c r="H12">
        <v>0</v>
      </c>
      <c r="I12" s="92">
        <v>98.5</v>
      </c>
      <c r="J12" s="15">
        <v>78.5</v>
      </c>
      <c r="K12" s="93">
        <f t="shared" si="1"/>
        <v>3.7884615384615383</v>
      </c>
      <c r="L12" s="96">
        <v>3.0192307692307692</v>
      </c>
      <c r="M12" s="96" t="e">
        <f>L12/L29</f>
        <v>#DIV/0!</v>
      </c>
      <c r="N12" s="97" t="e">
        <f>K12/K29</f>
        <v>#DIV/0!</v>
      </c>
      <c r="O12" s="75">
        <v>68400</v>
      </c>
      <c r="P12" s="34">
        <v>35000</v>
      </c>
      <c r="Q12" s="34">
        <f t="shared" si="2"/>
        <v>2630.7692307692309</v>
      </c>
      <c r="R12" s="75">
        <f t="shared" si="3"/>
        <v>1346.1538461538462</v>
      </c>
      <c r="S12" s="23" t="e">
        <f>R12/R29</f>
        <v>#DIV/0!</v>
      </c>
      <c r="T12" s="23" t="e">
        <f>Q12/Q29</f>
        <v>#DIV/0!</v>
      </c>
      <c r="U12" s="23" t="e">
        <f t="shared" si="4"/>
        <v>#DIV/0!</v>
      </c>
      <c r="V12" s="23" t="e">
        <f t="shared" si="5"/>
        <v>#DIV/0!</v>
      </c>
      <c r="W12" s="26" t="e">
        <f>(0.6*CA12)+(0.4*CZ12)</f>
        <v>#REF!</v>
      </c>
      <c r="X12" s="23">
        <v>-0.318</v>
      </c>
      <c r="Y12" s="217">
        <v>32</v>
      </c>
      <c r="Z12" s="26">
        <v>-0.23046572487570954</v>
      </c>
      <c r="AA12" s="26" t="e">
        <f>(0.6*CB12)+(0.4*DA12)</f>
        <v>#REF!</v>
      </c>
      <c r="AB12" s="37"/>
      <c r="AC12" s="37"/>
      <c r="AD12" s="37"/>
      <c r="AE12" s="37"/>
      <c r="AF12" s="36"/>
      <c r="AG12" s="37"/>
      <c r="AH12" s="59"/>
      <c r="AI12" s="36"/>
      <c r="AJ12" s="37"/>
      <c r="AK12" s="60"/>
      <c r="AL12" s="262"/>
      <c r="AM12" s="60"/>
      <c r="AN12" s="60"/>
      <c r="AO12" s="60"/>
      <c r="AP12" s="36"/>
      <c r="AQ12" s="305"/>
      <c r="AR12" s="37"/>
      <c r="AS12" s="36"/>
      <c r="AT12" s="36"/>
      <c r="AU12" s="36"/>
      <c r="AX12" s="26"/>
      <c r="AY12" s="26"/>
      <c r="AZ12" s="26"/>
      <c r="BA12" s="26"/>
      <c r="BB12" s="26"/>
      <c r="BC12" s="26"/>
      <c r="BD12" s="26"/>
      <c r="BE12" s="16"/>
      <c r="BF12" s="16"/>
      <c r="BG12" s="16"/>
      <c r="BK12">
        <v>197</v>
      </c>
      <c r="BL12">
        <v>197</v>
      </c>
      <c r="BM12">
        <f t="shared" si="13"/>
        <v>0</v>
      </c>
      <c r="BN12">
        <v>159</v>
      </c>
      <c r="BO12" s="34">
        <v>669</v>
      </c>
      <c r="BP12" s="34">
        <v>767</v>
      </c>
      <c r="BQ12" s="34">
        <v>315</v>
      </c>
      <c r="BR12" s="34">
        <f t="shared" si="14"/>
        <v>1176.4548494983278</v>
      </c>
      <c r="BS12" s="34">
        <f t="shared" si="15"/>
        <v>786.048</v>
      </c>
      <c r="BT12" s="34">
        <f t="shared" si="16"/>
        <v>-507.4548494983278</v>
      </c>
      <c r="BU12" s="34">
        <f t="shared" si="17"/>
        <v>-19.048000000000002</v>
      </c>
      <c r="BV12" s="23">
        <f t="shared" si="6"/>
        <v>0.12327363852459056</v>
      </c>
      <c r="BW12" s="117">
        <v>149.06175999999999</v>
      </c>
      <c r="BX12">
        <f t="shared" si="18"/>
        <v>38</v>
      </c>
      <c r="BY12" s="117">
        <f t="shared" si="19"/>
        <v>47.938240000000008</v>
      </c>
      <c r="BZ12" s="23">
        <v>-0.50165999999999999</v>
      </c>
      <c r="CA12" s="23" t="e">
        <f t="shared" si="32"/>
        <v>#REF!</v>
      </c>
      <c r="CB12" s="23" t="e">
        <f t="shared" si="32"/>
        <v>#REF!</v>
      </c>
      <c r="CC12" s="34">
        <v>68400</v>
      </c>
      <c r="CD12" s="75">
        <v>68400</v>
      </c>
      <c r="CE12" s="117">
        <v>123462.48</v>
      </c>
      <c r="CF12" s="34">
        <f t="shared" si="8"/>
        <v>545.24544000000003</v>
      </c>
      <c r="CG12" s="34">
        <f t="shared" si="20"/>
        <v>123.75455999999997</v>
      </c>
      <c r="CH12" s="26">
        <f t="shared" si="9"/>
        <v>-0.25658044227335453</v>
      </c>
      <c r="CI12" s="26">
        <f t="shared" si="21"/>
        <v>-0.39511403744852613</v>
      </c>
      <c r="CJ12" s="75">
        <f t="shared" si="22"/>
        <v>343.48255999999998</v>
      </c>
      <c r="CK12" s="75">
        <f t="shared" si="23"/>
        <v>-28.482559999999978</v>
      </c>
      <c r="CL12" s="26">
        <f t="shared" si="24"/>
        <v>-0.43561978062004758</v>
      </c>
      <c r="CM12" s="34">
        <v>33400</v>
      </c>
      <c r="CN12" s="34">
        <v>33400</v>
      </c>
      <c r="CO12" s="34">
        <f t="shared" si="10"/>
        <v>161206.84949832776</v>
      </c>
      <c r="CP12" s="34">
        <f t="shared" si="25"/>
        <v>175136</v>
      </c>
      <c r="CQ12" s="34">
        <f t="shared" si="26"/>
        <v>-141736</v>
      </c>
      <c r="CR12" s="34">
        <f t="shared" si="27"/>
        <v>-127806.84949832776</v>
      </c>
      <c r="CS12" s="36">
        <f t="shared" si="28"/>
        <v>-0.36513678351085255</v>
      </c>
      <c r="CT12" s="36">
        <f t="shared" si="29"/>
        <v>-0.30465103315933251</v>
      </c>
      <c r="CU12" s="240">
        <f t="shared" si="11"/>
        <v>-4.7896230148978675E-2</v>
      </c>
      <c r="CV12" s="34">
        <v>147299.82</v>
      </c>
      <c r="CW12" s="117">
        <f>CC12-CE12</f>
        <v>-55062.479999999996</v>
      </c>
      <c r="CX12" s="117">
        <f>CD12-CV12</f>
        <v>-78899.820000000007</v>
      </c>
      <c r="CY12" s="23">
        <v>-9.5850000000000005E-2</v>
      </c>
      <c r="CZ12" s="23" t="e">
        <f t="shared" si="33"/>
        <v>#REF!</v>
      </c>
      <c r="DA12" s="23" t="e">
        <f t="shared" si="33"/>
        <v>#REF!</v>
      </c>
      <c r="DB12" s="23">
        <f t="shared" si="30"/>
        <v>-0.3831231358734567</v>
      </c>
      <c r="DC12" s="23">
        <f t="shared" si="31"/>
        <v>-0.38323228163576151</v>
      </c>
    </row>
    <row r="13" spans="1:107" x14ac:dyDescent="0.25">
      <c r="A13" s="9" t="s">
        <v>60</v>
      </c>
      <c r="B13" s="9" t="s">
        <v>67</v>
      </c>
      <c r="C13" s="32">
        <f t="shared" si="0"/>
        <v>3</v>
      </c>
      <c r="D13">
        <v>0</v>
      </c>
      <c r="E13">
        <v>0</v>
      </c>
      <c r="F13" s="8">
        <v>3</v>
      </c>
      <c r="G13" s="8">
        <v>0</v>
      </c>
      <c r="H13">
        <v>0</v>
      </c>
      <c r="I13" s="92">
        <v>0</v>
      </c>
      <c r="J13" s="15">
        <v>0</v>
      </c>
      <c r="K13" s="93">
        <f t="shared" si="1"/>
        <v>0</v>
      </c>
      <c r="L13" s="96">
        <v>0</v>
      </c>
      <c r="M13" s="96">
        <v>0</v>
      </c>
      <c r="N13" s="97">
        <v>0</v>
      </c>
      <c r="O13" s="75">
        <v>0</v>
      </c>
      <c r="P13" s="34">
        <v>0</v>
      </c>
      <c r="Q13" s="34">
        <f t="shared" si="2"/>
        <v>0</v>
      </c>
      <c r="R13" s="75">
        <f t="shared" si="3"/>
        <v>0</v>
      </c>
      <c r="S13" s="23">
        <v>0</v>
      </c>
      <c r="T13" s="23">
        <v>0</v>
      </c>
      <c r="U13" s="23">
        <f t="shared" si="4"/>
        <v>0</v>
      </c>
      <c r="V13" s="23">
        <f t="shared" si="5"/>
        <v>0</v>
      </c>
      <c r="W13" s="23"/>
      <c r="X13" s="23"/>
      <c r="Y13" s="217">
        <v>7</v>
      </c>
      <c r="Z13" s="26">
        <v>-0.10697360730755354</v>
      </c>
      <c r="AA13" s="26"/>
      <c r="AB13" s="37"/>
      <c r="AC13" s="37"/>
      <c r="AD13" s="37"/>
      <c r="AE13" s="37"/>
      <c r="AF13" s="36"/>
      <c r="AG13" s="37"/>
      <c r="AH13" s="59"/>
      <c r="AI13" s="36"/>
      <c r="AJ13" s="37"/>
      <c r="AK13" s="60"/>
      <c r="AL13" s="262"/>
      <c r="AM13" s="60"/>
      <c r="AN13" s="60"/>
      <c r="AO13" s="60"/>
      <c r="AP13" s="36"/>
      <c r="AQ13" s="305"/>
      <c r="AR13" s="37"/>
      <c r="AS13" s="36"/>
      <c r="AT13" s="36"/>
      <c r="AU13" s="36"/>
      <c r="AX13" s="26"/>
      <c r="AY13" s="26"/>
      <c r="AZ13" s="26"/>
      <c r="BA13" s="26"/>
      <c r="BB13" s="26"/>
      <c r="BC13" s="26"/>
      <c r="BD13" s="26"/>
      <c r="BE13" s="303"/>
      <c r="BF13" s="16"/>
      <c r="BG13" s="16"/>
      <c r="BH13" s="26"/>
      <c r="BO13" s="34">
        <v>93</v>
      </c>
      <c r="BP13" s="34">
        <v>98</v>
      </c>
      <c r="BQ13" s="34">
        <v>36</v>
      </c>
      <c r="BR13" s="34">
        <f t="shared" si="14"/>
        <v>257.34949832775919</v>
      </c>
      <c r="BS13" s="34">
        <f t="shared" si="15"/>
        <v>171.94800000000001</v>
      </c>
      <c r="BT13" s="34">
        <f t="shared" si="16"/>
        <v>-164.34949832775919</v>
      </c>
      <c r="BU13" s="34">
        <f t="shared" si="17"/>
        <v>-73.948000000000008</v>
      </c>
      <c r="BV13" s="23">
        <f t="shared" si="6"/>
        <v>0.54254882415516914</v>
      </c>
      <c r="CC13" s="34"/>
      <c r="CD13" s="75">
        <v>0</v>
      </c>
      <c r="CE13" s="117"/>
      <c r="CF13" s="34">
        <f t="shared" si="8"/>
        <v>119.27244</v>
      </c>
      <c r="CG13" s="34">
        <f t="shared" si="20"/>
        <v>-26.272440000000003</v>
      </c>
      <c r="CH13" s="26">
        <f t="shared" si="9"/>
        <v>-0.410010660900268</v>
      </c>
      <c r="CI13" s="26">
        <f t="shared" si="21"/>
        <v>-0.42970874918147695</v>
      </c>
      <c r="CJ13" s="75">
        <f t="shared" si="22"/>
        <v>75.136809999999997</v>
      </c>
      <c r="CK13" s="75">
        <f t="shared" si="23"/>
        <v>-39.136809999999997</v>
      </c>
      <c r="CL13" s="26">
        <f t="shared" si="24"/>
        <v>-0.44977172707467145</v>
      </c>
      <c r="CM13" s="34">
        <v>0</v>
      </c>
      <c r="CN13" s="34">
        <v>0</v>
      </c>
      <c r="CO13" s="34">
        <f t="shared" si="10"/>
        <v>35263.998327759196</v>
      </c>
      <c r="CP13" s="34">
        <f t="shared" si="25"/>
        <v>38311</v>
      </c>
      <c r="CQ13" s="34">
        <f t="shared" si="26"/>
        <v>-38311</v>
      </c>
      <c r="CR13" s="34">
        <f t="shared" si="27"/>
        <v>-35263.998327759196</v>
      </c>
      <c r="CS13" s="36">
        <f t="shared" si="28"/>
        <v>-0.12778654793139918</v>
      </c>
      <c r="CT13" s="36">
        <f t="shared" si="29"/>
        <v>-8.4058198492885761E-2</v>
      </c>
      <c r="CU13" s="240">
        <f t="shared" si="11"/>
        <v>0.29190601509594716</v>
      </c>
      <c r="CW13" s="117"/>
      <c r="CX13" s="117"/>
      <c r="CZ13" s="23"/>
      <c r="DA13" s="23"/>
      <c r="DB13" s="23">
        <f t="shared" si="30"/>
        <v>-0.3089398686814458</v>
      </c>
      <c r="DC13" s="23">
        <f t="shared" si="31"/>
        <v>-0.30348631564195716</v>
      </c>
    </row>
    <row r="14" spans="1:107" x14ac:dyDescent="0.25">
      <c r="A14" s="9" t="s">
        <v>80</v>
      </c>
      <c r="B14" s="9" t="s">
        <v>81</v>
      </c>
      <c r="C14" s="10">
        <f t="shared" si="0"/>
        <v>28</v>
      </c>
      <c r="D14">
        <v>0</v>
      </c>
      <c r="E14">
        <v>0</v>
      </c>
      <c r="F14">
        <v>0</v>
      </c>
      <c r="G14">
        <v>28</v>
      </c>
      <c r="H14">
        <v>0</v>
      </c>
      <c r="I14" s="92">
        <v>111.5</v>
      </c>
      <c r="J14" s="15">
        <v>120</v>
      </c>
      <c r="K14" s="93">
        <f>I14/C14</f>
        <v>3.9821428571428572</v>
      </c>
      <c r="L14" s="96">
        <v>4.2857142857142856</v>
      </c>
      <c r="M14" s="96" t="e">
        <f>L14/L29</f>
        <v>#DIV/0!</v>
      </c>
      <c r="N14" s="97" t="e">
        <f>K14/K29</f>
        <v>#DIV/0!</v>
      </c>
      <c r="O14" s="75">
        <v>5912</v>
      </c>
      <c r="P14" s="34">
        <v>160321</v>
      </c>
      <c r="Q14" s="34">
        <f t="shared" si="2"/>
        <v>211.14285714285714</v>
      </c>
      <c r="R14" s="75">
        <f t="shared" si="3"/>
        <v>5725.75</v>
      </c>
      <c r="S14" s="23" t="e">
        <f>R14/R29</f>
        <v>#DIV/0!</v>
      </c>
      <c r="T14" s="23" t="e">
        <f>Q14/Q29</f>
        <v>#DIV/0!</v>
      </c>
      <c r="U14" s="23" t="e">
        <f t="shared" si="4"/>
        <v>#DIV/0!</v>
      </c>
      <c r="V14" s="23" t="e">
        <f t="shared" si="5"/>
        <v>#DIV/0!</v>
      </c>
      <c r="W14" s="26" t="e">
        <f>(0.6*CA14)+(0.4*CZ14)</f>
        <v>#REF!</v>
      </c>
      <c r="X14" s="23">
        <v>-0.16800000000000001</v>
      </c>
      <c r="Y14" s="217">
        <v>24</v>
      </c>
      <c r="Z14" s="26">
        <v>-0.42892277630941106</v>
      </c>
      <c r="AA14" s="26" t="e">
        <f>(0.6*CB14)+(0.4*DA14)</f>
        <v>#REF!</v>
      </c>
      <c r="AB14" s="37"/>
      <c r="AC14" s="37"/>
      <c r="AD14" s="37"/>
      <c r="AE14" s="37"/>
      <c r="AF14" s="36"/>
      <c r="AG14" s="37"/>
      <c r="AH14" s="59"/>
      <c r="AI14" s="36"/>
      <c r="AJ14" s="37"/>
      <c r="AK14" s="60"/>
      <c r="AL14" s="262"/>
      <c r="AM14" s="60"/>
      <c r="AN14" s="60"/>
      <c r="AO14" s="60"/>
      <c r="AP14" s="36"/>
      <c r="AQ14" s="305"/>
      <c r="AR14" s="37"/>
      <c r="AS14" s="36"/>
      <c r="AT14" s="36"/>
      <c r="AU14" s="36"/>
      <c r="AX14" s="26"/>
      <c r="AY14" s="26"/>
      <c r="AZ14" s="26"/>
      <c r="BA14" s="26"/>
      <c r="BB14" s="26"/>
      <c r="BC14" s="26"/>
      <c r="BD14" s="26"/>
      <c r="BE14" s="303"/>
      <c r="BF14" s="16"/>
      <c r="BG14" s="16"/>
      <c r="BH14" s="240"/>
      <c r="BK14">
        <v>223</v>
      </c>
      <c r="BL14">
        <v>223</v>
      </c>
      <c r="BM14">
        <f t="shared" si="13"/>
        <v>0</v>
      </c>
      <c r="BN14">
        <v>171</v>
      </c>
      <c r="BO14" s="34">
        <v>252</v>
      </c>
      <c r="BP14" s="34">
        <v>434</v>
      </c>
      <c r="BQ14" s="34">
        <v>135</v>
      </c>
      <c r="BR14" s="34">
        <f t="shared" si="14"/>
        <v>882.34113712374585</v>
      </c>
      <c r="BS14" s="34">
        <f t="shared" si="15"/>
        <v>589.53600000000006</v>
      </c>
      <c r="BT14" s="34">
        <f t="shared" si="16"/>
        <v>-630.34113712374585</v>
      </c>
      <c r="BU14" s="34">
        <f t="shared" si="17"/>
        <v>-155.53600000000006</v>
      </c>
      <c r="BV14" s="23">
        <f t="shared" si="6"/>
        <v>-2.6893564871738919E-2</v>
      </c>
      <c r="BW14" s="117">
        <v>160.52805000000001</v>
      </c>
      <c r="BX14">
        <f t="shared" si="18"/>
        <v>52</v>
      </c>
      <c r="BY14" s="117">
        <f t="shared" si="19"/>
        <v>62.471949999999993</v>
      </c>
      <c r="BZ14" s="23">
        <v>-0.49323</v>
      </c>
      <c r="CA14" s="23" t="e">
        <f>(BX14-BX$28)/BX$29</f>
        <v>#REF!</v>
      </c>
      <c r="CB14" s="23" t="e">
        <f>(BY14-BY$28)/BY$29</f>
        <v>#REF!</v>
      </c>
      <c r="CC14" s="34">
        <v>5912</v>
      </c>
      <c r="CD14" s="75">
        <v>5912</v>
      </c>
      <c r="CE14" s="117">
        <v>132211.99</v>
      </c>
      <c r="CF14" s="34">
        <f t="shared" si="8"/>
        <v>408.93407999999999</v>
      </c>
      <c r="CG14" s="34">
        <f t="shared" si="20"/>
        <v>-156.93407999999999</v>
      </c>
      <c r="CH14" s="26">
        <f t="shared" si="9"/>
        <v>-0.54363623490595414</v>
      </c>
      <c r="CI14" s="26">
        <f t="shared" si="21"/>
        <v>-0.48112064974373553</v>
      </c>
      <c r="CJ14" s="75">
        <f t="shared" si="22"/>
        <v>257.61192</v>
      </c>
      <c r="CK14" s="75">
        <f t="shared" si="23"/>
        <v>-122.61192</v>
      </c>
      <c r="CL14" s="26">
        <f t="shared" si="24"/>
        <v>-0.56065098061329099</v>
      </c>
      <c r="CM14" s="34">
        <v>0</v>
      </c>
      <c r="CN14" s="34">
        <v>0</v>
      </c>
      <c r="CO14" s="34">
        <f t="shared" si="10"/>
        <v>120905.13712374582</v>
      </c>
      <c r="CP14" s="34">
        <f t="shared" si="25"/>
        <v>131352</v>
      </c>
      <c r="CQ14" s="34">
        <f t="shared" si="26"/>
        <v>-131352</v>
      </c>
      <c r="CR14" s="34">
        <f t="shared" si="27"/>
        <v>-120905.13712374582</v>
      </c>
      <c r="CS14" s="36">
        <f t="shared" si="28"/>
        <v>-0.34130652152142016</v>
      </c>
      <c r="CT14" s="36">
        <f t="shared" si="29"/>
        <v>-0.28819953768989409</v>
      </c>
      <c r="CU14" s="240">
        <f t="shared" si="11"/>
        <v>-0.131415953999001</v>
      </c>
      <c r="CV14" s="34">
        <v>156150.01999999999</v>
      </c>
      <c r="CW14" s="117">
        <f>CC14-CE14</f>
        <v>-126299.98999999999</v>
      </c>
      <c r="CX14" s="117">
        <f>CD14-CV14</f>
        <v>-150238.01999999999</v>
      </c>
      <c r="CY14" s="23">
        <v>-0.25817000000000001</v>
      </c>
      <c r="CZ14" s="23" t="e">
        <f>(CW14-CW$28)/CW$29</f>
        <v>#REF!</v>
      </c>
      <c r="DA14" s="23" t="e">
        <f>(CX14-CX$28)/CX$29</f>
        <v>#REF!</v>
      </c>
      <c r="DB14" s="23">
        <f t="shared" si="30"/>
        <v>-0.4251949984548094</v>
      </c>
      <c r="DC14" s="23">
        <f t="shared" si="31"/>
        <v>-0.45167040344393222</v>
      </c>
    </row>
    <row r="15" spans="1:107" x14ac:dyDescent="0.25">
      <c r="A15" s="7" t="s">
        <v>92</v>
      </c>
      <c r="B15" s="239" t="s">
        <v>93</v>
      </c>
      <c r="C15" s="10">
        <v>0</v>
      </c>
      <c r="I15" s="92"/>
      <c r="J15" s="15"/>
      <c r="K15" s="93"/>
      <c r="L15" s="96"/>
      <c r="M15" s="96"/>
      <c r="N15" s="97"/>
      <c r="O15" s="75"/>
      <c r="P15" s="34"/>
      <c r="Q15" s="34"/>
      <c r="R15" s="75"/>
      <c r="S15" s="23"/>
      <c r="T15" s="23"/>
      <c r="U15" s="23"/>
      <c r="V15" s="23"/>
      <c r="W15" s="26"/>
      <c r="X15" s="23"/>
      <c r="Y15" s="217">
        <v>7</v>
      </c>
      <c r="Z15" s="26">
        <v>-0.14787977351807094</v>
      </c>
      <c r="AA15" s="26"/>
      <c r="AB15" s="37"/>
      <c r="AC15" s="37"/>
      <c r="AD15" s="37"/>
      <c r="AE15" s="37"/>
      <c r="AF15" s="36"/>
      <c r="AG15" s="37"/>
      <c r="AH15" s="59"/>
      <c r="AI15" s="36"/>
      <c r="AJ15" s="37"/>
      <c r="AK15" s="60"/>
      <c r="AL15" s="262"/>
      <c r="AM15" s="60"/>
      <c r="AN15" s="60"/>
      <c r="AO15" s="60"/>
      <c r="AP15" s="36"/>
      <c r="AQ15" s="305"/>
      <c r="AR15" s="37"/>
      <c r="AS15" s="36"/>
      <c r="AT15" s="36"/>
      <c r="AU15" s="36"/>
      <c r="AX15" s="26"/>
      <c r="AY15" s="26"/>
      <c r="AZ15" s="26"/>
      <c r="BA15" s="26"/>
      <c r="BB15" s="26"/>
      <c r="BC15" s="26"/>
      <c r="BD15" s="26"/>
      <c r="BE15" s="303"/>
      <c r="BF15" s="16"/>
      <c r="BG15" s="16"/>
      <c r="BH15" s="134"/>
      <c r="BO15" s="34">
        <v>49</v>
      </c>
      <c r="BP15" s="34">
        <v>58</v>
      </c>
      <c r="BQ15" s="34">
        <v>29</v>
      </c>
      <c r="BR15" s="34">
        <f t="shared" si="14"/>
        <v>257.34949832775919</v>
      </c>
      <c r="BS15" s="34">
        <f t="shared" si="15"/>
        <v>171.94800000000001</v>
      </c>
      <c r="BT15" s="34">
        <f>BO15-BR15</f>
        <v>-208.34949832775919</v>
      </c>
      <c r="BU15" s="34">
        <f t="shared" si="17"/>
        <v>-113.94800000000001</v>
      </c>
      <c r="BV15" s="23">
        <f t="shared" si="6"/>
        <v>0.48878076689576982</v>
      </c>
      <c r="BW15" s="117"/>
      <c r="BY15" s="117"/>
      <c r="BZ15" s="23"/>
      <c r="CA15" s="23"/>
      <c r="CB15" s="23"/>
      <c r="CC15" s="34"/>
      <c r="CD15" s="75"/>
      <c r="CE15" s="117"/>
      <c r="CF15" s="34">
        <f t="shared" si="8"/>
        <v>119.27244</v>
      </c>
      <c r="CG15" s="34">
        <f>BO15-CF15</f>
        <v>-70.272440000000003</v>
      </c>
      <c r="CH15" s="26">
        <f t="shared" si="9"/>
        <v>-0.45500875870655749</v>
      </c>
      <c r="CI15" s="26">
        <f t="shared" si="21"/>
        <v>-0.45491436793043932</v>
      </c>
      <c r="CJ15" s="75">
        <f t="shared" si="22"/>
        <v>75.136809999999997</v>
      </c>
      <c r="CK15" s="75">
        <f t="shared" si="23"/>
        <v>-46.136809999999997</v>
      </c>
      <c r="CL15" s="26">
        <f t="shared" si="24"/>
        <v>-0.4590697654332952</v>
      </c>
      <c r="CM15" s="34">
        <v>0</v>
      </c>
      <c r="CN15" s="34">
        <v>0</v>
      </c>
      <c r="CO15" s="34">
        <f t="shared" si="10"/>
        <v>35263.998327759196</v>
      </c>
      <c r="CP15" s="34">
        <f t="shared" si="25"/>
        <v>38311</v>
      </c>
      <c r="CQ15" s="34">
        <f t="shared" si="26"/>
        <v>-38311</v>
      </c>
      <c r="CR15" s="34">
        <f>CM15-CO15</f>
        <v>-35263.998327759196</v>
      </c>
      <c r="CS15" s="36">
        <f t="shared" si="28"/>
        <v>-0.12778654793139918</v>
      </c>
      <c r="CT15" s="36">
        <f t="shared" si="29"/>
        <v>-8.4058198492885761E-2</v>
      </c>
      <c r="CU15" s="240">
        <f t="shared" si="11"/>
        <v>0.25964518074030757</v>
      </c>
      <c r="CV15" s="34"/>
      <c r="CW15" s="117"/>
      <c r="CX15" s="117"/>
      <c r="CY15" s="23"/>
      <c r="CZ15" s="23"/>
      <c r="DA15" s="23"/>
      <c r="DB15" s="23">
        <f t="shared" si="30"/>
        <v>-0.32406323993082325</v>
      </c>
      <c r="DC15" s="23">
        <f t="shared" si="31"/>
        <v>-0.30906513865713142</v>
      </c>
    </row>
    <row r="16" spans="1:107" x14ac:dyDescent="0.25">
      <c r="A16" s="7" t="s">
        <v>92</v>
      </c>
      <c r="B16" s="7" t="s">
        <v>87</v>
      </c>
      <c r="C16" s="10">
        <f t="shared" si="0"/>
        <v>10</v>
      </c>
      <c r="D16" s="11">
        <v>0</v>
      </c>
      <c r="E16" s="11">
        <v>7</v>
      </c>
      <c r="F16" s="11">
        <v>0</v>
      </c>
      <c r="G16" s="11">
        <v>0</v>
      </c>
      <c r="H16" s="11">
        <v>3</v>
      </c>
      <c r="I16" s="98">
        <v>6.5</v>
      </c>
      <c r="J16" s="38">
        <v>8.5</v>
      </c>
      <c r="K16" s="93">
        <f t="shared" ref="K16:K27" si="35">I16/C16</f>
        <v>0.65</v>
      </c>
      <c r="L16" s="96">
        <v>0.85</v>
      </c>
      <c r="M16" s="96" t="e">
        <f>L16/L29</f>
        <v>#DIV/0!</v>
      </c>
      <c r="N16" s="97" t="e">
        <f>K16/K29</f>
        <v>#DIV/0!</v>
      </c>
      <c r="O16" s="75">
        <v>0</v>
      </c>
      <c r="P16" s="34">
        <v>0</v>
      </c>
      <c r="Q16" s="34">
        <f t="shared" si="2"/>
        <v>0</v>
      </c>
      <c r="R16" s="75">
        <f t="shared" si="3"/>
        <v>0</v>
      </c>
      <c r="S16" s="23" t="e">
        <f>R16/R29</f>
        <v>#DIV/0!</v>
      </c>
      <c r="T16" s="23" t="e">
        <f>Q16/Q29</f>
        <v>#DIV/0!</v>
      </c>
      <c r="U16" s="23" t="e">
        <f t="shared" si="4"/>
        <v>#DIV/0!</v>
      </c>
      <c r="V16" s="23" t="e">
        <f t="shared" si="5"/>
        <v>#DIV/0!</v>
      </c>
      <c r="W16" s="26" t="e">
        <f t="shared" ref="W16:W26" si="36">(0.6*CA16)+(0.4*CZ16)</f>
        <v>#REF!</v>
      </c>
      <c r="X16" s="23">
        <v>-0.379</v>
      </c>
      <c r="Y16" s="217">
        <v>9</v>
      </c>
      <c r="Z16" s="26">
        <v>-0.2394044739521366</v>
      </c>
      <c r="AA16" s="26" t="e">
        <f t="shared" ref="AA16:AA26" si="37">(0.6*CB16)+(0.4*DA16)</f>
        <v>#REF!</v>
      </c>
      <c r="AB16" s="37"/>
      <c r="AC16" s="37"/>
      <c r="AD16" s="37"/>
      <c r="AE16" s="37"/>
      <c r="AF16" s="36"/>
      <c r="AG16" s="37"/>
      <c r="AH16" s="59"/>
      <c r="AI16" s="36"/>
      <c r="AJ16" s="37"/>
      <c r="AK16" s="60"/>
      <c r="AL16" s="262"/>
      <c r="AM16" s="60"/>
      <c r="AN16" s="60"/>
      <c r="AO16" s="60"/>
      <c r="AP16" s="36"/>
      <c r="AQ16" s="305"/>
      <c r="AR16" s="37"/>
      <c r="AS16" s="36"/>
      <c r="AT16" s="36"/>
      <c r="AU16" s="36"/>
      <c r="AX16" s="26"/>
      <c r="AY16" s="26"/>
      <c r="AZ16" s="26"/>
      <c r="BA16" s="26"/>
      <c r="BB16" s="26"/>
      <c r="BC16" s="26"/>
      <c r="BD16" s="26"/>
      <c r="BE16" s="303"/>
      <c r="BF16" s="16"/>
      <c r="BG16" s="16"/>
      <c r="BH16" s="134"/>
      <c r="BK16">
        <v>13</v>
      </c>
      <c r="BL16">
        <v>13</v>
      </c>
      <c r="BM16">
        <f t="shared" si="13"/>
        <v>0</v>
      </c>
      <c r="BN16">
        <v>61</v>
      </c>
      <c r="BO16" s="34">
        <v>10</v>
      </c>
      <c r="BP16" s="34">
        <v>23</v>
      </c>
      <c r="BQ16" s="34">
        <v>6</v>
      </c>
      <c r="BR16" s="34">
        <f t="shared" si="14"/>
        <v>330.87792642140471</v>
      </c>
      <c r="BS16" s="34">
        <f t="shared" si="15"/>
        <v>221.07599999999999</v>
      </c>
      <c r="BT16" s="34">
        <f t="shared" ref="BT16:BT17" si="38">BO16-BR16</f>
        <v>-320.87792642140471</v>
      </c>
      <c r="BU16" s="34">
        <f t="shared" si="17"/>
        <v>-198.07599999999999</v>
      </c>
      <c r="BV16" s="23">
        <f t="shared" si="6"/>
        <v>0.35127088132646672</v>
      </c>
      <c r="BW16" s="117">
        <v>57.331449999999997</v>
      </c>
      <c r="BX16">
        <f t="shared" si="18"/>
        <v>-48</v>
      </c>
      <c r="BY16" s="117">
        <f t="shared" si="19"/>
        <v>-44.331449999999997</v>
      </c>
      <c r="BZ16" s="23">
        <v>-0.55439000000000005</v>
      </c>
      <c r="CA16" s="23" t="e">
        <f t="shared" ref="CA16:CA26" si="39">(BX16-BX$28)/BX$29</f>
        <v>#REF!</v>
      </c>
      <c r="CB16" s="23" t="e">
        <f t="shared" ref="CB16:CB26" si="40">(BY16-BY$28)/BY$29</f>
        <v>#REF!</v>
      </c>
      <c r="CC16" s="34">
        <v>0</v>
      </c>
      <c r="CD16" s="75">
        <v>0</v>
      </c>
      <c r="CE16" s="117">
        <v>51066.46</v>
      </c>
      <c r="CF16" s="34">
        <f t="shared" si="8"/>
        <v>153.35028</v>
      </c>
      <c r="CG16" s="34">
        <f t="shared" ref="CG16:CG17" si="41">BO16-CF16</f>
        <v>-143.35028</v>
      </c>
      <c r="CH16" s="26">
        <f t="shared" si="9"/>
        <v>-0.5297442994291115</v>
      </c>
      <c r="CI16" s="26">
        <f t="shared" si="21"/>
        <v>-0.50792682528325694</v>
      </c>
      <c r="CJ16" s="75">
        <f t="shared" si="22"/>
        <v>96.604469999999992</v>
      </c>
      <c r="CK16" s="75">
        <f t="shared" si="23"/>
        <v>-90.604469999999992</v>
      </c>
      <c r="CL16" s="26">
        <f t="shared" si="24"/>
        <v>-0.51813576663304362</v>
      </c>
      <c r="CM16" s="34">
        <v>0</v>
      </c>
      <c r="CN16" s="34">
        <v>0</v>
      </c>
      <c r="CO16" s="34">
        <f t="shared" si="10"/>
        <v>45339.426421404685</v>
      </c>
      <c r="CP16" s="34">
        <f t="shared" si="25"/>
        <v>49257</v>
      </c>
      <c r="CQ16" s="34">
        <f t="shared" si="26"/>
        <v>-49257</v>
      </c>
      <c r="CR16" s="34">
        <f t="shared" ref="CR16:CR17" si="42">CM16-CO16</f>
        <v>-45339.426421404685</v>
      </c>
      <c r="CS16" s="36">
        <f t="shared" si="28"/>
        <v>-0.15290654482434282</v>
      </c>
      <c r="CT16" s="36">
        <f t="shared" si="29"/>
        <v>-0.10807482663371028</v>
      </c>
      <c r="CU16" s="240">
        <f t="shared" si="11"/>
        <v>0.16753259814239591</v>
      </c>
      <c r="CV16" s="34">
        <v>69419.72</v>
      </c>
      <c r="CW16" s="117">
        <f t="shared" ref="CW16:CW26" si="43">CC16-CE16</f>
        <v>-51066.46</v>
      </c>
      <c r="CX16" s="117">
        <f t="shared" ref="CX16:CX26" si="44">CD16-CV16</f>
        <v>-69419.72</v>
      </c>
      <c r="CY16" s="23">
        <v>-8.6749999999999994E-2</v>
      </c>
      <c r="CZ16" s="23" t="e">
        <f t="shared" ref="CZ16:CZ26" si="45">(CW16-CW$28)/CW$29</f>
        <v>#REF!</v>
      </c>
      <c r="DA16" s="23" t="e">
        <f t="shared" ref="DA16:DA26" si="46">(CX16-CX$28)/CX$29</f>
        <v>#REF!</v>
      </c>
      <c r="DB16" s="23">
        <f t="shared" si="30"/>
        <v>-0.36591871309969132</v>
      </c>
      <c r="DC16" s="23">
        <f t="shared" si="31"/>
        <v>-0.35411139063331026</v>
      </c>
    </row>
    <row r="17" spans="1:107" x14ac:dyDescent="0.25">
      <c r="A17" s="9" t="s">
        <v>92</v>
      </c>
      <c r="B17" s="9" t="s">
        <v>97</v>
      </c>
      <c r="C17" s="10">
        <f t="shared" si="0"/>
        <v>18</v>
      </c>
      <c r="D17" s="11">
        <v>18</v>
      </c>
      <c r="E17" s="11">
        <v>0</v>
      </c>
      <c r="F17" s="11">
        <v>0</v>
      </c>
      <c r="G17" s="11">
        <v>0</v>
      </c>
      <c r="H17" s="11">
        <v>0</v>
      </c>
      <c r="I17" s="98">
        <v>64.5</v>
      </c>
      <c r="J17" s="38">
        <v>111.5</v>
      </c>
      <c r="K17" s="93">
        <f t="shared" si="35"/>
        <v>3.5833333333333335</v>
      </c>
      <c r="L17" s="96">
        <v>6.1944444444444446</v>
      </c>
      <c r="M17" s="96" t="e">
        <f>L17/L29</f>
        <v>#DIV/0!</v>
      </c>
      <c r="N17" s="97" t="e">
        <f>K17/K29</f>
        <v>#DIV/0!</v>
      </c>
      <c r="O17" s="75">
        <v>30791</v>
      </c>
      <c r="P17" s="34">
        <v>34620</v>
      </c>
      <c r="Q17" s="34">
        <f t="shared" si="2"/>
        <v>1710.6111111111111</v>
      </c>
      <c r="R17" s="75">
        <f t="shared" si="3"/>
        <v>1923.3333333333333</v>
      </c>
      <c r="S17" s="23" t="e">
        <f>R17/R29</f>
        <v>#DIV/0!</v>
      </c>
      <c r="T17" s="23" t="e">
        <f>Q17/Q29</f>
        <v>#DIV/0!</v>
      </c>
      <c r="U17" s="23" t="e">
        <f t="shared" si="4"/>
        <v>#DIV/0!</v>
      </c>
      <c r="V17" s="23" t="e">
        <f t="shared" si="5"/>
        <v>#DIV/0!</v>
      </c>
      <c r="W17" s="26" t="e">
        <f t="shared" si="36"/>
        <v>#REF!</v>
      </c>
      <c r="X17" s="23">
        <v>-0.24099999999999999</v>
      </c>
      <c r="Y17" s="217">
        <v>19</v>
      </c>
      <c r="Z17" s="26">
        <v>-0.37995497881728202</v>
      </c>
      <c r="AA17" s="26" t="e">
        <f t="shared" si="37"/>
        <v>#REF!</v>
      </c>
      <c r="AB17" s="37"/>
      <c r="AC17" s="37"/>
      <c r="AD17" s="37"/>
      <c r="AE17" s="37"/>
      <c r="AF17" s="36"/>
      <c r="AG17" s="37"/>
      <c r="AH17" s="59"/>
      <c r="AI17" s="36"/>
      <c r="AJ17" s="37"/>
      <c r="AK17" s="60"/>
      <c r="AL17" s="262"/>
      <c r="AM17" s="60"/>
      <c r="AN17" s="60"/>
      <c r="AO17" s="60"/>
      <c r="AP17" s="36"/>
      <c r="AQ17" s="305"/>
      <c r="AR17" s="37"/>
      <c r="AS17" s="36"/>
      <c r="AT17" s="36"/>
      <c r="AU17" s="36"/>
      <c r="AX17" s="26"/>
      <c r="AY17" s="26"/>
      <c r="AZ17" s="26"/>
      <c r="BA17" s="26"/>
      <c r="BB17" s="26"/>
      <c r="BC17" s="26"/>
      <c r="BD17" s="26"/>
      <c r="BE17" s="303"/>
      <c r="BF17" s="16"/>
      <c r="BG17" s="16"/>
      <c r="BH17" s="26"/>
      <c r="BK17">
        <v>129</v>
      </c>
      <c r="BL17">
        <v>129</v>
      </c>
      <c r="BM17">
        <f t="shared" si="13"/>
        <v>0</v>
      </c>
      <c r="BN17">
        <v>110</v>
      </c>
      <c r="BO17" s="34">
        <v>130</v>
      </c>
      <c r="BP17" s="34">
        <v>193</v>
      </c>
      <c r="BQ17" s="34">
        <v>106</v>
      </c>
      <c r="BR17" s="34">
        <f t="shared" si="14"/>
        <v>698.52006688963218</v>
      </c>
      <c r="BS17" s="34">
        <f t="shared" si="15"/>
        <v>466.71600000000001</v>
      </c>
      <c r="BT17" s="34">
        <f t="shared" si="38"/>
        <v>-568.52006688963218</v>
      </c>
      <c r="BU17" s="34">
        <f t="shared" si="17"/>
        <v>-273.71600000000001</v>
      </c>
      <c r="BV17" s="23">
        <f t="shared" si="6"/>
        <v>4.8651863405196852E-2</v>
      </c>
      <c r="BW17" s="117">
        <v>103.1966</v>
      </c>
      <c r="BX17">
        <f t="shared" si="18"/>
        <v>19</v>
      </c>
      <c r="BY17" s="117">
        <f t="shared" si="19"/>
        <v>25.803399999999996</v>
      </c>
      <c r="BZ17" s="23">
        <v>-0.51332999999999995</v>
      </c>
      <c r="CA17" s="23" t="e">
        <f t="shared" si="39"/>
        <v>#REF!</v>
      </c>
      <c r="CB17" s="23" t="e">
        <f t="shared" si="40"/>
        <v>#REF!</v>
      </c>
      <c r="CC17" s="34">
        <v>30791</v>
      </c>
      <c r="CD17" s="75">
        <v>30791</v>
      </c>
      <c r="CE17" s="117">
        <v>87899.28</v>
      </c>
      <c r="CF17" s="34">
        <f t="shared" si="8"/>
        <v>323.73948000000001</v>
      </c>
      <c r="CG17" s="34">
        <f t="shared" si="41"/>
        <v>-193.73948000000001</v>
      </c>
      <c r="CH17" s="26">
        <f t="shared" si="9"/>
        <v>-0.58127653011049063</v>
      </c>
      <c r="CI17" s="26">
        <f t="shared" si="21"/>
        <v>-0.55559065033754484</v>
      </c>
      <c r="CJ17" s="75">
        <f t="shared" si="22"/>
        <v>203.94277</v>
      </c>
      <c r="CK17" s="75">
        <f t="shared" si="23"/>
        <v>-97.942769999999996</v>
      </c>
      <c r="CL17" s="26">
        <f t="shared" si="24"/>
        <v>-0.52788316590262774</v>
      </c>
      <c r="CM17" s="34">
        <v>25404</v>
      </c>
      <c r="CN17" s="34">
        <v>25404</v>
      </c>
      <c r="CO17" s="34">
        <f t="shared" si="10"/>
        <v>95716.566889632115</v>
      </c>
      <c r="CP17" s="34">
        <f t="shared" si="25"/>
        <v>103987</v>
      </c>
      <c r="CQ17" s="34">
        <f t="shared" si="26"/>
        <v>-78583</v>
      </c>
      <c r="CR17" s="34">
        <f t="shared" si="42"/>
        <v>-70312.566889632115</v>
      </c>
      <c r="CS17" s="36">
        <f t="shared" si="28"/>
        <v>-0.22020683980721012</v>
      </c>
      <c r="CT17" s="36">
        <f t="shared" si="29"/>
        <v>-0.1676028806835691</v>
      </c>
      <c r="CU17" s="240">
        <f t="shared" si="11"/>
        <v>-3.785003423030954E-2</v>
      </c>
      <c r="CV17" s="34">
        <v>110272.08</v>
      </c>
      <c r="CW17" s="117">
        <f t="shared" si="43"/>
        <v>-57108.28</v>
      </c>
      <c r="CX17" s="117">
        <f t="shared" si="44"/>
        <v>-79481.08</v>
      </c>
      <c r="CY17" s="23">
        <v>-0.10052</v>
      </c>
      <c r="CZ17" s="23" t="e">
        <f t="shared" si="45"/>
        <v>#REF!</v>
      </c>
      <c r="DA17" s="23" t="e">
        <f t="shared" si="46"/>
        <v>#REF!</v>
      </c>
      <c r="DB17" s="23">
        <f t="shared" si="30"/>
        <v>-0.42143712612541095</v>
      </c>
      <c r="DC17" s="23">
        <f t="shared" si="31"/>
        <v>-0.38377105181500432</v>
      </c>
    </row>
    <row r="18" spans="1:107" x14ac:dyDescent="0.25">
      <c r="A18" s="9" t="s">
        <v>99</v>
      </c>
      <c r="B18" s="9" t="s">
        <v>103</v>
      </c>
      <c r="C18" s="10">
        <f t="shared" si="0"/>
        <v>146</v>
      </c>
      <c r="D18" s="8">
        <v>36</v>
      </c>
      <c r="E18" s="8">
        <v>12</v>
      </c>
      <c r="F18" s="8">
        <v>38</v>
      </c>
      <c r="G18" s="8">
        <v>37</v>
      </c>
      <c r="H18" s="8">
        <v>23</v>
      </c>
      <c r="I18" s="98">
        <v>2662.5</v>
      </c>
      <c r="J18" s="38">
        <v>2882.5</v>
      </c>
      <c r="K18" s="93">
        <f t="shared" si="35"/>
        <v>18.236301369863014</v>
      </c>
      <c r="L18" s="96">
        <v>19.743150684931507</v>
      </c>
      <c r="M18" s="96" t="e">
        <f>L18/L29</f>
        <v>#DIV/0!</v>
      </c>
      <c r="N18" s="97" t="e">
        <f>K18/K29</f>
        <v>#DIV/0!</v>
      </c>
      <c r="O18" s="75">
        <v>148434</v>
      </c>
      <c r="P18" s="34">
        <v>167241</v>
      </c>
      <c r="Q18" s="34">
        <f t="shared" si="2"/>
        <v>1016.6712328767123</v>
      </c>
      <c r="R18" s="75">
        <f t="shared" si="3"/>
        <v>1145.486301369863</v>
      </c>
      <c r="S18" s="23" t="e">
        <f>R18/R29</f>
        <v>#DIV/0!</v>
      </c>
      <c r="T18" s="23" t="e">
        <f>Q18/Q29</f>
        <v>#DIV/0!</v>
      </c>
      <c r="U18" s="23" t="e">
        <f t="shared" si="4"/>
        <v>#DIV/0!</v>
      </c>
      <c r="V18" s="23" t="e">
        <f t="shared" si="5"/>
        <v>#DIV/0!</v>
      </c>
      <c r="W18" s="25" t="e">
        <f t="shared" si="36"/>
        <v>#REF!</v>
      </c>
      <c r="X18" s="27">
        <v>1.3009999999999999</v>
      </c>
      <c r="Y18" s="217">
        <v>158</v>
      </c>
      <c r="Z18" s="25">
        <v>0.18430088265305994</v>
      </c>
      <c r="AA18" s="25" t="e">
        <f t="shared" si="37"/>
        <v>#REF!</v>
      </c>
      <c r="AB18" s="65" t="e">
        <f>AE18*BF$5</f>
        <v>#REF!</v>
      </c>
      <c r="AC18" s="65" t="e">
        <f>(AH18*BH$5)</f>
        <v>#REF!</v>
      </c>
      <c r="AD18" s="144" t="e">
        <f>AC18-AB18</f>
        <v>#REF!</v>
      </c>
      <c r="AE18" s="65" t="e">
        <f>C18*AI18</f>
        <v>#REF!</v>
      </c>
      <c r="AF18" s="72">
        <f>X18/BG2</f>
        <v>0.2284861257463997</v>
      </c>
      <c r="AG18" s="65">
        <f>AP18*BH$8</f>
        <v>0</v>
      </c>
      <c r="AH18" s="208" t="e">
        <f>C18*AU18</f>
        <v>#REF!</v>
      </c>
      <c r="AI18" s="72" t="e">
        <f>W18/BI$2</f>
        <v>#REF!</v>
      </c>
      <c r="AJ18" s="292">
        <v>857188.4135871341</v>
      </c>
      <c r="AK18" s="144" t="e">
        <f>AY18*BH$18</f>
        <v>#DIV/0!</v>
      </c>
      <c r="AL18" s="276" t="e">
        <f t="shared" ref="AL18:AL19" si="47">SUM(AM18:AN18)</f>
        <v>#DIV/0!</v>
      </c>
      <c r="AM18" s="65" t="e">
        <f>AZ18*BH$15</f>
        <v>#DIV/0!</v>
      </c>
      <c r="AN18" s="68"/>
      <c r="AO18" s="291">
        <f>AS18*BH$22</f>
        <v>375068.12015172729</v>
      </c>
      <c r="AP18" s="72">
        <f>Y18*AT18</f>
        <v>4.5951450376577689</v>
      </c>
      <c r="AQ18" s="304">
        <f>AVERAGE(AJ18,AO18)</f>
        <v>616128.26686943066</v>
      </c>
      <c r="AR18" s="65">
        <f>AQ18-(BD18*AQ$28)</f>
        <v>607712.95969389763</v>
      </c>
      <c r="AS18" s="72">
        <f>Y18*BD18</f>
        <v>10.04436492201113</v>
      </c>
      <c r="AT18" s="72">
        <f>Z18/BJ$5</f>
        <v>2.9083196440871956E-2</v>
      </c>
      <c r="AU18" s="72" t="e">
        <f>AA18/BJ$2</f>
        <v>#REF!</v>
      </c>
      <c r="AX18" s="26" t="e">
        <f>DB18/BH$17</f>
        <v>#DIV/0!</v>
      </c>
      <c r="AY18" s="26" t="e">
        <f>Y18*AX18</f>
        <v>#DIV/0!</v>
      </c>
      <c r="AZ18" s="26" t="e">
        <f>Y18*BB18</f>
        <v>#DIV/0!</v>
      </c>
      <c r="BA18" s="26"/>
      <c r="BB18" s="26" t="e">
        <f>CI18/BH$13</f>
        <v>#DIV/0!</v>
      </c>
      <c r="BC18" s="26"/>
      <c r="BD18" s="26">
        <f>DC18/BJ$8</f>
        <v>6.3571929886146392E-2</v>
      </c>
      <c r="BE18" s="303"/>
      <c r="BF18" s="16"/>
      <c r="BG18" s="16"/>
      <c r="BH18" s="134"/>
      <c r="BK18">
        <v>5325</v>
      </c>
      <c r="BL18">
        <v>5332</v>
      </c>
      <c r="BM18">
        <f t="shared" si="13"/>
        <v>-7</v>
      </c>
      <c r="BN18">
        <v>893</v>
      </c>
      <c r="BO18" s="34">
        <v>4612</v>
      </c>
      <c r="BP18" s="34">
        <v>7436</v>
      </c>
      <c r="BQ18" s="34">
        <v>3132</v>
      </c>
      <c r="BR18" s="34">
        <f t="shared" si="14"/>
        <v>5808.7458193979937</v>
      </c>
      <c r="BS18" s="34">
        <f t="shared" si="15"/>
        <v>3881.1120000000001</v>
      </c>
      <c r="BT18" s="34">
        <f t="shared" ref="BT18:BT21" si="48">BO18-BR18</f>
        <v>-1196.7458193979937</v>
      </c>
      <c r="BU18" s="34">
        <f t="shared" si="17"/>
        <v>3554.8879999999999</v>
      </c>
      <c r="BV18" s="26">
        <f t="shared" si="6"/>
        <v>-0.71904082370159494</v>
      </c>
      <c r="BW18" s="117">
        <v>837.03911000000005</v>
      </c>
      <c r="BX18">
        <f t="shared" si="18"/>
        <v>4432</v>
      </c>
      <c r="BY18" s="117">
        <f t="shared" si="19"/>
        <v>4494.9608900000003</v>
      </c>
      <c r="BZ18" s="23">
        <v>2.18832</v>
      </c>
      <c r="CA18" s="23" t="e">
        <f t="shared" si="39"/>
        <v>#REF!</v>
      </c>
      <c r="CB18" s="23" t="e">
        <f t="shared" si="40"/>
        <v>#REF!</v>
      </c>
      <c r="CC18" s="34">
        <v>148434</v>
      </c>
      <c r="CD18" s="75">
        <v>234293</v>
      </c>
      <c r="CE18" s="117">
        <v>607990.1</v>
      </c>
      <c r="CF18" s="34">
        <f t="shared" si="8"/>
        <v>2692.1493600000003</v>
      </c>
      <c r="CG18" s="34">
        <f t="shared" ref="CG18:CG21" si="49">BO18-CF18</f>
        <v>1919.8506399999997</v>
      </c>
      <c r="CH18" s="25">
        <f t="shared" si="9"/>
        <v>1.5802583549387628</v>
      </c>
      <c r="CI18" s="25">
        <f t="shared" si="21"/>
        <v>1.8569676687812633</v>
      </c>
      <c r="CJ18" s="75">
        <f t="shared" si="22"/>
        <v>1695.9451399999998</v>
      </c>
      <c r="CK18" s="75">
        <f t="shared" si="23"/>
        <v>1436.0548600000002</v>
      </c>
      <c r="CL18" s="25">
        <f t="shared" si="24"/>
        <v>1.5097123777799326</v>
      </c>
      <c r="CM18" s="34">
        <v>275499</v>
      </c>
      <c r="CN18" s="34">
        <v>361359</v>
      </c>
      <c r="CO18" s="34">
        <f t="shared" si="10"/>
        <v>795958.81939799339</v>
      </c>
      <c r="CP18" s="34">
        <f t="shared" si="25"/>
        <v>864734</v>
      </c>
      <c r="CQ18" s="34">
        <f t="shared" si="26"/>
        <v>-503375</v>
      </c>
      <c r="CR18" s="34">
        <f t="shared" ref="CR18:CR21" si="50">CM18-CO18</f>
        <v>-520459.81939799339</v>
      </c>
      <c r="CS18" s="36">
        <f t="shared" si="28"/>
        <v>-1.1950628347046448</v>
      </c>
      <c r="CT18" s="36">
        <f t="shared" si="29"/>
        <v>-1.2406112999412673</v>
      </c>
      <c r="CU18" s="240">
        <f t="shared" si="11"/>
        <v>-0.92766901419746395</v>
      </c>
      <c r="CV18" s="34">
        <v>573070.71</v>
      </c>
      <c r="CW18" s="117">
        <f t="shared" si="43"/>
        <v>-459556.1</v>
      </c>
      <c r="CX18" s="117">
        <f t="shared" si="44"/>
        <v>-338777.70999999996</v>
      </c>
      <c r="CY18" s="23">
        <v>-1.01753</v>
      </c>
      <c r="CZ18" s="23" t="e">
        <f t="shared" si="45"/>
        <v>#REF!</v>
      </c>
      <c r="DA18" s="23" t="e">
        <f t="shared" si="46"/>
        <v>#REF!</v>
      </c>
      <c r="DB18" s="25">
        <f t="shared" si="30"/>
        <v>0.63615546738689988</v>
      </c>
      <c r="DC18" s="25">
        <f t="shared" si="31"/>
        <v>0.40958290669145264</v>
      </c>
    </row>
    <row r="19" spans="1:107" x14ac:dyDescent="0.25">
      <c r="A19" s="9" t="s">
        <v>99</v>
      </c>
      <c r="B19" s="9" t="s">
        <v>105</v>
      </c>
      <c r="C19" s="10">
        <f t="shared" si="0"/>
        <v>13</v>
      </c>
      <c r="D19" s="8">
        <v>5</v>
      </c>
      <c r="E19" s="8">
        <v>1</v>
      </c>
      <c r="F19" s="8">
        <v>2</v>
      </c>
      <c r="G19" s="8">
        <v>4</v>
      </c>
      <c r="H19" s="8">
        <v>1</v>
      </c>
      <c r="I19" s="98">
        <v>172</v>
      </c>
      <c r="J19" s="38">
        <v>114</v>
      </c>
      <c r="K19" s="93">
        <f t="shared" si="35"/>
        <v>13.23076923076923</v>
      </c>
      <c r="L19" s="96">
        <v>8.7692307692307701</v>
      </c>
      <c r="M19" s="96" t="e">
        <f>L19/L29</f>
        <v>#DIV/0!</v>
      </c>
      <c r="N19" s="97" t="e">
        <f>K19/K29</f>
        <v>#DIV/0!</v>
      </c>
      <c r="O19" s="75">
        <v>323297</v>
      </c>
      <c r="P19" s="34">
        <v>0</v>
      </c>
      <c r="Q19" s="34">
        <f t="shared" si="2"/>
        <v>24869</v>
      </c>
      <c r="R19" s="75">
        <f t="shared" si="3"/>
        <v>0</v>
      </c>
      <c r="S19" s="23" t="e">
        <f>R19/R29</f>
        <v>#DIV/0!</v>
      </c>
      <c r="T19" s="23" t="e">
        <f>Q19/Q29</f>
        <v>#DIV/0!</v>
      </c>
      <c r="U19" s="23" t="e">
        <f t="shared" si="4"/>
        <v>#DIV/0!</v>
      </c>
      <c r="V19" s="23" t="e">
        <f t="shared" si="5"/>
        <v>#DIV/0!</v>
      </c>
      <c r="W19" s="26" t="e">
        <f t="shared" si="36"/>
        <v>#REF!</v>
      </c>
      <c r="X19" s="23">
        <v>-0.32400000000000001</v>
      </c>
      <c r="Y19" s="217">
        <v>13</v>
      </c>
      <c r="Z19" s="25">
        <v>0.41572195881361695</v>
      </c>
      <c r="AA19" s="26" t="e">
        <f t="shared" si="37"/>
        <v>#REF!</v>
      </c>
      <c r="AB19" s="60"/>
      <c r="AC19" s="60"/>
      <c r="AD19" s="60"/>
      <c r="AE19" s="60"/>
      <c r="AF19" s="36"/>
      <c r="AG19" s="65">
        <f>AP19*BH$8</f>
        <v>0</v>
      </c>
      <c r="AH19" s="59"/>
      <c r="AI19" s="36"/>
      <c r="AJ19" s="66">
        <v>0</v>
      </c>
      <c r="AK19" s="144" t="e">
        <f>AY19*BH$18</f>
        <v>#DIV/0!</v>
      </c>
      <c r="AL19" s="276" t="e">
        <f t="shared" si="47"/>
        <v>#DIV/0!</v>
      </c>
      <c r="AM19" s="60"/>
      <c r="AN19" s="65" t="e">
        <f>BA19*BH$16</f>
        <v>#DIV/0!</v>
      </c>
      <c r="AO19" s="291">
        <f>AS19*BH$22</f>
        <v>10593.614492784265</v>
      </c>
      <c r="AP19" s="72">
        <f>Y19*AT19</f>
        <v>0.85282719130741469</v>
      </c>
      <c r="AQ19" s="304">
        <f>AVERAGE(AJ19,AO19)</f>
        <v>5296.8072463921326</v>
      </c>
      <c r="AR19" s="65">
        <f>AQ19-(BD19*AQ$28)</f>
        <v>2408.0056143982533</v>
      </c>
      <c r="AS19" s="72">
        <f>Y19*BD19</f>
        <v>0.28369814466125848</v>
      </c>
      <c r="AT19" s="72">
        <f>Z19/BJ$5</f>
        <v>6.5602091639031898E-2</v>
      </c>
      <c r="AU19" s="36"/>
      <c r="AX19" s="26" t="e">
        <f>DB19/BH$17</f>
        <v>#DIV/0!</v>
      </c>
      <c r="AY19" s="26" t="e">
        <f>Y19*AX19</f>
        <v>#DIV/0!</v>
      </c>
      <c r="AZ19" s="26"/>
      <c r="BA19" s="26" t="e">
        <f>Y19*BC19</f>
        <v>#DIV/0!</v>
      </c>
      <c r="BB19" s="26"/>
      <c r="BC19" s="26" t="e">
        <f>CS19/BH$14</f>
        <v>#DIV/0!</v>
      </c>
      <c r="BD19" s="26">
        <f>DC19/BJ$8</f>
        <v>2.182293420471219E-2</v>
      </c>
      <c r="BK19">
        <v>344</v>
      </c>
      <c r="BL19">
        <v>344</v>
      </c>
      <c r="BM19">
        <f t="shared" si="13"/>
        <v>0</v>
      </c>
      <c r="BN19">
        <v>80</v>
      </c>
      <c r="BO19" s="34">
        <v>502</v>
      </c>
      <c r="BP19" s="34">
        <v>640</v>
      </c>
      <c r="BQ19" s="34">
        <v>307</v>
      </c>
      <c r="BR19" s="34">
        <f t="shared" si="14"/>
        <v>477.93478260869568</v>
      </c>
      <c r="BS19" s="34">
        <f t="shared" si="15"/>
        <v>319.33199999999999</v>
      </c>
      <c r="BT19" s="34">
        <f t="shared" si="48"/>
        <v>24.065217391304316</v>
      </c>
      <c r="BU19" s="34">
        <f t="shared" si="17"/>
        <v>320.66800000000001</v>
      </c>
      <c r="BV19" s="25">
        <f t="shared" si="6"/>
        <v>0.77279185195735245</v>
      </c>
      <c r="BW19" s="117">
        <v>74.530879999999996</v>
      </c>
      <c r="BX19">
        <f t="shared" si="18"/>
        <v>264</v>
      </c>
      <c r="BY19" s="117">
        <f t="shared" si="19"/>
        <v>269.46911999999998</v>
      </c>
      <c r="BZ19" s="23">
        <v>-0.36298999999999998</v>
      </c>
      <c r="CA19" s="23" t="e">
        <f t="shared" si="39"/>
        <v>#REF!</v>
      </c>
      <c r="CB19" s="23" t="e">
        <f t="shared" si="40"/>
        <v>#REF!</v>
      </c>
      <c r="CC19" s="34">
        <v>0</v>
      </c>
      <c r="CD19" s="75">
        <v>323296.88</v>
      </c>
      <c r="CE19" s="117">
        <v>65074.29</v>
      </c>
      <c r="CF19" s="34">
        <f t="shared" si="8"/>
        <v>221.50596000000002</v>
      </c>
      <c r="CG19" s="34">
        <f t="shared" si="49"/>
        <v>280.49403999999998</v>
      </c>
      <c r="CH19" s="26">
        <f t="shared" si="9"/>
        <v>-9.6285477474560011E-2</v>
      </c>
      <c r="CI19" s="26">
        <f t="shared" si="21"/>
        <v>-0.1810452379754636</v>
      </c>
      <c r="CJ19" s="75">
        <f t="shared" si="22"/>
        <v>139.53978999999998</v>
      </c>
      <c r="CK19" s="75">
        <f t="shared" si="23"/>
        <v>167.46021000000002</v>
      </c>
      <c r="CL19" s="26">
        <f t="shared" si="24"/>
        <v>-0.17535072468362034</v>
      </c>
      <c r="CM19" s="34">
        <v>323297</v>
      </c>
      <c r="CN19" s="34">
        <v>323297</v>
      </c>
      <c r="CO19" s="34">
        <f t="shared" si="10"/>
        <v>65490.282608695656</v>
      </c>
      <c r="CP19" s="34">
        <f t="shared" si="25"/>
        <v>71149</v>
      </c>
      <c r="CQ19" s="34">
        <f t="shared" si="26"/>
        <v>252148</v>
      </c>
      <c r="CR19" s="34">
        <f t="shared" si="50"/>
        <v>257806.71739130435</v>
      </c>
      <c r="CS19" s="225">
        <f t="shared" si="28"/>
        <v>0.53878838149738939</v>
      </c>
      <c r="CT19" s="225">
        <f t="shared" si="29"/>
        <v>0.61452952730600385</v>
      </c>
      <c r="CU19" s="225">
        <f t="shared" si="11"/>
        <v>0.70948692209681297</v>
      </c>
      <c r="CV19" s="34">
        <v>85348.02</v>
      </c>
      <c r="CW19" s="117">
        <f t="shared" si="43"/>
        <v>-65074.29</v>
      </c>
      <c r="CX19" s="117">
        <f t="shared" si="44"/>
        <v>237948.86</v>
      </c>
      <c r="CY19" s="23">
        <v>-0.11867</v>
      </c>
      <c r="CZ19" s="23" t="e">
        <f t="shared" si="45"/>
        <v>#REF!</v>
      </c>
      <c r="DA19" s="23" t="e">
        <f t="shared" si="46"/>
        <v>#REF!</v>
      </c>
      <c r="DB19" s="25">
        <f t="shared" si="30"/>
        <v>0.10688820981367761</v>
      </c>
      <c r="DC19" s="25">
        <f t="shared" si="31"/>
        <v>0.14060137611222936</v>
      </c>
    </row>
    <row r="20" spans="1:107" x14ac:dyDescent="0.25">
      <c r="A20" s="9" t="s">
        <v>111</v>
      </c>
      <c r="B20" s="9" t="s">
        <v>113</v>
      </c>
      <c r="C20" s="10">
        <f t="shared" si="0"/>
        <v>36</v>
      </c>
      <c r="D20" s="11">
        <v>2</v>
      </c>
      <c r="E20" s="11">
        <v>16</v>
      </c>
      <c r="F20">
        <v>9</v>
      </c>
      <c r="G20">
        <v>0</v>
      </c>
      <c r="H20" s="11">
        <v>9</v>
      </c>
      <c r="I20" s="98">
        <v>176</v>
      </c>
      <c r="J20" s="38">
        <v>227</v>
      </c>
      <c r="K20" s="93">
        <f t="shared" si="35"/>
        <v>4.8888888888888893</v>
      </c>
      <c r="L20" s="96">
        <v>6.3055555555555554</v>
      </c>
      <c r="M20" s="96" t="e">
        <f>L20/L29</f>
        <v>#DIV/0!</v>
      </c>
      <c r="N20" s="97" t="e">
        <f>K20/K29</f>
        <v>#DIV/0!</v>
      </c>
      <c r="O20" s="75">
        <v>0</v>
      </c>
      <c r="P20" s="34">
        <v>136430</v>
      </c>
      <c r="Q20" s="34">
        <f t="shared" si="2"/>
        <v>0</v>
      </c>
      <c r="R20" s="75">
        <f t="shared" si="3"/>
        <v>3789.7222222222222</v>
      </c>
      <c r="S20" s="23" t="e">
        <f>R20/R29</f>
        <v>#DIV/0!</v>
      </c>
      <c r="T20" s="23" t="e">
        <f>Q20/Q29</f>
        <v>#DIV/0!</v>
      </c>
      <c r="U20" s="23" t="e">
        <f t="shared" si="4"/>
        <v>#DIV/0!</v>
      </c>
      <c r="V20" s="23" t="e">
        <f t="shared" si="5"/>
        <v>#DIV/0!</v>
      </c>
      <c r="W20" s="26" t="e">
        <f t="shared" si="36"/>
        <v>#REF!</v>
      </c>
      <c r="X20" s="23">
        <v>-0.15</v>
      </c>
      <c r="Y20" s="217">
        <v>35</v>
      </c>
      <c r="Z20" s="26">
        <v>-0.4285709234548627</v>
      </c>
      <c r="AA20" s="26" t="e">
        <f t="shared" si="37"/>
        <v>#REF!</v>
      </c>
      <c r="AB20" s="60"/>
      <c r="AC20" s="60"/>
      <c r="AD20" s="60"/>
      <c r="AE20" s="60"/>
      <c r="AF20" s="36"/>
      <c r="AG20" s="37"/>
      <c r="AH20" s="59"/>
      <c r="AI20" s="36"/>
      <c r="AJ20" s="37"/>
      <c r="AK20" s="60"/>
      <c r="AL20" s="262"/>
      <c r="AM20" s="60"/>
      <c r="AN20" s="60"/>
      <c r="AO20" s="60"/>
      <c r="AP20" s="36"/>
      <c r="AQ20" s="305"/>
      <c r="AR20" s="37"/>
      <c r="AS20" s="36"/>
      <c r="AT20" s="36"/>
      <c r="AU20" s="36"/>
      <c r="AX20" s="26"/>
      <c r="AY20" s="26"/>
      <c r="AZ20" s="26"/>
      <c r="BA20" s="26"/>
      <c r="BB20" s="26"/>
      <c r="BC20" s="26"/>
      <c r="BD20" s="26"/>
      <c r="BE20" s="290" t="s">
        <v>467</v>
      </c>
      <c r="BK20">
        <v>352</v>
      </c>
      <c r="BL20">
        <v>352</v>
      </c>
      <c r="BM20">
        <f t="shared" si="13"/>
        <v>0</v>
      </c>
      <c r="BN20">
        <v>220</v>
      </c>
      <c r="BO20" s="34">
        <v>564</v>
      </c>
      <c r="BP20" s="34">
        <v>756</v>
      </c>
      <c r="BQ20" s="34">
        <v>496</v>
      </c>
      <c r="BR20" s="34">
        <f t="shared" si="14"/>
        <v>1286.747491638796</v>
      </c>
      <c r="BS20" s="34">
        <f t="shared" si="15"/>
        <v>859.74</v>
      </c>
      <c r="BT20" s="34">
        <f t="shared" si="48"/>
        <v>-722.74749163879596</v>
      </c>
      <c r="BU20" s="34">
        <f t="shared" si="17"/>
        <v>-103.74000000000001</v>
      </c>
      <c r="BV20" s="23">
        <f t="shared" si="6"/>
        <v>-0.13981425034213826</v>
      </c>
      <c r="BW20" s="117">
        <v>206.39320000000001</v>
      </c>
      <c r="BX20">
        <f t="shared" si="18"/>
        <v>132</v>
      </c>
      <c r="BY20" s="117">
        <f t="shared" si="19"/>
        <v>145.60679999999999</v>
      </c>
      <c r="BZ20" s="23">
        <v>-0.44422</v>
      </c>
      <c r="CA20" s="23" t="e">
        <f t="shared" si="39"/>
        <v>#REF!</v>
      </c>
      <c r="CB20" s="23" t="e">
        <f t="shared" si="40"/>
        <v>#REF!</v>
      </c>
      <c r="CC20" s="34">
        <v>0</v>
      </c>
      <c r="CD20" s="75">
        <v>0</v>
      </c>
      <c r="CE20" s="117">
        <v>166767.28</v>
      </c>
      <c r="CF20" s="34">
        <f t="shared" si="8"/>
        <v>596.36220000000003</v>
      </c>
      <c r="CG20" s="34">
        <f t="shared" si="49"/>
        <v>-32.36220000000003</v>
      </c>
      <c r="CH20" s="26">
        <f t="shared" si="9"/>
        <v>-0.41623856126610503</v>
      </c>
      <c r="CI20" s="26">
        <f t="shared" si="21"/>
        <v>-0.44848189402570415</v>
      </c>
      <c r="CJ20" s="75">
        <f t="shared" si="22"/>
        <v>375.68404999999996</v>
      </c>
      <c r="CK20" s="75">
        <f t="shared" si="23"/>
        <v>120.31595000000004</v>
      </c>
      <c r="CL20" s="26">
        <f t="shared" si="24"/>
        <v>-0.23797203009346762</v>
      </c>
      <c r="CM20" s="34">
        <v>14954</v>
      </c>
      <c r="CN20" s="34">
        <v>14954</v>
      </c>
      <c r="CO20" s="34">
        <f t="shared" si="10"/>
        <v>176319.991638796</v>
      </c>
      <c r="CP20" s="34">
        <f t="shared" si="25"/>
        <v>191555</v>
      </c>
      <c r="CQ20" s="34">
        <f t="shared" si="26"/>
        <v>-176601</v>
      </c>
      <c r="CR20" s="34">
        <f t="shared" si="50"/>
        <v>-161365.991638796</v>
      </c>
      <c r="CS20" s="36">
        <f t="shared" si="28"/>
        <v>-0.44514854046978553</v>
      </c>
      <c r="CT20" s="36">
        <f t="shared" si="29"/>
        <v>-0.3846453946913278</v>
      </c>
      <c r="CU20" s="240">
        <f t="shared" si="11"/>
        <v>-0.23774670808181408</v>
      </c>
      <c r="CV20" s="34">
        <v>190315.58</v>
      </c>
      <c r="CW20" s="117">
        <f t="shared" si="43"/>
        <v>-166767.28</v>
      </c>
      <c r="CX20" s="117">
        <f t="shared" si="44"/>
        <v>-190315.58</v>
      </c>
      <c r="CY20" s="23">
        <v>-0.35038000000000002</v>
      </c>
      <c r="CZ20" s="23" t="e">
        <f t="shared" si="45"/>
        <v>#REF!</v>
      </c>
      <c r="DA20" s="23" t="e">
        <f t="shared" si="46"/>
        <v>#REF!</v>
      </c>
      <c r="DB20" s="23">
        <f t="shared" si="30"/>
        <v>-0.44714855260333669</v>
      </c>
      <c r="DC20" s="23">
        <f t="shared" si="31"/>
        <v>-0.2966413759326117</v>
      </c>
    </row>
    <row r="21" spans="1:107" x14ac:dyDescent="0.25">
      <c r="A21" s="9" t="s">
        <v>114</v>
      </c>
      <c r="B21" s="9" t="s">
        <v>113</v>
      </c>
      <c r="C21" s="10">
        <f t="shared" si="0"/>
        <v>64</v>
      </c>
      <c r="D21">
        <v>7</v>
      </c>
      <c r="E21">
        <v>17</v>
      </c>
      <c r="F21">
        <v>0</v>
      </c>
      <c r="G21">
        <v>24</v>
      </c>
      <c r="H21" s="15">
        <v>16</v>
      </c>
      <c r="I21" s="98">
        <v>406.5</v>
      </c>
      <c r="J21" s="38">
        <v>353.5</v>
      </c>
      <c r="K21" s="93">
        <f t="shared" si="35"/>
        <v>6.3515625</v>
      </c>
      <c r="L21" s="96">
        <v>5.5234375</v>
      </c>
      <c r="M21" s="96" t="e">
        <f>L21/L29</f>
        <v>#DIV/0!</v>
      </c>
      <c r="N21" s="97" t="e">
        <f>K21/K29</f>
        <v>#DIV/0!</v>
      </c>
      <c r="O21" s="75">
        <v>183895</v>
      </c>
      <c r="P21" s="34">
        <v>38496</v>
      </c>
      <c r="Q21" s="34">
        <f t="shared" si="2"/>
        <v>2873.359375</v>
      </c>
      <c r="R21" s="75">
        <f t="shared" si="3"/>
        <v>601.5</v>
      </c>
      <c r="S21" s="23" t="e">
        <f>R21/R29</f>
        <v>#DIV/0!</v>
      </c>
      <c r="T21" s="23" t="e">
        <f>Q21/Q29</f>
        <v>#DIV/0!</v>
      </c>
      <c r="U21" s="23" t="e">
        <f t="shared" si="4"/>
        <v>#DIV/0!</v>
      </c>
      <c r="V21" s="23" t="e">
        <f t="shared" si="5"/>
        <v>#DIV/0!</v>
      </c>
      <c r="W21" s="26" t="e">
        <f t="shared" si="36"/>
        <v>#REF!</v>
      </c>
      <c r="X21" s="23">
        <v>-0.218</v>
      </c>
      <c r="Y21" s="217">
        <v>49</v>
      </c>
      <c r="Z21" s="26">
        <v>-0.30398116402644704</v>
      </c>
      <c r="AA21" s="26" t="e">
        <f t="shared" si="37"/>
        <v>#REF!</v>
      </c>
      <c r="AB21" s="60"/>
      <c r="AC21" s="60"/>
      <c r="AD21" s="60"/>
      <c r="AE21" s="60"/>
      <c r="AF21" s="36"/>
      <c r="AG21" s="37"/>
      <c r="AH21" s="59"/>
      <c r="AI21" s="36"/>
      <c r="AJ21" s="37"/>
      <c r="AK21" s="60"/>
      <c r="AL21" s="262"/>
      <c r="AM21" s="60"/>
      <c r="AN21" s="60"/>
      <c r="AO21" s="60"/>
      <c r="AP21" s="36"/>
      <c r="AQ21" s="305"/>
      <c r="AR21" s="37"/>
      <c r="AS21" s="36"/>
      <c r="AT21" s="36"/>
      <c r="AU21" s="36"/>
      <c r="AX21" s="26"/>
      <c r="AY21" s="26"/>
      <c r="AZ21" s="26"/>
      <c r="BA21" s="26"/>
      <c r="BB21" s="26"/>
      <c r="BC21" s="26"/>
      <c r="BD21" s="26"/>
      <c r="BE21" s="138">
        <v>5594386.7941099582</v>
      </c>
      <c r="BK21">
        <v>813</v>
      </c>
      <c r="BL21">
        <v>798</v>
      </c>
      <c r="BM21">
        <f t="shared" si="13"/>
        <v>15</v>
      </c>
      <c r="BN21">
        <v>391</v>
      </c>
      <c r="BO21" s="34">
        <v>878</v>
      </c>
      <c r="BP21" s="34">
        <v>1285</v>
      </c>
      <c r="BQ21" s="34">
        <v>618</v>
      </c>
      <c r="BR21" s="34">
        <f t="shared" si="14"/>
        <v>1801.4464882943143</v>
      </c>
      <c r="BS21" s="34">
        <f t="shared" si="15"/>
        <v>1203.636</v>
      </c>
      <c r="BT21" s="34">
        <f t="shared" si="48"/>
        <v>-923.44648829431435</v>
      </c>
      <c r="BU21" s="34">
        <f t="shared" si="17"/>
        <v>81.364000000000033</v>
      </c>
      <c r="BV21" s="23">
        <f t="shared" si="6"/>
        <v>-0.38506868543481815</v>
      </c>
      <c r="BW21" s="117">
        <v>366.92124999999999</v>
      </c>
      <c r="BX21">
        <f t="shared" si="18"/>
        <v>422</v>
      </c>
      <c r="BY21" s="117">
        <f t="shared" si="19"/>
        <v>431.07875000000001</v>
      </c>
      <c r="BZ21" s="23">
        <v>-0.26684000000000002</v>
      </c>
      <c r="CA21" s="23" t="e">
        <f t="shared" si="39"/>
        <v>#REF!</v>
      </c>
      <c r="CB21" s="23" t="e">
        <f t="shared" si="40"/>
        <v>#REF!</v>
      </c>
      <c r="CC21" s="34">
        <v>183895</v>
      </c>
      <c r="CD21" s="75">
        <v>24916</v>
      </c>
      <c r="CE21" s="117">
        <v>283776.15999999997</v>
      </c>
      <c r="CF21" s="34">
        <f t="shared" si="8"/>
        <v>834.90708000000006</v>
      </c>
      <c r="CG21" s="34">
        <f t="shared" si="49"/>
        <v>43.092919999999935</v>
      </c>
      <c r="CH21" s="26">
        <f t="shared" si="9"/>
        <v>-0.33907181422643895</v>
      </c>
      <c r="CI21" s="26">
        <f t="shared" si="21"/>
        <v>-0.33184037270300587</v>
      </c>
      <c r="CJ21" s="75">
        <f t="shared" si="22"/>
        <v>525.95767000000001</v>
      </c>
      <c r="CK21" s="75">
        <f t="shared" si="23"/>
        <v>92.042329999999993</v>
      </c>
      <c r="CL21" s="26">
        <f t="shared" si="24"/>
        <v>-0.27552763056448937</v>
      </c>
      <c r="CM21" s="34">
        <v>245204</v>
      </c>
      <c r="CN21" s="34">
        <v>279145</v>
      </c>
      <c r="CO21" s="34">
        <f t="shared" si="10"/>
        <v>246847.98829431439</v>
      </c>
      <c r="CP21" s="34">
        <f t="shared" si="25"/>
        <v>268177</v>
      </c>
      <c r="CQ21" s="34">
        <f t="shared" si="26"/>
        <v>10968</v>
      </c>
      <c r="CR21" s="34">
        <f t="shared" si="50"/>
        <v>-1643.9882943143893</v>
      </c>
      <c r="CS21" s="36">
        <f t="shared" si="28"/>
        <v>-1.469607406995479E-2</v>
      </c>
      <c r="CT21" s="36">
        <f t="shared" si="29"/>
        <v>-3.918747190237863E-3</v>
      </c>
      <c r="CU21" s="240">
        <f t="shared" si="11"/>
        <v>-0.23260871013698603</v>
      </c>
      <c r="CV21" s="34">
        <v>299370.76</v>
      </c>
      <c r="CW21" s="117">
        <f t="shared" si="43"/>
        <v>-99881.159999999974</v>
      </c>
      <c r="CX21" s="117">
        <f t="shared" si="44"/>
        <v>-274454.76</v>
      </c>
      <c r="CY21" s="23">
        <v>-0.19797999999999999</v>
      </c>
      <c r="CZ21" s="23" t="e">
        <f t="shared" si="45"/>
        <v>#REF!</v>
      </c>
      <c r="DA21" s="23" t="e">
        <f t="shared" si="46"/>
        <v>#REF!</v>
      </c>
      <c r="DB21" s="23">
        <f t="shared" si="30"/>
        <v>-0.20498265324978543</v>
      </c>
      <c r="DC21" s="23">
        <f t="shared" si="31"/>
        <v>-0.16688407721478876</v>
      </c>
    </row>
    <row r="22" spans="1:107" x14ac:dyDescent="0.25">
      <c r="A22" s="9" t="s">
        <v>118</v>
      </c>
      <c r="B22" s="9" t="s">
        <v>119</v>
      </c>
      <c r="C22" s="10">
        <f t="shared" si="0"/>
        <v>40</v>
      </c>
      <c r="D22">
        <v>8</v>
      </c>
      <c r="E22">
        <v>17</v>
      </c>
      <c r="F22">
        <v>0</v>
      </c>
      <c r="G22">
        <v>15</v>
      </c>
      <c r="H22">
        <v>0</v>
      </c>
      <c r="I22" s="98">
        <v>156</v>
      </c>
      <c r="J22" s="38">
        <v>172.5</v>
      </c>
      <c r="K22" s="93">
        <f t="shared" si="35"/>
        <v>3.9</v>
      </c>
      <c r="L22" s="96">
        <v>4.3125</v>
      </c>
      <c r="M22" s="96" t="e">
        <f>L22/L29</f>
        <v>#DIV/0!</v>
      </c>
      <c r="N22" s="97" t="e">
        <f>K22/K29</f>
        <v>#DIV/0!</v>
      </c>
      <c r="O22" s="75">
        <v>21151</v>
      </c>
      <c r="P22" s="34">
        <v>105135</v>
      </c>
      <c r="Q22" s="34">
        <f t="shared" si="2"/>
        <v>528.77499999999998</v>
      </c>
      <c r="R22" s="75">
        <f t="shared" si="3"/>
        <v>2628.375</v>
      </c>
      <c r="S22" s="23" t="e">
        <f>R22/R29</f>
        <v>#DIV/0!</v>
      </c>
      <c r="T22" s="23" t="e">
        <f>Q22/Q29</f>
        <v>#DIV/0!</v>
      </c>
      <c r="U22" s="23" t="e">
        <f t="shared" si="4"/>
        <v>#DIV/0!</v>
      </c>
      <c r="V22" s="23" t="e">
        <f t="shared" si="5"/>
        <v>#DIV/0!</v>
      </c>
      <c r="W22" s="26" t="e">
        <f t="shared" si="36"/>
        <v>#REF!</v>
      </c>
      <c r="X22" s="23">
        <v>-0.22</v>
      </c>
      <c r="Y22" s="217">
        <v>36</v>
      </c>
      <c r="Z22" s="26">
        <v>-0.71821294445698614</v>
      </c>
      <c r="AA22" s="26" t="e">
        <f t="shared" si="37"/>
        <v>#REF!</v>
      </c>
      <c r="AB22" s="60"/>
      <c r="AC22" s="60"/>
      <c r="AD22" s="60"/>
      <c r="AE22" s="60"/>
      <c r="AF22" s="36"/>
      <c r="AG22" s="37"/>
      <c r="AH22" s="59"/>
      <c r="AI22" s="36"/>
      <c r="AJ22" s="37"/>
      <c r="AK22" s="60"/>
      <c r="AL22" s="262"/>
      <c r="AM22" s="60"/>
      <c r="AN22" s="60"/>
      <c r="AO22" s="60"/>
      <c r="AP22" s="36"/>
      <c r="AQ22" s="305"/>
      <c r="AR22" s="37"/>
      <c r="AS22" s="36"/>
      <c r="AT22" s="36"/>
      <c r="AU22" s="36"/>
      <c r="AX22" s="26"/>
      <c r="AY22" s="26"/>
      <c r="AZ22" s="26"/>
      <c r="BA22" s="26"/>
      <c r="BB22" s="26"/>
      <c r="BC22" s="26"/>
      <c r="BD22" s="26"/>
      <c r="BE22" s="290" t="s">
        <v>468</v>
      </c>
      <c r="BH22" s="78">
        <f>BE21/AS27</f>
        <v>37341.148301950518</v>
      </c>
      <c r="BK22">
        <v>312</v>
      </c>
      <c r="BL22">
        <v>323</v>
      </c>
      <c r="BM22">
        <f t="shared" si="13"/>
        <v>-11</v>
      </c>
      <c r="BN22">
        <v>245</v>
      </c>
      <c r="BO22" s="34">
        <v>277</v>
      </c>
      <c r="BP22" s="34">
        <v>442</v>
      </c>
      <c r="BQ22" s="34">
        <v>140</v>
      </c>
      <c r="BR22" s="34">
        <f t="shared" si="14"/>
        <v>1323.5117056856188</v>
      </c>
      <c r="BS22" s="34">
        <f t="shared" si="15"/>
        <v>884.30399999999997</v>
      </c>
      <c r="BT22" s="34">
        <f t="shared" ref="BT22:BT26" si="51">BO22-BR22</f>
        <v>-1046.5117056856188</v>
      </c>
      <c r="BU22" s="34">
        <f t="shared" si="17"/>
        <v>-442.30399999999997</v>
      </c>
      <c r="BV22" s="23">
        <f t="shared" si="6"/>
        <v>-0.53545454123791103</v>
      </c>
      <c r="BW22" s="117">
        <v>229.32578000000001</v>
      </c>
      <c r="BX22">
        <f t="shared" si="18"/>
        <v>67</v>
      </c>
      <c r="BY22" s="117">
        <f t="shared" si="19"/>
        <v>93.674219999999991</v>
      </c>
      <c r="BZ22" s="23">
        <v>-0.48368</v>
      </c>
      <c r="CA22" s="23" t="e">
        <f t="shared" si="39"/>
        <v>#REF!</v>
      </c>
      <c r="CB22" s="23" t="e">
        <f t="shared" si="40"/>
        <v>#REF!</v>
      </c>
      <c r="CC22" s="34">
        <v>21151</v>
      </c>
      <c r="CD22" s="75">
        <v>21150.959999999999</v>
      </c>
      <c r="CE22" s="117">
        <v>183817.48</v>
      </c>
      <c r="CF22" s="34">
        <f t="shared" ref="CF22:CF26" si="52">Y22*BO$30</f>
        <v>613.40111999999999</v>
      </c>
      <c r="CG22" s="34">
        <f t="shared" ref="CG22:CG26" si="53">BO22-CF22</f>
        <v>-336.40111999999999</v>
      </c>
      <c r="CH22" s="26">
        <f t="shared" ref="CH22:CH26" si="54">(CG22-CG$27)/CG$28</f>
        <v>-0.72717431260880117</v>
      </c>
      <c r="CI22" s="26">
        <f t="shared" si="21"/>
        <v>-0.66182477167879661</v>
      </c>
      <c r="CJ22" s="75">
        <f t="shared" si="22"/>
        <v>386.41787999999997</v>
      </c>
      <c r="CK22" s="75">
        <f t="shared" si="23"/>
        <v>-246.41787999999997</v>
      </c>
      <c r="CL22" s="26">
        <f t="shared" si="24"/>
        <v>-0.72510134705703921</v>
      </c>
      <c r="CM22" s="34">
        <v>20000</v>
      </c>
      <c r="CN22" s="34">
        <v>20000</v>
      </c>
      <c r="CO22" s="34">
        <f t="shared" si="10"/>
        <v>181357.70568561874</v>
      </c>
      <c r="CP22" s="34">
        <f t="shared" si="25"/>
        <v>197028</v>
      </c>
      <c r="CQ22" s="34">
        <f t="shared" si="26"/>
        <v>-177028</v>
      </c>
      <c r="CR22" s="34">
        <f t="shared" ref="CR22:CR26" si="55">CM22-CO22</f>
        <v>-161357.70568561874</v>
      </c>
      <c r="CS22" s="36">
        <f t="shared" si="28"/>
        <v>-0.44612846360821845</v>
      </c>
      <c r="CT22" s="36">
        <f t="shared" ref="CT22:CT26" si="56">(CR22-CR$27)/CR$28</f>
        <v>-0.38462564360438634</v>
      </c>
      <c r="CU22" s="240">
        <f t="shared" si="11"/>
        <v>-0.47512298218450111</v>
      </c>
      <c r="CV22" s="34">
        <v>206776.13</v>
      </c>
      <c r="CW22" s="117">
        <f t="shared" si="43"/>
        <v>-162666.48000000001</v>
      </c>
      <c r="CX22" s="117">
        <f t="shared" si="44"/>
        <v>-185625.17</v>
      </c>
      <c r="CY22" s="23">
        <v>-0.34104000000000001</v>
      </c>
      <c r="CZ22" s="23" t="e">
        <f t="shared" si="45"/>
        <v>#REF!</v>
      </c>
      <c r="DA22" s="23" t="e">
        <f t="shared" si="46"/>
        <v>#REF!</v>
      </c>
      <c r="DB22" s="23">
        <f t="shared" si="30"/>
        <v>-0.57554624845056535</v>
      </c>
      <c r="DC22" s="23">
        <f t="shared" si="31"/>
        <v>-0.58891106567597806</v>
      </c>
    </row>
    <row r="23" spans="1:107" x14ac:dyDescent="0.25">
      <c r="A23" s="7" t="s">
        <v>129</v>
      </c>
      <c r="B23" s="7" t="s">
        <v>133</v>
      </c>
      <c r="C23" s="10">
        <f t="shared" si="0"/>
        <v>32</v>
      </c>
      <c r="D23">
        <v>0</v>
      </c>
      <c r="E23">
        <v>0</v>
      </c>
      <c r="F23">
        <v>32</v>
      </c>
      <c r="G23">
        <v>0</v>
      </c>
      <c r="H23">
        <v>0</v>
      </c>
      <c r="I23" s="98">
        <v>679.5</v>
      </c>
      <c r="J23" s="38">
        <v>325</v>
      </c>
      <c r="K23" s="93">
        <f t="shared" si="35"/>
        <v>21.234375</v>
      </c>
      <c r="L23" s="96">
        <v>10.15625</v>
      </c>
      <c r="M23" s="96" t="e">
        <f>L23/L29</f>
        <v>#DIV/0!</v>
      </c>
      <c r="N23" s="97" t="e">
        <f>K23/K29</f>
        <v>#DIV/0!</v>
      </c>
      <c r="O23" s="75">
        <v>1928697</v>
      </c>
      <c r="P23" s="34">
        <v>1003351</v>
      </c>
      <c r="Q23" s="34">
        <f t="shared" si="2"/>
        <v>60271.78125</v>
      </c>
      <c r="R23" s="75">
        <f t="shared" si="3"/>
        <v>31354.71875</v>
      </c>
      <c r="S23" s="23" t="e">
        <f>R23/R29</f>
        <v>#DIV/0!</v>
      </c>
      <c r="T23" s="23" t="e">
        <f>Q23/Q29</f>
        <v>#DIV/0!</v>
      </c>
      <c r="U23" s="23" t="e">
        <f t="shared" si="4"/>
        <v>#DIV/0!</v>
      </c>
      <c r="V23" s="23" t="e">
        <f t="shared" si="5"/>
        <v>#DIV/0!</v>
      </c>
      <c r="W23" s="25" t="e">
        <f t="shared" si="36"/>
        <v>#REF!</v>
      </c>
      <c r="X23" s="27">
        <v>0.214</v>
      </c>
      <c r="Y23" s="217">
        <v>41</v>
      </c>
      <c r="Z23" s="25">
        <v>2.4035941860547334</v>
      </c>
      <c r="AA23" s="25" t="e">
        <f t="shared" si="37"/>
        <v>#REF!</v>
      </c>
      <c r="AB23" s="65" t="e">
        <f>AE23*BF$5</f>
        <v>#REF!</v>
      </c>
      <c r="AC23" s="65" t="e">
        <f>(AH23*BH$5)</f>
        <v>#REF!</v>
      </c>
      <c r="AD23" s="144" t="e">
        <f>AC23-AB23</f>
        <v>#REF!</v>
      </c>
      <c r="AE23" s="65" t="e">
        <f>C23*AI23</f>
        <v>#REF!</v>
      </c>
      <c r="AF23" s="72">
        <f>X23/BG2</f>
        <v>3.758342114506498E-2</v>
      </c>
      <c r="AG23" s="65">
        <f>AP23*BH$8</f>
        <v>0</v>
      </c>
      <c r="AH23" s="208" t="e">
        <f>C23*AU23</f>
        <v>#REF!</v>
      </c>
      <c r="AI23" s="72" t="e">
        <f>W23/BI$2</f>
        <v>#REF!</v>
      </c>
      <c r="AJ23" s="292">
        <v>322096.95977560454</v>
      </c>
      <c r="AK23" s="144" t="e">
        <f>AY23*BH$18</f>
        <v>#DIV/0!</v>
      </c>
      <c r="AL23" s="276" t="e">
        <f>SUM(AM23:AN23)</f>
        <v>#DIV/0!</v>
      </c>
      <c r="AM23" s="65" t="e">
        <f>AZ23*BH$15</f>
        <v>#DIV/0!</v>
      </c>
      <c r="AN23" s="65" t="e">
        <f>BA23*BH$16</f>
        <v>#DIV/0!</v>
      </c>
      <c r="AO23" s="291">
        <f>AS23*BH$22</f>
        <v>435345.21349031158</v>
      </c>
      <c r="AP23" s="72">
        <f>Y23*AT23</f>
        <v>15.551050194149921</v>
      </c>
      <c r="AQ23" s="304">
        <f>AVERAGE(AJ23,AO23)</f>
        <v>378721.08663295803</v>
      </c>
      <c r="AR23" s="65">
        <f>AQ23-(BD23*AQ$28)</f>
        <v>341079.59495685349</v>
      </c>
      <c r="AS23" s="72">
        <f>Y23*BD23</f>
        <v>11.658592016774463</v>
      </c>
      <c r="AT23" s="72">
        <f>Z23/BJ$5</f>
        <v>0.37929390717438832</v>
      </c>
      <c r="AU23" s="72" t="e">
        <f>AA23/BJ$2</f>
        <v>#REF!</v>
      </c>
      <c r="AX23" s="26" t="e">
        <f>DB23/BH$17</f>
        <v>#DIV/0!</v>
      </c>
      <c r="AY23" s="26" t="e">
        <f>Y23*AX23</f>
        <v>#DIV/0!</v>
      </c>
      <c r="AZ23" s="26" t="e">
        <f>Y23*BB23</f>
        <v>#DIV/0!</v>
      </c>
      <c r="BA23" s="26" t="e">
        <f>Y23*BC23</f>
        <v>#DIV/0!</v>
      </c>
      <c r="BB23" s="26" t="e">
        <f>CI23/BH$13</f>
        <v>#DIV/0!</v>
      </c>
      <c r="BC23" s="26" t="e">
        <f>CS23/BH$14</f>
        <v>#DIV/0!</v>
      </c>
      <c r="BD23" s="26">
        <f>DC23/BJ$8</f>
        <v>0.28435590284815765</v>
      </c>
      <c r="BK23">
        <v>1359</v>
      </c>
      <c r="BL23">
        <v>1363</v>
      </c>
      <c r="BM23">
        <f t="shared" si="13"/>
        <v>-4</v>
      </c>
      <c r="BN23">
        <v>196</v>
      </c>
      <c r="BO23" s="34">
        <v>1826</v>
      </c>
      <c r="BP23" s="34">
        <v>2226</v>
      </c>
      <c r="BQ23" s="34">
        <v>978</v>
      </c>
      <c r="BR23" s="34">
        <f t="shared" si="14"/>
        <v>1507.3327759197325</v>
      </c>
      <c r="BS23" s="34">
        <f t="shared" si="15"/>
        <v>1007.124</v>
      </c>
      <c r="BT23" s="34">
        <f t="shared" si="51"/>
        <v>318.66722408026749</v>
      </c>
      <c r="BU23" s="34">
        <f t="shared" si="17"/>
        <v>1218.876</v>
      </c>
      <c r="BV23" s="25">
        <f t="shared" si="6"/>
        <v>1.1327958875115824</v>
      </c>
      <c r="BW23" s="117">
        <v>183.46063000000001</v>
      </c>
      <c r="BX23">
        <f t="shared" si="18"/>
        <v>1163</v>
      </c>
      <c r="BY23" s="117">
        <f t="shared" si="19"/>
        <v>1179.53937</v>
      </c>
      <c r="BZ23" s="23">
        <v>0.18725</v>
      </c>
      <c r="CA23" s="23" t="e">
        <f t="shared" si="39"/>
        <v>#REF!</v>
      </c>
      <c r="CB23" s="23" t="e">
        <f t="shared" si="40"/>
        <v>#REF!</v>
      </c>
      <c r="CC23" s="34">
        <v>1928697</v>
      </c>
      <c r="CD23" s="75">
        <v>1928697</v>
      </c>
      <c r="CE23" s="117">
        <v>149572.01999999999</v>
      </c>
      <c r="CF23" s="34">
        <f t="shared" si="52"/>
        <v>698.59572000000003</v>
      </c>
      <c r="CG23" s="34">
        <f t="shared" si="53"/>
        <v>1127.40428</v>
      </c>
      <c r="CH23" s="25">
        <f t="shared" si="54"/>
        <v>0.76983610917698808</v>
      </c>
      <c r="CI23" s="25">
        <f t="shared" si="21"/>
        <v>0.38495197215623617</v>
      </c>
      <c r="CJ23" s="75">
        <f t="shared" si="22"/>
        <v>440.08702999999997</v>
      </c>
      <c r="CK23" s="75">
        <f t="shared" si="23"/>
        <v>537.91297000000009</v>
      </c>
      <c r="CL23" s="25">
        <f t="shared" si="24"/>
        <v>0.31671841425038511</v>
      </c>
      <c r="CM23" s="75">
        <v>1928697</v>
      </c>
      <c r="CN23" s="75">
        <v>1928697</v>
      </c>
      <c r="CO23" s="34">
        <f t="shared" si="10"/>
        <v>206546.27591973243</v>
      </c>
      <c r="CP23" s="34">
        <f t="shared" si="25"/>
        <v>224393</v>
      </c>
      <c r="CQ23" s="34">
        <f t="shared" si="26"/>
        <v>1704304</v>
      </c>
      <c r="CR23" s="34">
        <f t="shared" si="55"/>
        <v>1722150.7240802676</v>
      </c>
      <c r="CS23" s="225">
        <f t="shared" si="28"/>
        <v>3.8713440372683996</v>
      </c>
      <c r="CT23" s="225">
        <f t="shared" si="56"/>
        <v>4.1050616567620715</v>
      </c>
      <c r="CU23" s="225">
        <f t="shared" si="11"/>
        <v>2.321702195211778</v>
      </c>
      <c r="CV23" s="34">
        <v>173460.51</v>
      </c>
      <c r="CW23" s="117">
        <f t="shared" si="43"/>
        <v>1779124.98</v>
      </c>
      <c r="CX23" s="117">
        <f t="shared" si="44"/>
        <v>1755236.49</v>
      </c>
      <c r="CY23" s="23">
        <v>4.0834900000000003</v>
      </c>
      <c r="CZ23" s="23" t="e">
        <f t="shared" si="45"/>
        <v>#REF!</v>
      </c>
      <c r="DA23" s="23" t="e">
        <f t="shared" si="46"/>
        <v>#REF!</v>
      </c>
      <c r="DB23" s="25">
        <f t="shared" si="30"/>
        <v>1.7795087982011017</v>
      </c>
      <c r="DC23" s="25">
        <f t="shared" si="31"/>
        <v>1.8320557112550597</v>
      </c>
    </row>
    <row r="24" spans="1:107" x14ac:dyDescent="0.25">
      <c r="A24" s="7" t="s">
        <v>135</v>
      </c>
      <c r="B24" s="7" t="s">
        <v>113</v>
      </c>
      <c r="C24" s="10">
        <f t="shared" si="0"/>
        <v>33</v>
      </c>
      <c r="D24" s="8">
        <v>2</v>
      </c>
      <c r="E24">
        <v>0</v>
      </c>
      <c r="F24" s="8">
        <v>23</v>
      </c>
      <c r="G24" s="8">
        <v>7</v>
      </c>
      <c r="H24" s="8">
        <v>1</v>
      </c>
      <c r="I24" s="98">
        <v>442.5</v>
      </c>
      <c r="J24" s="38">
        <v>392.5</v>
      </c>
      <c r="K24" s="93">
        <f t="shared" si="35"/>
        <v>13.409090909090908</v>
      </c>
      <c r="L24" s="96">
        <v>11.893939393939394</v>
      </c>
      <c r="M24" s="96" t="e">
        <f>L24/L29</f>
        <v>#DIV/0!</v>
      </c>
      <c r="N24" s="97" t="e">
        <f>K24/K29</f>
        <v>#DIV/0!</v>
      </c>
      <c r="O24" s="75">
        <v>0</v>
      </c>
      <c r="P24" s="34">
        <v>0</v>
      </c>
      <c r="Q24" s="34">
        <f t="shared" si="2"/>
        <v>0</v>
      </c>
      <c r="R24" s="75">
        <f t="shared" si="3"/>
        <v>0</v>
      </c>
      <c r="S24" s="23" t="e">
        <f>R24/R29</f>
        <v>#DIV/0!</v>
      </c>
      <c r="T24" s="23" t="e">
        <f>Q24/Q29</f>
        <v>#DIV/0!</v>
      </c>
      <c r="U24" s="23" t="e">
        <f t="shared" si="4"/>
        <v>#DIV/0!</v>
      </c>
      <c r="V24" s="23" t="e">
        <f t="shared" si="5"/>
        <v>#DIV/0!</v>
      </c>
      <c r="W24" s="26" t="e">
        <f t="shared" si="36"/>
        <v>#REF!</v>
      </c>
      <c r="X24" s="23">
        <v>-0.20599999999999999</v>
      </c>
      <c r="Y24" s="217">
        <v>35</v>
      </c>
      <c r="Z24" s="26">
        <v>-0.14347040075077108</v>
      </c>
      <c r="AA24" s="26" t="e">
        <f t="shared" si="37"/>
        <v>#REF!</v>
      </c>
      <c r="AB24" s="37"/>
      <c r="AC24" s="37"/>
      <c r="AD24" s="37"/>
      <c r="AE24" s="37"/>
      <c r="AF24" s="36"/>
      <c r="AG24" s="37"/>
      <c r="AH24" s="58"/>
      <c r="AI24" s="36"/>
      <c r="AJ24" s="37"/>
      <c r="AK24" s="37"/>
      <c r="AL24" s="36"/>
      <c r="AM24" s="37"/>
      <c r="AN24" s="37"/>
      <c r="AO24" s="37"/>
      <c r="AP24" s="36"/>
      <c r="AQ24" s="37"/>
      <c r="AR24" s="37"/>
      <c r="AS24" s="36"/>
      <c r="AT24" s="36"/>
      <c r="AU24" s="72"/>
      <c r="AX24" s="26"/>
      <c r="AY24" s="26"/>
      <c r="AZ24" s="26"/>
      <c r="BA24" s="26"/>
      <c r="BB24" s="26"/>
      <c r="BC24" s="26"/>
      <c r="BD24" s="26"/>
      <c r="BK24">
        <v>885</v>
      </c>
      <c r="BL24">
        <v>885</v>
      </c>
      <c r="BM24">
        <f t="shared" si="13"/>
        <v>0</v>
      </c>
      <c r="BN24">
        <v>202</v>
      </c>
      <c r="BO24" s="34">
        <v>886</v>
      </c>
      <c r="BP24" s="34">
        <v>1332</v>
      </c>
      <c r="BQ24" s="34">
        <v>487</v>
      </c>
      <c r="BR24" s="34">
        <f t="shared" si="14"/>
        <v>1286.747491638796</v>
      </c>
      <c r="BS24" s="34">
        <f t="shared" si="15"/>
        <v>859.74</v>
      </c>
      <c r="BT24" s="34">
        <f t="shared" si="51"/>
        <v>-400.74749163879596</v>
      </c>
      <c r="BU24" s="34">
        <f t="shared" si="17"/>
        <v>472.26</v>
      </c>
      <c r="BV24" s="25">
        <f t="shared" si="6"/>
        <v>0.2536701686925571</v>
      </c>
      <c r="BW24" s="117">
        <v>189.19377</v>
      </c>
      <c r="BX24">
        <f t="shared" si="18"/>
        <v>683</v>
      </c>
      <c r="BY24" s="117">
        <f t="shared" si="19"/>
        <v>695.80623000000003</v>
      </c>
      <c r="BZ24" s="23">
        <v>-0.10668</v>
      </c>
      <c r="CA24" s="23" t="e">
        <f t="shared" si="39"/>
        <v>#REF!</v>
      </c>
      <c r="CB24" s="23" t="e">
        <f t="shared" si="40"/>
        <v>#REF!</v>
      </c>
      <c r="CC24" s="34">
        <v>0</v>
      </c>
      <c r="CD24" s="75">
        <v>0</v>
      </c>
      <c r="CE24" s="117">
        <v>153885.43</v>
      </c>
      <c r="CF24" s="34">
        <f t="shared" si="52"/>
        <v>596.36220000000003</v>
      </c>
      <c r="CG24" s="34">
        <f t="shared" si="53"/>
        <v>289.63779999999997</v>
      </c>
      <c r="CH24" s="26">
        <f t="shared" si="54"/>
        <v>-8.6934300047350074E-2</v>
      </c>
      <c r="CI24" s="26">
        <f t="shared" si="21"/>
        <v>-8.5520984040646023E-2</v>
      </c>
      <c r="CJ24" s="75">
        <f t="shared" si="22"/>
        <v>375.68404999999996</v>
      </c>
      <c r="CK24" s="75">
        <f t="shared" si="23"/>
        <v>111.31595000000004</v>
      </c>
      <c r="CL24" s="26">
        <f t="shared" si="24"/>
        <v>-0.24992665084026958</v>
      </c>
      <c r="CM24" s="34">
        <v>0</v>
      </c>
      <c r="CN24" s="34">
        <v>9629</v>
      </c>
      <c r="CO24" s="34">
        <f t="shared" si="10"/>
        <v>176319.991638796</v>
      </c>
      <c r="CP24" s="34">
        <f t="shared" si="25"/>
        <v>191555</v>
      </c>
      <c r="CQ24" s="34">
        <f t="shared" si="26"/>
        <v>-181926</v>
      </c>
      <c r="CR24" s="34">
        <f t="shared" si="55"/>
        <v>-176319.991638796</v>
      </c>
      <c r="CS24" s="36">
        <f t="shared" si="28"/>
        <v>-0.45736889342565296</v>
      </c>
      <c r="CT24" s="36">
        <f t="shared" si="56"/>
        <v>-0.42029099246442891</v>
      </c>
      <c r="CU24" s="240">
        <f t="shared" si="11"/>
        <v>-1.5914295770237313E-2</v>
      </c>
      <c r="CV24" s="34">
        <v>177714.32</v>
      </c>
      <c r="CW24" s="117">
        <f t="shared" si="43"/>
        <v>-153885.43</v>
      </c>
      <c r="CX24" s="117">
        <f t="shared" si="44"/>
        <v>-177714.32</v>
      </c>
      <c r="CY24" s="23">
        <v>-0.32102999999999998</v>
      </c>
      <c r="CZ24" s="23" t="e">
        <f t="shared" si="45"/>
        <v>#REF!</v>
      </c>
      <c r="DA24" s="23" t="e">
        <f t="shared" si="46"/>
        <v>#REF!</v>
      </c>
      <c r="DB24" s="23">
        <f t="shared" si="30"/>
        <v>-0.23426014779464882</v>
      </c>
      <c r="DC24" s="23">
        <f t="shared" si="31"/>
        <v>-0.31807238748993333</v>
      </c>
    </row>
    <row r="25" spans="1:107" x14ac:dyDescent="0.25">
      <c r="A25" s="9" t="s">
        <v>138</v>
      </c>
      <c r="B25" s="9" t="s">
        <v>107</v>
      </c>
      <c r="C25" s="10">
        <f t="shared" si="0"/>
        <v>23</v>
      </c>
      <c r="D25">
        <v>0</v>
      </c>
      <c r="E25">
        <v>6</v>
      </c>
      <c r="F25">
        <v>6</v>
      </c>
      <c r="G25">
        <v>6</v>
      </c>
      <c r="H25">
        <v>5</v>
      </c>
      <c r="I25" s="98">
        <v>22.5</v>
      </c>
      <c r="J25" s="38">
        <v>38.5</v>
      </c>
      <c r="K25" s="93">
        <f t="shared" si="35"/>
        <v>0.97826086956521741</v>
      </c>
      <c r="L25" s="96">
        <v>1.673913043478261</v>
      </c>
      <c r="M25" s="96" t="e">
        <f>L25/L29</f>
        <v>#DIV/0!</v>
      </c>
      <c r="N25" s="97" t="e">
        <f>K25/K29</f>
        <v>#DIV/0!</v>
      </c>
      <c r="O25" s="75">
        <v>0</v>
      </c>
      <c r="P25" s="34">
        <v>0</v>
      </c>
      <c r="Q25" s="34">
        <f t="shared" si="2"/>
        <v>0</v>
      </c>
      <c r="R25" s="75">
        <f t="shared" si="3"/>
        <v>0</v>
      </c>
      <c r="S25" s="23" t="e">
        <f>R25/R29</f>
        <v>#DIV/0!</v>
      </c>
      <c r="T25" s="23" t="e">
        <f>Q25/Q29</f>
        <v>#DIV/0!</v>
      </c>
      <c r="U25" s="23" t="e">
        <f t="shared" si="4"/>
        <v>#DIV/0!</v>
      </c>
      <c r="V25" s="23" t="e">
        <f t="shared" si="5"/>
        <v>#DIV/0!</v>
      </c>
      <c r="W25" s="26" t="e">
        <f t="shared" si="36"/>
        <v>#REF!</v>
      </c>
      <c r="X25" s="23">
        <v>-0.39300000000000002</v>
      </c>
      <c r="Y25" s="217">
        <v>19</v>
      </c>
      <c r="Z25" s="26">
        <v>-0.45066129326366638</v>
      </c>
      <c r="AA25" s="26" t="e">
        <f t="shared" si="37"/>
        <v>#REF!</v>
      </c>
      <c r="AB25" s="37"/>
      <c r="AC25" s="37"/>
      <c r="AD25" s="37"/>
      <c r="AE25" s="37"/>
      <c r="AF25" s="36"/>
      <c r="AG25" s="37"/>
      <c r="AH25" s="58"/>
      <c r="AI25" s="36"/>
      <c r="AJ25" s="37"/>
      <c r="AK25" s="37"/>
      <c r="AL25" s="36"/>
      <c r="AM25" s="37"/>
      <c r="AN25" s="37"/>
      <c r="AO25" s="37"/>
      <c r="AP25" s="36"/>
      <c r="AQ25" s="37"/>
      <c r="AR25" s="37"/>
      <c r="AS25" s="36"/>
      <c r="AT25" s="36"/>
      <c r="AU25" s="36"/>
      <c r="AX25" s="26"/>
      <c r="AY25" s="26"/>
      <c r="AZ25" s="26"/>
      <c r="BA25" s="26"/>
      <c r="BB25" s="26"/>
      <c r="BC25" s="26"/>
      <c r="BD25" s="26"/>
      <c r="BK25">
        <v>45</v>
      </c>
      <c r="BL25">
        <v>44</v>
      </c>
      <c r="BM25">
        <f t="shared" si="13"/>
        <v>1</v>
      </c>
      <c r="BN25">
        <v>141</v>
      </c>
      <c r="BO25" s="34">
        <v>80</v>
      </c>
      <c r="BP25" s="34">
        <v>96</v>
      </c>
      <c r="BQ25" s="34">
        <v>70</v>
      </c>
      <c r="BR25" s="34">
        <f t="shared" si="14"/>
        <v>698.52006688963218</v>
      </c>
      <c r="BS25" s="34">
        <f t="shared" si="15"/>
        <v>466.71600000000001</v>
      </c>
      <c r="BT25" s="34">
        <f t="shared" si="51"/>
        <v>-618.52006688963218</v>
      </c>
      <c r="BU25" s="34">
        <f t="shared" si="17"/>
        <v>-370.71600000000001</v>
      </c>
      <c r="BV25" s="23">
        <f t="shared" si="6"/>
        <v>-1.2448201662302427E-2</v>
      </c>
      <c r="BW25" s="117">
        <v>131.86232999999999</v>
      </c>
      <c r="BX25">
        <f t="shared" si="18"/>
        <v>-96</v>
      </c>
      <c r="BY25" s="117">
        <f t="shared" si="19"/>
        <v>-87.862329999999986</v>
      </c>
      <c r="BZ25" s="23">
        <v>-0.58348</v>
      </c>
      <c r="CA25" s="23" t="e">
        <f t="shared" si="39"/>
        <v>#REF!</v>
      </c>
      <c r="CB25" s="23" t="e">
        <f t="shared" si="40"/>
        <v>#REF!</v>
      </c>
      <c r="CC25" s="34">
        <v>0</v>
      </c>
      <c r="CD25" s="75">
        <v>0</v>
      </c>
      <c r="CE25" s="117">
        <v>110240.4</v>
      </c>
      <c r="CF25" s="34">
        <f t="shared" si="52"/>
        <v>323.73948000000001</v>
      </c>
      <c r="CG25" s="34">
        <f t="shared" si="53"/>
        <v>-243.73948000000001</v>
      </c>
      <c r="CH25" s="26">
        <f t="shared" si="54"/>
        <v>-0.63241073216309229</v>
      </c>
      <c r="CI25" s="26">
        <f t="shared" si="21"/>
        <v>-0.61671427580377858</v>
      </c>
      <c r="CJ25" s="75">
        <f t="shared" si="22"/>
        <v>203.94277</v>
      </c>
      <c r="CK25" s="75">
        <f t="shared" si="23"/>
        <v>-133.94277</v>
      </c>
      <c r="CL25" s="26">
        <f t="shared" si="24"/>
        <v>-0.57570164888983555</v>
      </c>
      <c r="CM25" s="34">
        <v>0</v>
      </c>
      <c r="CN25" s="34">
        <v>0</v>
      </c>
      <c r="CO25" s="34">
        <f t="shared" si="10"/>
        <v>95716.566889632115</v>
      </c>
      <c r="CP25" s="34">
        <f t="shared" si="25"/>
        <v>103987</v>
      </c>
      <c r="CQ25" s="34">
        <f t="shared" si="26"/>
        <v>-103987</v>
      </c>
      <c r="CR25" s="34">
        <f t="shared" si="55"/>
        <v>-95716.566889632115</v>
      </c>
      <c r="CS25" s="36">
        <f t="shared" si="28"/>
        <v>-0.27850652928906106</v>
      </c>
      <c r="CT25" s="36">
        <f t="shared" si="56"/>
        <v>-0.22815796733783283</v>
      </c>
      <c r="CU25" s="240">
        <f t="shared" si="11"/>
        <v>-9.8732107932514593E-2</v>
      </c>
      <c r="CV25" s="34">
        <v>133745.95000000001</v>
      </c>
      <c r="CW25" s="117">
        <f t="shared" si="43"/>
        <v>-110240.4</v>
      </c>
      <c r="CX25" s="117">
        <f t="shared" si="44"/>
        <v>-133745.95000000001</v>
      </c>
      <c r="CY25" s="23">
        <v>-0.22158</v>
      </c>
      <c r="CZ25" s="23" t="e">
        <f t="shared" si="45"/>
        <v>#REF!</v>
      </c>
      <c r="DA25" s="23" t="e">
        <f t="shared" si="46"/>
        <v>#REF!</v>
      </c>
      <c r="DB25" s="23">
        <f t="shared" si="30"/>
        <v>-0.48143117719789158</v>
      </c>
      <c r="DC25" s="23">
        <f t="shared" si="31"/>
        <v>-0.43668417626903444</v>
      </c>
    </row>
    <row r="26" spans="1:107" ht="15.75" thickBot="1" x14ac:dyDescent="0.3">
      <c r="A26" s="7" t="s">
        <v>139</v>
      </c>
      <c r="B26" s="7" t="s">
        <v>140</v>
      </c>
      <c r="C26" s="10">
        <f t="shared" si="0"/>
        <v>10</v>
      </c>
      <c r="D26">
        <v>0</v>
      </c>
      <c r="E26">
        <v>0</v>
      </c>
      <c r="F26">
        <v>0</v>
      </c>
      <c r="G26">
        <v>0</v>
      </c>
      <c r="H26">
        <v>10</v>
      </c>
      <c r="I26" s="99">
        <v>47</v>
      </c>
      <c r="J26" s="100">
        <v>48.5</v>
      </c>
      <c r="K26" s="101">
        <f t="shared" si="35"/>
        <v>4.7</v>
      </c>
      <c r="L26" s="102">
        <v>4.8499999999999996</v>
      </c>
      <c r="M26" s="102" t="e">
        <f>L26/L29</f>
        <v>#DIV/0!</v>
      </c>
      <c r="N26" s="103" t="e">
        <f>K26/K29</f>
        <v>#DIV/0!</v>
      </c>
      <c r="O26" s="75">
        <v>0</v>
      </c>
      <c r="P26" s="34">
        <v>0</v>
      </c>
      <c r="Q26" s="34">
        <f t="shared" si="2"/>
        <v>0</v>
      </c>
      <c r="R26" s="75">
        <f t="shared" si="3"/>
        <v>0</v>
      </c>
      <c r="S26" s="23" t="e">
        <f>R26/R29</f>
        <v>#DIV/0!</v>
      </c>
      <c r="T26" s="23" t="e">
        <f>Q26/Q29</f>
        <v>#DIV/0!</v>
      </c>
      <c r="U26" s="23" t="e">
        <f t="shared" si="4"/>
        <v>#DIV/0!</v>
      </c>
      <c r="V26" s="23" t="e">
        <f t="shared" si="5"/>
        <v>#DIV/0!</v>
      </c>
      <c r="W26" s="26" t="e">
        <f t="shared" si="36"/>
        <v>#REF!</v>
      </c>
      <c r="X26" s="23">
        <v>-0.35199999999999998</v>
      </c>
      <c r="Y26" s="217">
        <v>10</v>
      </c>
      <c r="Z26" s="26">
        <v>-0.20103027775890056</v>
      </c>
      <c r="AA26" s="26" t="e">
        <f t="shared" si="37"/>
        <v>#REF!</v>
      </c>
      <c r="AB26" s="37"/>
      <c r="AC26" s="37"/>
      <c r="AD26" s="37"/>
      <c r="AE26" s="37"/>
      <c r="AF26" s="36"/>
      <c r="AG26" s="37"/>
      <c r="AH26" s="58"/>
      <c r="AI26" s="36"/>
      <c r="AJ26" s="37"/>
      <c r="AK26" s="37"/>
      <c r="AL26" s="36"/>
      <c r="AM26" s="37"/>
      <c r="AN26" s="37"/>
      <c r="AO26" s="37"/>
      <c r="AP26" s="36"/>
      <c r="AQ26" s="37"/>
      <c r="AR26" s="37"/>
      <c r="AS26" s="36"/>
      <c r="AT26" s="36"/>
      <c r="AU26" s="36"/>
      <c r="AX26" s="26"/>
      <c r="AY26" s="26"/>
      <c r="AZ26" s="26"/>
      <c r="BA26" s="26"/>
      <c r="BB26" s="26"/>
      <c r="BC26" s="26"/>
      <c r="BD26" s="26"/>
      <c r="BK26">
        <v>94</v>
      </c>
      <c r="BL26">
        <v>94</v>
      </c>
      <c r="BM26">
        <f t="shared" si="13"/>
        <v>0</v>
      </c>
      <c r="BN26">
        <v>61</v>
      </c>
      <c r="BO26" s="34">
        <v>81</v>
      </c>
      <c r="BP26" s="34">
        <v>128</v>
      </c>
      <c r="BQ26" s="34">
        <v>64</v>
      </c>
      <c r="BR26" s="34">
        <f t="shared" si="14"/>
        <v>367.64214046822747</v>
      </c>
      <c r="BS26" s="34">
        <f t="shared" si="15"/>
        <v>245.64</v>
      </c>
      <c r="BT26" s="34">
        <f t="shared" si="51"/>
        <v>-286.64214046822747</v>
      </c>
      <c r="BU26" s="34">
        <f t="shared" si="17"/>
        <v>-117.63999999999999</v>
      </c>
      <c r="BV26" s="23">
        <f t="shared" si="6"/>
        <v>0.39310705631398885</v>
      </c>
      <c r="BW26" s="117">
        <v>57.331449999999997</v>
      </c>
      <c r="BX26">
        <f t="shared" si="18"/>
        <v>33</v>
      </c>
      <c r="BY26" s="117">
        <f t="shared" si="19"/>
        <v>36.668550000000003</v>
      </c>
      <c r="BZ26" s="23">
        <v>-0.50480999999999998</v>
      </c>
      <c r="CA26" s="23" t="e">
        <f t="shared" si="39"/>
        <v>#REF!</v>
      </c>
      <c r="CB26" s="23" t="e">
        <f t="shared" si="40"/>
        <v>#REF!</v>
      </c>
      <c r="CC26" s="34">
        <v>0</v>
      </c>
      <c r="CD26" s="75">
        <v>0</v>
      </c>
      <c r="CE26" s="117">
        <v>51066.46</v>
      </c>
      <c r="CF26" s="34">
        <f t="shared" si="52"/>
        <v>170.38920000000002</v>
      </c>
      <c r="CG26" s="34">
        <f t="shared" si="53"/>
        <v>-89.389200000000017</v>
      </c>
      <c r="CH26" s="26">
        <f t="shared" si="54"/>
        <v>-0.4745591640751794</v>
      </c>
      <c r="CI26" s="26">
        <f t="shared" si="21"/>
        <v>-0.45724084654096853</v>
      </c>
      <c r="CJ26" s="75">
        <f t="shared" si="22"/>
        <v>107.33829999999999</v>
      </c>
      <c r="CK26" s="75">
        <f t="shared" si="23"/>
        <v>-43.33829999999999</v>
      </c>
      <c r="CL26" s="26">
        <f t="shared" si="24"/>
        <v>-0.45535252924372493</v>
      </c>
      <c r="CM26" s="34">
        <v>0</v>
      </c>
      <c r="CN26" s="34">
        <v>0</v>
      </c>
      <c r="CO26" s="34">
        <f t="shared" si="10"/>
        <v>50377.14046822743</v>
      </c>
      <c r="CP26" s="34">
        <f t="shared" si="25"/>
        <v>54730</v>
      </c>
      <c r="CQ26" s="34">
        <f t="shared" si="26"/>
        <v>-54730</v>
      </c>
      <c r="CR26" s="34">
        <f t="shared" si="55"/>
        <v>-50377.14046822743</v>
      </c>
      <c r="CS26" s="36">
        <f t="shared" si="28"/>
        <v>-0.16546654327081464</v>
      </c>
      <c r="CT26" s="36">
        <f t="shared" si="56"/>
        <v>-0.12008314070412253</v>
      </c>
      <c r="CU26" s="240">
        <f t="shared" si="11"/>
        <v>0.1878309775067443</v>
      </c>
      <c r="CV26" s="34">
        <v>69419.72</v>
      </c>
      <c r="CW26" s="117">
        <f t="shared" si="43"/>
        <v>-51066.46</v>
      </c>
      <c r="CX26" s="117">
        <f t="shared" si="44"/>
        <v>-69419.72</v>
      </c>
      <c r="CY26" s="23">
        <v>-8.6749999999999994E-2</v>
      </c>
      <c r="CZ26" s="23" t="e">
        <f t="shared" si="45"/>
        <v>#REF!</v>
      </c>
      <c r="DA26" s="23" t="e">
        <f t="shared" si="46"/>
        <v>#REF!</v>
      </c>
      <c r="DB26" s="23">
        <f t="shared" si="30"/>
        <v>-0.34053112523290696</v>
      </c>
      <c r="DC26" s="23">
        <f t="shared" si="31"/>
        <v>-0.32124477382788397</v>
      </c>
    </row>
    <row r="27" spans="1:107" x14ac:dyDescent="0.25">
      <c r="B27" s="216" t="s">
        <v>306</v>
      </c>
      <c r="C27" s="1">
        <f t="shared" ref="C27:J27" si="57">SUM(C3:C26)</f>
        <v>1302</v>
      </c>
      <c r="D27" s="1">
        <f t="shared" si="57"/>
        <v>208</v>
      </c>
      <c r="E27" s="1">
        <f t="shared" si="57"/>
        <v>199</v>
      </c>
      <c r="F27" s="1">
        <f t="shared" si="57"/>
        <v>432</v>
      </c>
      <c r="G27" s="1">
        <f t="shared" si="57"/>
        <v>271</v>
      </c>
      <c r="H27" s="1">
        <f t="shared" si="57"/>
        <v>192</v>
      </c>
      <c r="I27" s="74">
        <f t="shared" si="57"/>
        <v>14253</v>
      </c>
      <c r="J27" s="17">
        <f t="shared" si="57"/>
        <v>14276</v>
      </c>
      <c r="K27" s="31">
        <f t="shared" si="35"/>
        <v>10.947004608294931</v>
      </c>
      <c r="L27" s="31">
        <v>10.790566037735848</v>
      </c>
      <c r="M27" s="31" t="e">
        <f>SUM(M3:M26)</f>
        <v>#DIV/0!</v>
      </c>
      <c r="N27" s="31" t="e">
        <f>SUM(N3:N26)</f>
        <v>#DIV/0!</v>
      </c>
      <c r="O27" s="35">
        <f>SUM(O3:O26)</f>
        <v>5671241</v>
      </c>
      <c r="P27" s="35">
        <f>SUM(P3:P26)</f>
        <v>5082907</v>
      </c>
      <c r="Q27" s="35">
        <f t="shared" si="2"/>
        <v>4355.7918586789556</v>
      </c>
      <c r="R27" s="35">
        <f t="shared" si="3"/>
        <v>3903.9224270353302</v>
      </c>
      <c r="S27" s="31" t="e">
        <f>SUM(S3:S26)</f>
        <v>#DIV/0!</v>
      </c>
      <c r="T27" s="31" t="e">
        <f>SUM(T3:T26)</f>
        <v>#DIV/0!</v>
      </c>
      <c r="U27" s="31" t="e">
        <f>SUM(U3:U26)</f>
        <v>#DIV/0!</v>
      </c>
      <c r="V27" s="31" t="e">
        <f>SUM(V3:V26)</f>
        <v>#DIV/0!</v>
      </c>
      <c r="W27" s="31"/>
      <c r="X27" s="31"/>
      <c r="Y27" s="242">
        <f>SUM(Y3:Y14,Y15,Y16,Y17,Y18:Y21,Y22:Y26)</f>
        <v>1196</v>
      </c>
      <c r="Z27" s="242"/>
      <c r="AA27" s="31"/>
      <c r="AB27" s="49" t="e">
        <f>SUM(AB3:AB26)</f>
        <v>#REF!</v>
      </c>
      <c r="AC27" s="49" t="e">
        <f>SUM(AC3:AC26)</f>
        <v>#REF!</v>
      </c>
      <c r="AD27" s="49"/>
      <c r="AE27" s="49" t="e">
        <f t="shared" ref="AE27:AP27" si="58">SUM(AE3:AE26)</f>
        <v>#REF!</v>
      </c>
      <c r="AF27" s="49">
        <f t="shared" si="58"/>
        <v>1.0000000000000002</v>
      </c>
      <c r="AG27" s="49">
        <f t="shared" si="58"/>
        <v>0</v>
      </c>
      <c r="AH27" s="207" t="e">
        <f t="shared" si="58"/>
        <v>#REF!</v>
      </c>
      <c r="AI27" s="206" t="e">
        <f t="shared" si="58"/>
        <v>#REF!</v>
      </c>
      <c r="AJ27" s="49">
        <f>SUM(AJ3:AJ26)</f>
        <v>5859135.9433210781</v>
      </c>
      <c r="AK27" s="49" t="e">
        <f t="shared" si="58"/>
        <v>#DIV/0!</v>
      </c>
      <c r="AL27" s="206" t="e">
        <f t="shared" si="58"/>
        <v>#DIV/0!</v>
      </c>
      <c r="AM27" s="49" t="e">
        <f t="shared" si="58"/>
        <v>#DIV/0!</v>
      </c>
      <c r="AN27" s="49" t="e">
        <f t="shared" si="58"/>
        <v>#DIV/0!</v>
      </c>
      <c r="AO27" s="49">
        <f>SUM(AO3:AO26)</f>
        <v>5594386.7941099582</v>
      </c>
      <c r="AP27" s="207">
        <f t="shared" si="58"/>
        <v>103.47383360338165</v>
      </c>
      <c r="AQ27" s="49">
        <f>SUM(AQ3:AQ26)</f>
        <v>5726761.3687155172</v>
      </c>
      <c r="AR27" s="49">
        <f>SUM(AR3:AR26)</f>
        <v>5594386.7941099582</v>
      </c>
      <c r="AS27" s="207">
        <f>SUM(AS3:AS26)</f>
        <v>149.81828488166056</v>
      </c>
      <c r="AT27" s="206"/>
      <c r="AU27" s="206" t="e">
        <f>SUM(AU3:AU26)</f>
        <v>#REF!</v>
      </c>
      <c r="AX27" s="79" t="e">
        <f t="shared" ref="AX27:BC27" si="59">SUM(AX3:AX26)</f>
        <v>#DIV/0!</v>
      </c>
      <c r="AY27" s="79" t="e">
        <f t="shared" si="59"/>
        <v>#DIV/0!</v>
      </c>
      <c r="AZ27" s="79" t="e">
        <f t="shared" si="59"/>
        <v>#DIV/0!</v>
      </c>
      <c r="BA27" s="79" t="e">
        <f t="shared" si="59"/>
        <v>#DIV/0!</v>
      </c>
      <c r="BB27" s="79" t="e">
        <f t="shared" si="59"/>
        <v>#DIV/0!</v>
      </c>
      <c r="BC27" s="79" t="e">
        <f t="shared" si="59"/>
        <v>#DIV/0!</v>
      </c>
      <c r="BD27" s="79"/>
      <c r="BK27" s="1">
        <f>SUM(BK3:BK26)</f>
        <v>28510</v>
      </c>
      <c r="BL27" s="1">
        <f>SUM(BL3:BL26)</f>
        <v>28601</v>
      </c>
      <c r="BM27">
        <f t="shared" si="13"/>
        <v>-91</v>
      </c>
      <c r="BO27" s="54">
        <f>SUM(BO22:BO26,BO3:BO14,BO15,BO16:BO17,BO18:BO21)</f>
        <v>29370</v>
      </c>
      <c r="BP27" s="54">
        <f>SUM(BP3:BP26)</f>
        <v>43970</v>
      </c>
      <c r="BQ27" s="54">
        <f>SUM(BQ3:BQ26)</f>
        <v>20025</v>
      </c>
      <c r="BR27" s="1"/>
      <c r="BS27" s="1"/>
      <c r="BT27" s="59">
        <f>AVERAGE(BT3:BT26)</f>
        <v>-608.3333333333336</v>
      </c>
      <c r="BU27" s="59">
        <f>AVERAGE(BU3:BU26)</f>
        <v>607.97733333333326</v>
      </c>
      <c r="BV27" s="1"/>
      <c r="BY27" s="117"/>
      <c r="CC27" s="54">
        <f>SUM(CC3:CC26)</f>
        <v>5347944</v>
      </c>
      <c r="CD27" s="54">
        <f>SUM(CD3:CD26)</f>
        <v>5530171.4699999997</v>
      </c>
      <c r="CE27" s="153"/>
      <c r="CF27" s="153"/>
      <c r="CG27" s="59">
        <f>AVERAGE(CG22:CG26,CG3:CG14,CG15,CG16:CG17,CG18:CG21)</f>
        <v>374.64382000000001</v>
      </c>
      <c r="CH27" s="153"/>
      <c r="CI27" s="218"/>
      <c r="CJ27" s="218"/>
      <c r="CK27" s="54">
        <f>AVERAGE(CK22:CK26,CK3:CK14,CK15,CK16:CK17,CK18:CK21)</f>
        <v>299.47247166666671</v>
      </c>
      <c r="CL27" s="218"/>
      <c r="CM27" s="54">
        <f>SUM(CM22:CM26,CM3:CM14,CM15,CM16:CM17,CM18:CM21)</f>
        <v>6025106</v>
      </c>
      <c r="CN27" s="54">
        <f>SUM(CN3:CN26)</f>
        <v>6962631</v>
      </c>
      <c r="CO27" s="54"/>
      <c r="CP27" s="54"/>
      <c r="CQ27" s="54">
        <f>AVERAGE(CQ3:CQ26)</f>
        <v>17371.791666666668</v>
      </c>
      <c r="CR27" s="54">
        <f>AVERAGE(CR22:CR26,CR3:CR14,CR15,CR16:CR17,CR18:CR21)</f>
        <v>-7.2759576141834259E-12</v>
      </c>
      <c r="CS27" s="54"/>
      <c r="CT27" s="54"/>
      <c r="CU27" s="114"/>
      <c r="CV27" s="153"/>
    </row>
    <row r="28" spans="1:107" x14ac:dyDescent="0.25">
      <c r="L28" s="24"/>
      <c r="AA28" s="1"/>
      <c r="AQ28" s="37">
        <f>AQ27-AO27</f>
        <v>132374.574605559</v>
      </c>
      <c r="AR28" s="37"/>
      <c r="BM28" s="155">
        <f>(BK27/BL27)*100</f>
        <v>99.681829306667595</v>
      </c>
      <c r="BN28" s="1" t="s">
        <v>271</v>
      </c>
      <c r="BO28" s="1"/>
      <c r="BP28" s="1"/>
      <c r="BQ28" s="1"/>
      <c r="BR28" s="1"/>
      <c r="BS28" s="1"/>
      <c r="BT28" s="59">
        <f>STDEV(BT3:BT26)</f>
        <v>818.32973409706415</v>
      </c>
      <c r="BU28" s="59">
        <f>STDEV(BU3:BU26)</f>
        <v>1586.9477515463359</v>
      </c>
      <c r="BV28" s="1"/>
      <c r="BW28" s="1"/>
      <c r="BX28" s="117" t="e">
        <f>AVERAGE(BX3:BX12,BX14,#REF!,BX16:BX26)</f>
        <v>#REF!</v>
      </c>
      <c r="BY28" s="117" t="e">
        <f>AVERAGE(BY3:BY12,BY14,#REF!,BY16:BY26)</f>
        <v>#REF!</v>
      </c>
      <c r="BZ28" s="117"/>
      <c r="CE28" s="1" t="s">
        <v>270</v>
      </c>
      <c r="CF28" s="1"/>
      <c r="CG28" s="59">
        <f>STDEV(CG3:CG14,CG15,CG16:CG17,CG18:CG21,CG22:CG26)</f>
        <v>977.81911114140485</v>
      </c>
      <c r="CH28" s="1"/>
      <c r="CI28" s="61"/>
      <c r="CJ28" s="61"/>
      <c r="CK28" s="1">
        <f>STDEV(CK3:CK14,CK15,CK16:CK17,CK18:CK21,CK22:CK26)</f>
        <v>752.84696943712186</v>
      </c>
      <c r="CL28" s="61"/>
      <c r="CM28" s="1"/>
      <c r="CN28" s="1"/>
      <c r="CO28" s="1"/>
      <c r="CP28" s="1"/>
      <c r="CQ28" s="1">
        <f>STDEV(CQ3:CQ27)</f>
        <v>435748.46154040704</v>
      </c>
      <c r="CR28" s="1">
        <f>STDEV(CR3:CR14,CR15,CR16:CR17,CR18:CR21,CR22:CR26)</f>
        <v>419518.8448006502</v>
      </c>
      <c r="CS28" s="1"/>
      <c r="CT28" s="1"/>
      <c r="CU28" s="61"/>
      <c r="CV28" s="1"/>
      <c r="CW28" s="117" t="e">
        <f>AVERAGE(CW3:CW12,CW14,#REF!,CW16:CW26)</f>
        <v>#REF!</v>
      </c>
      <c r="CX28" s="117" t="e">
        <f>AVERAGE(CX3:CX12,CX14,#REF!,CX16:CX26)</f>
        <v>#REF!</v>
      </c>
    </row>
    <row r="29" spans="1:107" ht="18.75" x14ac:dyDescent="0.3">
      <c r="A29" s="14"/>
      <c r="K29" s="23"/>
      <c r="L29" s="23"/>
      <c r="Q29" s="36"/>
      <c r="R29" s="36"/>
      <c r="BJ29" s="1" t="s">
        <v>411</v>
      </c>
      <c r="BL29" s="230" t="s">
        <v>343</v>
      </c>
      <c r="BN29" s="1" t="s">
        <v>267</v>
      </c>
      <c r="BO29" s="53">
        <f>BO27/Y27</f>
        <v>24.556856187290968</v>
      </c>
      <c r="BP29" s="53">
        <f>BP27/Y27</f>
        <v>36.764214046822744</v>
      </c>
      <c r="BQ29" s="53">
        <f>BQ27/Y27</f>
        <v>16.743311036789297</v>
      </c>
      <c r="BR29" s="1"/>
      <c r="BS29" s="1"/>
      <c r="BT29" s="1"/>
      <c r="BU29" s="1"/>
      <c r="BV29" s="1"/>
      <c r="BW29" s="1"/>
      <c r="BX29" t="e">
        <f>STDEV(BX3:BX12,BX14,#REF!,BX16:BX26)</f>
        <v>#REF!</v>
      </c>
      <c r="BY29" t="e">
        <f>STDEV(BY3:BY12,BY14,#REF!,BY16:BY26)</f>
        <v>#REF!</v>
      </c>
      <c r="CD29" s="230" t="s">
        <v>343</v>
      </c>
      <c r="CE29" s="1" t="s">
        <v>267</v>
      </c>
      <c r="CF29" s="1"/>
      <c r="CG29" s="1"/>
      <c r="CH29" s="1" t="s">
        <v>411</v>
      </c>
      <c r="CI29" s="61"/>
      <c r="CJ29" s="61"/>
      <c r="CK29" s="61"/>
      <c r="CL29" s="61"/>
      <c r="CM29" s="54">
        <f>CM27/Y27</f>
        <v>5037.7140468227426</v>
      </c>
      <c r="CN29" s="54">
        <f>CN27/Y27</f>
        <v>5821.597826086957</v>
      </c>
      <c r="CO29" s="1"/>
      <c r="CP29" s="1"/>
      <c r="CQ29" s="1"/>
      <c r="CR29" s="1"/>
      <c r="CS29" s="1"/>
      <c r="CT29" s="1"/>
      <c r="CU29" s="61"/>
      <c r="CV29" s="1"/>
      <c r="CW29" t="e">
        <f>STDEV(CW3:CW12,CW14,#REF!,CW16:CW26)</f>
        <v>#REF!</v>
      </c>
      <c r="CX29" t="e">
        <f>STDEV(CX3:CX12,CX14,#REF!,CX16:CX26)</f>
        <v>#REF!</v>
      </c>
    </row>
    <row r="30" spans="1:107" ht="18.75" x14ac:dyDescent="0.3">
      <c r="A30" s="14"/>
      <c r="BJ30" s="1" t="s">
        <v>412</v>
      </c>
      <c r="BL30" s="230" t="s">
        <v>344</v>
      </c>
      <c r="BO30" s="53">
        <v>17.038920000000001</v>
      </c>
      <c r="BP30" s="53">
        <v>24.564</v>
      </c>
      <c r="BQ30" s="53">
        <v>10.733829999999999</v>
      </c>
      <c r="BR30" s="1"/>
      <c r="BS30" s="1"/>
      <c r="BT30" s="1"/>
      <c r="BU30" s="1"/>
      <c r="BV30" s="1"/>
      <c r="CD30" s="230" t="s">
        <v>344</v>
      </c>
      <c r="CH30" s="1" t="s">
        <v>412</v>
      </c>
      <c r="CI30" s="61"/>
      <c r="CJ30" s="61"/>
      <c r="CK30" s="61"/>
      <c r="CL30" s="61"/>
      <c r="CM30" s="54">
        <v>4932.0010000000002</v>
      </c>
      <c r="CN30" s="54">
        <v>5473</v>
      </c>
    </row>
    <row r="31" spans="1:107" ht="18.75" x14ac:dyDescent="0.3">
      <c r="A31" s="14"/>
      <c r="B31" s="215"/>
      <c r="BL31" s="273" t="s">
        <v>395</v>
      </c>
      <c r="CD31" s="273" t="s">
        <v>396</v>
      </c>
    </row>
    <row r="32" spans="1:107" ht="18.75" x14ac:dyDescent="0.3">
      <c r="A32" s="14"/>
      <c r="AA32" s="1"/>
    </row>
    <row r="33" spans="1:27" ht="18.75" x14ac:dyDescent="0.3">
      <c r="A33" s="14"/>
    </row>
    <row r="34" spans="1:27" ht="18.75" x14ac:dyDescent="0.3">
      <c r="A34" s="14"/>
      <c r="B34" s="215"/>
    </row>
    <row r="35" spans="1:27" ht="18.75" x14ac:dyDescent="0.3">
      <c r="A35" s="14"/>
      <c r="AA35" s="1"/>
    </row>
    <row r="36" spans="1:27" ht="18.75" x14ac:dyDescent="0.3">
      <c r="A36" s="14"/>
    </row>
    <row r="37" spans="1:27" ht="18.75" x14ac:dyDescent="0.3">
      <c r="A37" s="14"/>
      <c r="B37" s="215"/>
    </row>
    <row r="38" spans="1:27" ht="18.75" x14ac:dyDescent="0.3">
      <c r="A38" s="14"/>
      <c r="AA38" s="1"/>
    </row>
    <row r="39" spans="1:27" ht="18.75" x14ac:dyDescent="0.3">
      <c r="A39" s="14"/>
    </row>
    <row r="40" spans="1:27" ht="18.75" x14ac:dyDescent="0.3">
      <c r="A40" s="14"/>
      <c r="B40" s="215"/>
    </row>
    <row r="41" spans="1:27" ht="18.75" x14ac:dyDescent="0.3">
      <c r="A41" s="14"/>
      <c r="AA41" s="1"/>
    </row>
    <row r="42" spans="1:27" ht="18.75" x14ac:dyDescent="0.3">
      <c r="A42" s="14"/>
    </row>
    <row r="43" spans="1:27" ht="18.75" x14ac:dyDescent="0.3">
      <c r="A43" s="14"/>
      <c r="B43" s="215"/>
    </row>
    <row r="44" spans="1:27" ht="18.75" x14ac:dyDescent="0.3">
      <c r="A44" s="14"/>
      <c r="AA44" s="1"/>
    </row>
    <row r="45" spans="1:27" ht="18.75" x14ac:dyDescent="0.3">
      <c r="A45" s="14"/>
    </row>
    <row r="46" spans="1:27" ht="18.75" x14ac:dyDescent="0.3">
      <c r="A46" s="14"/>
      <c r="B46" s="215"/>
    </row>
    <row r="47" spans="1:27" ht="18.75" x14ac:dyDescent="0.3">
      <c r="A47" s="14"/>
      <c r="AA47" s="1"/>
    </row>
    <row r="48" spans="1:27" ht="18.75" x14ac:dyDescent="0.3">
      <c r="A48" s="14"/>
    </row>
    <row r="49" spans="1:27" ht="18.75" x14ac:dyDescent="0.3">
      <c r="A49" s="14"/>
    </row>
    <row r="50" spans="1:27" ht="18.75" x14ac:dyDescent="0.3">
      <c r="A50" s="14"/>
      <c r="AA50" s="1"/>
    </row>
    <row r="51" spans="1:27" ht="18.75" x14ac:dyDescent="0.3">
      <c r="A51" s="14"/>
    </row>
    <row r="52" spans="1:27" ht="18.75" x14ac:dyDescent="0.3">
      <c r="A52" s="14"/>
    </row>
    <row r="53" spans="1:27" ht="18.75" x14ac:dyDescent="0.3">
      <c r="A53" s="14"/>
    </row>
  </sheetData>
  <dataValidations count="1">
    <dataValidation type="list" showInputMessage="1" showErrorMessage="1" sqref="D1:H1">
      <formula1>$A$29:$A$53</formula1>
    </dataValidation>
  </dataValidations>
  <pageMargins left="0.75" right="0.75" top="1" bottom="1" header="0.5" footer="0.5"/>
  <pageSetup paperSize="9" orientation="portrait" r:id="rId1"/>
  <ignoredErrors>
    <ignoredError sqref="C16:C17 C3:C6 C8:C14 C18:C21 C22:C27" formulaRange="1"/>
    <ignoredError sqref="R2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69"/>
  <sheetViews>
    <sheetView workbookViewId="0">
      <pane ySplit="2" topLeftCell="A3" activePane="bottomLeft" state="frozen"/>
      <selection pane="bottomLeft"/>
    </sheetView>
  </sheetViews>
  <sheetFormatPr defaultColWidth="8.7109375" defaultRowHeight="15" x14ac:dyDescent="0.25"/>
  <cols>
    <col min="1" max="1" width="43.85546875" customWidth="1"/>
    <col min="2" max="2" width="44" customWidth="1"/>
    <col min="3" max="3" width="11.5703125" style="1" bestFit="1" customWidth="1"/>
    <col min="4" max="4" width="24.7109375" hidden="1" customWidth="1"/>
    <col min="5" max="5" width="17.28515625" hidden="1" customWidth="1"/>
    <col min="6" max="6" width="15.28515625" hidden="1" customWidth="1"/>
    <col min="7" max="7" width="10" hidden="1" customWidth="1"/>
    <col min="8" max="8" width="15.5703125" hidden="1" customWidth="1"/>
    <col min="9" max="9" width="17" hidden="1" customWidth="1"/>
    <col min="10" max="10" width="12.7109375" hidden="1" customWidth="1"/>
    <col min="11" max="11" width="8.7109375" hidden="1" customWidth="1"/>
    <col min="12" max="12" width="13.28515625" style="16" hidden="1" customWidth="1"/>
    <col min="13" max="14" width="16.42578125" hidden="1" customWidth="1"/>
    <col min="15" max="15" width="16.28515625" style="16" hidden="1" customWidth="1"/>
    <col min="16" max="17" width="13.85546875" style="16" hidden="1" customWidth="1"/>
    <col min="18" max="18" width="20.140625" style="16" hidden="1" customWidth="1"/>
    <col min="19" max="19" width="20.140625" hidden="1" customWidth="1"/>
    <col min="20" max="21" width="14.7109375" hidden="1" customWidth="1"/>
    <col min="22" max="23" width="13.85546875" hidden="1" customWidth="1"/>
    <col min="24" max="25" width="14" hidden="1" customWidth="1"/>
    <col min="26" max="26" width="8.140625" bestFit="1" customWidth="1"/>
    <col min="27" max="27" width="6.42578125" style="16" hidden="1" customWidth="1"/>
    <col min="28" max="28" width="21" hidden="1" customWidth="1"/>
    <col min="29" max="29" width="15.140625" hidden="1" customWidth="1"/>
    <col min="30" max="30" width="14.140625" hidden="1" customWidth="1"/>
    <col min="31" max="31" width="11.140625" bestFit="1" customWidth="1"/>
    <col min="32" max="32" width="9.140625" style="16" hidden="1" customWidth="1"/>
    <col min="33" max="33" width="11.140625" style="16" bestFit="1" customWidth="1"/>
    <col min="34" max="34" width="11.140625" style="16" hidden="1" customWidth="1"/>
    <col min="35" max="35" width="15.42578125" hidden="1" customWidth="1"/>
    <col min="36" max="36" width="11.140625" hidden="1" customWidth="1"/>
    <col min="37" max="37" width="12.42578125" style="16" hidden="1" customWidth="1"/>
    <col min="38" max="38" width="11.140625" hidden="1" customWidth="1"/>
    <col min="39" max="40" width="11.7109375" hidden="1" customWidth="1"/>
    <col min="41" max="41" width="14.42578125" hidden="1" customWidth="1"/>
    <col min="42" max="42" width="14.42578125" style="16" hidden="1" customWidth="1"/>
    <col min="43" max="43" width="11.7109375" hidden="1" customWidth="1"/>
    <col min="44" max="44" width="11.5703125" hidden="1" customWidth="1"/>
    <col min="45" max="46" width="11.5703125" customWidth="1"/>
    <col min="47" max="47" width="13.42578125" bestFit="1" customWidth="1"/>
    <col min="48" max="48" width="12.7109375" hidden="1" customWidth="1"/>
    <col min="49" max="49" width="13.85546875" bestFit="1" customWidth="1"/>
    <col min="50" max="53" width="15" hidden="1" customWidth="1"/>
    <col min="54" max="54" width="11.140625" customWidth="1"/>
    <col min="55" max="55" width="13.42578125" bestFit="1" customWidth="1"/>
    <col min="56" max="56" width="10" hidden="1" customWidth="1"/>
    <col min="57" max="57" width="16" hidden="1" customWidth="1"/>
    <col min="58" max="58" width="7.140625" hidden="1" customWidth="1"/>
    <col min="59" max="59" width="8.7109375" hidden="1" customWidth="1"/>
    <col min="60" max="60" width="7.42578125" bestFit="1" customWidth="1"/>
    <col min="61" max="61" width="10" hidden="1" customWidth="1"/>
    <col min="62" max="62" width="9.5703125" bestFit="1" customWidth="1"/>
    <col min="63" max="63" width="12.85546875" hidden="1" customWidth="1"/>
    <col min="64" max="64" width="11" hidden="1" customWidth="1"/>
    <col min="65" max="65" width="12.28515625" bestFit="1" customWidth="1"/>
    <col min="66" max="66" width="13.5703125" hidden="1" customWidth="1"/>
    <col min="67" max="67" width="10.85546875" hidden="1" customWidth="1"/>
    <col min="68" max="68" width="11.7109375" hidden="1" customWidth="1"/>
    <col min="69" max="69" width="13.140625" style="16" bestFit="1" customWidth="1"/>
    <col min="70" max="70" width="11.28515625" style="16" bestFit="1" customWidth="1"/>
    <col min="71" max="71" width="9" hidden="1" customWidth="1"/>
    <col min="72" max="72" width="15" hidden="1" customWidth="1"/>
    <col min="73" max="73" width="0" hidden="1" customWidth="1"/>
    <col min="74" max="74" width="15.7109375" hidden="1" customWidth="1"/>
    <col min="75" max="75" width="11.28515625" hidden="1" customWidth="1"/>
    <col min="76" max="76" width="18.28515625" hidden="1" customWidth="1"/>
    <col min="77" max="77" width="9.5703125" hidden="1" customWidth="1"/>
    <col min="78" max="78" width="15.85546875" hidden="1" customWidth="1"/>
    <col min="79" max="79" width="0" hidden="1" customWidth="1"/>
    <col min="81" max="81" width="10.7109375" hidden="1" customWidth="1"/>
    <col min="82" max="82" width="11.5703125" bestFit="1" customWidth="1"/>
    <col min="83" max="83" width="13.5703125" hidden="1" customWidth="1"/>
    <col min="84" max="84" width="12.28515625" hidden="1" customWidth="1"/>
    <col min="85" max="86" width="14.42578125" hidden="1" customWidth="1"/>
    <col min="87" max="87" width="9.85546875" bestFit="1" customWidth="1"/>
    <col min="88" max="88" width="6.42578125" style="16" hidden="1" customWidth="1"/>
    <col min="89" max="89" width="14.85546875" hidden="1" customWidth="1"/>
    <col min="90" max="90" width="11.7109375" hidden="1" customWidth="1"/>
    <col min="91" max="91" width="15.5703125" hidden="1" customWidth="1"/>
    <col min="92" max="92" width="0" hidden="1" customWidth="1"/>
    <col min="93" max="93" width="13.85546875" hidden="1" customWidth="1"/>
    <col min="94" max="94" width="19.28515625" hidden="1" customWidth="1"/>
    <col min="95" max="95" width="9.140625" hidden="1" customWidth="1"/>
  </cols>
  <sheetData>
    <row r="1" spans="1:96" ht="60" x14ac:dyDescent="0.25">
      <c r="C1" s="2" t="s">
        <v>142</v>
      </c>
      <c r="D1" s="4" t="s">
        <v>9</v>
      </c>
      <c r="E1" s="4" t="s">
        <v>15</v>
      </c>
      <c r="F1" s="4" t="s">
        <v>16</v>
      </c>
      <c r="G1" s="4" t="s">
        <v>19</v>
      </c>
      <c r="H1" s="4" t="s">
        <v>20</v>
      </c>
      <c r="I1" s="4" t="s">
        <v>21</v>
      </c>
      <c r="J1" s="4" t="s">
        <v>22</v>
      </c>
      <c r="K1" s="44" t="s">
        <v>27</v>
      </c>
      <c r="L1" s="83" t="s">
        <v>156</v>
      </c>
      <c r="M1" s="84" t="s">
        <v>156</v>
      </c>
      <c r="N1" s="85" t="s">
        <v>150</v>
      </c>
      <c r="O1" s="86" t="s">
        <v>150</v>
      </c>
      <c r="P1" s="86"/>
      <c r="Q1" s="87"/>
      <c r="R1" s="21" t="s">
        <v>151</v>
      </c>
      <c r="S1" s="21" t="s">
        <v>151</v>
      </c>
      <c r="T1" s="21"/>
      <c r="U1" s="21"/>
      <c r="V1" s="21"/>
      <c r="W1" s="21"/>
      <c r="BB1" s="64"/>
      <c r="BC1" s="16"/>
    </row>
    <row r="2" spans="1:96" x14ac:dyDescent="0.25">
      <c r="A2" s="82" t="s">
        <v>0</v>
      </c>
      <c r="B2" s="82" t="s">
        <v>1</v>
      </c>
      <c r="C2" s="6" t="s">
        <v>330</v>
      </c>
      <c r="L2" s="88" t="s">
        <v>180</v>
      </c>
      <c r="M2" s="89" t="s">
        <v>188</v>
      </c>
      <c r="N2" s="89" t="s">
        <v>183</v>
      </c>
      <c r="O2" s="89" t="s">
        <v>182</v>
      </c>
      <c r="P2" s="90" t="s">
        <v>184</v>
      </c>
      <c r="Q2" s="91" t="s">
        <v>185</v>
      </c>
      <c r="R2" s="1" t="s">
        <v>167</v>
      </c>
      <c r="S2" s="1" t="s">
        <v>166</v>
      </c>
      <c r="T2" s="1" t="s">
        <v>186</v>
      </c>
      <c r="U2" s="1" t="s">
        <v>187</v>
      </c>
      <c r="V2" s="1" t="s">
        <v>184</v>
      </c>
      <c r="W2" s="1" t="s">
        <v>185</v>
      </c>
      <c r="X2" s="1" t="s">
        <v>171</v>
      </c>
      <c r="Y2" s="1" t="s">
        <v>172</v>
      </c>
      <c r="Z2" s="1" t="s">
        <v>329</v>
      </c>
      <c r="AA2" s="61" t="s">
        <v>353</v>
      </c>
      <c r="AB2" s="1" t="s">
        <v>243</v>
      </c>
      <c r="AC2" s="1" t="s">
        <v>170</v>
      </c>
      <c r="AD2" s="1" t="s">
        <v>169</v>
      </c>
      <c r="AE2" s="1" t="s">
        <v>431</v>
      </c>
      <c r="AF2" s="61" t="s">
        <v>425</v>
      </c>
      <c r="AG2" s="61" t="s">
        <v>393</v>
      </c>
      <c r="AH2" s="61" t="s">
        <v>429</v>
      </c>
      <c r="AI2" s="142" t="s">
        <v>293</v>
      </c>
      <c r="AJ2" s="1" t="s">
        <v>173</v>
      </c>
      <c r="AK2" s="211" t="s">
        <v>292</v>
      </c>
      <c r="AL2" s="1" t="s">
        <v>177</v>
      </c>
      <c r="AM2" s="1" t="s">
        <v>174</v>
      </c>
      <c r="AN2" s="1" t="s">
        <v>430</v>
      </c>
      <c r="AO2" s="1" t="s">
        <v>442</v>
      </c>
      <c r="AP2" s="61" t="s">
        <v>445</v>
      </c>
      <c r="AQ2" s="1" t="s">
        <v>391</v>
      </c>
      <c r="AR2" s="1" t="s">
        <v>194</v>
      </c>
      <c r="AS2" s="1" t="s">
        <v>470</v>
      </c>
      <c r="AT2" s="1" t="s">
        <v>469</v>
      </c>
      <c r="AU2" s="1" t="s">
        <v>466</v>
      </c>
      <c r="AV2" s="1" t="s">
        <v>390</v>
      </c>
      <c r="AW2" s="1" t="s">
        <v>465</v>
      </c>
      <c r="AX2" s="1" t="s">
        <v>440</v>
      </c>
      <c r="AY2" s="1" t="s">
        <v>443</v>
      </c>
      <c r="AZ2" s="1" t="s">
        <v>441</v>
      </c>
      <c r="BA2" s="1" t="s">
        <v>444</v>
      </c>
      <c r="BB2" s="1" t="s">
        <v>160</v>
      </c>
      <c r="BC2" s="26"/>
      <c r="BD2" s="1" t="s">
        <v>225</v>
      </c>
      <c r="BE2" s="1" t="s">
        <v>245</v>
      </c>
      <c r="BF2" s="1" t="s">
        <v>238</v>
      </c>
      <c r="BG2" s="1" t="s">
        <v>226</v>
      </c>
      <c r="BH2" s="1" t="s">
        <v>354</v>
      </c>
      <c r="BI2" s="1" t="s">
        <v>409</v>
      </c>
      <c r="BJ2" s="1" t="s">
        <v>455</v>
      </c>
      <c r="BK2" s="1" t="s">
        <v>413</v>
      </c>
      <c r="BL2" s="1" t="s">
        <v>347</v>
      </c>
      <c r="BM2" s="1" t="s">
        <v>456</v>
      </c>
      <c r="BN2" s="1" t="s">
        <v>415</v>
      </c>
      <c r="BO2" s="1" t="s">
        <v>348</v>
      </c>
      <c r="BP2" s="1" t="s">
        <v>414</v>
      </c>
      <c r="BQ2" s="61" t="s">
        <v>462</v>
      </c>
      <c r="BR2" s="61" t="s">
        <v>463</v>
      </c>
      <c r="BS2" s="1" t="s">
        <v>349</v>
      </c>
      <c r="BT2" s="1" t="s">
        <v>239</v>
      </c>
      <c r="BU2" s="1" t="s">
        <v>227</v>
      </c>
      <c r="BV2" s="1" t="s">
        <v>240</v>
      </c>
      <c r="BW2" s="1" t="s">
        <v>228</v>
      </c>
      <c r="BX2" s="1" t="s">
        <v>241</v>
      </c>
      <c r="BY2" s="1" t="s">
        <v>229</v>
      </c>
      <c r="BZ2" s="1" t="s">
        <v>279</v>
      </c>
      <c r="CA2" s="1" t="s">
        <v>230</v>
      </c>
      <c r="CB2" s="1" t="s">
        <v>350</v>
      </c>
      <c r="CC2" s="1" t="s">
        <v>410</v>
      </c>
      <c r="CD2" s="1" t="s">
        <v>351</v>
      </c>
      <c r="CE2" s="1" t="s">
        <v>419</v>
      </c>
      <c r="CF2" s="1" t="s">
        <v>352</v>
      </c>
      <c r="CG2" s="1" t="s">
        <v>420</v>
      </c>
      <c r="CH2" s="1" t="s">
        <v>421</v>
      </c>
      <c r="CI2" s="1" t="s">
        <v>346</v>
      </c>
      <c r="CJ2" s="61" t="s">
        <v>353</v>
      </c>
      <c r="CK2" s="1" t="s">
        <v>286</v>
      </c>
      <c r="CL2" s="1" t="s">
        <v>231</v>
      </c>
      <c r="CM2" s="1" t="s">
        <v>287</v>
      </c>
      <c r="CN2" s="1" t="s">
        <v>232</v>
      </c>
      <c r="CO2" s="1" t="s">
        <v>288</v>
      </c>
      <c r="CP2" s="1" t="s">
        <v>242</v>
      </c>
      <c r="CQ2" s="1" t="s">
        <v>425</v>
      </c>
      <c r="CR2" s="1" t="s">
        <v>461</v>
      </c>
    </row>
    <row r="3" spans="1:96" x14ac:dyDescent="0.25">
      <c r="A3" s="9" t="s">
        <v>3</v>
      </c>
      <c r="B3" s="9" t="s">
        <v>34</v>
      </c>
      <c r="C3" s="1">
        <f t="shared" ref="C3:C43" si="0">SUM(D3:K3)</f>
        <v>30</v>
      </c>
      <c r="D3">
        <v>0</v>
      </c>
      <c r="E3" s="8">
        <v>30</v>
      </c>
      <c r="F3">
        <v>0</v>
      </c>
      <c r="G3">
        <v>0</v>
      </c>
      <c r="H3">
        <v>0</v>
      </c>
      <c r="I3" s="8">
        <v>0</v>
      </c>
      <c r="J3">
        <v>0</v>
      </c>
      <c r="K3">
        <v>0</v>
      </c>
      <c r="L3" s="104">
        <v>208</v>
      </c>
      <c r="M3" s="69">
        <v>175.5</v>
      </c>
      <c r="N3" s="94">
        <f t="shared" ref="N3:N43" si="1">L3/C3</f>
        <v>6.9333333333333336</v>
      </c>
      <c r="O3" s="96">
        <v>5.85</v>
      </c>
      <c r="P3" s="105">
        <f>O3/O45</f>
        <v>5.4109626417936998E-2</v>
      </c>
      <c r="Q3" s="106">
        <f t="shared" ref="Q3:Q15" si="2">N3/N$45</f>
        <v>3.9376337115970647E-2</v>
      </c>
      <c r="R3" s="75">
        <v>398452</v>
      </c>
      <c r="S3" s="34">
        <v>430290</v>
      </c>
      <c r="T3" s="34">
        <f t="shared" ref="T3:T43" si="3">R3/C3</f>
        <v>13281.733333333334</v>
      </c>
      <c r="U3" s="34">
        <f t="shared" ref="U3:U43" si="4">S3/C3</f>
        <v>14343</v>
      </c>
      <c r="V3" s="47">
        <f>U3/U45</f>
        <v>0.1165028994213001</v>
      </c>
      <c r="W3" s="47">
        <f t="shared" ref="W3:W15" si="5">T3/T$45</f>
        <v>0.12245690644005019</v>
      </c>
      <c r="X3" s="47">
        <f>(0.6*P3)+(0.4*V3)</f>
        <v>7.9066935619282241E-2</v>
      </c>
      <c r="Y3" s="47">
        <f>(0.6*Q3)+(0.4*W3)</f>
        <v>7.2608564845602463E-2</v>
      </c>
      <c r="Z3" s="217">
        <v>34</v>
      </c>
      <c r="AA3" s="25">
        <v>0.85291315647893573</v>
      </c>
      <c r="AB3" s="25">
        <f t="shared" ref="AB3:AB15" si="6">(0.6*BX3)+(0.4*CO3)</f>
        <v>0.45998105785389087</v>
      </c>
      <c r="AC3" s="26">
        <v>0.39300000000000002</v>
      </c>
      <c r="AD3" s="71">
        <v>0.60099999999999998</v>
      </c>
      <c r="AE3" s="295">
        <v>80374.206284261221</v>
      </c>
      <c r="AF3" s="283">
        <v>0.48370811386126988</v>
      </c>
      <c r="AG3" s="295">
        <f>AU3*BC$16</f>
        <v>219732.96640757623</v>
      </c>
      <c r="AH3" s="272" t="e">
        <f>AQ3*#REF!</f>
        <v>#DIV/0!</v>
      </c>
      <c r="AI3" s="65" t="e">
        <f>AL3*#REF!</f>
        <v>#DIV/0!</v>
      </c>
      <c r="AJ3" s="68"/>
      <c r="AK3" s="68" t="e">
        <f>AI3-AE3</f>
        <v>#DIV/0!</v>
      </c>
      <c r="AL3" s="65" t="e">
        <f>C3*AR3</f>
        <v>#DIV/0!</v>
      </c>
      <c r="AM3" s="23" t="e">
        <f>AD3/#REF!</f>
        <v>#REF!</v>
      </c>
      <c r="AN3" s="65" t="e">
        <f>SUM(AO3:AP3)</f>
        <v>#DIV/0!</v>
      </c>
      <c r="AO3" s="65" t="e">
        <f>AZ3*BC$13</f>
        <v>#DIV/0!</v>
      </c>
      <c r="AP3" s="65" t="e">
        <f>BA3*BC$14</f>
        <v>#DIV/0!</v>
      </c>
      <c r="AQ3" s="23" t="e">
        <f>Z3*AV3</f>
        <v>#DIV/0!</v>
      </c>
      <c r="AR3" s="23" t="e">
        <f>AB3/BC$2</f>
        <v>#DIV/0!</v>
      </c>
      <c r="AS3" s="66">
        <f>AVERAGE(AE3,AG3)</f>
        <v>150053.58634591871</v>
      </c>
      <c r="AT3" s="65">
        <f>AS3-(AW3*AS$45)</f>
        <v>148176.70117543591</v>
      </c>
      <c r="AU3" s="23">
        <f>Z3*AW3</f>
        <v>3.3208876783062946</v>
      </c>
      <c r="AV3" s="23" t="e">
        <f>AF3/BC$5</f>
        <v>#DIV/0!</v>
      </c>
      <c r="AW3" s="23">
        <f>CR3/BC$8</f>
        <v>9.767316700900866E-2</v>
      </c>
      <c r="AX3" s="23" t="e">
        <f>BP3/BC$11</f>
        <v>#DIV/0!</v>
      </c>
      <c r="AY3" s="23" t="e">
        <f>CH3/BC$12</f>
        <v>#DIV/0!</v>
      </c>
      <c r="AZ3" s="23" t="e">
        <f>Z3*AX3</f>
        <v>#DIV/0!</v>
      </c>
      <c r="BA3" s="23" t="e">
        <f>Z3*AY3</f>
        <v>#DIV/0!</v>
      </c>
      <c r="BB3" s="67"/>
      <c r="BC3" s="16"/>
      <c r="BD3">
        <v>416</v>
      </c>
      <c r="BE3">
        <v>419</v>
      </c>
      <c r="BF3">
        <f t="shared" ref="BF3:BF15" si="7">BD3-BE3</f>
        <v>-3</v>
      </c>
      <c r="BG3">
        <v>161</v>
      </c>
      <c r="BH3">
        <v>847</v>
      </c>
      <c r="BI3" s="34">
        <v>1053</v>
      </c>
      <c r="BJ3" s="34">
        <v>567</v>
      </c>
      <c r="BK3" s="34">
        <f t="shared" ref="BK3:BK42" si="8">Z3*BI$47</f>
        <v>523.46400000000006</v>
      </c>
      <c r="BL3" s="34">
        <f t="shared" ref="BL3:BL42" si="9">Z3*BH$46</f>
        <v>389.52609427609428</v>
      </c>
      <c r="BM3" s="34">
        <f t="shared" ref="BM3:BM42" si="10">Z3*BJ$47</f>
        <v>255.63753399999999</v>
      </c>
      <c r="BN3" s="34">
        <f>BI3-BL3</f>
        <v>663.47390572390577</v>
      </c>
      <c r="BO3" s="34">
        <f>BH3-BL3</f>
        <v>457.47390572390572</v>
      </c>
      <c r="BP3" s="25">
        <f>(BN3-BN$43)/BN$44</f>
        <v>0.75470977818560547</v>
      </c>
      <c r="BQ3" s="75">
        <f>BJ3-BM3</f>
        <v>311.36246600000004</v>
      </c>
      <c r="BR3" s="25">
        <f>(BQ3-BQ$43)/BQ$44</f>
        <v>1.3162471140414449</v>
      </c>
      <c r="BS3" s="25">
        <f>(BO3-BO$43)/BO$44</f>
        <v>1.1540719015175469</v>
      </c>
      <c r="BT3">
        <v>150</v>
      </c>
      <c r="BU3">
        <f>BD3-BG3</f>
        <v>255</v>
      </c>
      <c r="BV3">
        <v>269</v>
      </c>
      <c r="BW3" s="23">
        <v>0.185</v>
      </c>
      <c r="BX3" s="23">
        <v>0.109</v>
      </c>
      <c r="BY3" s="34">
        <v>398452</v>
      </c>
      <c r="BZ3" s="75">
        <v>425272.83999999997</v>
      </c>
      <c r="CA3">
        <v>79541</v>
      </c>
      <c r="CB3" s="34">
        <v>175164</v>
      </c>
      <c r="CC3" s="34">
        <v>175164</v>
      </c>
      <c r="CD3" s="34">
        <f t="shared" ref="CD3:CD42" si="11">Z3*CB$46</f>
        <v>80502.884680134681</v>
      </c>
      <c r="CE3" s="34">
        <f t="shared" ref="CE3:CE42" si="12">Z3*CC$47</f>
        <v>125424.64</v>
      </c>
      <c r="CF3" s="34">
        <f>CB3-CD3</f>
        <v>94661.115319865319</v>
      </c>
      <c r="CG3" s="34">
        <f>CC3-CE3</f>
        <v>49739.360000000001</v>
      </c>
      <c r="CH3" s="25">
        <f>(CG3-CG$43)/CG$44</f>
        <v>7.7205617374766541E-2</v>
      </c>
      <c r="CI3" s="225">
        <f t="shared" ref="CI3:CI37" si="13">(CF3-CF$43)/CF$44</f>
        <v>0.40117503892101886</v>
      </c>
      <c r="CJ3" s="225">
        <f>(0.6*BS3)+(0.4*CI3)</f>
        <v>0.85291315647893573</v>
      </c>
      <c r="CK3" s="34">
        <v>83945.99</v>
      </c>
      <c r="CL3">
        <f>BY3-CA3</f>
        <v>318911</v>
      </c>
      <c r="CM3" s="34">
        <f t="shared" ref="CM3:CM15" si="14">BZ3-CK3</f>
        <v>341326.85</v>
      </c>
      <c r="CN3" s="23">
        <v>0.70499999999999996</v>
      </c>
      <c r="CO3" s="23">
        <f t="shared" ref="CO3:CO15" si="15">(CM3-CM$44)/CM$45</f>
        <v>0.98645264463472715</v>
      </c>
      <c r="CP3" s="23">
        <f>(0.6*BX3)+(0.4*CN3)</f>
        <v>0.34739999999999999</v>
      </c>
      <c r="CQ3" s="25">
        <f>(0.6*BP3)+(0.4*CH3)</f>
        <v>0.48370811386126988</v>
      </c>
      <c r="CR3" s="25">
        <f>(0.6*BR3)+(0.4*CI3)</f>
        <v>0.95021828399327446</v>
      </c>
    </row>
    <row r="4" spans="1:96" x14ac:dyDescent="0.25">
      <c r="A4" s="9" t="s">
        <v>3</v>
      </c>
      <c r="B4" s="9" t="s">
        <v>35</v>
      </c>
      <c r="C4" s="1">
        <f t="shared" si="0"/>
        <v>50</v>
      </c>
      <c r="D4">
        <v>0</v>
      </c>
      <c r="E4" s="8">
        <v>0</v>
      </c>
      <c r="F4">
        <v>0</v>
      </c>
      <c r="G4">
        <v>0</v>
      </c>
      <c r="H4">
        <v>0</v>
      </c>
      <c r="I4" s="8">
        <v>50</v>
      </c>
      <c r="J4">
        <v>0</v>
      </c>
      <c r="K4">
        <v>0</v>
      </c>
      <c r="L4" s="104">
        <v>405</v>
      </c>
      <c r="M4" s="69">
        <v>217</v>
      </c>
      <c r="N4" s="94">
        <f t="shared" si="1"/>
        <v>8.1</v>
      </c>
      <c r="O4" s="96">
        <v>4.34</v>
      </c>
      <c r="P4" s="105">
        <f>O4/O45</f>
        <v>4.0142868145956682E-2</v>
      </c>
      <c r="Q4" s="106">
        <f t="shared" si="2"/>
        <v>4.6002163072984936E-2</v>
      </c>
      <c r="R4" s="75">
        <v>0</v>
      </c>
      <c r="S4" s="34">
        <v>2135</v>
      </c>
      <c r="T4" s="34">
        <f t="shared" si="3"/>
        <v>0</v>
      </c>
      <c r="U4" s="34">
        <f t="shared" si="4"/>
        <v>42.7</v>
      </c>
      <c r="V4" s="47">
        <f>U4/U45</f>
        <v>3.4683635259635467E-4</v>
      </c>
      <c r="W4" s="47">
        <f t="shared" si="5"/>
        <v>0</v>
      </c>
      <c r="X4" s="47">
        <f t="shared" ref="X4:X42" si="16">(0.6*P4)+(0.4*V4)</f>
        <v>2.4224455428612551E-2</v>
      </c>
      <c r="Y4" s="47">
        <f t="shared" ref="Y4:Y42" si="17">(0.6*Q4)+(0.4*W4)</f>
        <v>2.7601297843790961E-2</v>
      </c>
      <c r="Z4" s="217">
        <v>86</v>
      </c>
      <c r="AA4" s="26">
        <v>-0.8935292141129656</v>
      </c>
      <c r="AB4" s="26">
        <f t="shared" si="6"/>
        <v>0.41647881951753707</v>
      </c>
      <c r="AC4" s="26">
        <v>0.59099999999999997</v>
      </c>
      <c r="AD4">
        <v>9.2999999999999999E-2</v>
      </c>
      <c r="AE4" s="293"/>
      <c r="AF4" s="281">
        <v>-0.49369575666111093</v>
      </c>
      <c r="AG4" s="293"/>
      <c r="AH4" s="209"/>
      <c r="AI4" s="68"/>
      <c r="AJ4" s="67"/>
      <c r="AK4" s="68">
        <f>AI4-AE4</f>
        <v>0</v>
      </c>
      <c r="AL4" s="68"/>
      <c r="AM4" s="23"/>
      <c r="AN4" s="37"/>
      <c r="AO4" s="60"/>
      <c r="AP4" s="68"/>
      <c r="AQ4" s="23"/>
      <c r="AR4" s="23"/>
      <c r="AS4" s="37"/>
      <c r="AT4" s="60"/>
      <c r="AU4" s="23"/>
      <c r="AV4" s="23"/>
      <c r="AW4" s="23"/>
      <c r="AX4" s="23"/>
      <c r="AY4" s="23"/>
      <c r="AZ4" s="23"/>
      <c r="BA4" s="23"/>
      <c r="BB4" s="16"/>
      <c r="BC4" s="270"/>
      <c r="BD4">
        <v>910</v>
      </c>
      <c r="BE4">
        <v>871</v>
      </c>
      <c r="BF4">
        <f t="shared" si="7"/>
        <v>39</v>
      </c>
      <c r="BG4">
        <v>268</v>
      </c>
      <c r="BH4">
        <v>623</v>
      </c>
      <c r="BI4" s="34">
        <v>1025</v>
      </c>
      <c r="BJ4" s="34">
        <v>291</v>
      </c>
      <c r="BK4" s="34">
        <f t="shared" si="8"/>
        <v>1324.056</v>
      </c>
      <c r="BL4" s="34">
        <f t="shared" si="9"/>
        <v>985.27188552188557</v>
      </c>
      <c r="BM4" s="34">
        <f t="shared" si="10"/>
        <v>646.61258599999996</v>
      </c>
      <c r="BN4" s="34">
        <f t="shared" ref="BN4:BN42" si="18">BI4-BL4</f>
        <v>39.728114478114435</v>
      </c>
      <c r="BO4" s="34">
        <f t="shared" ref="BO4:BO16" si="19">BH4-BL4</f>
        <v>-362.27188552188557</v>
      </c>
      <c r="BP4" s="23">
        <f t="shared" ref="BP4:BP42" si="20">(BN4-BN$43)/BN$44</f>
        <v>-0.34171096839021448</v>
      </c>
      <c r="BQ4" s="75">
        <f t="shared" ref="BQ4:BQ42" si="21">BJ4-BM4</f>
        <v>-355.61258599999996</v>
      </c>
      <c r="BR4" s="26">
        <f t="shared" ref="BR4:BR42" si="22">(BQ4-BQ$43)/BQ$44</f>
        <v>-1.5473273298297019</v>
      </c>
      <c r="BS4" s="23">
        <f t="shared" ref="BS4:BS37" si="23">(BO4-BO$43)/BO$44</f>
        <v>-0.91390524915078675</v>
      </c>
      <c r="BT4">
        <v>251</v>
      </c>
      <c r="BU4">
        <f t="shared" ref="BU4:BU42" si="24">BD4-BG4</f>
        <v>642</v>
      </c>
      <c r="BV4">
        <v>620</v>
      </c>
      <c r="BW4" s="25">
        <v>1.2010000000000001</v>
      </c>
      <c r="BX4" s="23">
        <v>0.97099999999999997</v>
      </c>
      <c r="BY4" s="34">
        <v>0</v>
      </c>
      <c r="BZ4" s="75">
        <v>0</v>
      </c>
      <c r="CA4">
        <v>139354</v>
      </c>
      <c r="CB4" s="34">
        <v>0</v>
      </c>
      <c r="CC4" s="34">
        <v>19125</v>
      </c>
      <c r="CD4" s="34">
        <f t="shared" si="11"/>
        <v>203624.94360269362</v>
      </c>
      <c r="CE4" s="34">
        <f t="shared" si="12"/>
        <v>317250.56</v>
      </c>
      <c r="CF4" s="34">
        <f t="shared" ref="CF4:CF16" si="25">CB4-CD4</f>
        <v>-203624.94360269362</v>
      </c>
      <c r="CG4" s="34">
        <f t="shared" ref="CG4:CG42" si="26">CC4-CE4</f>
        <v>-298125.56</v>
      </c>
      <c r="CH4" s="23">
        <f t="shared" ref="CH4:CH42" si="27">(CG4-CG$43)/CG$44</f>
        <v>-0.72167293906745555</v>
      </c>
      <c r="CI4" s="36">
        <f t="shared" si="13"/>
        <v>-0.86296516155623393</v>
      </c>
      <c r="CJ4" s="240">
        <f t="shared" ref="CJ4:CJ42" si="28">(0.6*BS4)+(0.4*CI4)</f>
        <v>-0.8935292141129656</v>
      </c>
      <c r="CK4" s="34">
        <v>140448.95000000001</v>
      </c>
      <c r="CL4">
        <f t="shared" ref="CL4:CL15" si="29">BY4-CA4</f>
        <v>-139354</v>
      </c>
      <c r="CM4" s="34">
        <f t="shared" si="14"/>
        <v>-140448.95000000001</v>
      </c>
      <c r="CN4" s="23">
        <v>-0.32100000000000001</v>
      </c>
      <c r="CO4" s="23">
        <f t="shared" si="15"/>
        <v>-0.41530295120615734</v>
      </c>
      <c r="CP4" s="23">
        <f t="shared" ref="CP4:CP42" si="30">(0.6*BX4)+(0.4*CN4)</f>
        <v>0.45419999999999999</v>
      </c>
      <c r="CQ4" s="23">
        <f t="shared" ref="CQ4:CQ42" si="31">(0.6*BP4)+(0.4*CH4)</f>
        <v>-0.49369575666111093</v>
      </c>
      <c r="CR4" s="23">
        <f t="shared" ref="CR4:CR42" si="32">(0.6*BR4)+(0.4*CI4)</f>
        <v>-1.2735824625203147</v>
      </c>
    </row>
    <row r="5" spans="1:96" x14ac:dyDescent="0.25">
      <c r="A5" s="7" t="s">
        <v>43</v>
      </c>
      <c r="B5" s="7" t="s">
        <v>44</v>
      </c>
      <c r="C5" s="1">
        <f t="shared" si="0"/>
        <v>10</v>
      </c>
      <c r="D5">
        <v>10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04">
        <v>23</v>
      </c>
      <c r="M5" s="69">
        <v>11</v>
      </c>
      <c r="N5" s="94">
        <f t="shared" si="1"/>
        <v>2.2999999999999998</v>
      </c>
      <c r="O5" s="96">
        <v>1.1000000000000001</v>
      </c>
      <c r="P5" s="105">
        <f>O5/O45</f>
        <v>1.0174459668330036E-2</v>
      </c>
      <c r="Q5" s="106">
        <f t="shared" si="2"/>
        <v>1.3062342600971031E-2</v>
      </c>
      <c r="R5" s="75">
        <v>188988</v>
      </c>
      <c r="S5" s="34">
        <v>250887</v>
      </c>
      <c r="T5" s="34">
        <f t="shared" si="3"/>
        <v>18898.8</v>
      </c>
      <c r="U5" s="34">
        <f t="shared" si="4"/>
        <v>25088.7</v>
      </c>
      <c r="V5" s="47">
        <f>U5/U45</f>
        <v>0.20378625759681879</v>
      </c>
      <c r="W5" s="47">
        <f t="shared" si="5"/>
        <v>0.17424597568308509</v>
      </c>
      <c r="X5" s="47">
        <f>(0.6*P5)+(0.4*V5)</f>
        <v>8.7619178839725545E-2</v>
      </c>
      <c r="Y5" s="47">
        <f t="shared" si="17"/>
        <v>7.7535795833816645E-2</v>
      </c>
      <c r="Z5" s="217">
        <v>11</v>
      </c>
      <c r="AA5" s="26">
        <v>-2.2656124443612549E-2</v>
      </c>
      <c r="AB5" s="26">
        <f t="shared" si="6"/>
        <v>-0.15160022828655451</v>
      </c>
      <c r="AC5" s="26">
        <v>-0.159</v>
      </c>
      <c r="AD5">
        <v>-6.5000000000000002E-2</v>
      </c>
      <c r="AE5" s="293"/>
      <c r="AF5" s="281">
        <v>-6.8000000161179269E-2</v>
      </c>
      <c r="AG5" s="293"/>
      <c r="AH5" s="209"/>
      <c r="AI5" s="68"/>
      <c r="AJ5" s="68"/>
      <c r="AK5" s="68"/>
      <c r="AL5" s="68"/>
      <c r="AM5" s="23"/>
      <c r="AN5" s="65" t="e">
        <f>SUM(AO5:AP5)</f>
        <v>#DIV/0!</v>
      </c>
      <c r="AO5" s="60"/>
      <c r="AP5" s="65" t="e">
        <f>BA5*BC$14</f>
        <v>#DIV/0!</v>
      </c>
      <c r="AQ5" s="23"/>
      <c r="AR5" s="23"/>
      <c r="AS5" s="37"/>
      <c r="AT5" s="60"/>
      <c r="AU5" s="23"/>
      <c r="AV5" s="23"/>
      <c r="AW5" s="23"/>
      <c r="AX5" s="23"/>
      <c r="AY5" s="23" t="e">
        <f>CH5/BC$12</f>
        <v>#DIV/0!</v>
      </c>
      <c r="AZ5" s="23"/>
      <c r="BA5" s="23" t="e">
        <f>Z5*AY5</f>
        <v>#DIV/0!</v>
      </c>
      <c r="BB5" s="270"/>
      <c r="BC5" s="26"/>
      <c r="BD5">
        <v>46</v>
      </c>
      <c r="BE5">
        <v>46</v>
      </c>
      <c r="BF5">
        <f t="shared" si="7"/>
        <v>0</v>
      </c>
      <c r="BG5">
        <v>54</v>
      </c>
      <c r="BH5">
        <v>40</v>
      </c>
      <c r="BI5" s="34">
        <v>69</v>
      </c>
      <c r="BJ5" s="34">
        <v>30</v>
      </c>
      <c r="BK5" s="34">
        <f t="shared" si="8"/>
        <v>169.35599999999999</v>
      </c>
      <c r="BL5" s="34">
        <f t="shared" si="9"/>
        <v>126.02314814814815</v>
      </c>
      <c r="BM5" s="34">
        <f t="shared" si="10"/>
        <v>82.706260999999998</v>
      </c>
      <c r="BN5" s="34">
        <f t="shared" si="18"/>
        <v>-57.023148148148152</v>
      </c>
      <c r="BO5" s="34">
        <f t="shared" si="19"/>
        <v>-86.023148148148152</v>
      </c>
      <c r="BP5" s="23">
        <f t="shared" si="20"/>
        <v>-0.51178039906159267</v>
      </c>
      <c r="BQ5" s="75">
        <f t="shared" si="21"/>
        <v>-52.706260999999998</v>
      </c>
      <c r="BR5" s="26">
        <f t="shared" si="22"/>
        <v>-0.24683669145282944</v>
      </c>
      <c r="BS5" s="23">
        <f t="shared" si="23"/>
        <v>-0.21701106208618262</v>
      </c>
      <c r="BT5">
        <v>50</v>
      </c>
      <c r="BU5">
        <f t="shared" si="24"/>
        <v>-8</v>
      </c>
      <c r="BV5">
        <v>-4</v>
      </c>
      <c r="BW5" s="23">
        <v>-0.505</v>
      </c>
      <c r="BX5" s="23">
        <v>-0.56100000000000005</v>
      </c>
      <c r="BY5" s="34">
        <v>188988</v>
      </c>
      <c r="BZ5" s="75">
        <v>188998.54</v>
      </c>
      <c r="CA5">
        <v>23814</v>
      </c>
      <c r="CB5" s="34">
        <v>89489</v>
      </c>
      <c r="CC5" s="34">
        <v>316950</v>
      </c>
      <c r="CD5" s="34">
        <f t="shared" si="11"/>
        <v>26045.050925925927</v>
      </c>
      <c r="CE5" s="34">
        <f t="shared" si="12"/>
        <v>40578.559999999998</v>
      </c>
      <c r="CF5" s="34">
        <f t="shared" si="25"/>
        <v>63443.949074074073</v>
      </c>
      <c r="CG5" s="34">
        <f t="shared" si="26"/>
        <v>276371.44</v>
      </c>
      <c r="CH5" s="25">
        <f t="shared" si="27"/>
        <v>0.59767059818944079</v>
      </c>
      <c r="CI5" s="225">
        <f t="shared" si="13"/>
        <v>0.2688762820202425</v>
      </c>
      <c r="CJ5" s="240">
        <f t="shared" si="28"/>
        <v>-2.2656124443612549E-2</v>
      </c>
      <c r="CK5" s="34">
        <v>27751.57</v>
      </c>
      <c r="CL5">
        <f t="shared" si="29"/>
        <v>165174</v>
      </c>
      <c r="CM5" s="34">
        <f t="shared" si="14"/>
        <v>161246.97</v>
      </c>
      <c r="CN5" s="23">
        <v>0.36</v>
      </c>
      <c r="CO5" s="23">
        <f t="shared" si="15"/>
        <v>0.46249942928361376</v>
      </c>
      <c r="CP5" s="23">
        <f t="shared" si="30"/>
        <v>-0.19260000000000002</v>
      </c>
      <c r="CQ5" s="23">
        <f t="shared" si="31"/>
        <v>-6.8000000161179269E-2</v>
      </c>
      <c r="CR5" s="23">
        <f t="shared" si="32"/>
        <v>-4.0551502063600656E-2</v>
      </c>
    </row>
    <row r="6" spans="1:96" x14ac:dyDescent="0.25">
      <c r="A6" s="9" t="s">
        <v>43</v>
      </c>
      <c r="B6" s="9" t="s">
        <v>45</v>
      </c>
      <c r="C6" s="1">
        <f t="shared" si="0"/>
        <v>87</v>
      </c>
      <c r="D6">
        <v>87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04">
        <v>35.5</v>
      </c>
      <c r="M6" s="69">
        <v>29.5</v>
      </c>
      <c r="N6" s="94">
        <f t="shared" si="1"/>
        <v>0.40804597701149425</v>
      </c>
      <c r="O6" s="96">
        <v>0.33908045977011492</v>
      </c>
      <c r="P6" s="105">
        <f>O6/O45</f>
        <v>3.1363276929543991E-3</v>
      </c>
      <c r="Q6" s="106">
        <f t="shared" si="2"/>
        <v>2.3174071081182991E-3</v>
      </c>
      <c r="R6" s="75">
        <v>0</v>
      </c>
      <c r="S6" s="34">
        <v>0</v>
      </c>
      <c r="T6" s="34">
        <f t="shared" si="3"/>
        <v>0</v>
      </c>
      <c r="U6" s="34">
        <f t="shared" si="4"/>
        <v>0</v>
      </c>
      <c r="V6" s="47">
        <f>U6/U45</f>
        <v>0</v>
      </c>
      <c r="W6" s="47">
        <f t="shared" si="5"/>
        <v>0</v>
      </c>
      <c r="X6" s="47">
        <f t="shared" si="16"/>
        <v>1.8817966157726393E-3</v>
      </c>
      <c r="Y6" s="47">
        <f t="shared" si="17"/>
        <v>1.3904442648709793E-3</v>
      </c>
      <c r="Z6" s="217">
        <v>70</v>
      </c>
      <c r="AA6" s="26">
        <v>-1.1728805659965378</v>
      </c>
      <c r="AB6" s="26">
        <f t="shared" si="6"/>
        <v>-1.0559649783333607</v>
      </c>
      <c r="AC6" s="26">
        <v>-1.147</v>
      </c>
      <c r="AD6">
        <v>-1.1100000000000001</v>
      </c>
      <c r="AE6" s="294"/>
      <c r="AF6" s="282">
        <v>-0.69470573007239356</v>
      </c>
      <c r="AG6" s="294"/>
      <c r="AH6" s="210"/>
      <c r="AI6" s="37"/>
      <c r="AJ6" s="37"/>
      <c r="AK6" s="67"/>
      <c r="AL6" s="37"/>
      <c r="AM6" s="23"/>
      <c r="AN6" s="65" t="e">
        <f>SUM(AO6:AP6)</f>
        <v>#DIV/0!</v>
      </c>
      <c r="AO6" s="60"/>
      <c r="AP6" s="65" t="e">
        <f>BA6*BC$14</f>
        <v>#DIV/0!</v>
      </c>
      <c r="AQ6" s="23"/>
      <c r="AR6" s="23"/>
      <c r="AS6" s="37"/>
      <c r="AT6" s="60"/>
      <c r="AU6" s="23"/>
      <c r="AV6" s="23"/>
      <c r="AW6" s="23"/>
      <c r="AX6" s="23"/>
      <c r="AY6" s="23" t="e">
        <f>CH6/BC$12</f>
        <v>#DIV/0!</v>
      </c>
      <c r="AZ6" s="23"/>
      <c r="BA6" s="23" t="e">
        <f>Z6*AY6</f>
        <v>#DIV/0!</v>
      </c>
      <c r="BB6" s="67"/>
      <c r="BD6">
        <v>71</v>
      </c>
      <c r="BE6">
        <v>71</v>
      </c>
      <c r="BF6">
        <f t="shared" si="7"/>
        <v>0</v>
      </c>
      <c r="BG6">
        <v>467</v>
      </c>
      <c r="BH6">
        <v>87</v>
      </c>
      <c r="BI6" s="34">
        <v>119</v>
      </c>
      <c r="BJ6" s="34">
        <v>81</v>
      </c>
      <c r="BK6" s="34">
        <f t="shared" si="8"/>
        <v>1077.72</v>
      </c>
      <c r="BL6" s="34">
        <f t="shared" si="9"/>
        <v>801.96548821548822</v>
      </c>
      <c r="BM6" s="34">
        <f t="shared" si="10"/>
        <v>526.31257000000005</v>
      </c>
      <c r="BN6" s="34">
        <f t="shared" si="18"/>
        <v>-682.96548821548822</v>
      </c>
      <c r="BO6" s="34">
        <f t="shared" si="19"/>
        <v>-714.96548821548822</v>
      </c>
      <c r="BP6" s="23">
        <f t="shared" si="20"/>
        <v>-1.6120622405459692</v>
      </c>
      <c r="BQ6" s="75">
        <f t="shared" si="21"/>
        <v>-445.31257000000005</v>
      </c>
      <c r="BR6" s="26">
        <f t="shared" si="22"/>
        <v>-1.9324430564641835</v>
      </c>
      <c r="BS6" s="23">
        <f t="shared" si="23"/>
        <v>-1.8036473122955488</v>
      </c>
      <c r="BT6">
        <v>436</v>
      </c>
      <c r="BU6">
        <f t="shared" si="24"/>
        <v>-396</v>
      </c>
      <c r="BV6">
        <v>-365</v>
      </c>
      <c r="BW6" s="23">
        <v>-1.5229999999999999</v>
      </c>
      <c r="BX6" s="23">
        <v>-1.4470000000000001</v>
      </c>
      <c r="BY6" s="34">
        <v>0</v>
      </c>
      <c r="BZ6" s="75">
        <v>86356</v>
      </c>
      <c r="CA6">
        <v>255965</v>
      </c>
      <c r="CB6" s="34">
        <v>112242</v>
      </c>
      <c r="CC6" s="34">
        <v>571027</v>
      </c>
      <c r="CD6" s="34">
        <f t="shared" si="11"/>
        <v>165741.23316498319</v>
      </c>
      <c r="CE6" s="34">
        <f t="shared" si="12"/>
        <v>258227.20000000001</v>
      </c>
      <c r="CF6" s="34">
        <f t="shared" si="25"/>
        <v>-53499.23316498319</v>
      </c>
      <c r="CG6" s="34">
        <f t="shared" si="26"/>
        <v>312799.8</v>
      </c>
      <c r="CH6" s="25">
        <f t="shared" si="27"/>
        <v>0.68132903563796987</v>
      </c>
      <c r="CI6" s="36">
        <f t="shared" si="13"/>
        <v>-0.2267304465480211</v>
      </c>
      <c r="CJ6" s="240">
        <f t="shared" si="28"/>
        <v>-1.1728805659965378</v>
      </c>
      <c r="CK6" s="34">
        <v>245402.09</v>
      </c>
      <c r="CL6">
        <f t="shared" si="29"/>
        <v>-255965</v>
      </c>
      <c r="CM6" s="34">
        <f t="shared" si="14"/>
        <v>-159046.09</v>
      </c>
      <c r="CN6" s="23">
        <v>-0.58399999999999996</v>
      </c>
      <c r="CO6" s="23">
        <f t="shared" si="15"/>
        <v>-0.46941244583340169</v>
      </c>
      <c r="CP6" s="23">
        <f t="shared" si="30"/>
        <v>-1.1017999999999999</v>
      </c>
      <c r="CQ6" s="23">
        <f t="shared" si="31"/>
        <v>-0.69470573007239356</v>
      </c>
      <c r="CR6" s="23">
        <f t="shared" si="32"/>
        <v>-1.2501580124977185</v>
      </c>
    </row>
    <row r="7" spans="1:96" x14ac:dyDescent="0.25">
      <c r="A7" s="7" t="s">
        <v>43</v>
      </c>
      <c r="B7" s="7" t="s">
        <v>46</v>
      </c>
      <c r="C7" s="1">
        <f t="shared" si="0"/>
        <v>182</v>
      </c>
      <c r="D7">
        <v>0</v>
      </c>
      <c r="E7">
        <v>0</v>
      </c>
      <c r="F7">
        <v>57</v>
      </c>
      <c r="G7">
        <v>79</v>
      </c>
      <c r="H7">
        <v>0</v>
      </c>
      <c r="I7">
        <v>33</v>
      </c>
      <c r="J7">
        <v>13</v>
      </c>
      <c r="K7">
        <v>0</v>
      </c>
      <c r="L7" s="104">
        <v>715.5</v>
      </c>
      <c r="M7" s="69">
        <v>555</v>
      </c>
      <c r="N7" s="94">
        <f t="shared" si="1"/>
        <v>3.9313186813186811</v>
      </c>
      <c r="O7" s="96">
        <v>3.0494505494505493</v>
      </c>
      <c r="P7" s="105">
        <f>O7/O45</f>
        <v>2.8205919659955888E-2</v>
      </c>
      <c r="Q7" s="106">
        <f t="shared" si="2"/>
        <v>2.2327057169122727E-2</v>
      </c>
      <c r="R7" s="75">
        <v>104888</v>
      </c>
      <c r="S7" s="34">
        <v>39742</v>
      </c>
      <c r="T7" s="34">
        <f t="shared" si="3"/>
        <v>576.30769230769226</v>
      </c>
      <c r="U7" s="34">
        <f t="shared" si="4"/>
        <v>218.36263736263737</v>
      </c>
      <c r="V7" s="47">
        <f>U7/U45</f>
        <v>1.7736791729783985E-3</v>
      </c>
      <c r="W7" s="47">
        <f t="shared" si="5"/>
        <v>5.3135276387824108E-3</v>
      </c>
      <c r="X7" s="47">
        <f t="shared" si="16"/>
        <v>1.763302346516489E-2</v>
      </c>
      <c r="Y7" s="47">
        <f t="shared" si="17"/>
        <v>1.5521645356986601E-2</v>
      </c>
      <c r="Z7" s="217">
        <v>172</v>
      </c>
      <c r="AA7" s="26">
        <v>-0.13026596881313662</v>
      </c>
      <c r="AB7" s="26">
        <f t="shared" si="6"/>
        <v>0.10575691211222898</v>
      </c>
      <c r="AC7" s="26">
        <v>-1E-3</v>
      </c>
      <c r="AD7">
        <v>9.6000000000000002E-2</v>
      </c>
      <c r="AE7" s="294"/>
      <c r="AF7" s="282">
        <v>0.21658701419707752</v>
      </c>
      <c r="AG7" s="294"/>
      <c r="AH7" s="210"/>
      <c r="AI7" s="37"/>
      <c r="AJ7" s="37"/>
      <c r="AK7" s="67"/>
      <c r="AL7" s="37"/>
      <c r="AM7" s="23"/>
      <c r="AN7" s="65" t="e">
        <f>SUM(AO7:AP7)</f>
        <v>#DIV/0!</v>
      </c>
      <c r="AO7" s="65" t="e">
        <f>AZ7*BC$13</f>
        <v>#DIV/0!</v>
      </c>
      <c r="AP7" s="68"/>
      <c r="AQ7" s="23"/>
      <c r="AR7" s="23"/>
      <c r="AS7" s="37"/>
      <c r="AT7" s="60"/>
      <c r="AU7" s="23"/>
      <c r="AV7" s="285" t="s">
        <v>438</v>
      </c>
      <c r="AW7" s="285"/>
      <c r="AX7" s="23" t="e">
        <f>BP7/BC$11</f>
        <v>#DIV/0!</v>
      </c>
      <c r="AY7" s="23"/>
      <c r="AZ7" s="23" t="e">
        <f>Z7*AX7</f>
        <v>#DIV/0!</v>
      </c>
      <c r="BA7" s="23"/>
      <c r="BB7" s="67"/>
      <c r="BC7" s="290" t="s">
        <v>471</v>
      </c>
      <c r="BD7">
        <v>1431</v>
      </c>
      <c r="BE7">
        <v>1452</v>
      </c>
      <c r="BF7">
        <f t="shared" si="7"/>
        <v>-21</v>
      </c>
      <c r="BG7">
        <v>977</v>
      </c>
      <c r="BH7">
        <v>1921</v>
      </c>
      <c r="BI7" s="34">
        <v>2624</v>
      </c>
      <c r="BJ7" s="34">
        <v>1204</v>
      </c>
      <c r="BK7" s="34">
        <f t="shared" si="8"/>
        <v>2648.1120000000001</v>
      </c>
      <c r="BL7" s="34">
        <f t="shared" si="9"/>
        <v>1970.5437710437711</v>
      </c>
      <c r="BM7" s="34">
        <f t="shared" si="10"/>
        <v>1293.2251719999999</v>
      </c>
      <c r="BN7" s="34">
        <f t="shared" si="18"/>
        <v>653.45622895622887</v>
      </c>
      <c r="BO7" s="34">
        <f t="shared" si="19"/>
        <v>-49.54377104377113</v>
      </c>
      <c r="BP7" s="25">
        <f t="shared" si="20"/>
        <v>0.737100699623914</v>
      </c>
      <c r="BQ7" s="75">
        <f t="shared" si="21"/>
        <v>-89.22517199999993</v>
      </c>
      <c r="BR7" s="26">
        <f t="shared" si="22"/>
        <v>-0.40362609451074877</v>
      </c>
      <c r="BS7" s="23">
        <f t="shared" si="23"/>
        <v>-0.12498433974361449</v>
      </c>
      <c r="BT7">
        <v>912</v>
      </c>
      <c r="BU7">
        <f t="shared" si="24"/>
        <v>454</v>
      </c>
      <c r="BV7">
        <v>540</v>
      </c>
      <c r="BW7" s="25">
        <v>0.70699999999999996</v>
      </c>
      <c r="BX7" s="23">
        <v>0.77400000000000002</v>
      </c>
      <c r="BY7" s="34">
        <v>104888</v>
      </c>
      <c r="BZ7" s="75">
        <v>210359</v>
      </c>
      <c r="CA7">
        <v>575521</v>
      </c>
      <c r="CB7" s="34">
        <v>374643</v>
      </c>
      <c r="CC7" s="34">
        <v>404953</v>
      </c>
      <c r="CD7" s="34">
        <f t="shared" si="11"/>
        <v>407249.88720538723</v>
      </c>
      <c r="CE7" s="34">
        <f t="shared" si="12"/>
        <v>634501.12</v>
      </c>
      <c r="CF7" s="34">
        <f t="shared" si="25"/>
        <v>-32606.887205387233</v>
      </c>
      <c r="CG7" s="34">
        <f t="shared" si="26"/>
        <v>-229548.12</v>
      </c>
      <c r="CH7" s="23">
        <f t="shared" si="27"/>
        <v>-0.56418351394317712</v>
      </c>
      <c r="CI7" s="36">
        <f t="shared" si="13"/>
        <v>-0.13818841241741983</v>
      </c>
      <c r="CJ7" s="240">
        <f t="shared" si="28"/>
        <v>-0.13026596881313662</v>
      </c>
      <c r="CK7" s="34">
        <v>516229.79</v>
      </c>
      <c r="CL7">
        <f t="shared" si="29"/>
        <v>-470633</v>
      </c>
      <c r="CM7" s="34">
        <f t="shared" si="14"/>
        <v>-305870.78999999998</v>
      </c>
      <c r="CN7" s="23">
        <v>-1.0649999999999999</v>
      </c>
      <c r="CO7" s="23">
        <f t="shared" si="15"/>
        <v>-0.89660771971942743</v>
      </c>
      <c r="CP7" s="23">
        <f t="shared" si="30"/>
        <v>3.839999999999999E-2</v>
      </c>
      <c r="CQ7" s="23">
        <f t="shared" si="31"/>
        <v>0.21658701419707752</v>
      </c>
      <c r="CR7" s="23">
        <f t="shared" si="32"/>
        <v>-0.29745102167341719</v>
      </c>
    </row>
    <row r="8" spans="1:96" x14ac:dyDescent="0.25">
      <c r="A8" s="9" t="s">
        <v>43</v>
      </c>
      <c r="B8" s="9" t="s">
        <v>47</v>
      </c>
      <c r="C8" s="1">
        <f t="shared" si="0"/>
        <v>149</v>
      </c>
      <c r="D8">
        <v>149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04">
        <v>278</v>
      </c>
      <c r="M8" s="69">
        <v>160</v>
      </c>
      <c r="N8" s="94">
        <f t="shared" si="1"/>
        <v>1.8657718120805369</v>
      </c>
      <c r="O8" s="96">
        <v>1.0738255033557047</v>
      </c>
      <c r="P8" s="105">
        <f>O8/O45</f>
        <v>9.9323584315607408E-3</v>
      </c>
      <c r="Q8" s="106">
        <f t="shared" si="2"/>
        <v>1.0596239402013269E-2</v>
      </c>
      <c r="R8" s="75">
        <v>133101</v>
      </c>
      <c r="S8" s="34">
        <v>62295</v>
      </c>
      <c r="T8" s="34">
        <f t="shared" si="3"/>
        <v>893.29530201342277</v>
      </c>
      <c r="U8" s="34">
        <f t="shared" si="4"/>
        <v>418.08724832214767</v>
      </c>
      <c r="V8" s="47">
        <f>U8/U45</f>
        <v>3.395968531032789E-3</v>
      </c>
      <c r="W8" s="47">
        <f t="shared" si="5"/>
        <v>8.2361372929733636E-3</v>
      </c>
      <c r="X8" s="47">
        <f t="shared" si="16"/>
        <v>7.3178024713495601E-3</v>
      </c>
      <c r="Y8" s="47">
        <f t="shared" si="17"/>
        <v>9.6521985583973065E-3</v>
      </c>
      <c r="Z8" s="217">
        <v>152</v>
      </c>
      <c r="AA8" s="26">
        <v>-0.97741659764009337</v>
      </c>
      <c r="AB8" s="26">
        <f t="shared" si="6"/>
        <v>-1.2612377731276916</v>
      </c>
      <c r="AC8" s="26">
        <v>-0.97299999999999998</v>
      </c>
      <c r="AD8">
        <v>-1.18</v>
      </c>
      <c r="AE8" s="294"/>
      <c r="AF8" s="282">
        <v>-0.8424392817913201</v>
      </c>
      <c r="AG8" s="294"/>
      <c r="AH8" s="210"/>
      <c r="AI8" s="37"/>
      <c r="AJ8" s="37"/>
      <c r="AK8" s="67"/>
      <c r="AL8" s="37"/>
      <c r="AM8" s="23"/>
      <c r="AN8" s="37"/>
      <c r="AO8" s="60"/>
      <c r="AP8" s="68"/>
      <c r="AQ8" s="23"/>
      <c r="AR8" s="23"/>
      <c r="AS8" s="37"/>
      <c r="AT8" s="60"/>
      <c r="AU8" s="23"/>
      <c r="AV8" s="285" t="s">
        <v>439</v>
      </c>
      <c r="AW8" s="285"/>
      <c r="AX8" s="285"/>
      <c r="AY8" s="285"/>
      <c r="AZ8" s="285"/>
      <c r="BA8" s="285"/>
      <c r="BB8" s="67"/>
      <c r="BC8" s="25">
        <f>SUM(CR3,CR10,CR17,CR19,CR21,CR22,CR23,CR26,CR34,CR36)</f>
        <v>9.7285499497076131</v>
      </c>
      <c r="BD8">
        <v>556</v>
      </c>
      <c r="BE8">
        <v>361</v>
      </c>
      <c r="BF8">
        <f t="shared" si="7"/>
        <v>195</v>
      </c>
      <c r="BG8">
        <v>800</v>
      </c>
      <c r="BH8">
        <v>1151</v>
      </c>
      <c r="BI8" s="34">
        <v>1334</v>
      </c>
      <c r="BJ8" s="34">
        <v>1000</v>
      </c>
      <c r="BK8" s="34">
        <f t="shared" si="8"/>
        <v>2340.192</v>
      </c>
      <c r="BL8" s="34">
        <f t="shared" si="9"/>
        <v>1741.4107744107746</v>
      </c>
      <c r="BM8" s="34">
        <f t="shared" si="10"/>
        <v>1142.850152</v>
      </c>
      <c r="BN8" s="34">
        <f t="shared" si="18"/>
        <v>-407.41077441077459</v>
      </c>
      <c r="BO8" s="34">
        <f t="shared" si="19"/>
        <v>-590.41077441077459</v>
      </c>
      <c r="BP8" s="23">
        <f t="shared" si="20"/>
        <v>-1.1276919902412317</v>
      </c>
      <c r="BQ8" s="75">
        <f t="shared" si="21"/>
        <v>-142.85015199999998</v>
      </c>
      <c r="BR8" s="26">
        <f t="shared" si="22"/>
        <v>-0.63385827758961688</v>
      </c>
      <c r="BS8" s="23">
        <f t="shared" si="23"/>
        <v>-1.4894324606831539</v>
      </c>
      <c r="BT8">
        <v>747</v>
      </c>
      <c r="BU8">
        <f t="shared" si="24"/>
        <v>-244</v>
      </c>
      <c r="BV8">
        <v>-386</v>
      </c>
      <c r="BW8" s="23">
        <v>-1.1240000000000001</v>
      </c>
      <c r="BX8" s="23">
        <v>-1.4990000000000001</v>
      </c>
      <c r="BY8" s="34">
        <v>133101</v>
      </c>
      <c r="BZ8" s="75">
        <v>113376</v>
      </c>
      <c r="CA8">
        <v>462045</v>
      </c>
      <c r="CB8" s="34">
        <v>310487</v>
      </c>
      <c r="CC8" s="34">
        <v>396326</v>
      </c>
      <c r="CD8" s="34">
        <f t="shared" si="11"/>
        <v>359895.24915824918</v>
      </c>
      <c r="CE8" s="34">
        <f t="shared" si="12"/>
        <v>560721.92000000004</v>
      </c>
      <c r="CF8" s="34">
        <f t="shared" si="25"/>
        <v>-49408.249158249178</v>
      </c>
      <c r="CG8" s="34">
        <f t="shared" si="26"/>
        <v>-164395.92000000004</v>
      </c>
      <c r="CH8" s="23">
        <f t="shared" si="27"/>
        <v>-0.41456021911645269</v>
      </c>
      <c r="CI8" s="36">
        <f t="shared" si="13"/>
        <v>-0.20939280307550262</v>
      </c>
      <c r="CJ8" s="240">
        <f t="shared" si="28"/>
        <v>-0.97741659764009337</v>
      </c>
      <c r="CK8" s="34">
        <v>421991.78</v>
      </c>
      <c r="CL8">
        <f t="shared" si="29"/>
        <v>-328944</v>
      </c>
      <c r="CM8" s="34">
        <f t="shared" si="14"/>
        <v>-308615.78000000003</v>
      </c>
      <c r="CN8" s="23">
        <v>-0.747</v>
      </c>
      <c r="CO8" s="23">
        <f t="shared" si="15"/>
        <v>-0.90459443281922891</v>
      </c>
      <c r="CP8" s="23">
        <f t="shared" si="30"/>
        <v>-1.1981999999999999</v>
      </c>
      <c r="CQ8" s="23">
        <f t="shared" si="31"/>
        <v>-0.8424392817913201</v>
      </c>
      <c r="CR8" s="23">
        <f t="shared" si="32"/>
        <v>-0.46407208778397119</v>
      </c>
    </row>
    <row r="9" spans="1:96" x14ac:dyDescent="0.25">
      <c r="A9" s="7" t="s">
        <v>43</v>
      </c>
      <c r="B9" s="7" t="s">
        <v>48</v>
      </c>
      <c r="C9" s="1">
        <f t="shared" si="0"/>
        <v>93</v>
      </c>
      <c r="D9">
        <v>0</v>
      </c>
      <c r="E9">
        <v>0</v>
      </c>
      <c r="F9">
        <v>0</v>
      </c>
      <c r="G9">
        <v>83</v>
      </c>
      <c r="H9">
        <v>0</v>
      </c>
      <c r="I9">
        <v>10</v>
      </c>
      <c r="J9">
        <v>0</v>
      </c>
      <c r="K9">
        <v>0</v>
      </c>
      <c r="L9" s="104">
        <v>109</v>
      </c>
      <c r="M9" s="69">
        <v>87.5</v>
      </c>
      <c r="N9" s="94">
        <f t="shared" si="1"/>
        <v>1.1720430107526882</v>
      </c>
      <c r="O9" s="96">
        <v>0.94086021505376349</v>
      </c>
      <c r="P9" s="105">
        <f>O9/O45</f>
        <v>8.7024948287280357E-3</v>
      </c>
      <c r="Q9" s="106">
        <f t="shared" si="2"/>
        <v>6.656359717184865E-3</v>
      </c>
      <c r="R9" s="75">
        <v>54022</v>
      </c>
      <c r="S9" s="34">
        <v>28590</v>
      </c>
      <c r="T9" s="34">
        <f t="shared" si="3"/>
        <v>580.88172043010752</v>
      </c>
      <c r="U9" s="34">
        <f t="shared" si="4"/>
        <v>307.41935483870969</v>
      </c>
      <c r="V9" s="47">
        <f>U9/U45</f>
        <v>2.4970540456623553E-3</v>
      </c>
      <c r="W9" s="47">
        <f t="shared" si="5"/>
        <v>5.3556999456480384E-3</v>
      </c>
      <c r="X9" s="47">
        <f t="shared" si="16"/>
        <v>6.2203185155017635E-3</v>
      </c>
      <c r="Y9" s="47">
        <f t="shared" si="17"/>
        <v>6.1360958085701339E-3</v>
      </c>
      <c r="Z9" s="217">
        <v>92</v>
      </c>
      <c r="AA9" s="26">
        <v>-1.2682217521005439</v>
      </c>
      <c r="AB9" s="26">
        <f t="shared" si="6"/>
        <v>-0.94124673446634333</v>
      </c>
      <c r="AC9" s="26">
        <v>-0.93500000000000005</v>
      </c>
      <c r="AD9">
        <v>-0.9</v>
      </c>
      <c r="AE9" s="294"/>
      <c r="AF9" s="282">
        <v>-1.1032259701102323</v>
      </c>
      <c r="AG9" s="294"/>
      <c r="AH9" s="210"/>
      <c r="AI9" s="37"/>
      <c r="AJ9" s="37"/>
      <c r="AK9" s="67"/>
      <c r="AL9" s="37"/>
      <c r="AM9" s="23"/>
      <c r="AN9" s="37"/>
      <c r="AO9" s="60"/>
      <c r="AP9" s="68"/>
      <c r="AQ9" s="23"/>
      <c r="AR9" s="23"/>
      <c r="AS9" s="37"/>
      <c r="AT9" s="60"/>
      <c r="AU9" s="23"/>
      <c r="AV9" s="23"/>
      <c r="AW9" s="23"/>
      <c r="AX9" s="23"/>
      <c r="AY9" s="23"/>
      <c r="AZ9" s="23"/>
      <c r="BA9" s="23"/>
      <c r="BB9" s="16"/>
      <c r="BD9">
        <v>218</v>
      </c>
      <c r="BE9">
        <v>218</v>
      </c>
      <c r="BF9">
        <f t="shared" si="7"/>
        <v>0</v>
      </c>
      <c r="BG9">
        <v>499</v>
      </c>
      <c r="BH9">
        <v>315</v>
      </c>
      <c r="BI9" s="34">
        <v>414</v>
      </c>
      <c r="BJ9" s="34">
        <v>231</v>
      </c>
      <c r="BK9" s="34">
        <f t="shared" si="8"/>
        <v>1416.432</v>
      </c>
      <c r="BL9" s="34">
        <f t="shared" si="9"/>
        <v>1054.0117845117845</v>
      </c>
      <c r="BM9" s="34">
        <f t="shared" si="10"/>
        <v>691.72509200000002</v>
      </c>
      <c r="BN9" s="34">
        <f t="shared" si="18"/>
        <v>-640.01178451178453</v>
      </c>
      <c r="BO9" s="34">
        <f t="shared" si="19"/>
        <v>-739.01178451178453</v>
      </c>
      <c r="BP9" s="23">
        <f t="shared" si="20"/>
        <v>-1.536558192993281</v>
      </c>
      <c r="BQ9" s="75">
        <f t="shared" si="21"/>
        <v>-460.72509200000002</v>
      </c>
      <c r="BR9" s="26">
        <f t="shared" si="22"/>
        <v>-1.9986148030421973</v>
      </c>
      <c r="BS9" s="23">
        <f t="shared" si="23"/>
        <v>-1.8643090342952062</v>
      </c>
      <c r="BT9">
        <v>466</v>
      </c>
      <c r="BU9">
        <f t="shared" si="24"/>
        <v>-281</v>
      </c>
      <c r="BV9">
        <v>-248</v>
      </c>
      <c r="BW9" s="23">
        <v>-1.2210000000000001</v>
      </c>
      <c r="BX9" s="23">
        <v>-1.1599999999999999</v>
      </c>
      <c r="BY9" s="34">
        <v>54022</v>
      </c>
      <c r="BZ9" s="75">
        <v>54021.57</v>
      </c>
      <c r="CA9">
        <v>275407</v>
      </c>
      <c r="CB9" s="34">
        <v>129561</v>
      </c>
      <c r="CC9" s="34">
        <v>158151</v>
      </c>
      <c r="CD9" s="34">
        <f t="shared" si="11"/>
        <v>217831.33501683504</v>
      </c>
      <c r="CE9" s="34">
        <f t="shared" si="12"/>
        <v>339384.32000000001</v>
      </c>
      <c r="CF9" s="34">
        <f t="shared" si="25"/>
        <v>-88270.335016835044</v>
      </c>
      <c r="CG9" s="34">
        <f t="shared" si="26"/>
        <v>-181233.32</v>
      </c>
      <c r="CH9" s="23">
        <f t="shared" si="27"/>
        <v>-0.45322763578565933</v>
      </c>
      <c r="CI9" s="36">
        <f t="shared" si="13"/>
        <v>-0.37409082880855016</v>
      </c>
      <c r="CJ9" s="240">
        <f t="shared" si="28"/>
        <v>-1.2682217521005439</v>
      </c>
      <c r="CK9" s="34">
        <v>262458.08</v>
      </c>
      <c r="CL9">
        <f t="shared" si="29"/>
        <v>-221385</v>
      </c>
      <c r="CM9" s="34">
        <f t="shared" si="14"/>
        <v>-208436.51</v>
      </c>
      <c r="CN9" s="23">
        <v>-0.50600000000000001</v>
      </c>
      <c r="CO9" s="23">
        <f t="shared" si="15"/>
        <v>-0.61311683616585833</v>
      </c>
      <c r="CP9" s="23">
        <f t="shared" si="30"/>
        <v>-0.89839999999999998</v>
      </c>
      <c r="CQ9" s="23">
        <f t="shared" si="31"/>
        <v>-1.1032259701102323</v>
      </c>
      <c r="CR9" s="23">
        <f t="shared" si="32"/>
        <v>-1.3488052133487385</v>
      </c>
    </row>
    <row r="10" spans="1:96" x14ac:dyDescent="0.25">
      <c r="A10" s="9" t="s">
        <v>43</v>
      </c>
      <c r="B10" s="9" t="s">
        <v>49</v>
      </c>
      <c r="C10" s="1">
        <f t="shared" si="0"/>
        <v>172</v>
      </c>
      <c r="D10">
        <v>0</v>
      </c>
      <c r="E10">
        <v>0</v>
      </c>
      <c r="F10">
        <v>0</v>
      </c>
      <c r="G10">
        <v>0</v>
      </c>
      <c r="H10">
        <v>73</v>
      </c>
      <c r="I10">
        <v>80</v>
      </c>
      <c r="J10">
        <v>19</v>
      </c>
      <c r="K10">
        <v>0</v>
      </c>
      <c r="L10" s="104">
        <v>404</v>
      </c>
      <c r="M10" s="69">
        <v>391</v>
      </c>
      <c r="N10" s="94">
        <f t="shared" si="1"/>
        <v>2.3488372093023258</v>
      </c>
      <c r="O10" s="96">
        <v>2.2732558139534884</v>
      </c>
      <c r="P10" s="105">
        <f>O10/O45</f>
        <v>2.1026499631696848E-2</v>
      </c>
      <c r="Q10" s="106">
        <f t="shared" si="2"/>
        <v>1.3339702757311167E-2</v>
      </c>
      <c r="R10" s="75">
        <v>2958741</v>
      </c>
      <c r="S10" s="34">
        <v>2346863</v>
      </c>
      <c r="T10" s="34">
        <f t="shared" si="3"/>
        <v>17201.982558139534</v>
      </c>
      <c r="U10" s="34">
        <f t="shared" si="4"/>
        <v>13644.552325581395</v>
      </c>
      <c r="V10" s="47">
        <f>U10/U45</f>
        <v>0.11082966654367117</v>
      </c>
      <c r="W10" s="47">
        <f t="shared" si="5"/>
        <v>0.1586014050906108</v>
      </c>
      <c r="X10" s="47">
        <f t="shared" si="16"/>
        <v>5.6947766396486577E-2</v>
      </c>
      <c r="Y10" s="47">
        <f t="shared" si="17"/>
        <v>7.1444383690631025E-2</v>
      </c>
      <c r="Z10" s="217">
        <v>167</v>
      </c>
      <c r="AA10" s="25">
        <v>1.1724786406233441</v>
      </c>
      <c r="AB10" s="25">
        <f t="shared" si="6"/>
        <v>1.5575451217612779</v>
      </c>
      <c r="AC10" s="26">
        <v>1.6919999999999999</v>
      </c>
      <c r="AD10" s="71">
        <v>2.0009999999999999</v>
      </c>
      <c r="AE10" s="296">
        <v>1566999.160682356</v>
      </c>
      <c r="AF10" s="283">
        <v>1.830490538806679</v>
      </c>
      <c r="AG10" s="295">
        <f>AU10*BC$16</f>
        <v>1870506.067710367</v>
      </c>
      <c r="AH10" s="272" t="e">
        <f>AQ10*#REF!</f>
        <v>#DIV/0!</v>
      </c>
      <c r="AI10" s="65" t="e">
        <f>AL10*#REF!</f>
        <v>#DIV/0!</v>
      </c>
      <c r="AJ10" s="65" t="e">
        <f>C10*AM10</f>
        <v>#REF!</v>
      </c>
      <c r="AK10" s="68" t="e">
        <f>AI10-AE10</f>
        <v>#DIV/0!</v>
      </c>
      <c r="AL10" s="65" t="e">
        <f>C10*AR10</f>
        <v>#DIV/0!</v>
      </c>
      <c r="AM10" s="23" t="e">
        <f>AD10/#REF!</f>
        <v>#REF!</v>
      </c>
      <c r="AN10" s="65" t="e">
        <f>SUM(AO10:AP10)</f>
        <v>#DIV/0!</v>
      </c>
      <c r="AO10" s="60"/>
      <c r="AP10" s="65" t="e">
        <f>BA10*BC$14</f>
        <v>#DIV/0!</v>
      </c>
      <c r="AQ10" s="23" t="e">
        <f>Z10*AV10</f>
        <v>#DIV/0!</v>
      </c>
      <c r="AR10" s="23" t="e">
        <f>AB10/BC$2</f>
        <v>#DIV/0!</v>
      </c>
      <c r="AS10" s="66">
        <f>AVERAGE(AE10,AG10)</f>
        <v>1718752.6141963615</v>
      </c>
      <c r="AT10" s="65">
        <f>AS10-(AW10*AS$45)</f>
        <v>1715499.7640881853</v>
      </c>
      <c r="AU10" s="23">
        <f>Z10*AW10</f>
        <v>28.269497536089066</v>
      </c>
      <c r="AV10" s="23" t="e">
        <f>AF10/BC$5</f>
        <v>#DIV/0!</v>
      </c>
      <c r="AW10" s="23">
        <f>CR10/BC$8</f>
        <v>0.16927842835981477</v>
      </c>
      <c r="AX10" s="23"/>
      <c r="AY10" s="23" t="e">
        <f>CH10/BC$12</f>
        <v>#DIV/0!</v>
      </c>
      <c r="AZ10" s="23"/>
      <c r="BA10" s="23" t="e">
        <f>Z10*AY10</f>
        <v>#DIV/0!</v>
      </c>
      <c r="BB10" s="16"/>
      <c r="BC10" s="16"/>
      <c r="BD10">
        <v>808</v>
      </c>
      <c r="BE10">
        <v>806</v>
      </c>
      <c r="BF10">
        <f t="shared" si="7"/>
        <v>2</v>
      </c>
      <c r="BG10">
        <v>923</v>
      </c>
      <c r="BH10">
        <v>1366</v>
      </c>
      <c r="BI10" s="34">
        <v>1759</v>
      </c>
      <c r="BJ10" s="34">
        <v>1123</v>
      </c>
      <c r="BK10" s="34">
        <f t="shared" si="8"/>
        <v>2571.1320000000001</v>
      </c>
      <c r="BL10" s="34">
        <f t="shared" si="9"/>
        <v>1913.2605218855219</v>
      </c>
      <c r="BM10" s="34">
        <f t="shared" si="10"/>
        <v>1255.6314170000001</v>
      </c>
      <c r="BN10" s="34">
        <f t="shared" si="18"/>
        <v>-154.26052188552194</v>
      </c>
      <c r="BO10" s="34">
        <f t="shared" si="19"/>
        <v>-547.26052188552194</v>
      </c>
      <c r="BP10" s="23">
        <f t="shared" si="20"/>
        <v>-0.68270431615170701</v>
      </c>
      <c r="BQ10" s="75">
        <f t="shared" si="21"/>
        <v>-132.63141700000006</v>
      </c>
      <c r="BR10" s="26">
        <f t="shared" si="22"/>
        <v>-0.58998540962109891</v>
      </c>
      <c r="BS10" s="23">
        <f t="shared" si="23"/>
        <v>-1.3805770847596253</v>
      </c>
      <c r="BT10">
        <v>862</v>
      </c>
      <c r="BU10">
        <f t="shared" si="24"/>
        <v>-115</v>
      </c>
      <c r="BV10">
        <v>-56</v>
      </c>
      <c r="BW10" s="23">
        <v>-0.78500000000000003</v>
      </c>
      <c r="BX10" s="23">
        <v>-0.68899999999999995</v>
      </c>
      <c r="BY10" s="34">
        <v>2958741</v>
      </c>
      <c r="BZ10" s="75">
        <v>2183454.36</v>
      </c>
      <c r="CA10">
        <v>540903</v>
      </c>
      <c r="CB10" s="34">
        <v>1575696</v>
      </c>
      <c r="CC10" s="34">
        <v>3070773</v>
      </c>
      <c r="CD10" s="34">
        <f t="shared" si="11"/>
        <v>395411.22769360273</v>
      </c>
      <c r="CE10" s="34">
        <f t="shared" si="12"/>
        <v>616056.31999999995</v>
      </c>
      <c r="CF10" s="34">
        <f t="shared" si="25"/>
        <v>1180284.7723063973</v>
      </c>
      <c r="CG10" s="34">
        <f t="shared" si="26"/>
        <v>2454716.6800000002</v>
      </c>
      <c r="CH10" s="25">
        <f t="shared" si="27"/>
        <v>5.6002828212442575</v>
      </c>
      <c r="CI10" s="225">
        <f t="shared" si="13"/>
        <v>5.0020622286977972</v>
      </c>
      <c r="CJ10" s="225">
        <f t="shared" si="28"/>
        <v>1.1724786406233441</v>
      </c>
      <c r="CK10" s="34">
        <v>487658.05</v>
      </c>
      <c r="CL10">
        <f t="shared" si="29"/>
        <v>2417838</v>
      </c>
      <c r="CM10" s="34">
        <f t="shared" si="14"/>
        <v>1695796.3099999998</v>
      </c>
      <c r="CN10" s="23">
        <v>5.4080000000000004</v>
      </c>
      <c r="CO10" s="23">
        <f t="shared" si="15"/>
        <v>4.9273628044031943</v>
      </c>
      <c r="CP10" s="23">
        <f t="shared" si="30"/>
        <v>1.7498000000000002</v>
      </c>
      <c r="CQ10" s="25">
        <f t="shared" si="31"/>
        <v>1.830490538806679</v>
      </c>
      <c r="CR10" s="25">
        <f t="shared" si="32"/>
        <v>1.6468336457064598</v>
      </c>
    </row>
    <row r="11" spans="1:96" x14ac:dyDescent="0.25">
      <c r="A11" s="9" t="s">
        <v>43</v>
      </c>
      <c r="B11" s="9" t="s">
        <v>50</v>
      </c>
      <c r="C11" s="1">
        <f t="shared" si="0"/>
        <v>23</v>
      </c>
      <c r="D11">
        <v>0</v>
      </c>
      <c r="E11">
        <v>0</v>
      </c>
      <c r="F11">
        <v>0</v>
      </c>
      <c r="G11">
        <v>0</v>
      </c>
      <c r="H11">
        <v>0</v>
      </c>
      <c r="I11">
        <v>23</v>
      </c>
      <c r="J11">
        <v>0</v>
      </c>
      <c r="K11">
        <v>0</v>
      </c>
      <c r="L11" s="104">
        <v>367</v>
      </c>
      <c r="M11" s="69">
        <v>199.5</v>
      </c>
      <c r="N11" s="94">
        <f t="shared" si="1"/>
        <v>15.956521739130435</v>
      </c>
      <c r="O11" s="96">
        <v>8.6739130434782616</v>
      </c>
      <c r="P11" s="105">
        <f>O11/O45</f>
        <v>8.0229434934064897E-2</v>
      </c>
      <c r="Q11" s="106">
        <f t="shared" si="2"/>
        <v>9.0621545076679952E-2</v>
      </c>
      <c r="R11" s="75">
        <v>117508</v>
      </c>
      <c r="S11" s="34">
        <v>250597</v>
      </c>
      <c r="T11" s="34">
        <f t="shared" si="3"/>
        <v>5109.04347826087</v>
      </c>
      <c r="U11" s="34">
        <f t="shared" si="4"/>
        <v>10895.521739130434</v>
      </c>
      <c r="V11" s="47">
        <f>U11/U45</f>
        <v>8.8500304909468155E-2</v>
      </c>
      <c r="W11" s="47">
        <f t="shared" si="5"/>
        <v>4.7105121260443417E-2</v>
      </c>
      <c r="X11" s="47">
        <f t="shared" si="16"/>
        <v>8.35377829242262E-2</v>
      </c>
      <c r="Y11" s="47">
        <f t="shared" si="17"/>
        <v>7.3214975550185329E-2</v>
      </c>
      <c r="Z11" s="217">
        <v>129</v>
      </c>
      <c r="AA11" s="26">
        <v>-0.39421046869640225</v>
      </c>
      <c r="AB11" s="25">
        <f t="shared" si="6"/>
        <v>0.67010901030278314</v>
      </c>
      <c r="AC11" s="26">
        <v>0.72</v>
      </c>
      <c r="AD11" s="71">
        <v>0.58599999999999997</v>
      </c>
      <c r="AE11" s="296">
        <v>88867.337183832278</v>
      </c>
      <c r="AF11" s="281">
        <v>-0.16564781612038404</v>
      </c>
      <c r="AG11" s="293">
        <v>0</v>
      </c>
      <c r="AH11" s="209"/>
      <c r="AI11" s="65" t="e">
        <f>AL11*#REF!</f>
        <v>#DIV/0!</v>
      </c>
      <c r="AJ11" s="65" t="e">
        <f>C11*AM11</f>
        <v>#REF!</v>
      </c>
      <c r="AK11" s="68" t="e">
        <f>AI11-AE11</f>
        <v>#DIV/0!</v>
      </c>
      <c r="AL11" s="65" t="e">
        <f>C11*AR11</f>
        <v>#DIV/0!</v>
      </c>
      <c r="AM11" s="23" t="e">
        <f>AD11/#REF!</f>
        <v>#REF!</v>
      </c>
      <c r="AN11" s="37"/>
      <c r="AO11" s="60"/>
      <c r="AP11" s="68"/>
      <c r="AQ11" s="23"/>
      <c r="AR11" s="23" t="e">
        <f>AB11/BC$2</f>
        <v>#DIV/0!</v>
      </c>
      <c r="AS11" s="66">
        <f>AVERAGE(AE11,AG11)</f>
        <v>44433.668591916139</v>
      </c>
      <c r="AT11" s="65">
        <f>AS11-(AW11*AS$45)</f>
        <v>44433.668591916139</v>
      </c>
      <c r="AU11" s="23"/>
      <c r="AV11" s="23"/>
      <c r="AW11" s="23"/>
      <c r="AX11" s="23"/>
      <c r="AY11" s="23"/>
      <c r="AZ11" s="23"/>
      <c r="BA11" s="23"/>
      <c r="BB11" s="290" t="s">
        <v>467</v>
      </c>
      <c r="BC11" s="26"/>
      <c r="BD11">
        <v>734</v>
      </c>
      <c r="BE11">
        <v>734</v>
      </c>
      <c r="BF11">
        <f t="shared" si="7"/>
        <v>0</v>
      </c>
      <c r="BG11">
        <v>123</v>
      </c>
      <c r="BH11">
        <v>1237</v>
      </c>
      <c r="BI11" s="34">
        <v>1592</v>
      </c>
      <c r="BJ11" s="34">
        <v>835</v>
      </c>
      <c r="BK11" s="34">
        <f t="shared" si="8"/>
        <v>1986.0840000000001</v>
      </c>
      <c r="BL11" s="34">
        <f t="shared" si="9"/>
        <v>1477.9078282828284</v>
      </c>
      <c r="BM11" s="34">
        <f t="shared" si="10"/>
        <v>969.91887899999995</v>
      </c>
      <c r="BN11" s="34">
        <f t="shared" si="18"/>
        <v>114.0921717171716</v>
      </c>
      <c r="BO11" s="34">
        <f t="shared" si="19"/>
        <v>-240.9078282828284</v>
      </c>
      <c r="BP11" s="23">
        <f t="shared" si="20"/>
        <v>-0.21099378151572235</v>
      </c>
      <c r="BQ11" s="75">
        <f t="shared" si="21"/>
        <v>-134.91887899999995</v>
      </c>
      <c r="BR11" s="26">
        <f t="shared" si="22"/>
        <v>-0.59980634326004711</v>
      </c>
      <c r="BS11" s="23">
        <f t="shared" si="23"/>
        <v>-0.60773948415020596</v>
      </c>
      <c r="BT11">
        <v>115</v>
      </c>
      <c r="BU11">
        <f t="shared" si="24"/>
        <v>611</v>
      </c>
      <c r="BV11">
        <v>619</v>
      </c>
      <c r="BW11" s="25">
        <v>1.119</v>
      </c>
      <c r="BX11" s="23">
        <v>0.96799999999999997</v>
      </c>
      <c r="BY11" s="34">
        <v>117508</v>
      </c>
      <c r="BZ11" s="75">
        <v>143256</v>
      </c>
      <c r="CA11">
        <v>59418</v>
      </c>
      <c r="CB11" s="34">
        <v>287996</v>
      </c>
      <c r="CC11" s="34">
        <v>449485</v>
      </c>
      <c r="CD11" s="34">
        <f t="shared" si="11"/>
        <v>305437.41540404042</v>
      </c>
      <c r="CE11" s="34">
        <f t="shared" si="12"/>
        <v>475875.84000000003</v>
      </c>
      <c r="CF11" s="34">
        <f t="shared" si="25"/>
        <v>-17441.415404040425</v>
      </c>
      <c r="CG11" s="34">
        <f t="shared" si="26"/>
        <v>-26390.840000000026</v>
      </c>
      <c r="CH11" s="23">
        <f t="shared" si="27"/>
        <v>-9.7628868027376553E-2</v>
      </c>
      <c r="CI11" s="36">
        <f t="shared" si="13"/>
        <v>-7.3916945515696733E-2</v>
      </c>
      <c r="CJ11" s="240">
        <f t="shared" si="28"/>
        <v>-0.39421046869640225</v>
      </c>
      <c r="CK11" s="34">
        <v>64230.02</v>
      </c>
      <c r="CL11">
        <f t="shared" si="29"/>
        <v>58090</v>
      </c>
      <c r="CM11" s="34">
        <f t="shared" si="14"/>
        <v>79025.98000000001</v>
      </c>
      <c r="CN11" s="23">
        <v>0.12</v>
      </c>
      <c r="CO11" s="23">
        <f t="shared" si="15"/>
        <v>0.22327252575695797</v>
      </c>
      <c r="CP11" s="23">
        <f t="shared" si="30"/>
        <v>0.62880000000000003</v>
      </c>
      <c r="CQ11" s="23">
        <f t="shared" si="31"/>
        <v>-0.16564781612038404</v>
      </c>
      <c r="CR11" s="23">
        <f t="shared" si="32"/>
        <v>-0.38945058416230693</v>
      </c>
    </row>
    <row r="12" spans="1:96" x14ac:dyDescent="0.25">
      <c r="A12" s="9" t="s">
        <v>43</v>
      </c>
      <c r="B12" s="9" t="s">
        <v>51</v>
      </c>
      <c r="C12" s="1">
        <f t="shared" si="0"/>
        <v>44</v>
      </c>
      <c r="D12">
        <v>0</v>
      </c>
      <c r="E12">
        <v>0</v>
      </c>
      <c r="F12">
        <v>0</v>
      </c>
      <c r="G12">
        <v>0</v>
      </c>
      <c r="H12">
        <v>0</v>
      </c>
      <c r="I12">
        <v>44</v>
      </c>
      <c r="J12">
        <v>0</v>
      </c>
      <c r="K12">
        <v>0</v>
      </c>
      <c r="L12" s="104">
        <v>77.5</v>
      </c>
      <c r="M12" s="69">
        <v>70.5</v>
      </c>
      <c r="N12" s="94">
        <f t="shared" si="1"/>
        <v>1.7613636363636365</v>
      </c>
      <c r="O12" s="96">
        <v>1.6022727272727273</v>
      </c>
      <c r="P12" s="105">
        <f>O12/O45</f>
        <v>1.4820235673910484E-2</v>
      </c>
      <c r="Q12" s="106">
        <f t="shared" si="2"/>
        <v>1.0003276201336512E-2</v>
      </c>
      <c r="R12" s="75">
        <v>0</v>
      </c>
      <c r="S12" s="34">
        <v>15127</v>
      </c>
      <c r="T12" s="34">
        <f t="shared" si="3"/>
        <v>0</v>
      </c>
      <c r="U12" s="34">
        <f t="shared" si="4"/>
        <v>343.79545454545456</v>
      </c>
      <c r="V12" s="47">
        <f>U12/U45</f>
        <v>2.7925236883782501E-3</v>
      </c>
      <c r="W12" s="47">
        <f t="shared" si="5"/>
        <v>0</v>
      </c>
      <c r="X12" s="47">
        <f t="shared" si="16"/>
        <v>1.000915087969759E-2</v>
      </c>
      <c r="Y12" s="47">
        <f t="shared" si="17"/>
        <v>6.0019657208019066E-3</v>
      </c>
      <c r="Z12" s="217">
        <v>41</v>
      </c>
      <c r="AA12" s="26">
        <v>-0.55119438764392137</v>
      </c>
      <c r="AB12" s="26">
        <f t="shared" si="6"/>
        <v>-0.56396789833607663</v>
      </c>
      <c r="AC12" s="26">
        <v>-0.53</v>
      </c>
      <c r="AD12">
        <v>-0.44500000000000001</v>
      </c>
      <c r="AE12" s="294"/>
      <c r="AF12" s="282">
        <v>-0.57089336971191451</v>
      </c>
      <c r="AG12" s="294"/>
      <c r="AH12" s="210"/>
      <c r="AI12" s="37"/>
      <c r="AJ12" s="37"/>
      <c r="AK12" s="67"/>
      <c r="AL12" s="37"/>
      <c r="AM12" s="23"/>
      <c r="AN12" s="37"/>
      <c r="AO12" s="60"/>
      <c r="AP12" s="68"/>
      <c r="AQ12" s="23"/>
      <c r="AR12" s="23"/>
      <c r="AS12" s="37"/>
      <c r="AT12" s="60"/>
      <c r="AU12" s="23"/>
      <c r="AV12" s="23"/>
      <c r="AW12" s="23"/>
      <c r="AX12" s="23"/>
      <c r="AY12" s="23"/>
      <c r="AZ12" s="23"/>
      <c r="BA12" s="23"/>
      <c r="BB12" s="138">
        <v>5113803.9074802604</v>
      </c>
      <c r="BC12" s="26"/>
      <c r="BD12">
        <v>155</v>
      </c>
      <c r="BE12">
        <v>162</v>
      </c>
      <c r="BF12">
        <f t="shared" si="7"/>
        <v>-7</v>
      </c>
      <c r="BG12">
        <v>236</v>
      </c>
      <c r="BH12">
        <v>111</v>
      </c>
      <c r="BI12" s="34">
        <v>228</v>
      </c>
      <c r="BJ12" s="34">
        <v>107</v>
      </c>
      <c r="BK12" s="34">
        <f t="shared" si="8"/>
        <v>631.23599999999999</v>
      </c>
      <c r="BL12" s="34">
        <f t="shared" si="9"/>
        <v>469.72264309764313</v>
      </c>
      <c r="BM12" s="34">
        <f t="shared" si="10"/>
        <v>308.26879100000002</v>
      </c>
      <c r="BN12" s="34">
        <f t="shared" si="18"/>
        <v>-241.72264309764313</v>
      </c>
      <c r="BO12" s="34">
        <f t="shared" si="19"/>
        <v>-358.72264309764313</v>
      </c>
      <c r="BP12" s="23">
        <f t="shared" si="20"/>
        <v>-0.83644528816687613</v>
      </c>
      <c r="BQ12" s="75">
        <f t="shared" si="21"/>
        <v>-201.26879100000002</v>
      </c>
      <c r="BR12" s="26">
        <f t="shared" si="22"/>
        <v>-0.88467143946802307</v>
      </c>
      <c r="BS12" s="23">
        <f t="shared" si="23"/>
        <v>-0.90495155604995159</v>
      </c>
      <c r="BT12">
        <v>221</v>
      </c>
      <c r="BU12">
        <f t="shared" si="24"/>
        <v>-81</v>
      </c>
      <c r="BV12">
        <v>-59</v>
      </c>
      <c r="BW12" s="23">
        <v>-0.69599999999999995</v>
      </c>
      <c r="BX12" s="23">
        <v>-0.69599999999999995</v>
      </c>
      <c r="BY12" s="34">
        <v>0</v>
      </c>
      <c r="BZ12" s="75">
        <v>0</v>
      </c>
      <c r="CA12">
        <v>121109</v>
      </c>
      <c r="CB12" s="34">
        <v>92226</v>
      </c>
      <c r="CC12" s="34">
        <v>92226</v>
      </c>
      <c r="CD12" s="34">
        <f t="shared" si="11"/>
        <v>97077.007996633009</v>
      </c>
      <c r="CE12" s="34">
        <f t="shared" si="12"/>
        <v>151247.36000000002</v>
      </c>
      <c r="CF12" s="34">
        <f t="shared" si="25"/>
        <v>-4851.0079966330086</v>
      </c>
      <c r="CG12" s="34">
        <f t="shared" si="26"/>
        <v>-59021.360000000015</v>
      </c>
      <c r="CH12" s="23">
        <f t="shared" si="27"/>
        <v>-0.17256549202947211</v>
      </c>
      <c r="CI12" s="36">
        <f t="shared" si="13"/>
        <v>-2.0558635034875948E-2</v>
      </c>
      <c r="CJ12" s="240">
        <f t="shared" si="28"/>
        <v>-0.55119438764392137</v>
      </c>
      <c r="CK12" s="34">
        <v>123476.21</v>
      </c>
      <c r="CL12">
        <f t="shared" si="29"/>
        <v>-121109</v>
      </c>
      <c r="CM12" s="34">
        <f t="shared" si="14"/>
        <v>-123476.21</v>
      </c>
      <c r="CN12" s="23">
        <v>-0.28100000000000003</v>
      </c>
      <c r="CO12" s="23">
        <f t="shared" si="15"/>
        <v>-0.36591974584019171</v>
      </c>
      <c r="CP12" s="23">
        <f t="shared" si="30"/>
        <v>-0.53</v>
      </c>
      <c r="CQ12" s="23">
        <f t="shared" si="31"/>
        <v>-0.57089336971191451</v>
      </c>
      <c r="CR12" s="23">
        <f t="shared" si="32"/>
        <v>-0.53902631769476428</v>
      </c>
    </row>
    <row r="13" spans="1:96" x14ac:dyDescent="0.25">
      <c r="A13" s="9" t="s">
        <v>52</v>
      </c>
      <c r="B13" s="9" t="s">
        <v>57</v>
      </c>
      <c r="C13" s="1">
        <f t="shared" si="0"/>
        <v>13</v>
      </c>
      <c r="D13">
        <v>0</v>
      </c>
      <c r="E13">
        <v>0</v>
      </c>
      <c r="F13">
        <v>0</v>
      </c>
      <c r="G13">
        <v>0</v>
      </c>
      <c r="H13">
        <v>0</v>
      </c>
      <c r="I13" s="8">
        <v>13</v>
      </c>
      <c r="J13">
        <v>0</v>
      </c>
      <c r="K13">
        <v>0</v>
      </c>
      <c r="L13" s="104">
        <v>8</v>
      </c>
      <c r="M13" s="69">
        <v>10</v>
      </c>
      <c r="N13" s="94">
        <f t="shared" si="1"/>
        <v>0.61538461538461542</v>
      </c>
      <c r="O13" s="96">
        <v>0.76923076923076927</v>
      </c>
      <c r="P13" s="105">
        <f>O13/O45</f>
        <v>7.1150067610699546E-3</v>
      </c>
      <c r="Q13" s="106">
        <f t="shared" si="2"/>
        <v>3.494941164139407E-3</v>
      </c>
      <c r="R13" s="75">
        <v>0</v>
      </c>
      <c r="S13" s="34">
        <v>0</v>
      </c>
      <c r="T13" s="34">
        <f t="shared" si="3"/>
        <v>0</v>
      </c>
      <c r="U13" s="34">
        <f t="shared" si="4"/>
        <v>0</v>
      </c>
      <c r="V13" s="47">
        <f>U13/U45</f>
        <v>0</v>
      </c>
      <c r="W13" s="47">
        <f t="shared" si="5"/>
        <v>0</v>
      </c>
      <c r="X13" s="47">
        <f t="shared" si="16"/>
        <v>4.2690040566419722E-3</v>
      </c>
      <c r="Y13" s="47">
        <f t="shared" si="17"/>
        <v>2.096964698483644E-3</v>
      </c>
      <c r="Z13" s="217">
        <v>11</v>
      </c>
      <c r="AA13" s="26">
        <v>-0.17738558969589896</v>
      </c>
      <c r="AB13" s="26">
        <f t="shared" si="6"/>
        <v>-0.44793365069619656</v>
      </c>
      <c r="AC13" s="26">
        <v>-0.40799999999999997</v>
      </c>
      <c r="AD13">
        <v>-0.372</v>
      </c>
      <c r="AE13" s="294"/>
      <c r="AF13" s="282">
        <v>-0.38762910689974872</v>
      </c>
      <c r="AG13" s="294"/>
      <c r="AH13" s="210"/>
      <c r="AI13" s="37"/>
      <c r="AJ13" s="37"/>
      <c r="AK13" s="67"/>
      <c r="AL13" s="37"/>
      <c r="AM13" s="23"/>
      <c r="AN13" s="37"/>
      <c r="AO13" s="60"/>
      <c r="AP13" s="68"/>
      <c r="AQ13" s="23"/>
      <c r="AR13" s="23"/>
      <c r="AS13" s="37"/>
      <c r="AT13" s="60"/>
      <c r="AU13" s="23"/>
      <c r="AV13" s="23"/>
      <c r="AW13" s="23"/>
      <c r="AX13" s="23"/>
      <c r="AY13" s="23"/>
      <c r="AZ13" s="23"/>
      <c r="BA13" s="23"/>
      <c r="BC13" s="67"/>
      <c r="BD13">
        <v>16</v>
      </c>
      <c r="BE13">
        <v>16</v>
      </c>
      <c r="BF13">
        <f t="shared" si="7"/>
        <v>0</v>
      </c>
      <c r="BG13">
        <v>70</v>
      </c>
      <c r="BH13">
        <v>38</v>
      </c>
      <c r="BI13" s="34">
        <v>42</v>
      </c>
      <c r="BJ13" s="34">
        <v>32</v>
      </c>
      <c r="BK13" s="34">
        <f t="shared" si="8"/>
        <v>169.35599999999999</v>
      </c>
      <c r="BL13" s="34">
        <f t="shared" si="9"/>
        <v>126.02314814814815</v>
      </c>
      <c r="BM13" s="34">
        <f t="shared" si="10"/>
        <v>82.706260999999998</v>
      </c>
      <c r="BN13" s="34">
        <f t="shared" si="18"/>
        <v>-84.023148148148152</v>
      </c>
      <c r="BO13" s="34">
        <f t="shared" si="19"/>
        <v>-88.023148148148152</v>
      </c>
      <c r="BP13" s="23">
        <f t="shared" si="20"/>
        <v>-0.55924101614795585</v>
      </c>
      <c r="BQ13" s="75">
        <f t="shared" si="21"/>
        <v>-50.706260999999998</v>
      </c>
      <c r="BR13" s="26">
        <f t="shared" si="22"/>
        <v>-0.23824994016345394</v>
      </c>
      <c r="BS13" s="23">
        <f t="shared" si="23"/>
        <v>-0.22205647292635433</v>
      </c>
      <c r="BT13">
        <v>65</v>
      </c>
      <c r="BU13">
        <f t="shared" si="24"/>
        <v>-54</v>
      </c>
      <c r="BV13">
        <v>-49</v>
      </c>
      <c r="BW13" s="23">
        <v>-0.625</v>
      </c>
      <c r="BX13" s="23">
        <v>-0.67200000000000004</v>
      </c>
      <c r="BY13" s="34">
        <v>0</v>
      </c>
      <c r="BZ13" s="75">
        <v>0</v>
      </c>
      <c r="CA13">
        <v>31763</v>
      </c>
      <c r="CB13" s="34">
        <v>0</v>
      </c>
      <c r="CC13" s="34">
        <v>0</v>
      </c>
      <c r="CD13" s="34">
        <f t="shared" si="11"/>
        <v>26045.050925925927</v>
      </c>
      <c r="CE13" s="34">
        <f t="shared" si="12"/>
        <v>40578.559999999998</v>
      </c>
      <c r="CF13" s="34">
        <f t="shared" si="25"/>
        <v>-26045.050925925927</v>
      </c>
      <c r="CG13" s="34">
        <f t="shared" si="26"/>
        <v>-40578.559999999998</v>
      </c>
      <c r="CH13" s="23">
        <f t="shared" si="27"/>
        <v>-0.13021124302743814</v>
      </c>
      <c r="CI13" s="36">
        <f t="shared" si="13"/>
        <v>-0.11037926485021592</v>
      </c>
      <c r="CJ13" s="240">
        <f t="shared" si="28"/>
        <v>-0.17738558969589896</v>
      </c>
      <c r="CK13" s="34">
        <v>36148.36</v>
      </c>
      <c r="CL13">
        <f t="shared" si="29"/>
        <v>-31763</v>
      </c>
      <c r="CM13" s="34">
        <f t="shared" si="14"/>
        <v>-36148.36</v>
      </c>
      <c r="CN13" s="23">
        <v>-8.1000000000000003E-2</v>
      </c>
      <c r="CO13" s="23">
        <f t="shared" si="15"/>
        <v>-0.11183412674049135</v>
      </c>
      <c r="CP13" s="23">
        <f t="shared" si="30"/>
        <v>-0.43559999999999999</v>
      </c>
      <c r="CQ13" s="23">
        <f t="shared" si="31"/>
        <v>-0.38762910689974872</v>
      </c>
      <c r="CR13" s="23">
        <f t="shared" si="32"/>
        <v>-0.18710167003815875</v>
      </c>
    </row>
    <row r="14" spans="1:96" x14ac:dyDescent="0.25">
      <c r="A14" s="9" t="s">
        <v>60</v>
      </c>
      <c r="B14" s="9" t="s">
        <v>61</v>
      </c>
      <c r="C14" s="1">
        <f t="shared" si="0"/>
        <v>72</v>
      </c>
      <c r="D14">
        <v>0</v>
      </c>
      <c r="E14" s="8">
        <v>0</v>
      </c>
      <c r="F14">
        <v>0</v>
      </c>
      <c r="G14" s="8">
        <v>72</v>
      </c>
      <c r="H14">
        <v>0</v>
      </c>
      <c r="I14">
        <v>0</v>
      </c>
      <c r="J14">
        <v>0</v>
      </c>
      <c r="K14">
        <v>0</v>
      </c>
      <c r="L14" s="104">
        <v>71.5</v>
      </c>
      <c r="M14" s="69">
        <v>71.5</v>
      </c>
      <c r="N14" s="94">
        <f t="shared" si="1"/>
        <v>0.99305555555555558</v>
      </c>
      <c r="O14" s="96">
        <v>0.99305555555555558</v>
      </c>
      <c r="P14" s="105">
        <f>O14/O45</f>
        <v>9.1852760894646137E-3</v>
      </c>
      <c r="Q14" s="106">
        <f t="shared" si="2"/>
        <v>5.639839951506213E-3</v>
      </c>
      <c r="R14" s="75">
        <v>183762</v>
      </c>
      <c r="S14" s="34">
        <v>156335</v>
      </c>
      <c r="T14" s="34">
        <f t="shared" si="3"/>
        <v>2552.25</v>
      </c>
      <c r="U14" s="34">
        <f t="shared" si="4"/>
        <v>2171.3194444444443</v>
      </c>
      <c r="V14" s="47">
        <f>U14/U45</f>
        <v>1.7636827082731947E-2</v>
      </c>
      <c r="W14" s="47">
        <f t="shared" si="5"/>
        <v>2.3531615310874443E-2</v>
      </c>
      <c r="X14" s="47">
        <f t="shared" si="16"/>
        <v>1.2565896486771547E-2</v>
      </c>
      <c r="Y14" s="47">
        <f t="shared" si="17"/>
        <v>1.2796550095253505E-2</v>
      </c>
      <c r="Z14" s="217">
        <v>46</v>
      </c>
      <c r="AA14" s="26">
        <v>-0.55069859340771843</v>
      </c>
      <c r="AB14" s="26">
        <f t="shared" si="6"/>
        <v>-0.51611676502789416</v>
      </c>
      <c r="AC14" s="26">
        <v>-0.69799999999999995</v>
      </c>
      <c r="AD14">
        <v>-0.59899999999999998</v>
      </c>
      <c r="AE14" s="294"/>
      <c r="AF14" s="282">
        <v>-0.5117673854464756</v>
      </c>
      <c r="AG14" s="294"/>
      <c r="AH14" s="210"/>
      <c r="AI14" s="37"/>
      <c r="AJ14" s="37"/>
      <c r="AK14" s="67"/>
      <c r="AL14" s="37"/>
      <c r="AM14" s="23"/>
      <c r="AN14" s="37"/>
      <c r="AO14" s="60"/>
      <c r="AP14" s="68"/>
      <c r="AQ14" s="23"/>
      <c r="AR14" s="23"/>
      <c r="AS14" s="37"/>
      <c r="AT14" s="60"/>
      <c r="AU14" s="23"/>
      <c r="AV14" s="23"/>
      <c r="AW14" s="23"/>
      <c r="AX14" s="23"/>
      <c r="AY14" s="23"/>
      <c r="AZ14" s="23"/>
      <c r="BA14" s="23"/>
      <c r="BC14" s="67"/>
      <c r="BD14">
        <v>143</v>
      </c>
      <c r="BE14">
        <v>147</v>
      </c>
      <c r="BF14">
        <f t="shared" si="7"/>
        <v>-4</v>
      </c>
      <c r="BG14">
        <v>386</v>
      </c>
      <c r="BH14">
        <v>272</v>
      </c>
      <c r="BI14" s="34">
        <v>353</v>
      </c>
      <c r="BJ14" s="34">
        <v>129</v>
      </c>
      <c r="BK14" s="34">
        <f t="shared" si="8"/>
        <v>708.21600000000001</v>
      </c>
      <c r="BL14" s="34">
        <f t="shared" si="9"/>
        <v>527.00589225589226</v>
      </c>
      <c r="BM14" s="34">
        <f t="shared" si="10"/>
        <v>345.86254600000001</v>
      </c>
      <c r="BN14" s="34">
        <f t="shared" si="18"/>
        <v>-174.00589225589226</v>
      </c>
      <c r="BO14" s="34">
        <f t="shared" si="19"/>
        <v>-255.00589225589226</v>
      </c>
      <c r="BP14" s="23">
        <f t="shared" si="20"/>
        <v>-0.71741274068417249</v>
      </c>
      <c r="BQ14" s="75">
        <f t="shared" si="21"/>
        <v>-216.86254600000001</v>
      </c>
      <c r="BR14" s="26">
        <f t="shared" si="22"/>
        <v>-0.95162128739425089</v>
      </c>
      <c r="BS14" s="23">
        <f t="shared" si="23"/>
        <v>-0.64330474654777148</v>
      </c>
      <c r="BT14">
        <v>361</v>
      </c>
      <c r="BU14">
        <f t="shared" si="24"/>
        <v>-243</v>
      </c>
      <c r="BV14">
        <v>-214</v>
      </c>
      <c r="BW14" s="23">
        <v>-1.121</v>
      </c>
      <c r="BX14" s="23">
        <v>-1.077</v>
      </c>
      <c r="BY14" s="34">
        <v>183762</v>
      </c>
      <c r="BZ14" s="75">
        <v>316863</v>
      </c>
      <c r="CA14">
        <v>207951</v>
      </c>
      <c r="CB14" s="34">
        <v>11750</v>
      </c>
      <c r="CC14" s="34">
        <v>97288</v>
      </c>
      <c r="CD14" s="34">
        <f t="shared" si="11"/>
        <v>108915.66750841752</v>
      </c>
      <c r="CE14" s="34">
        <f t="shared" si="12"/>
        <v>169692.16</v>
      </c>
      <c r="CF14" s="34">
        <f t="shared" si="25"/>
        <v>-97165.667508417522</v>
      </c>
      <c r="CG14" s="34">
        <f t="shared" si="26"/>
        <v>-72404.160000000003</v>
      </c>
      <c r="CH14" s="23">
        <f t="shared" si="27"/>
        <v>-0.20329935258993034</v>
      </c>
      <c r="CI14" s="36">
        <f t="shared" si="13"/>
        <v>-0.41178936369763897</v>
      </c>
      <c r="CJ14" s="240">
        <f t="shared" si="28"/>
        <v>-0.55069859340771843</v>
      </c>
      <c r="CK14" s="34">
        <v>202802.32</v>
      </c>
      <c r="CL14">
        <f t="shared" si="29"/>
        <v>-24189</v>
      </c>
      <c r="CM14" s="34">
        <f t="shared" si="14"/>
        <v>114060.68</v>
      </c>
      <c r="CN14" s="23">
        <v>-6.4000000000000001E-2</v>
      </c>
      <c r="CO14" s="23">
        <f t="shared" si="15"/>
        <v>0.32520808743026458</v>
      </c>
      <c r="CP14" s="23">
        <f t="shared" si="30"/>
        <v>-0.67179999999999995</v>
      </c>
      <c r="CQ14" s="23">
        <f t="shared" si="31"/>
        <v>-0.5117673854464756</v>
      </c>
      <c r="CR14" s="23">
        <f t="shared" si="32"/>
        <v>-0.73568851791560608</v>
      </c>
    </row>
    <row r="15" spans="1:96" x14ac:dyDescent="0.25">
      <c r="A15" s="9" t="s">
        <v>60</v>
      </c>
      <c r="B15" s="9" t="s">
        <v>64</v>
      </c>
      <c r="C15" s="1">
        <f t="shared" si="0"/>
        <v>10</v>
      </c>
      <c r="D15">
        <v>0</v>
      </c>
      <c r="E15" s="8">
        <v>10</v>
      </c>
      <c r="F15">
        <v>0</v>
      </c>
      <c r="G15" s="8">
        <v>0</v>
      </c>
      <c r="H15">
        <v>0</v>
      </c>
      <c r="I15">
        <v>0</v>
      </c>
      <c r="J15">
        <v>0</v>
      </c>
      <c r="K15">
        <v>0</v>
      </c>
      <c r="L15" s="104">
        <v>13</v>
      </c>
      <c r="M15" s="69">
        <v>3.5</v>
      </c>
      <c r="N15" s="94">
        <f t="shared" si="1"/>
        <v>1.3</v>
      </c>
      <c r="O15" s="96">
        <v>0.35</v>
      </c>
      <c r="P15" s="105">
        <f>O15/O45</f>
        <v>3.2373280762868287E-3</v>
      </c>
      <c r="Q15" s="106">
        <f t="shared" si="2"/>
        <v>7.3830632092444972E-3</v>
      </c>
      <c r="R15" s="75">
        <v>0</v>
      </c>
      <c r="S15" s="34">
        <v>36077</v>
      </c>
      <c r="T15" s="34">
        <f t="shared" si="3"/>
        <v>0</v>
      </c>
      <c r="U15" s="34">
        <f t="shared" si="4"/>
        <v>3607.7</v>
      </c>
      <c r="V15" s="47">
        <f>U15/U45</f>
        <v>2.9304016610348208E-2</v>
      </c>
      <c r="W15" s="47">
        <f t="shared" si="5"/>
        <v>0</v>
      </c>
      <c r="X15" s="47">
        <f t="shared" si="16"/>
        <v>1.3664003489911382E-2</v>
      </c>
      <c r="Y15" s="47">
        <f t="shared" si="17"/>
        <v>4.4298379255466981E-3</v>
      </c>
      <c r="Z15" s="217">
        <v>6</v>
      </c>
      <c r="AA15" s="26">
        <v>-7.5152244327573184E-2</v>
      </c>
      <c r="AB15" s="26">
        <f t="shared" si="6"/>
        <v>-0.40096126497686335</v>
      </c>
      <c r="AC15" s="26">
        <v>-0.36</v>
      </c>
      <c r="AD15">
        <v>-0.32800000000000001</v>
      </c>
      <c r="AE15" s="294"/>
      <c r="AF15" s="282">
        <v>-0.31132473149057049</v>
      </c>
      <c r="AG15" s="294"/>
      <c r="AH15" s="210"/>
      <c r="AI15" s="37"/>
      <c r="AJ15" s="37"/>
      <c r="AK15" s="67"/>
      <c r="AL15" s="37"/>
      <c r="AM15" s="23"/>
      <c r="AN15" s="37"/>
      <c r="AO15" s="60"/>
      <c r="AP15" s="68"/>
      <c r="AQ15" s="23"/>
      <c r="AR15" s="23"/>
      <c r="AS15" s="37"/>
      <c r="AT15" s="60"/>
      <c r="AU15" s="23"/>
      <c r="AV15" s="23"/>
      <c r="AW15" s="23"/>
      <c r="AX15" s="23"/>
      <c r="AY15" s="23"/>
      <c r="AZ15" s="23"/>
      <c r="BA15" s="23"/>
      <c r="BC15" s="290" t="s">
        <v>468</v>
      </c>
      <c r="BD15">
        <v>26</v>
      </c>
      <c r="BE15">
        <v>26</v>
      </c>
      <c r="BF15">
        <f t="shared" si="7"/>
        <v>0</v>
      </c>
      <c r="BG15">
        <v>54</v>
      </c>
      <c r="BH15">
        <v>35</v>
      </c>
      <c r="BI15" s="34">
        <v>41</v>
      </c>
      <c r="BJ15" s="34">
        <v>12</v>
      </c>
      <c r="BK15" s="34">
        <f t="shared" si="8"/>
        <v>92.376000000000005</v>
      </c>
      <c r="BL15" s="34">
        <f t="shared" si="9"/>
        <v>68.73989898989899</v>
      </c>
      <c r="BM15" s="34">
        <f t="shared" si="10"/>
        <v>45.112505999999996</v>
      </c>
      <c r="BN15" s="34">
        <f t="shared" si="18"/>
        <v>-27.73989898989899</v>
      </c>
      <c r="BO15" s="34">
        <f t="shared" si="19"/>
        <v>-33.73989898989899</v>
      </c>
      <c r="BP15" s="23">
        <f t="shared" si="20"/>
        <v>-0.46030628515995453</v>
      </c>
      <c r="BQ15" s="75">
        <f t="shared" si="21"/>
        <v>-33.112505999999996</v>
      </c>
      <c r="BR15" s="26">
        <f t="shared" si="22"/>
        <v>-0.16271334094785059</v>
      </c>
      <c r="BS15" s="23">
        <f t="shared" si="23"/>
        <v>-8.5115826054967716E-2</v>
      </c>
      <c r="BT15">
        <v>50</v>
      </c>
      <c r="BU15">
        <f t="shared" si="24"/>
        <v>-28</v>
      </c>
      <c r="BV15">
        <v>-24</v>
      </c>
      <c r="BW15" s="23">
        <v>-0.55700000000000005</v>
      </c>
      <c r="BX15" s="23">
        <v>-0.61</v>
      </c>
      <c r="BY15" s="34">
        <v>0</v>
      </c>
      <c r="BZ15" s="75">
        <v>0</v>
      </c>
      <c r="CA15">
        <v>23814</v>
      </c>
      <c r="CB15" s="34">
        <v>0</v>
      </c>
      <c r="CC15" s="34">
        <v>0</v>
      </c>
      <c r="CD15" s="34">
        <f t="shared" si="11"/>
        <v>14206.391414141415</v>
      </c>
      <c r="CE15" s="34">
        <f t="shared" si="12"/>
        <v>22133.760000000002</v>
      </c>
      <c r="CF15" s="34">
        <f t="shared" si="25"/>
        <v>-14206.391414141415</v>
      </c>
      <c r="CG15" s="34">
        <f t="shared" si="26"/>
        <v>-22133.760000000002</v>
      </c>
      <c r="CH15" s="23">
        <f t="shared" si="27"/>
        <v>-8.785240098649448E-2</v>
      </c>
      <c r="CI15" s="36">
        <f t="shared" si="13"/>
        <v>-6.0206871736481385E-2</v>
      </c>
      <c r="CJ15" s="240">
        <f t="shared" si="28"/>
        <v>-7.5152244327573184E-2</v>
      </c>
      <c r="CK15" s="34">
        <v>27751.57</v>
      </c>
      <c r="CL15">
        <f t="shared" si="29"/>
        <v>-23814</v>
      </c>
      <c r="CM15" s="34">
        <f t="shared" si="14"/>
        <v>-27751.57</v>
      </c>
      <c r="CN15" s="23">
        <v>-6.3E-2</v>
      </c>
      <c r="CO15" s="23">
        <f t="shared" si="15"/>
        <v>-8.7403162442158427E-2</v>
      </c>
      <c r="CP15" s="23">
        <f t="shared" si="30"/>
        <v>-0.39119999999999999</v>
      </c>
      <c r="CQ15" s="23">
        <f t="shared" si="31"/>
        <v>-0.31132473149057049</v>
      </c>
      <c r="CR15" s="23">
        <f t="shared" si="32"/>
        <v>-0.1217107532633029</v>
      </c>
    </row>
    <row r="16" spans="1:96" x14ac:dyDescent="0.25">
      <c r="A16" s="9" t="s">
        <v>60</v>
      </c>
      <c r="B16" s="239" t="s">
        <v>67</v>
      </c>
      <c r="C16" s="1">
        <v>0</v>
      </c>
      <c r="E16" s="8"/>
      <c r="G16" s="8"/>
      <c r="L16" s="104"/>
      <c r="M16" s="69"/>
      <c r="N16" s="94"/>
      <c r="O16" s="96"/>
      <c r="P16" s="105"/>
      <c r="Q16" s="106"/>
      <c r="R16" s="75"/>
      <c r="S16" s="34"/>
      <c r="T16" s="34"/>
      <c r="U16" s="34"/>
      <c r="V16" s="47"/>
      <c r="W16" s="47"/>
      <c r="X16" s="47"/>
      <c r="Y16" s="47"/>
      <c r="Z16" s="217">
        <v>5</v>
      </c>
      <c r="AA16" s="26">
        <v>-4.9256531546522569E-2</v>
      </c>
      <c r="AB16" s="26"/>
      <c r="AC16" s="26"/>
      <c r="AE16" s="294"/>
      <c r="AF16" s="282">
        <v>-0.29796228109218931</v>
      </c>
      <c r="AG16" s="294"/>
      <c r="AH16" s="210"/>
      <c r="AI16" s="37"/>
      <c r="AJ16" s="37"/>
      <c r="AK16" s="67"/>
      <c r="AL16" s="37"/>
      <c r="AM16" s="23"/>
      <c r="AN16" s="37"/>
      <c r="AO16" s="60"/>
      <c r="AP16" s="68"/>
      <c r="AQ16" s="23"/>
      <c r="AR16" s="23"/>
      <c r="AS16" s="37"/>
      <c r="AT16" s="60"/>
      <c r="AU16" s="23"/>
      <c r="AV16" s="23"/>
      <c r="AW16" s="23"/>
      <c r="AX16" s="23"/>
      <c r="AY16" s="23"/>
      <c r="AZ16" s="23"/>
      <c r="BA16" s="23"/>
      <c r="BC16" s="78">
        <f>BB12/AU43</f>
        <v>66166.937184591414</v>
      </c>
      <c r="BH16">
        <v>38</v>
      </c>
      <c r="BI16" s="34">
        <v>39</v>
      </c>
      <c r="BJ16" s="34">
        <v>12</v>
      </c>
      <c r="BK16" s="34">
        <f t="shared" si="8"/>
        <v>76.98</v>
      </c>
      <c r="BL16" s="34">
        <f t="shared" si="9"/>
        <v>57.283249158249163</v>
      </c>
      <c r="BM16" s="34">
        <f t="shared" si="10"/>
        <v>37.593755000000002</v>
      </c>
      <c r="BN16" s="34">
        <f t="shared" si="18"/>
        <v>-18.283249158249163</v>
      </c>
      <c r="BO16" s="34">
        <f t="shared" si="19"/>
        <v>-19.283249158249163</v>
      </c>
      <c r="BP16" s="23">
        <f t="shared" si="20"/>
        <v>-0.44368338010144509</v>
      </c>
      <c r="BQ16" s="75">
        <f t="shared" si="21"/>
        <v>-25.593755000000002</v>
      </c>
      <c r="BR16" s="26">
        <f t="shared" si="22"/>
        <v>-0.13043251852597892</v>
      </c>
      <c r="BS16" s="23">
        <f t="shared" si="23"/>
        <v>-4.8645957168381292E-2</v>
      </c>
      <c r="BW16" s="23"/>
      <c r="BX16" s="23"/>
      <c r="BY16" s="34"/>
      <c r="BZ16" s="75"/>
      <c r="CB16" s="34">
        <v>0</v>
      </c>
      <c r="CC16" s="34">
        <v>0</v>
      </c>
      <c r="CD16" s="34">
        <f t="shared" si="11"/>
        <v>11838.659511784514</v>
      </c>
      <c r="CE16" s="34">
        <f t="shared" si="12"/>
        <v>18444.8</v>
      </c>
      <c r="CF16" s="34">
        <f t="shared" si="25"/>
        <v>-11838.659511784514</v>
      </c>
      <c r="CG16" s="34">
        <f t="shared" si="26"/>
        <v>-18444.8</v>
      </c>
      <c r="CH16" s="23">
        <f t="shared" si="27"/>
        <v>-7.9380632578305757E-2</v>
      </c>
      <c r="CI16" s="36">
        <f t="shared" si="13"/>
        <v>-5.0172393113734483E-2</v>
      </c>
      <c r="CJ16" s="240">
        <f t="shared" si="28"/>
        <v>-4.9256531546522569E-2</v>
      </c>
      <c r="CK16" s="34"/>
      <c r="CM16" s="34"/>
      <c r="CN16" s="23"/>
      <c r="CO16" s="23"/>
      <c r="CP16" s="23"/>
      <c r="CQ16" s="23">
        <f t="shared" si="31"/>
        <v>-0.29796228109218931</v>
      </c>
      <c r="CR16" s="23">
        <f t="shared" si="32"/>
        <v>-9.8328468361081139E-2</v>
      </c>
    </row>
    <row r="17" spans="1:96" x14ac:dyDescent="0.25">
      <c r="A17" s="9" t="s">
        <v>68</v>
      </c>
      <c r="B17" s="9" t="s">
        <v>70</v>
      </c>
      <c r="C17" s="1">
        <f t="shared" si="0"/>
        <v>50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50</v>
      </c>
      <c r="K17">
        <v>0</v>
      </c>
      <c r="L17" s="104">
        <v>560.5</v>
      </c>
      <c r="M17" s="69">
        <v>444.5</v>
      </c>
      <c r="N17" s="94">
        <f t="shared" si="1"/>
        <v>11.21</v>
      </c>
      <c r="O17" s="96">
        <v>8.89</v>
      </c>
      <c r="P17" s="105">
        <f>O17/O45</f>
        <v>8.2228133137685469E-2</v>
      </c>
      <c r="Q17" s="106">
        <f t="shared" ref="Q17:Q26" si="33">N17/N$45</f>
        <v>6.3664721981254474E-2</v>
      </c>
      <c r="R17" s="75">
        <v>0</v>
      </c>
      <c r="S17" s="34">
        <v>0</v>
      </c>
      <c r="T17" s="34">
        <f t="shared" si="3"/>
        <v>0</v>
      </c>
      <c r="U17" s="34">
        <f t="shared" si="4"/>
        <v>0</v>
      </c>
      <c r="V17" s="47">
        <f>U17/U45</f>
        <v>0</v>
      </c>
      <c r="W17" s="47">
        <f t="shared" ref="W17:W26" si="34">T17/T$45</f>
        <v>0</v>
      </c>
      <c r="X17" s="47">
        <f t="shared" si="16"/>
        <v>4.9336879882611283E-2</v>
      </c>
      <c r="Y17" s="47">
        <f t="shared" si="17"/>
        <v>3.8198833188752682E-2</v>
      </c>
      <c r="Z17" s="217">
        <v>48</v>
      </c>
      <c r="AA17" s="25">
        <v>1.4376325658928102</v>
      </c>
      <c r="AB17" s="25">
        <f t="shared" ref="AB17:AB29" si="35">(0.6*BX17)+(0.4*CO17)</f>
        <v>0.792078819517537</v>
      </c>
      <c r="AC17" s="26">
        <v>0.92400000000000004</v>
      </c>
      <c r="AD17" s="71">
        <v>1.05</v>
      </c>
      <c r="AE17" s="296">
        <v>227271.4977243891</v>
      </c>
      <c r="AF17" s="283">
        <v>1.2863830890170991</v>
      </c>
      <c r="AG17" s="295">
        <f>AU17*BC$16</f>
        <v>391494.59240958164</v>
      </c>
      <c r="AH17" s="272" t="e">
        <f>AQ17*#REF!</f>
        <v>#DIV/0!</v>
      </c>
      <c r="AI17" s="65" t="e">
        <f>AL17*#REF!</f>
        <v>#DIV/0!</v>
      </c>
      <c r="AJ17" s="65" t="e">
        <f>C17*AM17</f>
        <v>#REF!</v>
      </c>
      <c r="AK17" s="68" t="e">
        <f>AI17-AE17</f>
        <v>#DIV/0!</v>
      </c>
      <c r="AL17" s="65" t="e">
        <f>C17*AR17</f>
        <v>#DIV/0!</v>
      </c>
      <c r="AM17" s="23" t="e">
        <f>AD17/#REF!</f>
        <v>#REF!</v>
      </c>
      <c r="AN17" s="65" t="e">
        <f>SUM(AO17:AP17)</f>
        <v>#DIV/0!</v>
      </c>
      <c r="AO17" s="65" t="e">
        <f>AZ17*BC$13</f>
        <v>#DIV/0!</v>
      </c>
      <c r="AP17" s="68"/>
      <c r="AQ17" s="23" t="e">
        <f>Z17*AV17</f>
        <v>#DIV/0!</v>
      </c>
      <c r="AR17" s="23" t="e">
        <f>AB17/BC$2</f>
        <v>#DIV/0!</v>
      </c>
      <c r="AS17" s="66">
        <f>AVERAGE(AE17,AG17)</f>
        <v>309383.04506698536</v>
      </c>
      <c r="AT17" s="65">
        <f>AS17-(AW17*AS$45)</f>
        <v>307014.36758462177</v>
      </c>
      <c r="AU17" s="23">
        <f>Z17*AW17</f>
        <v>5.91677065718482</v>
      </c>
      <c r="AV17" s="23" t="e">
        <f>AF17/BC$5</f>
        <v>#DIV/0!</v>
      </c>
      <c r="AW17" s="23">
        <f>CR17/BC$8</f>
        <v>0.12326605535801709</v>
      </c>
      <c r="AX17" s="23" t="e">
        <f>BP17/BC$11</f>
        <v>#DIV/0!</v>
      </c>
      <c r="AY17" s="23"/>
      <c r="AZ17" s="23" t="e">
        <f>Z17*AX17</f>
        <v>#DIV/0!</v>
      </c>
      <c r="BA17" s="23"/>
      <c r="BD17">
        <v>1121</v>
      </c>
      <c r="BE17">
        <v>1126</v>
      </c>
      <c r="BF17">
        <f t="shared" ref="BF17:BF29" si="36">BD17-BE17</f>
        <v>-5</v>
      </c>
      <c r="BG17">
        <v>268</v>
      </c>
      <c r="BH17">
        <v>1627</v>
      </c>
      <c r="BI17" s="34">
        <v>2172</v>
      </c>
      <c r="BJ17" s="34">
        <v>906</v>
      </c>
      <c r="BK17" s="34">
        <f t="shared" si="8"/>
        <v>739.00800000000004</v>
      </c>
      <c r="BL17" s="34">
        <f t="shared" si="9"/>
        <v>549.91919191919192</v>
      </c>
      <c r="BM17" s="34">
        <f t="shared" si="10"/>
        <v>360.90004799999997</v>
      </c>
      <c r="BN17" s="34">
        <f t="shared" si="18"/>
        <v>1622.0808080808081</v>
      </c>
      <c r="BO17" s="34">
        <f t="shared" ref="BO17:BO29" si="37">BH17-BL17</f>
        <v>1077.0808080808081</v>
      </c>
      <c r="BP17" s="25">
        <f t="shared" si="20"/>
        <v>2.4397495977821126</v>
      </c>
      <c r="BQ17" s="75">
        <f t="shared" si="21"/>
        <v>545.09995200000003</v>
      </c>
      <c r="BR17" s="25">
        <f t="shared" si="22"/>
        <v>2.3197699436843893</v>
      </c>
      <c r="BS17" s="25">
        <f t="shared" si="23"/>
        <v>2.7171575924159179</v>
      </c>
      <c r="BT17">
        <v>251</v>
      </c>
      <c r="BU17">
        <f t="shared" si="24"/>
        <v>853</v>
      </c>
      <c r="BV17">
        <v>875</v>
      </c>
      <c r="BW17" s="25">
        <v>1.754</v>
      </c>
      <c r="BX17" s="23">
        <v>1.597</v>
      </c>
      <c r="BY17" s="34">
        <v>0</v>
      </c>
      <c r="BZ17" s="75">
        <v>0</v>
      </c>
      <c r="CA17">
        <v>139354</v>
      </c>
      <c r="CB17" s="34">
        <v>0</v>
      </c>
      <c r="CC17" s="34">
        <v>0</v>
      </c>
      <c r="CD17" s="34">
        <f t="shared" si="11"/>
        <v>113651.13131313132</v>
      </c>
      <c r="CE17" s="34">
        <f t="shared" si="12"/>
        <v>177070.08000000002</v>
      </c>
      <c r="CF17" s="34">
        <f t="shared" ref="CF17:CF29" si="38">CB17-CD17</f>
        <v>-113651.13131313132</v>
      </c>
      <c r="CG17" s="34">
        <f t="shared" si="26"/>
        <v>-177070.08000000002</v>
      </c>
      <c r="CH17" s="23">
        <f t="shared" si="27"/>
        <v>-0.4436666741304211</v>
      </c>
      <c r="CI17" s="36">
        <f t="shared" si="13"/>
        <v>-0.48165497389185147</v>
      </c>
      <c r="CJ17" s="225">
        <f t="shared" si="28"/>
        <v>1.4376325658928102</v>
      </c>
      <c r="CK17" s="34">
        <v>140448.95000000001</v>
      </c>
      <c r="CL17" t="e">
        <f>#REF!-CA17</f>
        <v>#REF!</v>
      </c>
      <c r="CM17" s="34">
        <f t="shared" ref="CM17:CM26" si="39">BZ17-CK17</f>
        <v>-140448.95000000001</v>
      </c>
      <c r="CN17" s="23">
        <v>-0.32200000000000001</v>
      </c>
      <c r="CO17" s="23">
        <f t="shared" ref="CO17:CO26" si="40">(CM17-CM$44)/CM$45</f>
        <v>-0.41530295120615734</v>
      </c>
      <c r="CP17" s="23">
        <f t="shared" si="30"/>
        <v>0.82939999999999992</v>
      </c>
      <c r="CQ17" s="25">
        <f t="shared" si="31"/>
        <v>1.2863830890170991</v>
      </c>
      <c r="CR17" s="25">
        <f t="shared" si="32"/>
        <v>1.199199976653893</v>
      </c>
    </row>
    <row r="18" spans="1:96" x14ac:dyDescent="0.25">
      <c r="A18" s="7" t="s">
        <v>68</v>
      </c>
      <c r="B18" s="7" t="s">
        <v>71</v>
      </c>
      <c r="C18" s="1">
        <f t="shared" si="0"/>
        <v>24</v>
      </c>
      <c r="D18" s="8">
        <v>0</v>
      </c>
      <c r="E18" s="8">
        <v>0</v>
      </c>
      <c r="F18" s="8">
        <v>0</v>
      </c>
      <c r="G18" s="8">
        <v>20</v>
      </c>
      <c r="H18" s="8">
        <v>0</v>
      </c>
      <c r="I18" s="8">
        <v>0</v>
      </c>
      <c r="J18" s="8">
        <v>4</v>
      </c>
      <c r="K18">
        <v>0</v>
      </c>
      <c r="L18" s="104">
        <v>87.5</v>
      </c>
      <c r="M18" s="69">
        <v>63.5</v>
      </c>
      <c r="N18" s="94">
        <f t="shared" si="1"/>
        <v>3.6458333333333335</v>
      </c>
      <c r="O18" s="96">
        <v>2.6458333333333335</v>
      </c>
      <c r="P18" s="105">
        <f>O18/O45</f>
        <v>2.4472658671930197E-2</v>
      </c>
      <c r="Q18" s="106">
        <f t="shared" si="33"/>
        <v>2.0705706115669662E-2</v>
      </c>
      <c r="R18" s="75">
        <v>0</v>
      </c>
      <c r="S18" s="34">
        <v>0</v>
      </c>
      <c r="T18" s="34">
        <f t="shared" si="3"/>
        <v>0</v>
      </c>
      <c r="U18" s="34">
        <f t="shared" si="4"/>
        <v>0</v>
      </c>
      <c r="V18" s="47">
        <f>U18/U45</f>
        <v>0</v>
      </c>
      <c r="W18" s="47">
        <f t="shared" si="34"/>
        <v>0</v>
      </c>
      <c r="X18" s="47">
        <f t="shared" si="16"/>
        <v>1.4683595203158118E-2</v>
      </c>
      <c r="Y18" s="47">
        <f t="shared" si="17"/>
        <v>1.2423423669401797E-2</v>
      </c>
      <c r="Z18" s="217">
        <v>19</v>
      </c>
      <c r="AA18" s="26">
        <v>7.1049306923203215E-2</v>
      </c>
      <c r="AB18" s="26">
        <f t="shared" si="35"/>
        <v>-0.32429085438525279</v>
      </c>
      <c r="AC18" s="26">
        <v>-0.27800000000000002</v>
      </c>
      <c r="AD18">
        <v>-0.26900000000000002</v>
      </c>
      <c r="AE18" s="294"/>
      <c r="AF18" s="282">
        <v>-0.15070290630558886</v>
      </c>
      <c r="AG18" s="294"/>
      <c r="AH18" s="210"/>
      <c r="AI18" s="37"/>
      <c r="AJ18" s="37"/>
      <c r="AK18" s="67"/>
      <c r="AL18" s="37"/>
      <c r="AM18" s="23"/>
      <c r="AN18" s="37"/>
      <c r="AO18" s="60"/>
      <c r="AP18" s="68"/>
      <c r="AQ18" s="23"/>
      <c r="AR18" s="23"/>
      <c r="AS18" s="37"/>
      <c r="AT18" s="60"/>
      <c r="AU18" s="23"/>
      <c r="AV18" s="23"/>
      <c r="AW18" s="23"/>
      <c r="AX18" s="23"/>
      <c r="AY18" s="23"/>
      <c r="AZ18" s="23"/>
      <c r="BA18" s="23"/>
      <c r="BD18">
        <v>175</v>
      </c>
      <c r="BE18">
        <v>179</v>
      </c>
      <c r="BF18">
        <f t="shared" si="36"/>
        <v>-4</v>
      </c>
      <c r="BG18">
        <v>129</v>
      </c>
      <c r="BH18">
        <v>315</v>
      </c>
      <c r="BI18" s="34">
        <v>384</v>
      </c>
      <c r="BJ18" s="34">
        <v>222</v>
      </c>
      <c r="BK18" s="34">
        <f t="shared" si="8"/>
        <v>292.524</v>
      </c>
      <c r="BL18" s="34">
        <f t="shared" si="9"/>
        <v>217.67634680134682</v>
      </c>
      <c r="BM18" s="34">
        <f t="shared" si="10"/>
        <v>142.856269</v>
      </c>
      <c r="BN18" s="34">
        <f t="shared" si="18"/>
        <v>166.32365319865318</v>
      </c>
      <c r="BO18" s="34">
        <f t="shared" si="37"/>
        <v>97.323653198653176</v>
      </c>
      <c r="BP18" s="23">
        <f t="shared" si="20"/>
        <v>-0.11918125031401612</v>
      </c>
      <c r="BQ18" s="75">
        <f t="shared" si="21"/>
        <v>79.143731000000002</v>
      </c>
      <c r="BR18" s="26">
        <f t="shared" si="22"/>
        <v>0.31924485295224553</v>
      </c>
      <c r="BS18" s="23">
        <f t="shared" si="23"/>
        <v>0.24551890742679947</v>
      </c>
      <c r="BT18">
        <v>120</v>
      </c>
      <c r="BU18">
        <f t="shared" si="24"/>
        <v>46</v>
      </c>
      <c r="BV18">
        <v>59</v>
      </c>
      <c r="BW18" s="23">
        <v>-0.36299999999999999</v>
      </c>
      <c r="BX18" s="23">
        <v>-0.40600000000000003</v>
      </c>
      <c r="BY18" s="34">
        <v>0</v>
      </c>
      <c r="BZ18" s="75">
        <v>0</v>
      </c>
      <c r="CA18">
        <v>62260</v>
      </c>
      <c r="CB18" s="34">
        <v>0</v>
      </c>
      <c r="CC18" s="34">
        <v>0</v>
      </c>
      <c r="CD18" s="34">
        <f t="shared" si="11"/>
        <v>44986.906144781147</v>
      </c>
      <c r="CE18" s="34">
        <f t="shared" si="12"/>
        <v>70090.240000000005</v>
      </c>
      <c r="CF18" s="34">
        <f t="shared" si="38"/>
        <v>-44986.906144781147</v>
      </c>
      <c r="CG18" s="34">
        <f t="shared" si="26"/>
        <v>-70090.240000000005</v>
      </c>
      <c r="CH18" s="23">
        <f t="shared" si="27"/>
        <v>-0.19798539029294798</v>
      </c>
      <c r="CI18" s="36">
        <f t="shared" si="13"/>
        <v>-0.19065509383219115</v>
      </c>
      <c r="CJ18" s="240">
        <f t="shared" si="28"/>
        <v>7.1049306923203215E-2</v>
      </c>
      <c r="CK18" s="34">
        <v>67044.100000000006</v>
      </c>
      <c r="CL18">
        <f t="shared" ref="CL18:CL29" si="41">BY17-CA18</f>
        <v>-62260</v>
      </c>
      <c r="CM18" s="34">
        <f t="shared" si="39"/>
        <v>-67044.100000000006</v>
      </c>
      <c r="CN18" s="23">
        <v>-0.15</v>
      </c>
      <c r="CO18" s="23">
        <f t="shared" si="40"/>
        <v>-0.20172713596313196</v>
      </c>
      <c r="CP18" s="23">
        <f t="shared" si="30"/>
        <v>-0.30359999999999998</v>
      </c>
      <c r="CQ18" s="23">
        <f t="shared" si="31"/>
        <v>-0.15070290630558886</v>
      </c>
      <c r="CR18" s="23">
        <f t="shared" si="32"/>
        <v>0.11528487423847084</v>
      </c>
    </row>
    <row r="19" spans="1:96" x14ac:dyDescent="0.25">
      <c r="A19" s="9" t="s">
        <v>68</v>
      </c>
      <c r="B19" s="9" t="s">
        <v>72</v>
      </c>
      <c r="C19" s="1">
        <f t="shared" si="0"/>
        <v>38</v>
      </c>
      <c r="D19" s="8">
        <v>0</v>
      </c>
      <c r="E19" s="8">
        <v>38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>
        <v>0</v>
      </c>
      <c r="L19" s="104">
        <v>213.5</v>
      </c>
      <c r="M19" s="69">
        <v>144.5</v>
      </c>
      <c r="N19" s="94">
        <f t="shared" si="1"/>
        <v>5.6184210526315788</v>
      </c>
      <c r="O19" s="96">
        <v>3.8026315789473686</v>
      </c>
      <c r="P19" s="105">
        <f>O19/O45</f>
        <v>3.5172474212289237E-2</v>
      </c>
      <c r="Q19" s="106">
        <f t="shared" si="33"/>
        <v>3.1908582898253039E-2</v>
      </c>
      <c r="R19" s="75">
        <v>342370</v>
      </c>
      <c r="S19" s="34">
        <v>37350</v>
      </c>
      <c r="T19" s="34">
        <f t="shared" si="3"/>
        <v>9009.7368421052633</v>
      </c>
      <c r="U19" s="34">
        <f t="shared" si="4"/>
        <v>982.89473684210532</v>
      </c>
      <c r="V19" s="47">
        <f>U19/U45</f>
        <v>7.9836914639922624E-3</v>
      </c>
      <c r="W19" s="47">
        <f t="shared" si="34"/>
        <v>8.3069315866640722E-2</v>
      </c>
      <c r="X19" s="47">
        <f t="shared" si="16"/>
        <v>2.4296961112970448E-2</v>
      </c>
      <c r="Y19" s="47">
        <f t="shared" si="17"/>
        <v>5.2372876085608117E-2</v>
      </c>
      <c r="Z19" s="217">
        <v>35</v>
      </c>
      <c r="AA19" s="25">
        <v>0.81228214484606631</v>
      </c>
      <c r="AB19" s="26">
        <f t="shared" si="35"/>
        <v>0.29882384687929325</v>
      </c>
      <c r="AC19" s="26">
        <v>0.27100000000000002</v>
      </c>
      <c r="AD19">
        <v>-4.2999999999999997E-2</v>
      </c>
      <c r="AE19" s="294">
        <v>0</v>
      </c>
      <c r="AF19" s="282">
        <v>0.38874867157798454</v>
      </c>
      <c r="AG19" s="295">
        <f>AU19*BC$16</f>
        <v>201640.44634697633</v>
      </c>
      <c r="AH19" s="209"/>
      <c r="AI19" s="37"/>
      <c r="AJ19" s="37"/>
      <c r="AK19" s="67"/>
      <c r="AL19" s="37"/>
      <c r="AM19" s="23"/>
      <c r="AN19" s="65" t="e">
        <f t="shared" ref="AN19:AN24" si="42">SUM(AO19:AP19)</f>
        <v>#DIV/0!</v>
      </c>
      <c r="AO19" s="60"/>
      <c r="AP19" s="65" t="e">
        <f>BA19*BC$14</f>
        <v>#DIV/0!</v>
      </c>
      <c r="AQ19" s="23"/>
      <c r="AR19" s="23"/>
      <c r="AS19" s="66">
        <f>AVERAGE(AE19,AG19)</f>
        <v>100820.22317348816</v>
      </c>
      <c r="AT19" s="65">
        <f>AS19-(AW19*AS$45)</f>
        <v>99147.08808593305</v>
      </c>
      <c r="AU19" s="23">
        <f>Z19*AW19</f>
        <v>3.0474502059003155</v>
      </c>
      <c r="AV19" s="23"/>
      <c r="AW19" s="23">
        <f>CR19/BC$8</f>
        <v>8.7070005882866161E-2</v>
      </c>
      <c r="AX19" s="23"/>
      <c r="AY19" s="23" t="e">
        <f>CH19/BC$12</f>
        <v>#DIV/0!</v>
      </c>
      <c r="AZ19" s="23"/>
      <c r="BA19" s="23" t="e">
        <f>Z19*AY19</f>
        <v>#DIV/0!</v>
      </c>
      <c r="BD19">
        <v>427</v>
      </c>
      <c r="BE19">
        <v>434</v>
      </c>
      <c r="BF19">
        <f t="shared" si="36"/>
        <v>-7</v>
      </c>
      <c r="BG19">
        <v>204</v>
      </c>
      <c r="BH19">
        <v>647</v>
      </c>
      <c r="BI19" s="34">
        <v>832</v>
      </c>
      <c r="BJ19" s="34">
        <v>426</v>
      </c>
      <c r="BK19" s="34">
        <f t="shared" si="8"/>
        <v>538.86</v>
      </c>
      <c r="BL19" s="34">
        <f t="shared" si="9"/>
        <v>400.98274410774411</v>
      </c>
      <c r="BM19" s="34">
        <f t="shared" si="10"/>
        <v>263.15628500000003</v>
      </c>
      <c r="BN19" s="34">
        <f t="shared" si="18"/>
        <v>431.01725589225589</v>
      </c>
      <c r="BO19" s="34">
        <f t="shared" si="37"/>
        <v>246.01725589225589</v>
      </c>
      <c r="BP19" s="26">
        <f t="shared" si="20"/>
        <v>0.34609733200639253</v>
      </c>
      <c r="BQ19" s="75">
        <f t="shared" si="21"/>
        <v>162.84371499999997</v>
      </c>
      <c r="BR19" s="25">
        <f t="shared" si="22"/>
        <v>0.67860032571859985</v>
      </c>
      <c r="BS19" s="25">
        <f t="shared" si="23"/>
        <v>0.62062906487404523</v>
      </c>
      <c r="BT19">
        <v>191</v>
      </c>
      <c r="BU19">
        <f t="shared" si="24"/>
        <v>223</v>
      </c>
      <c r="BV19">
        <v>243</v>
      </c>
      <c r="BW19" s="23">
        <v>0.10100000000000001</v>
      </c>
      <c r="BX19" s="23">
        <v>4.4999999999999998E-2</v>
      </c>
      <c r="BY19" s="34">
        <v>342370</v>
      </c>
      <c r="BZ19" s="75">
        <v>342370.32</v>
      </c>
      <c r="CA19">
        <v>103106</v>
      </c>
      <c r="CB19" s="34">
        <v>342370</v>
      </c>
      <c r="CC19" s="34">
        <v>342370</v>
      </c>
      <c r="CD19" s="34">
        <f t="shared" si="11"/>
        <v>82870.616582491595</v>
      </c>
      <c r="CE19" s="34">
        <f t="shared" si="12"/>
        <v>129113.60000000001</v>
      </c>
      <c r="CF19" s="34">
        <f t="shared" si="38"/>
        <v>259499.38341750839</v>
      </c>
      <c r="CG19" s="34">
        <f t="shared" si="26"/>
        <v>213256.4</v>
      </c>
      <c r="CH19" s="25">
        <f t="shared" si="27"/>
        <v>0.45272568093537247</v>
      </c>
      <c r="CI19" s="225">
        <f t="shared" si="13"/>
        <v>1.0997617648040978</v>
      </c>
      <c r="CJ19" s="225">
        <f t="shared" si="28"/>
        <v>0.81228214484606631</v>
      </c>
      <c r="CK19" s="34">
        <v>106520.94</v>
      </c>
      <c r="CL19">
        <f t="shared" si="41"/>
        <v>-103106</v>
      </c>
      <c r="CM19" s="34">
        <f t="shared" si="39"/>
        <v>235849.38</v>
      </c>
      <c r="CN19" s="23">
        <v>0.52600000000000002</v>
      </c>
      <c r="CO19" s="23">
        <f t="shared" si="40"/>
        <v>0.67955961719823299</v>
      </c>
      <c r="CP19" s="23">
        <f t="shared" si="30"/>
        <v>0.23740000000000003</v>
      </c>
      <c r="CQ19" s="26">
        <f t="shared" si="31"/>
        <v>0.38874867157798454</v>
      </c>
      <c r="CR19" s="25">
        <f t="shared" si="32"/>
        <v>0.8470649013527991</v>
      </c>
    </row>
    <row r="20" spans="1:96" x14ac:dyDescent="0.25">
      <c r="A20" s="9" t="s">
        <v>83</v>
      </c>
      <c r="B20" s="9" t="s">
        <v>84</v>
      </c>
      <c r="C20" s="1">
        <f t="shared" si="0"/>
        <v>126</v>
      </c>
      <c r="D20">
        <v>0</v>
      </c>
      <c r="E20">
        <v>0</v>
      </c>
      <c r="F20">
        <v>0</v>
      </c>
      <c r="G20">
        <v>115</v>
      </c>
      <c r="H20">
        <v>11</v>
      </c>
      <c r="I20">
        <v>0</v>
      </c>
      <c r="J20">
        <v>0</v>
      </c>
      <c r="K20">
        <v>0</v>
      </c>
      <c r="L20" s="104">
        <v>454.5</v>
      </c>
      <c r="M20" s="69">
        <v>591.5</v>
      </c>
      <c r="N20" s="94">
        <f t="shared" si="1"/>
        <v>3.6071428571428572</v>
      </c>
      <c r="O20" s="96">
        <v>4.6944444444444446</v>
      </c>
      <c r="P20" s="105">
        <f>O20/O45</f>
        <v>4.3421305150196363E-2</v>
      </c>
      <c r="Q20" s="106">
        <f t="shared" si="33"/>
        <v>2.0485972091585005E-2</v>
      </c>
      <c r="R20" s="75">
        <v>140274</v>
      </c>
      <c r="S20" s="34">
        <v>114111</v>
      </c>
      <c r="T20" s="34">
        <f t="shared" si="3"/>
        <v>1113.2857142857142</v>
      </c>
      <c r="U20" s="34">
        <f t="shared" si="4"/>
        <v>905.64285714285711</v>
      </c>
      <c r="V20" s="47">
        <f>U20/U45</f>
        <v>7.3562029350437942E-3</v>
      </c>
      <c r="W20" s="47">
        <f t="shared" si="34"/>
        <v>1.026443771560917E-2</v>
      </c>
      <c r="X20" s="47">
        <f t="shared" si="16"/>
        <v>2.8995264264135331E-2</v>
      </c>
      <c r="Y20" s="47">
        <f t="shared" si="17"/>
        <v>1.6397358341194671E-2</v>
      </c>
      <c r="Z20" s="217">
        <v>118</v>
      </c>
      <c r="AA20" s="25">
        <v>0.818354770356296</v>
      </c>
      <c r="AB20" s="25">
        <f t="shared" si="35"/>
        <v>0.86120141064857103</v>
      </c>
      <c r="AC20" s="26">
        <v>-0.14599999999999999</v>
      </c>
      <c r="AD20" s="71">
        <v>0.95</v>
      </c>
      <c r="AE20" s="296">
        <v>621945.62006330281</v>
      </c>
      <c r="AF20" s="283">
        <v>1.0742437387344856</v>
      </c>
      <c r="AG20" s="293">
        <v>0</v>
      </c>
      <c r="AH20" s="272" t="e">
        <f>AQ20*#REF!</f>
        <v>#DIV/0!</v>
      </c>
      <c r="AI20" s="65" t="e">
        <f>AL20*#REF!</f>
        <v>#DIV/0!</v>
      </c>
      <c r="AJ20" s="65" t="e">
        <f>C20*AM20</f>
        <v>#REF!</v>
      </c>
      <c r="AK20" s="68" t="e">
        <f>AI20-AE20</f>
        <v>#DIV/0!</v>
      </c>
      <c r="AL20" s="65" t="e">
        <f>C20*AR20</f>
        <v>#DIV/0!</v>
      </c>
      <c r="AM20" s="23" t="e">
        <f>AD20/#REF!</f>
        <v>#REF!</v>
      </c>
      <c r="AN20" s="65" t="e">
        <f t="shared" si="42"/>
        <v>#DIV/0!</v>
      </c>
      <c r="AO20" s="65" t="e">
        <f>AZ20*BC$13</f>
        <v>#DIV/0!</v>
      </c>
      <c r="AP20" s="68"/>
      <c r="AQ20" s="23" t="e">
        <f>Z20*AV20</f>
        <v>#DIV/0!</v>
      </c>
      <c r="AR20" s="23" t="e">
        <f>AB20/BC$2</f>
        <v>#DIV/0!</v>
      </c>
      <c r="AS20" s="66">
        <f>AVERAGE(AE20,AG20)</f>
        <v>310972.8100316514</v>
      </c>
      <c r="AT20" s="65">
        <f>AS20-(AW20*AS$45)</f>
        <v>310972.8100316514</v>
      </c>
      <c r="AU20" s="23"/>
      <c r="AV20" s="23" t="e">
        <f>AF20/BC$5</f>
        <v>#DIV/0!</v>
      </c>
      <c r="AW20" s="23"/>
      <c r="AX20" s="23" t="e">
        <f>BP20/BC$11</f>
        <v>#DIV/0!</v>
      </c>
      <c r="AY20" s="23"/>
      <c r="AZ20" s="23" t="e">
        <f>Z20*AX20</f>
        <v>#DIV/0!</v>
      </c>
      <c r="BA20" s="23"/>
      <c r="BD20">
        <v>909</v>
      </c>
      <c r="BE20">
        <v>1614</v>
      </c>
      <c r="BF20">
        <f t="shared" si="36"/>
        <v>-705</v>
      </c>
      <c r="BG20">
        <v>676</v>
      </c>
      <c r="BH20">
        <v>2142</v>
      </c>
      <c r="BI20" s="34">
        <v>2849</v>
      </c>
      <c r="BJ20" s="34">
        <v>1179</v>
      </c>
      <c r="BK20" s="34">
        <f t="shared" si="8"/>
        <v>1816.7280000000001</v>
      </c>
      <c r="BL20" s="34">
        <f t="shared" si="9"/>
        <v>1351.8846801346801</v>
      </c>
      <c r="BM20" s="34">
        <f t="shared" si="10"/>
        <v>887.21261800000002</v>
      </c>
      <c r="BN20" s="34">
        <f t="shared" si="18"/>
        <v>1497.1153198653199</v>
      </c>
      <c r="BO20" s="34">
        <f t="shared" si="37"/>
        <v>790.11531986531986</v>
      </c>
      <c r="BP20" s="25">
        <f t="shared" si="20"/>
        <v>2.2200851835152342</v>
      </c>
      <c r="BQ20" s="75">
        <f t="shared" si="21"/>
        <v>291.78738199999998</v>
      </c>
      <c r="BR20" s="25">
        <f t="shared" si="22"/>
        <v>1.2322039251531278</v>
      </c>
      <c r="BS20" s="25">
        <f t="shared" si="23"/>
        <v>1.9932281999171193</v>
      </c>
      <c r="BT20">
        <v>632</v>
      </c>
      <c r="BU20">
        <f t="shared" si="24"/>
        <v>233</v>
      </c>
      <c r="BV20">
        <v>982</v>
      </c>
      <c r="BW20" s="23">
        <v>0.128</v>
      </c>
      <c r="BX20" s="23">
        <v>1.859</v>
      </c>
      <c r="BY20" s="34">
        <v>140274</v>
      </c>
      <c r="BZ20" s="75">
        <v>140273.79</v>
      </c>
      <c r="CA20">
        <v>384372</v>
      </c>
      <c r="CB20" s="34">
        <v>56657</v>
      </c>
      <c r="CC20" s="34">
        <v>170768</v>
      </c>
      <c r="CD20" s="34">
        <f t="shared" si="11"/>
        <v>279392.36447811453</v>
      </c>
      <c r="CE20" s="34">
        <f t="shared" si="12"/>
        <v>435297.28000000003</v>
      </c>
      <c r="CF20" s="34">
        <f t="shared" si="38"/>
        <v>-222735.36447811453</v>
      </c>
      <c r="CG20" s="34">
        <f t="shared" si="26"/>
        <v>-264529.28000000003</v>
      </c>
      <c r="CH20" s="23">
        <f t="shared" si="27"/>
        <v>-0.64451842843663754</v>
      </c>
      <c r="CI20" s="36">
        <f t="shared" si="13"/>
        <v>-0.94395537398493901</v>
      </c>
      <c r="CJ20" s="225">
        <f t="shared" si="28"/>
        <v>0.818354770356296</v>
      </c>
      <c r="CK20" s="34">
        <v>356402.06</v>
      </c>
      <c r="CL20">
        <f t="shared" si="41"/>
        <v>-42002</v>
      </c>
      <c r="CM20" s="34">
        <f t="shared" si="39"/>
        <v>-216128.27</v>
      </c>
      <c r="CN20" s="23">
        <v>-0.55700000000000005</v>
      </c>
      <c r="CO20" s="23">
        <f t="shared" si="40"/>
        <v>-0.63549647337857229</v>
      </c>
      <c r="CP20" s="23">
        <f t="shared" si="30"/>
        <v>0.89259999999999995</v>
      </c>
      <c r="CQ20" s="25">
        <f t="shared" si="31"/>
        <v>1.0742437387344856</v>
      </c>
      <c r="CR20" s="26">
        <f t="shared" si="32"/>
        <v>0.36174020549790109</v>
      </c>
    </row>
    <row r="21" spans="1:96" x14ac:dyDescent="0.25">
      <c r="A21" s="7" t="s">
        <v>83</v>
      </c>
      <c r="B21" s="7" t="s">
        <v>85</v>
      </c>
      <c r="C21" s="1">
        <f t="shared" si="0"/>
        <v>68</v>
      </c>
      <c r="D21">
        <v>0</v>
      </c>
      <c r="E21">
        <v>0</v>
      </c>
      <c r="F21">
        <v>0</v>
      </c>
      <c r="G21">
        <v>68</v>
      </c>
      <c r="H21">
        <v>0</v>
      </c>
      <c r="I21">
        <v>0</v>
      </c>
      <c r="J21">
        <v>0</v>
      </c>
      <c r="K21">
        <v>0</v>
      </c>
      <c r="L21" s="104">
        <v>563.5</v>
      </c>
      <c r="M21" s="69">
        <v>514.5</v>
      </c>
      <c r="N21" s="94">
        <f t="shared" si="1"/>
        <v>8.2867647058823533</v>
      </c>
      <c r="O21" s="96">
        <v>7.5661764705882355</v>
      </c>
      <c r="P21" s="105">
        <f>O21/O45</f>
        <v>6.9983415766788806E-2</v>
      </c>
      <c r="Q21" s="106">
        <f t="shared" si="33"/>
        <v>4.7062852018204454E-2</v>
      </c>
      <c r="R21" s="75">
        <v>115346</v>
      </c>
      <c r="S21" s="34">
        <v>115346</v>
      </c>
      <c r="T21" s="34">
        <f t="shared" si="3"/>
        <v>1696.2647058823529</v>
      </c>
      <c r="U21" s="34">
        <f t="shared" si="4"/>
        <v>1696.2647058823529</v>
      </c>
      <c r="V21" s="47">
        <f>U21/U45</f>
        <v>1.377813263761507E-2</v>
      </c>
      <c r="W21" s="47">
        <f t="shared" si="34"/>
        <v>1.5639474394842635E-2</v>
      </c>
      <c r="X21" s="47">
        <f t="shared" si="16"/>
        <v>4.7501302515119311E-2</v>
      </c>
      <c r="Y21" s="47">
        <f t="shared" si="17"/>
        <v>3.4493500968859725E-2</v>
      </c>
      <c r="Z21" s="217">
        <v>65</v>
      </c>
      <c r="AA21" s="25">
        <v>0.63362175549836441</v>
      </c>
      <c r="AB21" s="25">
        <f t="shared" si="35"/>
        <v>0.74756136215586033</v>
      </c>
      <c r="AC21" s="26">
        <v>0.83399999999999996</v>
      </c>
      <c r="AD21" s="71">
        <v>1.2689999999999999</v>
      </c>
      <c r="AE21" s="296">
        <v>292075.89625246736</v>
      </c>
      <c r="AF21" s="283">
        <v>0.91458832678167457</v>
      </c>
      <c r="AG21" s="295">
        <f>AU21*BC$16</f>
        <v>252625.73067872715</v>
      </c>
      <c r="AH21" s="272" t="e">
        <f>AQ21*#REF!</f>
        <v>#DIV/0!</v>
      </c>
      <c r="AI21" s="65" t="e">
        <f>AL21*#REF!</f>
        <v>#DIV/0!</v>
      </c>
      <c r="AJ21" s="65" t="e">
        <f>C21*AM21</f>
        <v>#REF!</v>
      </c>
      <c r="AK21" s="68" t="e">
        <f>AI21-AE21</f>
        <v>#DIV/0!</v>
      </c>
      <c r="AL21" s="65" t="e">
        <f>C21*AR21</f>
        <v>#DIV/0!</v>
      </c>
      <c r="AM21" s="23" t="e">
        <f>AD21/#REF!</f>
        <v>#REF!</v>
      </c>
      <c r="AN21" s="65" t="e">
        <f t="shared" si="42"/>
        <v>#DIV/0!</v>
      </c>
      <c r="AO21" s="65" t="e">
        <f>AZ21*BC$13</f>
        <v>#DIV/0!</v>
      </c>
      <c r="AP21" s="68"/>
      <c r="AQ21" s="23" t="e">
        <f>Z21*AV21</f>
        <v>#DIV/0!</v>
      </c>
      <c r="AR21" s="23" t="e">
        <f>AB21/BC$2</f>
        <v>#DIV/0!</v>
      </c>
      <c r="AS21" s="66">
        <f>AVERAGE(AE21,AG21)</f>
        <v>272350.81346559722</v>
      </c>
      <c r="AT21" s="65">
        <f>AS21-(AW21*AS$45)</f>
        <v>271222.09500744491</v>
      </c>
      <c r="AU21" s="23">
        <f>Z21*AW21</f>
        <v>3.8180055089138571</v>
      </c>
      <c r="AV21" s="23" t="e">
        <f>AF21/BC$5</f>
        <v>#DIV/0!</v>
      </c>
      <c r="AW21" s="23">
        <f>CR21/BC$8</f>
        <v>5.8738546290982414E-2</v>
      </c>
      <c r="AX21" s="23" t="e">
        <f>BP21/BC$11</f>
        <v>#DIV/0!</v>
      </c>
      <c r="AY21" s="23"/>
      <c r="AZ21" s="23" t="e">
        <f>Z21*AX21</f>
        <v>#DIV/0!</v>
      </c>
      <c r="BA21" s="23"/>
      <c r="BD21">
        <v>1127</v>
      </c>
      <c r="BE21">
        <v>1135</v>
      </c>
      <c r="BF21">
        <f t="shared" si="36"/>
        <v>-8</v>
      </c>
      <c r="BG21">
        <v>365</v>
      </c>
      <c r="BH21">
        <v>1321</v>
      </c>
      <c r="BI21" s="34">
        <v>1957</v>
      </c>
      <c r="BJ21" s="34">
        <v>808</v>
      </c>
      <c r="BK21" s="34">
        <f t="shared" si="8"/>
        <v>1000.74</v>
      </c>
      <c r="BL21" s="34">
        <f t="shared" si="9"/>
        <v>744.68223905723914</v>
      </c>
      <c r="BM21" s="34">
        <f t="shared" si="10"/>
        <v>488.71881500000001</v>
      </c>
      <c r="BN21" s="34">
        <f t="shared" si="18"/>
        <v>1212.3177609427607</v>
      </c>
      <c r="BO21" s="34">
        <f t="shared" si="37"/>
        <v>576.31776094276086</v>
      </c>
      <c r="BP21" s="25">
        <f t="shared" si="20"/>
        <v>1.7194678542132142</v>
      </c>
      <c r="BQ21" s="75">
        <f t="shared" si="21"/>
        <v>319.28118499999999</v>
      </c>
      <c r="BR21" s="25">
        <f t="shared" si="22"/>
        <v>1.3502451493331709</v>
      </c>
      <c r="BS21" s="25">
        <f t="shared" si="23"/>
        <v>1.4538799392220527</v>
      </c>
      <c r="BT21">
        <v>341</v>
      </c>
      <c r="BU21">
        <f t="shared" si="24"/>
        <v>762</v>
      </c>
      <c r="BV21">
        <v>794</v>
      </c>
      <c r="BW21" s="25">
        <v>1.5149999999999999</v>
      </c>
      <c r="BX21" s="23">
        <v>1.3979999999999999</v>
      </c>
      <c r="BY21" s="34">
        <v>115346</v>
      </c>
      <c r="BZ21" s="75">
        <v>115346</v>
      </c>
      <c r="CA21">
        <v>195304</v>
      </c>
      <c r="CB21" s="34">
        <v>13090</v>
      </c>
      <c r="CC21" s="34">
        <v>128436</v>
      </c>
      <c r="CD21" s="34">
        <f t="shared" si="11"/>
        <v>153902.57365319866</v>
      </c>
      <c r="CE21" s="34">
        <f t="shared" si="12"/>
        <v>239782.39999999999</v>
      </c>
      <c r="CF21" s="34">
        <f t="shared" si="38"/>
        <v>-140812.57365319866</v>
      </c>
      <c r="CG21" s="34">
        <f t="shared" si="26"/>
        <v>-111346.4</v>
      </c>
      <c r="CH21" s="23">
        <f t="shared" si="27"/>
        <v>-0.292730964365635</v>
      </c>
      <c r="CI21" s="36">
        <f t="shared" si="13"/>
        <v>-0.59676552008716788</v>
      </c>
      <c r="CJ21" s="225">
        <f t="shared" si="28"/>
        <v>0.63362175549836441</v>
      </c>
      <c r="CK21" s="34">
        <v>191453.14</v>
      </c>
      <c r="CL21">
        <f t="shared" si="41"/>
        <v>-55030</v>
      </c>
      <c r="CM21" s="34">
        <f t="shared" si="39"/>
        <v>-76107.140000000014</v>
      </c>
      <c r="CN21" s="23">
        <v>-0.189</v>
      </c>
      <c r="CO21" s="23">
        <f t="shared" si="40"/>
        <v>-0.22809659461034876</v>
      </c>
      <c r="CP21" s="23">
        <f t="shared" si="30"/>
        <v>0.76319999999999988</v>
      </c>
      <c r="CQ21" s="25">
        <f t="shared" si="31"/>
        <v>0.91458832678167457</v>
      </c>
      <c r="CR21" s="25">
        <f t="shared" si="32"/>
        <v>0.57144088156503525</v>
      </c>
    </row>
    <row r="22" spans="1:96" x14ac:dyDescent="0.25">
      <c r="A22" s="7" t="s">
        <v>83</v>
      </c>
      <c r="B22" s="7" t="s">
        <v>86</v>
      </c>
      <c r="C22" s="1">
        <f t="shared" si="0"/>
        <v>116</v>
      </c>
      <c r="D22">
        <v>0</v>
      </c>
      <c r="E22">
        <v>10</v>
      </c>
      <c r="F22">
        <v>58</v>
      </c>
      <c r="G22">
        <v>0</v>
      </c>
      <c r="H22">
        <v>0</v>
      </c>
      <c r="I22">
        <v>17</v>
      </c>
      <c r="J22">
        <v>24</v>
      </c>
      <c r="K22">
        <v>7</v>
      </c>
      <c r="L22" s="104">
        <v>785</v>
      </c>
      <c r="M22" s="69">
        <v>565</v>
      </c>
      <c r="N22" s="94">
        <f t="shared" si="1"/>
        <v>6.7672413793103452</v>
      </c>
      <c r="O22" s="96">
        <v>4.8706896551724137</v>
      </c>
      <c r="P22" s="105">
        <f>O22/O45</f>
        <v>4.5051486775912766E-2</v>
      </c>
      <c r="Q22" s="106">
        <f t="shared" si="33"/>
        <v>3.8433054504356301E-2</v>
      </c>
      <c r="R22" s="75">
        <v>498786</v>
      </c>
      <c r="S22" s="34">
        <v>238025</v>
      </c>
      <c r="T22" s="34">
        <f t="shared" si="3"/>
        <v>4299.8793103448279</v>
      </c>
      <c r="U22" s="34">
        <f t="shared" si="4"/>
        <v>2051.9396551724139</v>
      </c>
      <c r="V22" s="47">
        <f>U22/U45</f>
        <v>1.666714908074524E-2</v>
      </c>
      <c r="W22" s="47">
        <f t="shared" si="34"/>
        <v>3.9644668748838319E-2</v>
      </c>
      <c r="X22" s="47">
        <f t="shared" si="16"/>
        <v>3.3697751697845751E-2</v>
      </c>
      <c r="Y22" s="47">
        <f t="shared" si="17"/>
        <v>3.8917700202149103E-2</v>
      </c>
      <c r="Z22" s="217">
        <v>103</v>
      </c>
      <c r="AA22" s="25">
        <v>1.3185469858521652</v>
      </c>
      <c r="AB22" s="25">
        <f t="shared" si="35"/>
        <v>1.3572039053549942</v>
      </c>
      <c r="AC22" s="26">
        <v>1.329</v>
      </c>
      <c r="AD22" s="71">
        <v>1.0820000000000001</v>
      </c>
      <c r="AE22" s="296">
        <v>907392.75091055152</v>
      </c>
      <c r="AF22" s="283">
        <v>1.4462939268621613</v>
      </c>
      <c r="AG22" s="295">
        <f>AU22*BC$16</f>
        <v>823338.17711551662</v>
      </c>
      <c r="AH22" s="272" t="e">
        <f>AQ22*#REF!</f>
        <v>#DIV/0!</v>
      </c>
      <c r="AI22" s="65" t="e">
        <f>AL22*#REF!</f>
        <v>#DIV/0!</v>
      </c>
      <c r="AJ22" s="65" t="e">
        <f>C22*AM22</f>
        <v>#REF!</v>
      </c>
      <c r="AK22" s="68" t="e">
        <f>AI22-AE22</f>
        <v>#DIV/0!</v>
      </c>
      <c r="AL22" s="65" t="e">
        <f>C22*AR22</f>
        <v>#DIV/0!</v>
      </c>
      <c r="AM22" s="23" t="e">
        <f>AD22/#REF!</f>
        <v>#REF!</v>
      </c>
      <c r="AN22" s="65" t="e">
        <f t="shared" si="42"/>
        <v>#DIV/0!</v>
      </c>
      <c r="AO22" s="65" t="e">
        <f>AZ22*BC$13</f>
        <v>#DIV/0!</v>
      </c>
      <c r="AP22" s="65" t="e">
        <f>BA22*BC$14</f>
        <v>#DIV/0!</v>
      </c>
      <c r="AQ22" s="23" t="e">
        <f>Z22*AV22</f>
        <v>#DIV/0!</v>
      </c>
      <c r="AR22" s="23" t="e">
        <f>AB22/BC$2</f>
        <v>#DIV/0!</v>
      </c>
      <c r="AS22" s="66">
        <f>AVERAGE(AE22,AG22)</f>
        <v>865365.46401303401</v>
      </c>
      <c r="AT22" s="65">
        <f>AS22-(AW22*AS$45)</f>
        <v>863043.99746443878</v>
      </c>
      <c r="AU22" s="23">
        <f>Z22*AW22</f>
        <v>12.443347269023221</v>
      </c>
      <c r="AV22" s="23" t="e">
        <f>AF22/BC$5</f>
        <v>#DIV/0!</v>
      </c>
      <c r="AW22" s="23">
        <f>CR22/BC$8</f>
        <v>0.12080919678663321</v>
      </c>
      <c r="AX22" s="23" t="e">
        <f>BP22/BC$11</f>
        <v>#DIV/0!</v>
      </c>
      <c r="AY22" s="23" t="e">
        <f>CH22/BC$12</f>
        <v>#DIV/0!</v>
      </c>
      <c r="AZ22" s="23" t="e">
        <f>Z22*AX22</f>
        <v>#DIV/0!</v>
      </c>
      <c r="BA22" s="23" t="e">
        <f>Z22*AY22</f>
        <v>#DIV/0!</v>
      </c>
      <c r="BD22">
        <v>1570</v>
      </c>
      <c r="BE22">
        <v>1595</v>
      </c>
      <c r="BF22">
        <f t="shared" si="36"/>
        <v>-25</v>
      </c>
      <c r="BG22">
        <v>623</v>
      </c>
      <c r="BH22">
        <v>1630</v>
      </c>
      <c r="BI22" s="34">
        <v>2440</v>
      </c>
      <c r="BJ22" s="34">
        <v>988</v>
      </c>
      <c r="BK22" s="34">
        <f t="shared" si="8"/>
        <v>1585.788</v>
      </c>
      <c r="BL22" s="34">
        <f t="shared" si="9"/>
        <v>1180.0349326599328</v>
      </c>
      <c r="BM22" s="34">
        <f t="shared" si="10"/>
        <v>774.43135299999994</v>
      </c>
      <c r="BN22" s="34">
        <f t="shared" si="18"/>
        <v>1259.9650673400672</v>
      </c>
      <c r="BO22" s="34">
        <f t="shared" si="37"/>
        <v>449.96506734006721</v>
      </c>
      <c r="BP22" s="25">
        <f t="shared" si="20"/>
        <v>1.8032223195509618</v>
      </c>
      <c r="BQ22" s="75">
        <f t="shared" si="21"/>
        <v>213.56864700000006</v>
      </c>
      <c r="BR22" s="25">
        <f t="shared" si="22"/>
        <v>0.8963815133458426</v>
      </c>
      <c r="BS22" s="25">
        <f t="shared" si="23"/>
        <v>1.1351293142280887</v>
      </c>
      <c r="BT22">
        <v>582</v>
      </c>
      <c r="BU22">
        <f t="shared" si="24"/>
        <v>947</v>
      </c>
      <c r="BV22">
        <v>1013</v>
      </c>
      <c r="BW22" s="25">
        <v>2.0009999999999999</v>
      </c>
      <c r="BX22" s="23">
        <v>1.9350000000000001</v>
      </c>
      <c r="BY22" s="34">
        <v>498786</v>
      </c>
      <c r="BZ22" s="75">
        <v>498786</v>
      </c>
      <c r="CA22">
        <v>351018</v>
      </c>
      <c r="CB22" s="34">
        <v>619919</v>
      </c>
      <c r="CC22" s="34">
        <v>792728</v>
      </c>
      <c r="CD22" s="34">
        <f t="shared" si="11"/>
        <v>243876.38594276097</v>
      </c>
      <c r="CE22" s="34">
        <f t="shared" si="12"/>
        <v>379962.88</v>
      </c>
      <c r="CF22" s="34">
        <f t="shared" si="38"/>
        <v>376042.61405723903</v>
      </c>
      <c r="CG22" s="34">
        <f t="shared" si="26"/>
        <v>412765.12</v>
      </c>
      <c r="CH22" s="25">
        <f t="shared" si="27"/>
        <v>0.91090133782896054</v>
      </c>
      <c r="CI22" s="225">
        <f t="shared" si="13"/>
        <v>1.5936734932882803</v>
      </c>
      <c r="CJ22" s="225">
        <f t="shared" si="28"/>
        <v>1.3185469858521652</v>
      </c>
      <c r="CK22" s="34">
        <v>327912.03000000003</v>
      </c>
      <c r="CL22">
        <f t="shared" si="41"/>
        <v>-235672</v>
      </c>
      <c r="CM22" s="34">
        <f t="shared" si="39"/>
        <v>170873.96999999997</v>
      </c>
      <c r="CN22" s="23">
        <v>0.32100000000000001</v>
      </c>
      <c r="CO22" s="23">
        <f t="shared" si="40"/>
        <v>0.49050976338748564</v>
      </c>
      <c r="CP22" s="23">
        <f t="shared" si="30"/>
        <v>1.2894000000000001</v>
      </c>
      <c r="CQ22" s="25">
        <f t="shared" si="31"/>
        <v>1.4462939268621613</v>
      </c>
      <c r="CR22" s="25">
        <f t="shared" si="32"/>
        <v>1.1752983053228176</v>
      </c>
    </row>
    <row r="23" spans="1:96" x14ac:dyDescent="0.25">
      <c r="A23" s="7" t="s">
        <v>83</v>
      </c>
      <c r="B23" s="7" t="s">
        <v>87</v>
      </c>
      <c r="C23" s="1">
        <f t="shared" si="0"/>
        <v>78</v>
      </c>
      <c r="D23">
        <v>72</v>
      </c>
      <c r="E23"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104">
        <v>354.5</v>
      </c>
      <c r="M23" s="69">
        <v>307.5</v>
      </c>
      <c r="N23" s="94">
        <f t="shared" si="1"/>
        <v>4.5448717948717947</v>
      </c>
      <c r="O23" s="96">
        <v>3.9423076923076925</v>
      </c>
      <c r="P23" s="105">
        <f>O23/O45</f>
        <v>3.6464409650483517E-2</v>
      </c>
      <c r="Q23" s="106">
        <f t="shared" si="33"/>
        <v>2.5811596722654574E-2</v>
      </c>
      <c r="R23" s="75">
        <v>44627</v>
      </c>
      <c r="S23" s="34">
        <v>58996</v>
      </c>
      <c r="T23" s="34">
        <f t="shared" si="3"/>
        <v>572.14102564102564</v>
      </c>
      <c r="U23" s="34">
        <f t="shared" si="4"/>
        <v>756.35897435897436</v>
      </c>
      <c r="V23" s="47">
        <f>U23/U45</f>
        <v>6.1436250098404303E-3</v>
      </c>
      <c r="W23" s="47">
        <f t="shared" si="34"/>
        <v>5.2751111838392657E-3</v>
      </c>
      <c r="X23" s="47">
        <f t="shared" si="16"/>
        <v>2.4336095794226284E-2</v>
      </c>
      <c r="Y23" s="47">
        <f t="shared" si="17"/>
        <v>1.7597002507128451E-2</v>
      </c>
      <c r="Z23" s="217">
        <v>61</v>
      </c>
      <c r="AA23" s="25">
        <v>0.63767644853839611</v>
      </c>
      <c r="AB23" s="26">
        <f t="shared" si="35"/>
        <v>-4.4775519533062191E-2</v>
      </c>
      <c r="AC23" s="26">
        <v>-1E-3</v>
      </c>
      <c r="AD23">
        <v>0.22500000000000001</v>
      </c>
      <c r="AE23" s="294">
        <v>0</v>
      </c>
      <c r="AF23" s="284">
        <v>0.49011518659292069</v>
      </c>
      <c r="AG23" s="295">
        <f>AU23*BC$16</f>
        <v>312158.10664127383</v>
      </c>
      <c r="AH23" s="272" t="e">
        <f>AQ23*#REF!</f>
        <v>#DIV/0!</v>
      </c>
      <c r="AI23" s="37"/>
      <c r="AJ23" s="37"/>
      <c r="AK23" s="67"/>
      <c r="AL23" s="37"/>
      <c r="AM23" s="23"/>
      <c r="AN23" s="65" t="e">
        <f t="shared" si="42"/>
        <v>#DIV/0!</v>
      </c>
      <c r="AO23" s="65" t="e">
        <f>AZ23*BC$13</f>
        <v>#DIV/0!</v>
      </c>
      <c r="AP23" s="68"/>
      <c r="AQ23" s="23" t="e">
        <f>Z23*AV23</f>
        <v>#DIV/0!</v>
      </c>
      <c r="AR23" s="23"/>
      <c r="AS23" s="66">
        <f>AVERAGE(AE23,AG23)</f>
        <v>156079.05332063691</v>
      </c>
      <c r="AT23" s="65">
        <f>AS23-(AW23*AS$45)</f>
        <v>154592.8912127057</v>
      </c>
      <c r="AU23" s="23">
        <f>Z23*AW23</f>
        <v>4.7177354721803182</v>
      </c>
      <c r="AV23" s="23" t="e">
        <f>AF23/BC$5</f>
        <v>#DIV/0!</v>
      </c>
      <c r="AW23" s="23">
        <f>CR23/BC$8</f>
        <v>7.7339925773447837E-2</v>
      </c>
      <c r="AX23" s="23" t="e">
        <f>BP23/BC$11</f>
        <v>#DIV/0!</v>
      </c>
      <c r="AY23" s="23"/>
      <c r="AZ23" s="23" t="e">
        <f>Z23*AX23</f>
        <v>#DIV/0!</v>
      </c>
      <c r="BA23" s="23"/>
      <c r="BD23">
        <v>709</v>
      </c>
      <c r="BE23">
        <v>719</v>
      </c>
      <c r="BF23">
        <f t="shared" si="36"/>
        <v>-10</v>
      </c>
      <c r="BG23">
        <v>419</v>
      </c>
      <c r="BH23">
        <v>1138</v>
      </c>
      <c r="BI23" s="34">
        <v>1463</v>
      </c>
      <c r="BJ23" s="34">
        <v>766</v>
      </c>
      <c r="BK23" s="34">
        <f t="shared" si="8"/>
        <v>939.15600000000006</v>
      </c>
      <c r="BL23" s="34">
        <f t="shared" si="9"/>
        <v>698.85563973063972</v>
      </c>
      <c r="BM23" s="34">
        <f t="shared" si="10"/>
        <v>458.64381099999997</v>
      </c>
      <c r="BN23" s="34">
        <f t="shared" si="18"/>
        <v>764.14436026936028</v>
      </c>
      <c r="BO23" s="34">
        <f t="shared" si="37"/>
        <v>439.14436026936028</v>
      </c>
      <c r="BP23" s="25">
        <f t="shared" si="20"/>
        <v>0.93166836689271459</v>
      </c>
      <c r="BQ23" s="75">
        <f t="shared" si="21"/>
        <v>307.35618900000003</v>
      </c>
      <c r="BR23" s="25">
        <f t="shared" si="22"/>
        <v>1.2990466619437722</v>
      </c>
      <c r="BS23" s="25">
        <f t="shared" si="23"/>
        <v>1.1078318578516551</v>
      </c>
      <c r="BT23">
        <v>391</v>
      </c>
      <c r="BU23">
        <f t="shared" si="24"/>
        <v>290</v>
      </c>
      <c r="BV23">
        <v>328</v>
      </c>
      <c r="BW23" s="23">
        <v>0.27700000000000002</v>
      </c>
      <c r="BX23" s="23">
        <v>0.254</v>
      </c>
      <c r="BY23" s="34">
        <v>44627</v>
      </c>
      <c r="BZ23" s="75">
        <v>52702.94</v>
      </c>
      <c r="CA23">
        <v>227049</v>
      </c>
      <c r="CB23" s="34">
        <v>128491</v>
      </c>
      <c r="CC23" s="34">
        <v>166158</v>
      </c>
      <c r="CD23" s="34">
        <f t="shared" si="11"/>
        <v>144431.64604377106</v>
      </c>
      <c r="CE23" s="34">
        <f t="shared" si="12"/>
        <v>225026.56</v>
      </c>
      <c r="CF23" s="34">
        <f t="shared" si="38"/>
        <v>-15940.646043771063</v>
      </c>
      <c r="CG23" s="34">
        <f t="shared" si="26"/>
        <v>-58868.56</v>
      </c>
      <c r="CH23" s="23">
        <f t="shared" si="27"/>
        <v>-0.17221458385676994</v>
      </c>
      <c r="CI23" s="36">
        <f t="shared" si="13"/>
        <v>-6.7556665431492122E-2</v>
      </c>
      <c r="CJ23" s="225">
        <f t="shared" si="28"/>
        <v>0.63767644853839611</v>
      </c>
      <c r="CK23" s="34">
        <v>219834.91</v>
      </c>
      <c r="CL23">
        <f t="shared" si="41"/>
        <v>271737</v>
      </c>
      <c r="CM23" s="34">
        <f t="shared" si="39"/>
        <v>-167131.97</v>
      </c>
      <c r="CN23" s="23">
        <v>-0.41899999999999998</v>
      </c>
      <c r="CO23" s="23">
        <f t="shared" si="40"/>
        <v>-0.49293879883265546</v>
      </c>
      <c r="CP23" s="23">
        <f t="shared" si="30"/>
        <v>-1.5199999999999991E-2</v>
      </c>
      <c r="CQ23" s="25">
        <f t="shared" si="31"/>
        <v>0.49011518659292069</v>
      </c>
      <c r="CR23" s="25">
        <f t="shared" si="32"/>
        <v>0.75240533099366647</v>
      </c>
    </row>
    <row r="24" spans="1:96" x14ac:dyDescent="0.25">
      <c r="A24" s="7" t="s">
        <v>83</v>
      </c>
      <c r="B24" s="7" t="s">
        <v>88</v>
      </c>
      <c r="C24" s="1">
        <f t="shared" si="0"/>
        <v>59</v>
      </c>
      <c r="D24">
        <v>33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26</v>
      </c>
      <c r="L24" s="104">
        <v>223.5</v>
      </c>
      <c r="M24" s="69">
        <v>120</v>
      </c>
      <c r="N24" s="94">
        <f t="shared" si="1"/>
        <v>3.7881355932203391</v>
      </c>
      <c r="O24" s="96">
        <v>2.0338983050847457</v>
      </c>
      <c r="P24" s="105">
        <f>O24/O45</f>
        <v>1.881256024960869E-2</v>
      </c>
      <c r="Q24" s="106">
        <f t="shared" si="33"/>
        <v>2.1513880407642048E-2</v>
      </c>
      <c r="R24" s="75">
        <v>269200</v>
      </c>
      <c r="S24" s="34">
        <v>630858</v>
      </c>
      <c r="T24" s="34">
        <f t="shared" si="3"/>
        <v>4562.7118644067796</v>
      </c>
      <c r="U24" s="34">
        <f t="shared" si="4"/>
        <v>10692.508474576271</v>
      </c>
      <c r="V24" s="47">
        <f>U24/U45</f>
        <v>8.6851303031092397E-2</v>
      </c>
      <c r="W24" s="47">
        <f t="shared" si="34"/>
        <v>4.2067971541809406E-2</v>
      </c>
      <c r="X24" s="47">
        <f t="shared" si="16"/>
        <v>4.6028057362202175E-2</v>
      </c>
      <c r="Y24" s="47">
        <f t="shared" si="17"/>
        <v>2.9735516861308993E-2</v>
      </c>
      <c r="Z24" s="217">
        <v>49</v>
      </c>
      <c r="AA24" s="26">
        <v>-0.18513567780259307</v>
      </c>
      <c r="AB24" s="26">
        <f t="shared" si="35"/>
        <v>2.5117392336621122E-2</v>
      </c>
      <c r="AC24" s="26">
        <v>2E-3</v>
      </c>
      <c r="AD24">
        <v>0.26</v>
      </c>
      <c r="AE24" s="293"/>
      <c r="AF24" s="281">
        <v>3.8483920043474958E-2</v>
      </c>
      <c r="AG24" s="293"/>
      <c r="AH24" s="209"/>
      <c r="AI24" s="68"/>
      <c r="AJ24" s="68"/>
      <c r="AK24" s="68"/>
      <c r="AL24" s="68"/>
      <c r="AM24" s="23"/>
      <c r="AN24" s="65" t="e">
        <f t="shared" si="42"/>
        <v>#DIV/0!</v>
      </c>
      <c r="AO24" s="60"/>
      <c r="AP24" s="65" t="e">
        <f>BA24*BC$14</f>
        <v>#DIV/0!</v>
      </c>
      <c r="AQ24" s="23"/>
      <c r="AR24" s="23"/>
      <c r="AS24" s="37"/>
      <c r="AT24" s="60"/>
      <c r="AU24" s="23"/>
      <c r="AV24" s="23"/>
      <c r="AW24" s="23"/>
      <c r="AX24" s="23"/>
      <c r="AY24" s="23" t="e">
        <f>CH24/BC$12</f>
        <v>#DIV/0!</v>
      </c>
      <c r="AZ24" s="23"/>
      <c r="BA24" s="23" t="e">
        <f>Z24*AY24</f>
        <v>#DIV/0!</v>
      </c>
      <c r="BD24">
        <v>447</v>
      </c>
      <c r="BE24">
        <v>458</v>
      </c>
      <c r="BF24">
        <f t="shared" si="36"/>
        <v>-11</v>
      </c>
      <c r="BG24">
        <v>317</v>
      </c>
      <c r="BH24">
        <v>569</v>
      </c>
      <c r="BI24" s="34">
        <v>769</v>
      </c>
      <c r="BJ24" s="34">
        <v>285</v>
      </c>
      <c r="BK24" s="34">
        <f t="shared" si="8"/>
        <v>754.404</v>
      </c>
      <c r="BL24" s="34">
        <f t="shared" si="9"/>
        <v>561.3758417508418</v>
      </c>
      <c r="BM24" s="34">
        <f t="shared" si="10"/>
        <v>368.41879899999998</v>
      </c>
      <c r="BN24" s="34">
        <f t="shared" si="18"/>
        <v>207.6241582491582</v>
      </c>
      <c r="BO24" s="34">
        <f t="shared" si="37"/>
        <v>7.6241582491581994</v>
      </c>
      <c r="BP24" s="23">
        <f t="shared" si="20"/>
        <v>-4.6583196400111368E-2</v>
      </c>
      <c r="BQ24" s="75">
        <f t="shared" si="21"/>
        <v>-83.418798999999979</v>
      </c>
      <c r="BR24" s="26">
        <f t="shared" si="22"/>
        <v>-0.3786971540885764</v>
      </c>
      <c r="BS24" s="23">
        <f t="shared" si="23"/>
        <v>1.9233505338743812E-2</v>
      </c>
      <c r="BT24">
        <v>296</v>
      </c>
      <c r="BU24">
        <f t="shared" si="24"/>
        <v>130</v>
      </c>
      <c r="BV24">
        <v>162</v>
      </c>
      <c r="BW24" s="23">
        <v>-0.14299999999999999</v>
      </c>
      <c r="BX24" s="23">
        <v>-0.154</v>
      </c>
      <c r="BY24" s="34">
        <v>269200</v>
      </c>
      <c r="BZ24" s="75">
        <v>269200</v>
      </c>
      <c r="CA24">
        <v>167120</v>
      </c>
      <c r="CB24" s="34">
        <v>0</v>
      </c>
      <c r="CC24" s="34">
        <v>269200</v>
      </c>
      <c r="CD24" s="34">
        <f t="shared" si="11"/>
        <v>116018.86321548822</v>
      </c>
      <c r="CE24" s="34">
        <f t="shared" si="12"/>
        <v>180759.04000000001</v>
      </c>
      <c r="CF24" s="34">
        <f t="shared" si="38"/>
        <v>-116018.86321548822</v>
      </c>
      <c r="CG24" s="34">
        <f t="shared" si="26"/>
        <v>88440.959999999992</v>
      </c>
      <c r="CH24" s="25">
        <f t="shared" si="27"/>
        <v>0.16608459470885442</v>
      </c>
      <c r="CI24" s="36">
        <f t="shared" si="13"/>
        <v>-0.49168945251459834</v>
      </c>
      <c r="CJ24" s="240">
        <f t="shared" si="28"/>
        <v>-0.18513567780259307</v>
      </c>
      <c r="CK24" s="34">
        <v>165936.35</v>
      </c>
      <c r="CL24">
        <f t="shared" si="41"/>
        <v>-122493</v>
      </c>
      <c r="CM24" s="34">
        <f t="shared" si="39"/>
        <v>103263.65</v>
      </c>
      <c r="CN24" s="23">
        <v>0.219</v>
      </c>
      <c r="CO24" s="23">
        <f t="shared" si="40"/>
        <v>0.29379348084155277</v>
      </c>
      <c r="CP24" s="23">
        <f t="shared" si="30"/>
        <v>-4.7999999999999848E-3</v>
      </c>
      <c r="CQ24" s="23">
        <f t="shared" si="31"/>
        <v>3.8483920043474958E-2</v>
      </c>
      <c r="CR24" s="23">
        <f t="shared" si="32"/>
        <v>-0.42389407345898522</v>
      </c>
    </row>
    <row r="25" spans="1:96" x14ac:dyDescent="0.25">
      <c r="A25" s="9" t="s">
        <v>83</v>
      </c>
      <c r="B25" s="9" t="s">
        <v>90</v>
      </c>
      <c r="C25" s="1">
        <f t="shared" si="0"/>
        <v>48</v>
      </c>
      <c r="D25">
        <v>0</v>
      </c>
      <c r="E25">
        <v>8</v>
      </c>
      <c r="F25">
        <v>21</v>
      </c>
      <c r="G25">
        <v>0</v>
      </c>
      <c r="H25">
        <v>0</v>
      </c>
      <c r="I25">
        <v>0</v>
      </c>
      <c r="J25">
        <v>19</v>
      </c>
      <c r="K25">
        <v>0</v>
      </c>
      <c r="L25" s="104">
        <v>375.5</v>
      </c>
      <c r="M25" s="69">
        <v>249.5</v>
      </c>
      <c r="N25" s="94">
        <f t="shared" si="1"/>
        <v>7.822916666666667</v>
      </c>
      <c r="O25" s="96">
        <v>5.197916666666667</v>
      </c>
      <c r="P25" s="105">
        <f>O25/O45</f>
        <v>4.8078175894854996E-2</v>
      </c>
      <c r="Q25" s="106">
        <f t="shared" si="33"/>
        <v>4.4428529408194049E-2</v>
      </c>
      <c r="R25" s="75">
        <v>10000</v>
      </c>
      <c r="S25" s="34">
        <v>146028</v>
      </c>
      <c r="T25" s="34">
        <f t="shared" si="3"/>
        <v>208.33333333333334</v>
      </c>
      <c r="U25" s="34">
        <f t="shared" si="4"/>
        <v>3042.25</v>
      </c>
      <c r="V25" s="47">
        <f>U25/U45</f>
        <v>2.4711074793589225E-2</v>
      </c>
      <c r="W25" s="47">
        <f t="shared" si="34"/>
        <v>1.9208227471572831E-3</v>
      </c>
      <c r="X25" s="47">
        <f t="shared" si="16"/>
        <v>3.8731335454348689E-2</v>
      </c>
      <c r="Y25" s="47">
        <f t="shared" si="17"/>
        <v>2.7425446743779343E-2</v>
      </c>
      <c r="Z25" s="217">
        <v>56</v>
      </c>
      <c r="AA25" s="26">
        <v>8.894609507075929E-2</v>
      </c>
      <c r="AB25" s="26">
        <f t="shared" si="35"/>
        <v>0.2535035817761635</v>
      </c>
      <c r="AC25" s="26">
        <v>0.371</v>
      </c>
      <c r="AD25" s="71">
        <v>0.40600000000000003</v>
      </c>
      <c r="AE25" s="293"/>
      <c r="AF25" s="281">
        <v>0.10448322335693246</v>
      </c>
      <c r="AG25" s="293"/>
      <c r="AH25" s="209"/>
      <c r="AI25" s="68"/>
      <c r="AJ25" s="65" t="e">
        <f>C25*AM25</f>
        <v>#REF!</v>
      </c>
      <c r="AK25" s="68"/>
      <c r="AL25" s="68"/>
      <c r="AM25" s="23" t="e">
        <f>AD25/#REF!</f>
        <v>#REF!</v>
      </c>
      <c r="AN25" s="37"/>
      <c r="AO25" s="60"/>
      <c r="AP25" s="68"/>
      <c r="AQ25" s="23"/>
      <c r="AR25" s="23"/>
      <c r="AS25" s="37"/>
      <c r="AT25" s="60"/>
      <c r="AU25" s="23"/>
      <c r="AV25" s="23"/>
      <c r="AW25" s="23"/>
      <c r="AX25" s="23"/>
      <c r="AY25" s="23"/>
      <c r="AZ25" s="23"/>
      <c r="BA25" s="23"/>
      <c r="BD25">
        <v>751</v>
      </c>
      <c r="BE25">
        <v>738</v>
      </c>
      <c r="BF25">
        <f t="shared" si="36"/>
        <v>13</v>
      </c>
      <c r="BG25">
        <v>258</v>
      </c>
      <c r="BH25">
        <v>795</v>
      </c>
      <c r="BI25" s="34">
        <v>1085</v>
      </c>
      <c r="BJ25" s="34">
        <v>570</v>
      </c>
      <c r="BK25" s="34">
        <f t="shared" si="8"/>
        <v>862.17600000000004</v>
      </c>
      <c r="BL25" s="34">
        <f t="shared" si="9"/>
        <v>641.57239057239065</v>
      </c>
      <c r="BM25" s="34">
        <f t="shared" si="10"/>
        <v>421.05005599999998</v>
      </c>
      <c r="BN25" s="34">
        <f t="shared" si="18"/>
        <v>443.42760942760935</v>
      </c>
      <c r="BO25" s="34">
        <f t="shared" si="37"/>
        <v>153.42760942760935</v>
      </c>
      <c r="BP25" s="23">
        <f t="shared" si="20"/>
        <v>0.36791225930445937</v>
      </c>
      <c r="BQ25" s="75">
        <f t="shared" si="21"/>
        <v>148.94994400000002</v>
      </c>
      <c r="BR25" s="26">
        <f t="shared" si="22"/>
        <v>0.61894914769433107</v>
      </c>
      <c r="BS25" s="23">
        <f t="shared" si="23"/>
        <v>0.38705266189384735</v>
      </c>
      <c r="BT25">
        <v>241</v>
      </c>
      <c r="BU25">
        <f t="shared" si="24"/>
        <v>493</v>
      </c>
      <c r="BV25">
        <v>497</v>
      </c>
      <c r="BW25" s="25">
        <v>0.81</v>
      </c>
      <c r="BX25" s="23">
        <v>0.66900000000000004</v>
      </c>
      <c r="BY25" s="34">
        <v>10000</v>
      </c>
      <c r="BZ25" s="75">
        <v>10000</v>
      </c>
      <c r="CA25">
        <v>133247</v>
      </c>
      <c r="CB25" s="34">
        <v>48069</v>
      </c>
      <c r="CC25" s="34">
        <v>96137</v>
      </c>
      <c r="CD25" s="34">
        <f t="shared" si="11"/>
        <v>132592.98653198653</v>
      </c>
      <c r="CE25" s="34">
        <f t="shared" si="12"/>
        <v>206581.76000000001</v>
      </c>
      <c r="CF25" s="34">
        <f t="shared" si="38"/>
        <v>-84523.986531986535</v>
      </c>
      <c r="CG25" s="34">
        <f t="shared" si="26"/>
        <v>-110444.76000000001</v>
      </c>
      <c r="CH25" s="23">
        <f t="shared" si="27"/>
        <v>-0.29066033056435786</v>
      </c>
      <c r="CI25" s="36">
        <f t="shared" si="13"/>
        <v>-0.35821375516387277</v>
      </c>
      <c r="CJ25" s="240">
        <f t="shared" si="28"/>
        <v>8.894609507075929E-2</v>
      </c>
      <c r="CK25" s="34">
        <v>134789.57</v>
      </c>
      <c r="CL25">
        <f t="shared" si="41"/>
        <v>135953</v>
      </c>
      <c r="CM25" s="34">
        <f t="shared" si="39"/>
        <v>-124789.57</v>
      </c>
      <c r="CN25" s="23">
        <v>-0.28599999999999998</v>
      </c>
      <c r="CO25" s="23">
        <f t="shared" si="40"/>
        <v>-0.36974104555959142</v>
      </c>
      <c r="CP25" s="23">
        <f t="shared" si="30"/>
        <v>0.28700000000000003</v>
      </c>
      <c r="CQ25" s="23">
        <f t="shared" si="31"/>
        <v>0.10448322335693246</v>
      </c>
      <c r="CR25" s="23">
        <f t="shared" si="32"/>
        <v>0.22808398655104953</v>
      </c>
    </row>
    <row r="26" spans="1:96" x14ac:dyDescent="0.25">
      <c r="A26" s="7" t="s">
        <v>83</v>
      </c>
      <c r="B26" s="7" t="s">
        <v>49</v>
      </c>
      <c r="C26" s="1">
        <f t="shared" si="0"/>
        <v>133</v>
      </c>
      <c r="D26">
        <v>0</v>
      </c>
      <c r="E26">
        <v>0</v>
      </c>
      <c r="F26">
        <v>0</v>
      </c>
      <c r="G26">
        <v>0</v>
      </c>
      <c r="H26">
        <v>68</v>
      </c>
      <c r="I26">
        <v>65</v>
      </c>
      <c r="J26">
        <v>0</v>
      </c>
      <c r="K26">
        <v>0</v>
      </c>
      <c r="L26" s="104">
        <v>1029</v>
      </c>
      <c r="M26" s="69">
        <v>636.5</v>
      </c>
      <c r="N26" s="94">
        <f t="shared" si="1"/>
        <v>7.7368421052631575</v>
      </c>
      <c r="O26" s="96">
        <v>4.7857142857142856</v>
      </c>
      <c r="P26" s="105">
        <f>O26/O45</f>
        <v>4.4265506349228073E-2</v>
      </c>
      <c r="Q26" s="106">
        <f t="shared" si="33"/>
        <v>4.3939687925463197E-2</v>
      </c>
      <c r="R26" s="75">
        <v>48373</v>
      </c>
      <c r="S26" s="34">
        <v>69085</v>
      </c>
      <c r="T26" s="34">
        <f t="shared" si="3"/>
        <v>363.70676691729324</v>
      </c>
      <c r="U26" s="34">
        <f t="shared" si="4"/>
        <v>519.43609022556393</v>
      </c>
      <c r="V26" s="47">
        <f>U26/U45</f>
        <v>4.2191877972071563E-3</v>
      </c>
      <c r="W26" s="47">
        <f t="shared" si="34"/>
        <v>3.3533579097108903E-3</v>
      </c>
      <c r="X26" s="47">
        <f t="shared" si="16"/>
        <v>2.8246978928419705E-2</v>
      </c>
      <c r="Y26" s="47">
        <f t="shared" si="17"/>
        <v>2.7705155919162273E-2</v>
      </c>
      <c r="Z26" s="217">
        <v>131</v>
      </c>
      <c r="AA26" s="26">
        <v>0.33800142983496839</v>
      </c>
      <c r="AB26" s="25">
        <f t="shared" si="35"/>
        <v>1.3710796954351241</v>
      </c>
      <c r="AC26" s="26">
        <v>1.4990000000000001</v>
      </c>
      <c r="AD26" s="71">
        <v>1.0129999999999999</v>
      </c>
      <c r="AE26" s="296">
        <v>1045438.2765348408</v>
      </c>
      <c r="AF26" s="283">
        <v>0.90679557879908135</v>
      </c>
      <c r="AG26" s="295">
        <f>AU26*BC$16</f>
        <v>725069.82101427752</v>
      </c>
      <c r="AH26" s="272" t="e">
        <f>AQ26*#REF!</f>
        <v>#DIV/0!</v>
      </c>
      <c r="AI26" s="65" t="e">
        <f>AL26*#REF!</f>
        <v>#DIV/0!</v>
      </c>
      <c r="AJ26" s="65" t="e">
        <f>C26*AM26</f>
        <v>#REF!</v>
      </c>
      <c r="AK26" s="68" t="e">
        <f>AI26-AE26</f>
        <v>#DIV/0!</v>
      </c>
      <c r="AL26" s="65" t="e">
        <f>C26*AR26</f>
        <v>#DIV/0!</v>
      </c>
      <c r="AM26" s="23" t="e">
        <f>AD26/#REF!</f>
        <v>#REF!</v>
      </c>
      <c r="AN26" s="65" t="e">
        <f>SUM(AO26:AP26)</f>
        <v>#DIV/0!</v>
      </c>
      <c r="AO26" s="65" t="e">
        <f>AZ26*BC$13</f>
        <v>#DIV/0!</v>
      </c>
      <c r="AP26" s="68"/>
      <c r="AQ26" s="23" t="e">
        <f>Z26*AV26</f>
        <v>#DIV/0!</v>
      </c>
      <c r="AR26" s="23" t="e">
        <f>AB26/BC$2</f>
        <v>#DIV/0!</v>
      </c>
      <c r="AS26" s="66">
        <f>AVERAGE(AE26,AG26)</f>
        <v>885254.04877455917</v>
      </c>
      <c r="AT26" s="65">
        <f>AS26-(AW26*AS$45)</f>
        <v>883646.62667554163</v>
      </c>
      <c r="AU26" s="23">
        <f>Z26*AW26</f>
        <v>10.958189268931852</v>
      </c>
      <c r="AV26" s="23" t="e">
        <f>AF26/BC$5</f>
        <v>#DIV/0!</v>
      </c>
      <c r="AW26" s="23">
        <f>CR26/BC$8</f>
        <v>8.3650299762838567E-2</v>
      </c>
      <c r="AX26" s="23" t="e">
        <f>BP26/BC$11</f>
        <v>#DIV/0!</v>
      </c>
      <c r="AY26" s="23"/>
      <c r="AZ26" s="23" t="e">
        <f>Z26*AX26</f>
        <v>#DIV/0!</v>
      </c>
      <c r="BA26" s="23"/>
      <c r="BD26">
        <v>2058</v>
      </c>
      <c r="BE26">
        <v>2058</v>
      </c>
      <c r="BF26">
        <f t="shared" si="36"/>
        <v>0</v>
      </c>
      <c r="BG26">
        <v>714</v>
      </c>
      <c r="BH26">
        <v>1980</v>
      </c>
      <c r="BI26" s="34">
        <v>2919</v>
      </c>
      <c r="BJ26" s="34">
        <v>1456</v>
      </c>
      <c r="BK26" s="34">
        <f t="shared" si="8"/>
        <v>2016.8760000000002</v>
      </c>
      <c r="BL26" s="34">
        <f t="shared" si="9"/>
        <v>1500.8211279461279</v>
      </c>
      <c r="BM26" s="34">
        <f t="shared" si="10"/>
        <v>984.95638099999996</v>
      </c>
      <c r="BN26" s="34">
        <f t="shared" si="18"/>
        <v>1418.1788720538721</v>
      </c>
      <c r="BO26" s="34">
        <f t="shared" si="37"/>
        <v>479.17887205387206</v>
      </c>
      <c r="BP26" s="25">
        <f t="shared" si="20"/>
        <v>2.0813306455990559</v>
      </c>
      <c r="BQ26" s="75">
        <f t="shared" si="21"/>
        <v>471.04361900000004</v>
      </c>
      <c r="BR26" s="25">
        <f t="shared" si="22"/>
        <v>2.0018182872473034</v>
      </c>
      <c r="BS26" s="25">
        <f t="shared" si="23"/>
        <v>1.2088271377209343</v>
      </c>
      <c r="BT26">
        <v>667</v>
      </c>
      <c r="BU26">
        <f t="shared" si="24"/>
        <v>1344</v>
      </c>
      <c r="BV26">
        <v>1391</v>
      </c>
      <c r="BW26" s="25">
        <v>3.0419999999999998</v>
      </c>
      <c r="BX26" s="23">
        <v>2.863</v>
      </c>
      <c r="BY26" s="34">
        <v>48373</v>
      </c>
      <c r="BZ26" s="75">
        <v>80729</v>
      </c>
      <c r="CA26">
        <v>407876</v>
      </c>
      <c r="CB26" s="34">
        <v>81708</v>
      </c>
      <c r="CC26" s="34">
        <v>127069</v>
      </c>
      <c r="CD26" s="34">
        <f t="shared" si="11"/>
        <v>310172.87920875422</v>
      </c>
      <c r="CE26" s="34">
        <f t="shared" si="12"/>
        <v>483253.76000000001</v>
      </c>
      <c r="CF26" s="34">
        <f t="shared" si="38"/>
        <v>-228464.87920875422</v>
      </c>
      <c r="CG26" s="34">
        <f t="shared" si="26"/>
        <v>-356184.76</v>
      </c>
      <c r="CH26" s="23">
        <f t="shared" si="27"/>
        <v>-0.85500702140088047</v>
      </c>
      <c r="CI26" s="36">
        <f t="shared" si="13"/>
        <v>-0.96823713199398032</v>
      </c>
      <c r="CJ26" s="240">
        <f t="shared" si="28"/>
        <v>0.33800142983496839</v>
      </c>
      <c r="CK26" s="34">
        <v>376355.3</v>
      </c>
      <c r="CL26">
        <f t="shared" si="41"/>
        <v>-397876</v>
      </c>
      <c r="CM26" s="34">
        <f t="shared" si="39"/>
        <v>-295626.3</v>
      </c>
      <c r="CN26" s="23">
        <v>-0.81599999999999995</v>
      </c>
      <c r="CO26" s="23">
        <f t="shared" si="40"/>
        <v>-0.86680076141218998</v>
      </c>
      <c r="CP26" s="23">
        <f t="shared" si="30"/>
        <v>1.3914</v>
      </c>
      <c r="CQ26" s="25">
        <f t="shared" si="31"/>
        <v>0.90679557879908135</v>
      </c>
      <c r="CR26" s="25">
        <f t="shared" si="32"/>
        <v>0.8137961195507899</v>
      </c>
    </row>
    <row r="27" spans="1:96" x14ac:dyDescent="0.25">
      <c r="A27" s="7" t="s">
        <v>83</v>
      </c>
      <c r="B27" s="241" t="s">
        <v>91</v>
      </c>
      <c r="C27" s="1">
        <v>0</v>
      </c>
      <c r="L27" s="104"/>
      <c r="M27" s="69"/>
      <c r="N27" s="94"/>
      <c r="O27" s="96"/>
      <c r="P27" s="105"/>
      <c r="Q27" s="106"/>
      <c r="R27" s="75"/>
      <c r="S27" s="34"/>
      <c r="T27" s="34"/>
      <c r="U27" s="34"/>
      <c r="V27" s="47"/>
      <c r="W27" s="47"/>
      <c r="X27" s="47"/>
      <c r="Y27" s="47"/>
      <c r="Z27" s="217">
        <v>12</v>
      </c>
      <c r="AA27" s="26">
        <v>-0.24414913028234059</v>
      </c>
      <c r="AB27" s="26"/>
      <c r="AC27" s="26"/>
      <c r="AD27" s="71"/>
      <c r="AE27" s="293"/>
      <c r="AF27" s="281">
        <v>-0.43896005096722041</v>
      </c>
      <c r="AG27" s="293"/>
      <c r="AH27" s="209"/>
      <c r="AI27" s="65"/>
      <c r="AJ27" s="65"/>
      <c r="AK27" s="68"/>
      <c r="AL27" s="65"/>
      <c r="AM27" s="23"/>
      <c r="AN27" s="37"/>
      <c r="AO27" s="60"/>
      <c r="AP27" s="68"/>
      <c r="AQ27" s="23"/>
      <c r="AR27" s="23"/>
      <c r="AS27" s="37"/>
      <c r="AT27" s="60"/>
      <c r="AU27" s="23"/>
      <c r="AV27" s="23"/>
      <c r="AW27" s="23"/>
      <c r="AX27" s="23"/>
      <c r="AY27" s="23"/>
      <c r="AZ27" s="23"/>
      <c r="BA27" s="23"/>
      <c r="BH27">
        <v>8</v>
      </c>
      <c r="BI27" s="34">
        <v>8</v>
      </c>
      <c r="BJ27" s="34">
        <v>2</v>
      </c>
      <c r="BK27" s="34">
        <f t="shared" si="8"/>
        <v>184.75200000000001</v>
      </c>
      <c r="BL27" s="34">
        <f t="shared" si="9"/>
        <v>137.47979797979798</v>
      </c>
      <c r="BM27" s="34">
        <f t="shared" si="10"/>
        <v>90.225011999999992</v>
      </c>
      <c r="BN27" s="34">
        <f t="shared" si="18"/>
        <v>-129.47979797979798</v>
      </c>
      <c r="BO27" s="34">
        <f t="shared" si="37"/>
        <v>-129.47979797979798</v>
      </c>
      <c r="BP27" s="23">
        <f t="shared" si="20"/>
        <v>-0.6391447439882828</v>
      </c>
      <c r="BQ27" s="75">
        <f t="shared" si="21"/>
        <v>-88.225011999999992</v>
      </c>
      <c r="BR27" s="26">
        <f t="shared" si="22"/>
        <v>-0.39933203192595812</v>
      </c>
      <c r="BS27" s="23">
        <f t="shared" si="23"/>
        <v>-0.32663938815525911</v>
      </c>
      <c r="BW27" s="25"/>
      <c r="BX27" s="23"/>
      <c r="BY27" s="34"/>
      <c r="BZ27" s="75"/>
      <c r="CB27" s="34">
        <v>0</v>
      </c>
      <c r="CC27" s="34">
        <v>0</v>
      </c>
      <c r="CD27" s="34">
        <f t="shared" si="11"/>
        <v>28412.78282828283</v>
      </c>
      <c r="CE27" s="34">
        <f t="shared" si="12"/>
        <v>44267.520000000004</v>
      </c>
      <c r="CF27" s="34">
        <f t="shared" si="38"/>
        <v>-28412.78282828283</v>
      </c>
      <c r="CG27" s="34">
        <f t="shared" si="26"/>
        <v>-44267.520000000004</v>
      </c>
      <c r="CH27" s="23">
        <f t="shared" si="27"/>
        <v>-0.13868301143562689</v>
      </c>
      <c r="CI27" s="36">
        <f t="shared" si="13"/>
        <v>-0.12041374347296283</v>
      </c>
      <c r="CJ27" s="240">
        <f t="shared" si="28"/>
        <v>-0.24414913028234059</v>
      </c>
      <c r="CK27" s="34"/>
      <c r="CM27" s="34"/>
      <c r="CN27" s="23"/>
      <c r="CO27" s="23"/>
      <c r="CP27" s="23"/>
      <c r="CQ27" s="23">
        <f t="shared" si="31"/>
        <v>-0.43896005096722041</v>
      </c>
      <c r="CR27" s="23">
        <f t="shared" si="32"/>
        <v>-0.28776471654475999</v>
      </c>
    </row>
    <row r="28" spans="1:96" x14ac:dyDescent="0.25">
      <c r="A28" s="9" t="s">
        <v>92</v>
      </c>
      <c r="B28" s="9" t="s">
        <v>93</v>
      </c>
      <c r="C28" s="1">
        <f t="shared" si="0"/>
        <v>62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62</v>
      </c>
      <c r="J28" s="11">
        <v>0</v>
      </c>
      <c r="K28">
        <v>0</v>
      </c>
      <c r="L28" s="107">
        <v>90</v>
      </c>
      <c r="M28" s="108">
        <v>45.5</v>
      </c>
      <c r="N28" s="94">
        <f t="shared" si="1"/>
        <v>1.4516129032258065</v>
      </c>
      <c r="O28" s="96">
        <v>0.7338709677419355</v>
      </c>
      <c r="P28" s="105">
        <f>O28/O45</f>
        <v>6.7879459664078679E-3</v>
      </c>
      <c r="Q28" s="106">
        <f t="shared" ref="Q28:Q42" si="43">N28/N$45</f>
        <v>8.2441152460546487E-3</v>
      </c>
      <c r="R28" s="75">
        <v>45066</v>
      </c>
      <c r="S28" s="34">
        <v>0</v>
      </c>
      <c r="T28" s="34">
        <f t="shared" si="3"/>
        <v>726.87096774193549</v>
      </c>
      <c r="U28" s="34">
        <f t="shared" si="4"/>
        <v>0</v>
      </c>
      <c r="V28" s="47">
        <f>U28/U45</f>
        <v>0</v>
      </c>
      <c r="W28" s="47">
        <f t="shared" ref="W28:W42" si="44">T28/T$45</f>
        <v>6.7017133876172991E-3</v>
      </c>
      <c r="X28" s="47">
        <f t="shared" si="16"/>
        <v>4.0727675798447206E-3</v>
      </c>
      <c r="Y28" s="47">
        <f t="shared" si="17"/>
        <v>7.6271545026797092E-3</v>
      </c>
      <c r="Z28" s="217">
        <v>60</v>
      </c>
      <c r="AA28" s="26">
        <v>-0.34365075855830474</v>
      </c>
      <c r="AB28" s="26">
        <f t="shared" si="35"/>
        <v>-0.67703059603644511</v>
      </c>
      <c r="AC28" s="26">
        <v>-0.65300000000000002</v>
      </c>
      <c r="AD28">
        <v>-0.76600000000000001</v>
      </c>
      <c r="AE28" s="294"/>
      <c r="AF28" s="282">
        <v>-0.53624911312192391</v>
      </c>
      <c r="AG28" s="294"/>
      <c r="AH28" s="210"/>
      <c r="AI28" s="37"/>
      <c r="AJ28" s="37"/>
      <c r="AK28" s="67"/>
      <c r="AL28" s="37"/>
      <c r="AM28" s="23"/>
      <c r="AN28" s="37"/>
      <c r="AO28" s="60"/>
      <c r="AP28" s="68"/>
      <c r="AQ28" s="23"/>
      <c r="AR28" s="23"/>
      <c r="AS28" s="37"/>
      <c r="AT28" s="60"/>
      <c r="AU28" s="23"/>
      <c r="AV28" s="23"/>
      <c r="AW28" s="23"/>
      <c r="AX28" s="23"/>
      <c r="AY28" s="23"/>
      <c r="AZ28" s="23"/>
      <c r="BA28" s="23"/>
      <c r="BD28">
        <v>180</v>
      </c>
      <c r="BE28">
        <v>180</v>
      </c>
      <c r="BF28">
        <f t="shared" si="36"/>
        <v>0</v>
      </c>
      <c r="BG28">
        <v>333</v>
      </c>
      <c r="BH28">
        <v>401</v>
      </c>
      <c r="BI28" s="34">
        <v>450</v>
      </c>
      <c r="BJ28" s="34">
        <v>283</v>
      </c>
      <c r="BK28" s="34">
        <f t="shared" si="8"/>
        <v>923.76</v>
      </c>
      <c r="BL28" s="34">
        <f t="shared" si="9"/>
        <v>687.39898989898995</v>
      </c>
      <c r="BM28" s="34">
        <f t="shared" si="10"/>
        <v>451.12506000000002</v>
      </c>
      <c r="BN28" s="34">
        <f t="shared" si="18"/>
        <v>-237.39898989898995</v>
      </c>
      <c r="BO28" s="34">
        <f t="shared" si="37"/>
        <v>-286.39898989898995</v>
      </c>
      <c r="BP28" s="23">
        <f t="shared" si="20"/>
        <v>-0.82884516783815365</v>
      </c>
      <c r="BQ28" s="75">
        <f t="shared" si="21"/>
        <v>-168.12506000000002</v>
      </c>
      <c r="BR28" s="26">
        <f t="shared" si="22"/>
        <v>-0.74237295201854059</v>
      </c>
      <c r="BS28" s="23">
        <f t="shared" si="23"/>
        <v>-0.72250028412529888</v>
      </c>
      <c r="BT28">
        <v>311</v>
      </c>
      <c r="BU28">
        <f t="shared" si="24"/>
        <v>-153</v>
      </c>
      <c r="BV28">
        <v>-131</v>
      </c>
      <c r="BW28" s="23">
        <v>-0.88500000000000001</v>
      </c>
      <c r="BX28" s="23">
        <v>-0.873</v>
      </c>
      <c r="BY28" s="34">
        <v>45066</v>
      </c>
      <c r="BZ28" s="75">
        <v>45066</v>
      </c>
      <c r="CA28">
        <v>176471</v>
      </c>
      <c r="CB28" s="34">
        <v>195066</v>
      </c>
      <c r="CC28" s="34">
        <v>195066</v>
      </c>
      <c r="CD28" s="34">
        <f t="shared" si="11"/>
        <v>142063.91414141416</v>
      </c>
      <c r="CE28" s="34">
        <f t="shared" si="12"/>
        <v>221337.60000000001</v>
      </c>
      <c r="CF28" s="34">
        <f t="shared" si="38"/>
        <v>53002.085858585837</v>
      </c>
      <c r="CG28" s="34">
        <f t="shared" si="26"/>
        <v>-26271.600000000006</v>
      </c>
      <c r="CH28" s="23">
        <f t="shared" si="27"/>
        <v>-9.735503104757938E-2</v>
      </c>
      <c r="CI28" s="225">
        <f t="shared" si="13"/>
        <v>0.22462352979218639</v>
      </c>
      <c r="CJ28" s="240">
        <f t="shared" si="28"/>
        <v>-0.34365075855830474</v>
      </c>
      <c r="CK28" s="34">
        <v>174438.89</v>
      </c>
      <c r="CL28">
        <f>BY26-CA28</f>
        <v>-128098</v>
      </c>
      <c r="CM28" s="34">
        <f>BZ28-CK28</f>
        <v>-129372.89000000001</v>
      </c>
      <c r="CN28" s="23">
        <v>-0.30399999999999999</v>
      </c>
      <c r="CO28" s="23">
        <f t="shared" ref="CO28:CO42" si="45">(CM28-CM$44)/CM$45</f>
        <v>-0.383076490091113</v>
      </c>
      <c r="CP28" s="23">
        <f t="shared" si="30"/>
        <v>-0.64539999999999997</v>
      </c>
      <c r="CQ28" s="23">
        <f t="shared" si="31"/>
        <v>-0.53624911312192391</v>
      </c>
      <c r="CR28" s="23">
        <f t="shared" si="32"/>
        <v>-0.3555743592942498</v>
      </c>
    </row>
    <row r="29" spans="1:96" x14ac:dyDescent="0.25">
      <c r="A29" s="7" t="s">
        <v>92</v>
      </c>
      <c r="B29" s="7" t="s">
        <v>84</v>
      </c>
      <c r="C29" s="1">
        <f t="shared" si="0"/>
        <v>124</v>
      </c>
      <c r="D29" s="11">
        <v>0</v>
      </c>
      <c r="E29" s="11">
        <v>0</v>
      </c>
      <c r="F29" s="11">
        <v>0</v>
      </c>
      <c r="G29" s="11">
        <v>124</v>
      </c>
      <c r="H29" s="11">
        <v>0</v>
      </c>
      <c r="I29" s="11">
        <v>0</v>
      </c>
      <c r="J29" s="11">
        <v>0</v>
      </c>
      <c r="K29">
        <v>0</v>
      </c>
      <c r="L29" s="107">
        <v>410</v>
      </c>
      <c r="M29" s="108">
        <v>278</v>
      </c>
      <c r="N29" s="94">
        <f t="shared" si="1"/>
        <v>3.306451612903226</v>
      </c>
      <c r="O29" s="96">
        <v>2.2419354838709675</v>
      </c>
      <c r="P29" s="105">
        <f>O29/O45</f>
        <v>2.0736801963311943E-2</v>
      </c>
      <c r="Q29" s="106">
        <f t="shared" si="43"/>
        <v>1.8778262504902256E-2</v>
      </c>
      <c r="R29" s="75">
        <v>0</v>
      </c>
      <c r="S29" s="34">
        <v>0</v>
      </c>
      <c r="T29" s="34">
        <f t="shared" si="3"/>
        <v>0</v>
      </c>
      <c r="U29" s="34">
        <f t="shared" si="4"/>
        <v>0</v>
      </c>
      <c r="V29" s="47">
        <f>U29/U45</f>
        <v>0</v>
      </c>
      <c r="W29" s="47">
        <f t="shared" si="44"/>
        <v>0</v>
      </c>
      <c r="X29" s="47">
        <f t="shared" si="16"/>
        <v>1.2442081177987166E-2</v>
      </c>
      <c r="Y29" s="47">
        <f t="shared" si="17"/>
        <v>1.1266957502941353E-2</v>
      </c>
      <c r="Z29" s="217">
        <v>120</v>
      </c>
      <c r="AA29" s="26">
        <v>-0.452590349627711</v>
      </c>
      <c r="AB29" s="26">
        <f t="shared" si="35"/>
        <v>-0.42041948249036842</v>
      </c>
      <c r="AC29" s="26">
        <v>-0.39</v>
      </c>
      <c r="AD29">
        <v>-0.47199999999999998</v>
      </c>
      <c r="AE29" s="294"/>
      <c r="AF29" s="282">
        <v>-0.25367818774027628</v>
      </c>
      <c r="AG29" s="294"/>
      <c r="AH29" s="210"/>
      <c r="AI29" s="37"/>
      <c r="AJ29" s="37"/>
      <c r="AK29" s="67"/>
      <c r="AL29" s="37"/>
      <c r="AM29" s="23"/>
      <c r="AN29" s="37"/>
      <c r="AO29" s="60"/>
      <c r="AP29" s="68"/>
      <c r="AQ29" s="23"/>
      <c r="AR29" s="23"/>
      <c r="AS29" s="37"/>
      <c r="AT29" s="60"/>
      <c r="AU29" s="23"/>
      <c r="AV29" s="23"/>
      <c r="AW29" s="23"/>
      <c r="AX29" s="23"/>
      <c r="AY29" s="23"/>
      <c r="AZ29" s="23"/>
      <c r="BA29" s="23"/>
      <c r="BD29">
        <v>820</v>
      </c>
      <c r="BE29">
        <v>840</v>
      </c>
      <c r="BF29">
        <f t="shared" si="36"/>
        <v>-20</v>
      </c>
      <c r="BG29">
        <v>666</v>
      </c>
      <c r="BH29">
        <v>1394</v>
      </c>
      <c r="BI29" s="34">
        <v>1768</v>
      </c>
      <c r="BJ29" s="34">
        <v>914</v>
      </c>
      <c r="BK29" s="34">
        <f t="shared" si="8"/>
        <v>1847.52</v>
      </c>
      <c r="BL29" s="34">
        <f t="shared" si="9"/>
        <v>1374.7979797979799</v>
      </c>
      <c r="BM29" s="34">
        <f t="shared" si="10"/>
        <v>902.25012000000004</v>
      </c>
      <c r="BN29" s="34">
        <f t="shared" si="18"/>
        <v>393.20202020202009</v>
      </c>
      <c r="BO29" s="34">
        <f t="shared" si="37"/>
        <v>19.202020202020094</v>
      </c>
      <c r="BP29" s="23">
        <f t="shared" si="20"/>
        <v>0.27962568677954597</v>
      </c>
      <c r="BQ29" s="75">
        <f t="shared" si="21"/>
        <v>11.749879999999962</v>
      </c>
      <c r="BR29" s="26">
        <f t="shared" si="22"/>
        <v>2.9897734467130028E-2</v>
      </c>
      <c r="BS29" s="23">
        <f t="shared" si="23"/>
        <v>4.844104044023443E-2</v>
      </c>
      <c r="BT29">
        <v>622</v>
      </c>
      <c r="BU29">
        <f t="shared" si="24"/>
        <v>154</v>
      </c>
      <c r="BV29">
        <v>218</v>
      </c>
      <c r="BW29" s="23">
        <v>-0.08</v>
      </c>
      <c r="BX29" s="23">
        <v>-1.6E-2</v>
      </c>
      <c r="BY29" s="34">
        <v>0</v>
      </c>
      <c r="BZ29" s="75">
        <v>0</v>
      </c>
      <c r="CA29">
        <v>377680</v>
      </c>
      <c r="CB29" s="34">
        <v>0</v>
      </c>
      <c r="CC29" s="34">
        <v>0</v>
      </c>
      <c r="CD29" s="34">
        <f t="shared" si="11"/>
        <v>284127.82828282833</v>
      </c>
      <c r="CE29" s="34">
        <f t="shared" si="12"/>
        <v>442675.20000000001</v>
      </c>
      <c r="CF29" s="34">
        <f t="shared" si="38"/>
        <v>-284127.82828282833</v>
      </c>
      <c r="CG29" s="34">
        <f t="shared" si="26"/>
        <v>-442675.20000000001</v>
      </c>
      <c r="CH29" s="23">
        <f t="shared" si="27"/>
        <v>-1.0536339995200097</v>
      </c>
      <c r="CI29" s="36">
        <f t="shared" si="13"/>
        <v>-1.204137434729629</v>
      </c>
      <c r="CJ29" s="240">
        <f t="shared" si="28"/>
        <v>-0.452590349627711</v>
      </c>
      <c r="CK29" s="34">
        <v>350702.65</v>
      </c>
      <c r="CL29">
        <f t="shared" si="41"/>
        <v>-332614</v>
      </c>
      <c r="CM29" s="34">
        <f>BZ29-CK29</f>
        <v>-350702.65</v>
      </c>
      <c r="CN29" s="23">
        <v>-0.85599999999999998</v>
      </c>
      <c r="CO29" s="23">
        <f t="shared" si="45"/>
        <v>-1.027048706225921</v>
      </c>
      <c r="CP29" s="23">
        <f t="shared" si="30"/>
        <v>-0.35200000000000004</v>
      </c>
      <c r="CQ29" s="23">
        <f t="shared" si="31"/>
        <v>-0.25367818774027628</v>
      </c>
      <c r="CR29" s="23">
        <f t="shared" si="32"/>
        <v>-0.46371633321157363</v>
      </c>
    </row>
    <row r="30" spans="1:96" x14ac:dyDescent="0.25">
      <c r="A30" s="7" t="s">
        <v>92</v>
      </c>
      <c r="B30" s="7" t="s">
        <v>87</v>
      </c>
      <c r="C30" s="1">
        <f t="shared" si="0"/>
        <v>56</v>
      </c>
      <c r="D30" s="11">
        <v>41</v>
      </c>
      <c r="E30" s="11">
        <v>5</v>
      </c>
      <c r="F30" s="11">
        <v>0</v>
      </c>
      <c r="G30" s="11">
        <v>0</v>
      </c>
      <c r="H30" s="11">
        <v>0</v>
      </c>
      <c r="I30" s="11">
        <v>0</v>
      </c>
      <c r="J30" s="11">
        <v>10</v>
      </c>
      <c r="K30">
        <v>0</v>
      </c>
      <c r="L30" s="107">
        <v>150</v>
      </c>
      <c r="M30" s="108">
        <v>89.5</v>
      </c>
      <c r="N30" s="94">
        <f t="shared" si="1"/>
        <v>2.6785714285714284</v>
      </c>
      <c r="O30" s="96">
        <v>1.5982142857142858</v>
      </c>
      <c r="P30" s="105">
        <f>O30/O45</f>
        <v>1.4782697083044451E-2</v>
      </c>
      <c r="Q30" s="106">
        <f t="shared" si="43"/>
        <v>1.5212355513553219E-2</v>
      </c>
      <c r="R30" s="75">
        <v>142297</v>
      </c>
      <c r="S30" s="34">
        <v>169696</v>
      </c>
      <c r="T30" s="34">
        <f t="shared" si="3"/>
        <v>2541.0178571428573</v>
      </c>
      <c r="U30" s="34">
        <f t="shared" si="4"/>
        <v>3030.2857142857142</v>
      </c>
      <c r="V30" s="47">
        <f>U30/U45</f>
        <v>2.4613893313060804E-2</v>
      </c>
      <c r="W30" s="47">
        <f t="shared" si="44"/>
        <v>2.3428055524477708E-2</v>
      </c>
      <c r="X30" s="47">
        <f t="shared" si="16"/>
        <v>1.8715175575050993E-2</v>
      </c>
      <c r="Y30" s="47">
        <f t="shared" si="17"/>
        <v>1.8498635517923016E-2</v>
      </c>
      <c r="Z30" s="217">
        <v>67</v>
      </c>
      <c r="AA30" s="26">
        <v>-0.53106815983637856</v>
      </c>
      <c r="AB30" s="26">
        <f t="shared" ref="AB30:AB42" si="46">(0.6*BX30)+(0.4*CO30)</f>
        <v>-0.26592314767549785</v>
      </c>
      <c r="AC30" s="26">
        <v>-0.31</v>
      </c>
      <c r="AD30">
        <v>-0.33</v>
      </c>
      <c r="AE30" s="294"/>
      <c r="AF30" s="282">
        <v>-0.44790454428474968</v>
      </c>
      <c r="AG30" s="294"/>
      <c r="AH30" s="210"/>
      <c r="AI30" s="37"/>
      <c r="AJ30" s="37"/>
      <c r="AK30" s="67"/>
      <c r="AL30" s="37"/>
      <c r="AM30" s="23"/>
      <c r="AN30" s="37"/>
      <c r="AO30" s="60"/>
      <c r="AP30" s="68"/>
      <c r="AQ30" s="23"/>
      <c r="AR30" s="23"/>
      <c r="AS30" s="37"/>
      <c r="AT30" s="60"/>
      <c r="AU30" s="23"/>
      <c r="AV30" s="23"/>
      <c r="AW30" s="23"/>
      <c r="AX30" s="23"/>
      <c r="AY30" s="23"/>
      <c r="AZ30" s="23"/>
      <c r="BA30" s="23"/>
      <c r="BD30">
        <v>300</v>
      </c>
      <c r="BE30">
        <v>312</v>
      </c>
      <c r="BF30">
        <f t="shared" ref="BF30:BF42" si="47">BD30-BE30</f>
        <v>-12</v>
      </c>
      <c r="BG30">
        <v>301</v>
      </c>
      <c r="BH30">
        <v>470</v>
      </c>
      <c r="BI30" s="34">
        <v>620</v>
      </c>
      <c r="BJ30" s="34">
        <v>318</v>
      </c>
      <c r="BK30" s="34">
        <f t="shared" si="8"/>
        <v>1031.5320000000002</v>
      </c>
      <c r="BL30" s="34">
        <f t="shared" si="9"/>
        <v>767.5955387205388</v>
      </c>
      <c r="BM30" s="34">
        <f t="shared" si="10"/>
        <v>503.75631700000002</v>
      </c>
      <c r="BN30" s="34">
        <f t="shared" si="18"/>
        <v>-147.5955387205388</v>
      </c>
      <c r="BO30" s="34">
        <f t="shared" ref="BO30:BO37" si="48">BH30-BL30</f>
        <v>-297.5955387205388</v>
      </c>
      <c r="BP30" s="23">
        <f t="shared" si="20"/>
        <v>-0.67098860452650988</v>
      </c>
      <c r="BQ30" s="75">
        <f t="shared" si="21"/>
        <v>-185.75631700000002</v>
      </c>
      <c r="BR30" s="26">
        <f t="shared" si="22"/>
        <v>-0.81807056140757106</v>
      </c>
      <c r="BS30" s="23">
        <f t="shared" si="23"/>
        <v>-0.75074587852367614</v>
      </c>
      <c r="BT30">
        <v>281</v>
      </c>
      <c r="BU30">
        <f t="shared" si="24"/>
        <v>-1</v>
      </c>
      <c r="BV30">
        <v>31</v>
      </c>
      <c r="BW30" s="23">
        <v>-0.48599999999999999</v>
      </c>
      <c r="BX30" s="23">
        <v>-0.47499999999999998</v>
      </c>
      <c r="BY30" s="34">
        <v>142297</v>
      </c>
      <c r="BZ30" s="75">
        <v>176117</v>
      </c>
      <c r="CA30">
        <v>157815</v>
      </c>
      <c r="CB30" s="34">
        <v>111080</v>
      </c>
      <c r="CC30" s="34">
        <v>213955</v>
      </c>
      <c r="CD30" s="34">
        <f t="shared" si="11"/>
        <v>158638.03745791246</v>
      </c>
      <c r="CE30" s="34">
        <f t="shared" si="12"/>
        <v>247160.32000000001</v>
      </c>
      <c r="CF30" s="34">
        <f t="shared" ref="CF30:CF37" si="49">CB30-CD30</f>
        <v>-47558.037457912462</v>
      </c>
      <c r="CG30" s="34">
        <f t="shared" si="26"/>
        <v>-33205.320000000007</v>
      </c>
      <c r="CH30" s="23">
        <f t="shared" si="27"/>
        <v>-0.11327845392210943</v>
      </c>
      <c r="CI30" s="36">
        <f t="shared" si="13"/>
        <v>-0.20155158180543231</v>
      </c>
      <c r="CJ30" s="240">
        <f t="shared" si="28"/>
        <v>-0.53106815983637856</v>
      </c>
      <c r="CK30" s="34">
        <v>157437.04999999999</v>
      </c>
      <c r="CL30">
        <f>BY29-CA30</f>
        <v>-157815</v>
      </c>
      <c r="CM30" s="34">
        <f t="shared" ref="CM30:CM42" si="50">BZ30-CK30</f>
        <v>18679.950000000012</v>
      </c>
      <c r="CN30" s="23">
        <v>-4.4999999999999998E-2</v>
      </c>
      <c r="CO30" s="23">
        <f t="shared" si="45"/>
        <v>4.7692130811255236E-2</v>
      </c>
      <c r="CP30" s="23">
        <f t="shared" si="30"/>
        <v>-0.30299999999999999</v>
      </c>
      <c r="CQ30" s="23">
        <f t="shared" si="31"/>
        <v>-0.44790454428474968</v>
      </c>
      <c r="CR30" s="23">
        <f t="shared" si="32"/>
        <v>-0.5714629695667155</v>
      </c>
    </row>
    <row r="31" spans="1:96" x14ac:dyDescent="0.25">
      <c r="A31" s="9" t="s">
        <v>92</v>
      </c>
      <c r="B31" s="9" t="s">
        <v>97</v>
      </c>
      <c r="C31" s="1">
        <f t="shared" si="0"/>
        <v>89</v>
      </c>
      <c r="D31" s="11">
        <v>0</v>
      </c>
      <c r="E31" s="11">
        <v>0</v>
      </c>
      <c r="F31" s="11">
        <v>0</v>
      </c>
      <c r="G31" s="11">
        <v>0</v>
      </c>
      <c r="H31" s="11">
        <v>51</v>
      </c>
      <c r="I31" s="11">
        <v>38</v>
      </c>
      <c r="J31" s="11">
        <v>0</v>
      </c>
      <c r="K31">
        <v>0</v>
      </c>
      <c r="L31" s="107">
        <v>183.5</v>
      </c>
      <c r="M31" s="108">
        <v>131</v>
      </c>
      <c r="N31" s="94">
        <f t="shared" si="1"/>
        <v>2.0617977528089888</v>
      </c>
      <c r="O31" s="96">
        <v>1.4719101123595506</v>
      </c>
      <c r="P31" s="105">
        <f>O31/O45</f>
        <v>1.361444552146307E-2</v>
      </c>
      <c r="Q31" s="106">
        <f t="shared" si="43"/>
        <v>1.1709525487436173E-2</v>
      </c>
      <c r="R31" s="75">
        <v>120238</v>
      </c>
      <c r="S31" s="34">
        <v>793658</v>
      </c>
      <c r="T31" s="34">
        <f t="shared" si="3"/>
        <v>1350.9887640449438</v>
      </c>
      <c r="U31" s="34">
        <f t="shared" si="4"/>
        <v>8917.5056179775274</v>
      </c>
      <c r="V31" s="47">
        <f>U31/U45</f>
        <v>7.2433609433180959E-2</v>
      </c>
      <c r="W31" s="47">
        <f t="shared" si="44"/>
        <v>1.245604775583087E-2</v>
      </c>
      <c r="X31" s="47">
        <f t="shared" si="16"/>
        <v>3.7142111086150224E-2</v>
      </c>
      <c r="Y31" s="47">
        <f t="shared" si="17"/>
        <v>1.2008134394794052E-2</v>
      </c>
      <c r="Z31" s="217">
        <v>84</v>
      </c>
      <c r="AA31" s="26">
        <v>-0.85072740198923968</v>
      </c>
      <c r="AB31" s="26">
        <f t="shared" si="46"/>
        <v>-0.60194789981513641</v>
      </c>
      <c r="AC31" s="26">
        <v>-0.59599999999999997</v>
      </c>
      <c r="AD31">
        <v>0.15</v>
      </c>
      <c r="AE31" s="294"/>
      <c r="AF31" s="282">
        <v>-0.65422289161225378</v>
      </c>
      <c r="AG31" s="294"/>
      <c r="AH31" s="210"/>
      <c r="AI31" s="37"/>
      <c r="AJ31" s="37"/>
      <c r="AK31" s="67"/>
      <c r="AL31" s="37"/>
      <c r="AM31" s="23"/>
      <c r="AN31" s="37"/>
      <c r="AO31" s="60"/>
      <c r="AP31" s="68"/>
      <c r="AQ31" s="23"/>
      <c r="AR31" s="23"/>
      <c r="AS31" s="37"/>
      <c r="AT31" s="60"/>
      <c r="AU31" s="23"/>
      <c r="AV31" s="23"/>
      <c r="AW31" s="23"/>
      <c r="AX31" s="23"/>
      <c r="AY31" s="23"/>
      <c r="AZ31" s="23"/>
      <c r="BA31" s="23"/>
      <c r="BD31">
        <v>367</v>
      </c>
      <c r="BE31">
        <v>367</v>
      </c>
      <c r="BF31">
        <f t="shared" si="47"/>
        <v>0</v>
      </c>
      <c r="BG31">
        <v>478</v>
      </c>
      <c r="BH31">
        <v>620</v>
      </c>
      <c r="BI31" s="34">
        <v>740</v>
      </c>
      <c r="BJ31" s="34">
        <v>514</v>
      </c>
      <c r="BK31" s="34">
        <f t="shared" si="8"/>
        <v>1293.2640000000001</v>
      </c>
      <c r="BL31" s="34">
        <f t="shared" si="9"/>
        <v>962.35858585858591</v>
      </c>
      <c r="BM31" s="34">
        <f t="shared" si="10"/>
        <v>631.57508399999995</v>
      </c>
      <c r="BN31" s="34">
        <f t="shared" si="18"/>
        <v>-222.35858585858591</v>
      </c>
      <c r="BO31" s="34">
        <f t="shared" si="48"/>
        <v>-342.35858585858591</v>
      </c>
      <c r="BP31" s="23">
        <f t="shared" si="20"/>
        <v>-0.80240713609793868</v>
      </c>
      <c r="BQ31" s="75">
        <f t="shared" si="21"/>
        <v>-117.57508399999995</v>
      </c>
      <c r="BR31" s="26">
        <f t="shared" si="22"/>
        <v>-0.52534291622058993</v>
      </c>
      <c r="BS31" s="23">
        <f t="shared" si="23"/>
        <v>-0.86366986015838665</v>
      </c>
      <c r="BT31">
        <v>446</v>
      </c>
      <c r="BU31">
        <f t="shared" si="24"/>
        <v>-111</v>
      </c>
      <c r="BV31">
        <v>-79</v>
      </c>
      <c r="BW31" s="23">
        <v>-0.77500000000000002</v>
      </c>
      <c r="BX31" s="23">
        <v>-0.745</v>
      </c>
      <c r="BY31" s="34">
        <v>120238</v>
      </c>
      <c r="BZ31" s="75">
        <v>120238</v>
      </c>
      <c r="CA31">
        <v>262431</v>
      </c>
      <c r="CB31" s="34">
        <v>2733</v>
      </c>
      <c r="CC31" s="34">
        <v>137906</v>
      </c>
      <c r="CD31" s="34">
        <f t="shared" si="11"/>
        <v>198889.47979797982</v>
      </c>
      <c r="CE31" s="34">
        <f t="shared" si="12"/>
        <v>309872.64000000001</v>
      </c>
      <c r="CF31" s="34">
        <f t="shared" si="49"/>
        <v>-196156.47979797982</v>
      </c>
      <c r="CG31" s="34">
        <f t="shared" si="26"/>
        <v>-171966.64</v>
      </c>
      <c r="CH31" s="23">
        <f t="shared" si="27"/>
        <v>-0.43194652488372648</v>
      </c>
      <c r="CI31" s="36">
        <f t="shared" si="13"/>
        <v>-0.83131371473551907</v>
      </c>
      <c r="CJ31" s="240">
        <f t="shared" si="28"/>
        <v>-0.85072740198923968</v>
      </c>
      <c r="CK31" s="34">
        <v>251086.46</v>
      </c>
      <c r="CL31" t="e">
        <f>#REF!-CA31</f>
        <v>#REF!</v>
      </c>
      <c r="CM31" s="34">
        <f t="shared" si="50"/>
        <v>-130848.45999999999</v>
      </c>
      <c r="CN31" s="23">
        <v>-0.32900000000000001</v>
      </c>
      <c r="CO31" s="23">
        <f t="shared" si="45"/>
        <v>-0.38736974953784092</v>
      </c>
      <c r="CP31" s="23">
        <f t="shared" si="30"/>
        <v>-0.5786</v>
      </c>
      <c r="CQ31" s="23">
        <f t="shared" si="31"/>
        <v>-0.65422289161225378</v>
      </c>
      <c r="CR31" s="23">
        <f t="shared" si="32"/>
        <v>-0.64773123562656165</v>
      </c>
    </row>
    <row r="32" spans="1:96" x14ac:dyDescent="0.25">
      <c r="A32" s="9" t="s">
        <v>92</v>
      </c>
      <c r="B32" s="45" t="s">
        <v>96</v>
      </c>
      <c r="C32" s="1">
        <f t="shared" si="0"/>
        <v>77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77</v>
      </c>
      <c r="L32" s="107">
        <v>146.5</v>
      </c>
      <c r="M32" s="108">
        <v>206</v>
      </c>
      <c r="N32" s="94">
        <f t="shared" si="1"/>
        <v>1.9025974025974026</v>
      </c>
      <c r="O32" s="96">
        <v>2.6753246753246751</v>
      </c>
      <c r="P32" s="105">
        <f>O32/O45</f>
        <v>2.4745439098890046E-2</v>
      </c>
      <c r="Q32" s="106">
        <f t="shared" si="43"/>
        <v>1.0805382219323863E-2</v>
      </c>
      <c r="R32" s="75">
        <v>36623</v>
      </c>
      <c r="S32" s="34">
        <v>133816</v>
      </c>
      <c r="T32" s="34">
        <f t="shared" si="3"/>
        <v>475.6233766233766</v>
      </c>
      <c r="U32" s="34">
        <f t="shared" si="4"/>
        <v>1737.8701298701299</v>
      </c>
      <c r="V32" s="47">
        <f>U32/U45</f>
        <v>1.4116078152934636E-2</v>
      </c>
      <c r="W32" s="47">
        <f t="shared" si="44"/>
        <v>4.3852233643100992E-3</v>
      </c>
      <c r="X32" s="47">
        <f t="shared" si="16"/>
        <v>2.0493694720507882E-2</v>
      </c>
      <c r="Y32" s="47">
        <f t="shared" si="17"/>
        <v>8.2373186773183581E-3</v>
      </c>
      <c r="Z32" s="217">
        <v>74</v>
      </c>
      <c r="AA32" s="26">
        <v>-0.33969831419182905</v>
      </c>
      <c r="AB32" s="26">
        <f t="shared" si="46"/>
        <v>-0.55779414321809428</v>
      </c>
      <c r="AC32" s="26">
        <v>-0.65100000000000002</v>
      </c>
      <c r="AD32">
        <v>-0.111</v>
      </c>
      <c r="AE32" s="294"/>
      <c r="AF32" s="282">
        <v>-0.41866204064223611</v>
      </c>
      <c r="AG32" s="294"/>
      <c r="AH32" s="210"/>
      <c r="AI32" s="37"/>
      <c r="AJ32" s="37"/>
      <c r="AK32" s="67"/>
      <c r="AL32" s="37"/>
      <c r="AM32" s="23"/>
      <c r="AN32" s="37"/>
      <c r="AO32" s="60"/>
      <c r="AP32" s="68"/>
      <c r="AQ32" s="23"/>
      <c r="AR32" s="23"/>
      <c r="AS32" s="37"/>
      <c r="AT32" s="60"/>
      <c r="AU32" s="23"/>
      <c r="AV32" s="23"/>
      <c r="AW32" s="23"/>
      <c r="AX32" s="23"/>
      <c r="AY32" s="23"/>
      <c r="AZ32" s="23"/>
      <c r="BA32" s="23"/>
      <c r="BD32">
        <v>293</v>
      </c>
      <c r="BE32">
        <v>385</v>
      </c>
      <c r="BF32">
        <f t="shared" si="47"/>
        <v>-92</v>
      </c>
      <c r="BG32">
        <v>413</v>
      </c>
      <c r="BH32">
        <v>702</v>
      </c>
      <c r="BI32" s="34">
        <v>823</v>
      </c>
      <c r="BJ32" s="34">
        <v>561</v>
      </c>
      <c r="BK32" s="34">
        <f t="shared" si="8"/>
        <v>1139.3040000000001</v>
      </c>
      <c r="BL32" s="34">
        <f t="shared" si="9"/>
        <v>847.79208754208753</v>
      </c>
      <c r="BM32" s="34">
        <f t="shared" si="10"/>
        <v>556.38757399999997</v>
      </c>
      <c r="BN32" s="34">
        <f t="shared" si="18"/>
        <v>-24.792087542087529</v>
      </c>
      <c r="BO32" s="34">
        <f t="shared" si="48"/>
        <v>-145.79208754208753</v>
      </c>
      <c r="BP32" s="23">
        <f t="shared" si="20"/>
        <v>-0.45512462033153306</v>
      </c>
      <c r="BQ32" s="75">
        <f t="shared" si="21"/>
        <v>4.6124260000000277</v>
      </c>
      <c r="BR32" s="26">
        <f t="shared" si="22"/>
        <v>-7.460367015488643E-4</v>
      </c>
      <c r="BS32" s="23">
        <f t="shared" si="23"/>
        <v>-0.36779048944805703</v>
      </c>
      <c r="BT32">
        <v>386</v>
      </c>
      <c r="BU32">
        <f t="shared" si="24"/>
        <v>-120</v>
      </c>
      <c r="BV32">
        <v>-1</v>
      </c>
      <c r="BW32" s="23">
        <v>-0.79900000000000004</v>
      </c>
      <c r="BX32" s="23">
        <v>-0.55400000000000005</v>
      </c>
      <c r="BY32" s="34">
        <v>36623</v>
      </c>
      <c r="BZ32" s="75">
        <v>25617</v>
      </c>
      <c r="CA32">
        <v>223856</v>
      </c>
      <c r="CB32" s="34">
        <v>105000</v>
      </c>
      <c r="CC32" s="34">
        <v>130617</v>
      </c>
      <c r="CD32" s="34">
        <f t="shared" si="11"/>
        <v>175212.16077441079</v>
      </c>
      <c r="CE32" s="34">
        <f t="shared" si="12"/>
        <v>272983.03999999998</v>
      </c>
      <c r="CF32" s="34">
        <f t="shared" si="49"/>
        <v>-70212.16077441079</v>
      </c>
      <c r="CG32" s="34">
        <f t="shared" si="26"/>
        <v>-142366.03999999998</v>
      </c>
      <c r="CH32" s="23">
        <f t="shared" si="27"/>
        <v>-0.36396817110829066</v>
      </c>
      <c r="CI32" s="36">
        <f t="shared" si="13"/>
        <v>-0.29756005130748703</v>
      </c>
      <c r="CJ32" s="240">
        <f t="shared" si="28"/>
        <v>-0.33969831419182905</v>
      </c>
      <c r="CK32" s="34">
        <v>216995.44</v>
      </c>
      <c r="CL32">
        <f t="shared" ref="CL32:CL42" si="51">BY30-CA32</f>
        <v>-81559</v>
      </c>
      <c r="CM32" s="34">
        <f t="shared" si="50"/>
        <v>-191378.44</v>
      </c>
      <c r="CN32" s="23">
        <v>-0.43</v>
      </c>
      <c r="CO32" s="23">
        <f t="shared" si="45"/>
        <v>-0.56348535804523558</v>
      </c>
      <c r="CP32" s="23">
        <f t="shared" si="30"/>
        <v>-0.50440000000000007</v>
      </c>
      <c r="CQ32" s="23">
        <f t="shared" si="31"/>
        <v>-0.41866204064223611</v>
      </c>
      <c r="CR32" s="23">
        <f t="shared" si="32"/>
        <v>-0.11947164254392414</v>
      </c>
    </row>
    <row r="33" spans="1:96" x14ac:dyDescent="0.25">
      <c r="A33" s="7" t="s">
        <v>92</v>
      </c>
      <c r="B33" s="7" t="s">
        <v>98</v>
      </c>
      <c r="C33" s="1">
        <f t="shared" si="0"/>
        <v>55</v>
      </c>
      <c r="D33" s="11">
        <v>2</v>
      </c>
      <c r="E33" s="11">
        <v>8</v>
      </c>
      <c r="F33" s="11">
        <v>13</v>
      </c>
      <c r="G33" s="11">
        <v>13</v>
      </c>
      <c r="H33" s="11">
        <v>2</v>
      </c>
      <c r="I33" s="11">
        <v>7</v>
      </c>
      <c r="J33" s="11">
        <v>8</v>
      </c>
      <c r="K33" s="33">
        <v>2</v>
      </c>
      <c r="L33" s="98">
        <v>174</v>
      </c>
      <c r="M33" s="108">
        <v>87.5</v>
      </c>
      <c r="N33" s="94">
        <f t="shared" si="1"/>
        <v>3.1636363636363636</v>
      </c>
      <c r="O33" s="96">
        <v>1.5909090909090908</v>
      </c>
      <c r="P33" s="105">
        <f>O33/O45</f>
        <v>1.4715127619485586E-2</v>
      </c>
      <c r="Q33" s="106">
        <f t="shared" si="43"/>
        <v>1.7967174802916677E-2</v>
      </c>
      <c r="R33" s="75">
        <v>874663</v>
      </c>
      <c r="S33" s="34">
        <v>562411</v>
      </c>
      <c r="T33" s="34">
        <f t="shared" si="3"/>
        <v>15902.963636363636</v>
      </c>
      <c r="U33" s="34">
        <f t="shared" si="4"/>
        <v>10225.654545454545</v>
      </c>
      <c r="V33" s="47">
        <f>U33/U45</f>
        <v>8.3059220736669534E-2</v>
      </c>
      <c r="W33" s="47">
        <f t="shared" si="44"/>
        <v>0.1466245166397234</v>
      </c>
      <c r="X33" s="47">
        <f t="shared" si="16"/>
        <v>4.2052764866359164E-2</v>
      </c>
      <c r="Y33" s="47">
        <f t="shared" si="17"/>
        <v>6.9430111537639366E-2</v>
      </c>
      <c r="Z33" s="217">
        <v>70</v>
      </c>
      <c r="AA33" s="26">
        <v>0.40100340763301084</v>
      </c>
      <c r="AB33" s="25">
        <f t="shared" si="46"/>
        <v>0.62235779702665661</v>
      </c>
      <c r="AC33" s="26">
        <v>0.434</v>
      </c>
      <c r="AD33">
        <v>9.4E-2</v>
      </c>
      <c r="AE33" s="296">
        <v>200560.04871614298</v>
      </c>
      <c r="AF33" s="281">
        <v>9.1229645785537439E-2</v>
      </c>
      <c r="AG33" s="293">
        <v>0</v>
      </c>
      <c r="AH33" s="209"/>
      <c r="AI33" s="65" t="e">
        <f>AL33*#REF!</f>
        <v>#DIV/0!</v>
      </c>
      <c r="AJ33" s="68"/>
      <c r="AK33" s="68" t="e">
        <f>AI33-AE33</f>
        <v>#DIV/0!</v>
      </c>
      <c r="AL33" s="65" t="e">
        <f>C33*AR33</f>
        <v>#DIV/0!</v>
      </c>
      <c r="AM33" s="23"/>
      <c r="AN33" s="65" t="e">
        <f>SUM(AO33:AP33)</f>
        <v>#DIV/0!</v>
      </c>
      <c r="AO33" s="60"/>
      <c r="AP33" s="65" t="e">
        <f>BA33*BC$14</f>
        <v>#DIV/0!</v>
      </c>
      <c r="AQ33" s="23"/>
      <c r="AR33" s="23" t="e">
        <f>AB33/BC$2</f>
        <v>#DIV/0!</v>
      </c>
      <c r="AS33" s="66">
        <f>AVERAGE(AE33,AG33)</f>
        <v>100280.02435807149</v>
      </c>
      <c r="AT33" s="65">
        <f>AS33-(AW33*AS$45)</f>
        <v>100280.02435807149</v>
      </c>
      <c r="AU33" s="23"/>
      <c r="AV33" s="23"/>
      <c r="AW33" s="23"/>
      <c r="AX33" s="23"/>
      <c r="AY33" s="23" t="e">
        <f>CH33/BC$12</f>
        <v>#DIV/0!</v>
      </c>
      <c r="AZ33" s="23"/>
      <c r="BA33" s="23" t="e">
        <f>Z33*AY33</f>
        <v>#DIV/0!</v>
      </c>
      <c r="BD33">
        <v>348</v>
      </c>
      <c r="BE33">
        <v>356</v>
      </c>
      <c r="BF33">
        <f t="shared" si="47"/>
        <v>-8</v>
      </c>
      <c r="BG33">
        <v>295</v>
      </c>
      <c r="BH33">
        <v>585</v>
      </c>
      <c r="BI33" s="34">
        <v>733</v>
      </c>
      <c r="BJ33" s="34">
        <v>332</v>
      </c>
      <c r="BK33" s="34">
        <f t="shared" si="8"/>
        <v>1077.72</v>
      </c>
      <c r="BL33" s="34">
        <f t="shared" si="9"/>
        <v>801.96548821548822</v>
      </c>
      <c r="BM33" s="34">
        <f t="shared" si="10"/>
        <v>526.31257000000005</v>
      </c>
      <c r="BN33" s="34">
        <f t="shared" si="18"/>
        <v>-68.965488215488222</v>
      </c>
      <c r="BO33" s="34">
        <f t="shared" si="48"/>
        <v>-216.96548821548822</v>
      </c>
      <c r="BP33" s="23">
        <f t="shared" si="20"/>
        <v>-0.53277265198941337</v>
      </c>
      <c r="BQ33" s="75">
        <f t="shared" si="21"/>
        <v>-194.31257000000005</v>
      </c>
      <c r="BR33" s="26">
        <f t="shared" si="22"/>
        <v>-0.85480576964755772</v>
      </c>
      <c r="BS33" s="23">
        <f t="shared" si="23"/>
        <v>-0.5473400130927879</v>
      </c>
      <c r="BT33">
        <v>276</v>
      </c>
      <c r="BU33">
        <f t="shared" si="24"/>
        <v>53</v>
      </c>
      <c r="BV33">
        <v>80</v>
      </c>
      <c r="BW33" s="23">
        <v>-0.34499999999999997</v>
      </c>
      <c r="BX33" s="23">
        <v>-0.35499999999999998</v>
      </c>
      <c r="BY33" s="34">
        <v>874663</v>
      </c>
      <c r="BZ33" s="75">
        <v>874663</v>
      </c>
      <c r="CA33">
        <v>154724</v>
      </c>
      <c r="CB33" s="34">
        <v>596018</v>
      </c>
      <c r="CC33" s="34">
        <v>721648</v>
      </c>
      <c r="CD33" s="34">
        <f t="shared" si="11"/>
        <v>165741.23316498319</v>
      </c>
      <c r="CE33" s="34">
        <f t="shared" si="12"/>
        <v>258227.20000000001</v>
      </c>
      <c r="CF33" s="34">
        <f t="shared" si="49"/>
        <v>430276.76683501678</v>
      </c>
      <c r="CG33" s="34">
        <f t="shared" si="26"/>
        <v>463420.8</v>
      </c>
      <c r="CH33" s="25">
        <f t="shared" si="27"/>
        <v>1.0272330924479636</v>
      </c>
      <c r="CI33" s="225">
        <f t="shared" si="13"/>
        <v>1.823518538721709</v>
      </c>
      <c r="CJ33" s="240">
        <f t="shared" si="28"/>
        <v>0.40100340763301084</v>
      </c>
      <c r="CK33" s="34">
        <v>154604.71</v>
      </c>
      <c r="CL33">
        <f t="shared" si="51"/>
        <v>-34486</v>
      </c>
      <c r="CM33" s="34">
        <f t="shared" si="50"/>
        <v>720058.29</v>
      </c>
      <c r="CN33" s="23">
        <v>1.603</v>
      </c>
      <c r="CO33" s="23">
        <f t="shared" si="45"/>
        <v>2.0883944925666413</v>
      </c>
      <c r="CP33" s="23">
        <f t="shared" si="30"/>
        <v>0.42820000000000003</v>
      </c>
      <c r="CQ33" s="23">
        <f t="shared" si="31"/>
        <v>9.1229645785537439E-2</v>
      </c>
      <c r="CR33" s="23">
        <f t="shared" si="32"/>
        <v>0.21652395370014899</v>
      </c>
    </row>
    <row r="34" spans="1:96" x14ac:dyDescent="0.25">
      <c r="A34" s="9" t="s">
        <v>99</v>
      </c>
      <c r="B34" s="115" t="s">
        <v>191</v>
      </c>
      <c r="C34" s="1">
        <f t="shared" si="0"/>
        <v>24</v>
      </c>
      <c r="D34">
        <v>0</v>
      </c>
      <c r="E34" s="8">
        <v>8</v>
      </c>
      <c r="F34">
        <v>0</v>
      </c>
      <c r="G34">
        <v>0</v>
      </c>
      <c r="H34">
        <v>0</v>
      </c>
      <c r="I34" s="8">
        <v>16</v>
      </c>
      <c r="J34">
        <v>0</v>
      </c>
      <c r="K34">
        <v>0</v>
      </c>
      <c r="L34" s="107">
        <v>485</v>
      </c>
      <c r="M34" s="108">
        <v>230.5</v>
      </c>
      <c r="N34" s="94">
        <f t="shared" si="1"/>
        <v>20.208333333333332</v>
      </c>
      <c r="O34" s="96">
        <v>9.6041666666666661</v>
      </c>
      <c r="P34" s="105">
        <f>O34/O45</f>
        <v>8.883382399810881E-2</v>
      </c>
      <c r="Q34" s="106">
        <f t="shared" si="43"/>
        <v>0.1147687710411404</v>
      </c>
      <c r="R34" s="75">
        <v>42900</v>
      </c>
      <c r="S34" s="34">
        <v>91221</v>
      </c>
      <c r="T34" s="34">
        <f t="shared" si="3"/>
        <v>1787.5</v>
      </c>
      <c r="U34" s="34">
        <f t="shared" si="4"/>
        <v>3800.875</v>
      </c>
      <c r="V34" s="47">
        <f>U34/U45</f>
        <v>3.0873105894020359E-2</v>
      </c>
      <c r="W34" s="47">
        <f t="shared" si="44"/>
        <v>1.648065917060949E-2</v>
      </c>
      <c r="X34" s="47">
        <f t="shared" si="16"/>
        <v>6.5649536756473434E-2</v>
      </c>
      <c r="Y34" s="47">
        <f t="shared" si="17"/>
        <v>7.5453526292928036E-2</v>
      </c>
      <c r="Z34" s="217">
        <v>25</v>
      </c>
      <c r="AA34" s="25">
        <v>0.63623008548516347</v>
      </c>
      <c r="AB34" s="25">
        <f t="shared" si="46"/>
        <v>0.87883719518599912</v>
      </c>
      <c r="AC34" s="26">
        <v>1.012</v>
      </c>
      <c r="AD34" s="71">
        <v>0.53300000000000003</v>
      </c>
      <c r="AE34" s="296">
        <v>121311.06384615818</v>
      </c>
      <c r="AF34" s="283">
        <v>0.64911092776794499</v>
      </c>
      <c r="AG34" s="295">
        <f>AU34*BC$16</f>
        <v>102723.14975966225</v>
      </c>
      <c r="AH34" s="272" t="e">
        <f>AQ34*#REF!</f>
        <v>#DIV/0!</v>
      </c>
      <c r="AI34" s="65" t="e">
        <f>AL34*#REF!</f>
        <v>#DIV/0!</v>
      </c>
      <c r="AJ34" s="65" t="e">
        <f>C34*AM34</f>
        <v>#REF!</v>
      </c>
      <c r="AK34" s="68" t="e">
        <f>AI34-AE34</f>
        <v>#DIV/0!</v>
      </c>
      <c r="AL34" s="65" t="e">
        <f>C34*AR34</f>
        <v>#DIV/0!</v>
      </c>
      <c r="AM34" s="23" t="e">
        <f>AD34/#REF!</f>
        <v>#REF!</v>
      </c>
      <c r="AN34" s="65" t="e">
        <f>SUM(AO34:AP34)</f>
        <v>#DIV/0!</v>
      </c>
      <c r="AO34" s="65" t="e">
        <f>AZ34*BC$13</f>
        <v>#DIV/0!</v>
      </c>
      <c r="AP34" s="68"/>
      <c r="AQ34" s="23" t="e">
        <f>Z34*AV34</f>
        <v>#DIV/0!</v>
      </c>
      <c r="AR34" s="23" t="e">
        <f>AB34/BC$2</f>
        <v>#DIV/0!</v>
      </c>
      <c r="AS34" s="66">
        <f>AVERAGE(AE34,AG34)</f>
        <v>112017.10680291022</v>
      </c>
      <c r="AT34" s="65">
        <f>AS34-(AW34*AS$45)</f>
        <v>110823.80658466011</v>
      </c>
      <c r="AU34" s="23">
        <f>Z34*AW34</f>
        <v>1.5524845811298009</v>
      </c>
      <c r="AV34" s="23" t="e">
        <f>AF34/BC$5</f>
        <v>#DIV/0!</v>
      </c>
      <c r="AW34" s="23">
        <f>CR34/BC$8</f>
        <v>6.2099383245192034E-2</v>
      </c>
      <c r="AX34" s="23" t="e">
        <f>BP34/BC$11</f>
        <v>#DIV/0!</v>
      </c>
      <c r="AY34" s="23"/>
      <c r="AZ34" s="23" t="e">
        <f>Z34*AX34</f>
        <v>#DIV/0!</v>
      </c>
      <c r="BA34" s="23"/>
      <c r="BD34">
        <v>970</v>
      </c>
      <c r="BE34">
        <v>962</v>
      </c>
      <c r="BF34">
        <f t="shared" si="47"/>
        <v>8</v>
      </c>
      <c r="BG34">
        <v>129</v>
      </c>
      <c r="BH34">
        <v>725</v>
      </c>
      <c r="BI34" s="34">
        <v>1193</v>
      </c>
      <c r="BJ34" s="34">
        <v>438</v>
      </c>
      <c r="BK34" s="34">
        <f t="shared" si="8"/>
        <v>384.90000000000003</v>
      </c>
      <c r="BL34" s="34">
        <f t="shared" si="9"/>
        <v>286.41624579124579</v>
      </c>
      <c r="BM34" s="34">
        <f t="shared" si="10"/>
        <v>187.96877499999999</v>
      </c>
      <c r="BN34" s="34">
        <f t="shared" si="18"/>
        <v>906.58375420875427</v>
      </c>
      <c r="BO34" s="34">
        <f t="shared" si="48"/>
        <v>438.58375420875421</v>
      </c>
      <c r="BP34" s="25">
        <f t="shared" si="20"/>
        <v>1.1820484236990561</v>
      </c>
      <c r="BQ34" s="75">
        <f t="shared" si="21"/>
        <v>250.03122500000001</v>
      </c>
      <c r="BR34" s="25">
        <f t="shared" si="22"/>
        <v>1.0529290576735699</v>
      </c>
      <c r="BS34" s="25">
        <f t="shared" si="23"/>
        <v>1.1064176139040311</v>
      </c>
      <c r="BT34">
        <v>120</v>
      </c>
      <c r="BU34">
        <f t="shared" si="24"/>
        <v>841</v>
      </c>
      <c r="BV34">
        <v>842</v>
      </c>
      <c r="BW34" s="25">
        <v>1.7230000000000001</v>
      </c>
      <c r="BX34" s="23">
        <v>1.516</v>
      </c>
      <c r="BY34" s="34">
        <v>42900</v>
      </c>
      <c r="BZ34" s="75">
        <v>42900</v>
      </c>
      <c r="CA34">
        <v>62260</v>
      </c>
      <c r="CB34" s="34">
        <v>42900</v>
      </c>
      <c r="CC34" s="34">
        <v>42900</v>
      </c>
      <c r="CD34" s="34">
        <f t="shared" si="11"/>
        <v>59193.297558922561</v>
      </c>
      <c r="CE34" s="34">
        <f t="shared" si="12"/>
        <v>92224</v>
      </c>
      <c r="CF34" s="34">
        <f t="shared" si="49"/>
        <v>-16293.297558922561</v>
      </c>
      <c r="CG34" s="34">
        <f t="shared" si="26"/>
        <v>-49324</v>
      </c>
      <c r="CH34" s="23">
        <f t="shared" si="27"/>
        <v>-0.15029531612872143</v>
      </c>
      <c r="CI34" s="36">
        <f t="shared" si="13"/>
        <v>-6.9051207143137991E-2</v>
      </c>
      <c r="CJ34" s="225">
        <f t="shared" si="28"/>
        <v>0.63623008548516347</v>
      </c>
      <c r="CK34" s="34">
        <v>67044.100000000006</v>
      </c>
      <c r="CL34">
        <f t="shared" si="51"/>
        <v>-25637</v>
      </c>
      <c r="CM34" s="34">
        <f t="shared" si="50"/>
        <v>-24144.100000000006</v>
      </c>
      <c r="CN34" s="23">
        <v>-5.2999999999999999E-2</v>
      </c>
      <c r="CO34" s="23">
        <f t="shared" si="45"/>
        <v>-7.6907012035002012E-2</v>
      </c>
      <c r="CP34" s="23">
        <f t="shared" si="30"/>
        <v>0.88839999999999997</v>
      </c>
      <c r="CQ34" s="25">
        <f t="shared" si="31"/>
        <v>0.64911092776794499</v>
      </c>
      <c r="CR34" s="25">
        <f t="shared" si="32"/>
        <v>0.60413695174688675</v>
      </c>
    </row>
    <row r="35" spans="1:96" x14ac:dyDescent="0.25">
      <c r="A35" s="9" t="s">
        <v>111</v>
      </c>
      <c r="B35" s="115" t="s">
        <v>189</v>
      </c>
      <c r="C35" s="1">
        <f t="shared" si="0"/>
        <v>32</v>
      </c>
      <c r="D35">
        <v>0</v>
      </c>
      <c r="E35" s="11">
        <v>21</v>
      </c>
      <c r="F35">
        <v>0</v>
      </c>
      <c r="G35">
        <v>0</v>
      </c>
      <c r="H35">
        <v>0</v>
      </c>
      <c r="I35">
        <v>11</v>
      </c>
      <c r="J35">
        <v>0</v>
      </c>
      <c r="K35">
        <v>0</v>
      </c>
      <c r="L35" s="107">
        <v>109.5</v>
      </c>
      <c r="M35" s="108">
        <v>23</v>
      </c>
      <c r="N35" s="94">
        <f t="shared" si="1"/>
        <v>3.421875</v>
      </c>
      <c r="O35" s="96">
        <v>0.71875</v>
      </c>
      <c r="P35" s="105">
        <f>O35/O45</f>
        <v>6.6480844423747387E-3</v>
      </c>
      <c r="Q35" s="106">
        <f t="shared" si="43"/>
        <v>1.9433784168564242E-2</v>
      </c>
      <c r="R35" s="75">
        <v>0</v>
      </c>
      <c r="S35" s="34">
        <v>0</v>
      </c>
      <c r="T35" s="34">
        <f t="shared" si="3"/>
        <v>0</v>
      </c>
      <c r="U35" s="34">
        <f t="shared" si="4"/>
        <v>0</v>
      </c>
      <c r="V35" s="47">
        <f>U35/U45</f>
        <v>0</v>
      </c>
      <c r="W35" s="47">
        <f t="shared" si="44"/>
        <v>0</v>
      </c>
      <c r="X35" s="47">
        <f t="shared" si="16"/>
        <v>3.9888506654248432E-3</v>
      </c>
      <c r="Y35" s="47">
        <f t="shared" si="17"/>
        <v>1.1660270501138544E-2</v>
      </c>
      <c r="Z35" s="217">
        <v>34</v>
      </c>
      <c r="AA35" s="26">
        <v>-0.24624609194613473</v>
      </c>
      <c r="AB35" s="26">
        <f t="shared" si="46"/>
        <v>-0.34332554221334716</v>
      </c>
      <c r="AC35" s="26">
        <v>-0.29699999999999999</v>
      </c>
      <c r="AD35">
        <v>-0.52900000000000003</v>
      </c>
      <c r="AE35" s="294"/>
      <c r="AF35" s="282">
        <v>-0.33742881734524532</v>
      </c>
      <c r="AG35" s="294"/>
      <c r="AH35" s="210"/>
      <c r="AI35" s="37"/>
      <c r="AJ35" s="37"/>
      <c r="AK35" s="67"/>
      <c r="AL35" s="37"/>
      <c r="AM35" s="23"/>
      <c r="AN35" s="37"/>
      <c r="AO35" s="60"/>
      <c r="AP35" s="68"/>
      <c r="AQ35" s="23"/>
      <c r="AR35" s="23"/>
      <c r="AS35" s="37"/>
      <c r="AT35" s="60"/>
      <c r="AU35" s="23"/>
      <c r="AV35" s="23"/>
      <c r="AW35" s="23"/>
      <c r="AX35" s="23"/>
      <c r="AY35" s="23"/>
      <c r="AZ35" s="23"/>
      <c r="BA35" s="23"/>
      <c r="BD35">
        <v>219</v>
      </c>
      <c r="BE35">
        <v>224</v>
      </c>
      <c r="BF35">
        <f t="shared" si="47"/>
        <v>-5</v>
      </c>
      <c r="BG35">
        <v>172</v>
      </c>
      <c r="BH35">
        <v>317</v>
      </c>
      <c r="BI35" s="34">
        <v>427</v>
      </c>
      <c r="BJ35" s="34">
        <v>198</v>
      </c>
      <c r="BK35" s="34">
        <f t="shared" si="8"/>
        <v>523.46400000000006</v>
      </c>
      <c r="BL35" s="34">
        <f t="shared" si="9"/>
        <v>389.52609427609428</v>
      </c>
      <c r="BM35" s="34">
        <f t="shared" si="10"/>
        <v>255.63753399999999</v>
      </c>
      <c r="BN35" s="34">
        <f t="shared" si="18"/>
        <v>37.473905723905716</v>
      </c>
      <c r="BO35" s="34">
        <f t="shared" si="48"/>
        <v>-72.526094276094284</v>
      </c>
      <c r="BP35" s="23">
        <f t="shared" si="20"/>
        <v>-0.34567341796488954</v>
      </c>
      <c r="BQ35" s="75">
        <f t="shared" si="21"/>
        <v>-57.637533999999988</v>
      </c>
      <c r="BR35" s="26">
        <f t="shared" si="22"/>
        <v>-0.26800849884833572</v>
      </c>
      <c r="BS35" s="23">
        <f t="shared" si="23"/>
        <v>-0.18296197112796142</v>
      </c>
      <c r="BT35">
        <v>160</v>
      </c>
      <c r="BU35">
        <f t="shared" si="24"/>
        <v>47</v>
      </c>
      <c r="BV35">
        <v>64</v>
      </c>
      <c r="BW35" s="23">
        <v>-0.36</v>
      </c>
      <c r="BX35" s="23">
        <v>-0.39400000000000002</v>
      </c>
      <c r="BY35" s="34">
        <v>0</v>
      </c>
      <c r="BZ35" s="75">
        <v>0</v>
      </c>
      <c r="CA35">
        <v>85380</v>
      </c>
      <c r="CB35" s="34">
        <v>0</v>
      </c>
      <c r="CC35" s="34">
        <v>0</v>
      </c>
      <c r="CD35" s="34">
        <f t="shared" si="11"/>
        <v>80502.884680134681</v>
      </c>
      <c r="CE35" s="34">
        <f t="shared" si="12"/>
        <v>125424.64</v>
      </c>
      <c r="CF35" s="34">
        <f t="shared" si="49"/>
        <v>-80502.884680134681</v>
      </c>
      <c r="CG35" s="34">
        <f t="shared" si="26"/>
        <v>-125424.64</v>
      </c>
      <c r="CH35" s="23">
        <f t="shared" si="27"/>
        <v>-0.32506191641577892</v>
      </c>
      <c r="CI35" s="36">
        <f t="shared" si="13"/>
        <v>-0.34117227317339471</v>
      </c>
      <c r="CJ35" s="240">
        <f t="shared" si="28"/>
        <v>-0.24624609194613473</v>
      </c>
      <c r="CK35" s="34">
        <v>89585.9</v>
      </c>
      <c r="CL35">
        <f t="shared" si="51"/>
        <v>789283</v>
      </c>
      <c r="CM35" s="34">
        <f t="shared" si="50"/>
        <v>-89585.9</v>
      </c>
      <c r="CN35" s="23">
        <v>-0.20100000000000001</v>
      </c>
      <c r="CO35" s="23">
        <f t="shared" si="45"/>
        <v>-0.26731385553336784</v>
      </c>
      <c r="CP35" s="23">
        <f t="shared" si="30"/>
        <v>-0.31680000000000003</v>
      </c>
      <c r="CQ35" s="23">
        <f t="shared" si="31"/>
        <v>-0.33742881734524532</v>
      </c>
      <c r="CR35" s="23">
        <f t="shared" si="32"/>
        <v>-0.29727400857835928</v>
      </c>
    </row>
    <row r="36" spans="1:96" x14ac:dyDescent="0.25">
      <c r="A36" s="9" t="s">
        <v>114</v>
      </c>
      <c r="B36" s="115" t="s">
        <v>190</v>
      </c>
      <c r="C36" s="1">
        <f t="shared" si="0"/>
        <v>33</v>
      </c>
      <c r="D36">
        <v>0</v>
      </c>
      <c r="E36">
        <v>16</v>
      </c>
      <c r="F36">
        <v>0</v>
      </c>
      <c r="G36">
        <v>0</v>
      </c>
      <c r="H36">
        <v>0</v>
      </c>
      <c r="I36" s="12">
        <v>17</v>
      </c>
      <c r="J36">
        <v>0</v>
      </c>
      <c r="K36">
        <v>0</v>
      </c>
      <c r="L36" s="107">
        <v>208.5</v>
      </c>
      <c r="M36" s="108">
        <v>38.5</v>
      </c>
      <c r="N36" s="94">
        <f t="shared" si="1"/>
        <v>6.3181818181818183</v>
      </c>
      <c r="O36" s="96">
        <v>1.1666666666666667</v>
      </c>
      <c r="P36" s="105">
        <f>O36/O45</f>
        <v>1.0791093587622765E-2</v>
      </c>
      <c r="Q36" s="106">
        <f t="shared" si="43"/>
        <v>3.5882719793181299E-2</v>
      </c>
      <c r="R36" s="75">
        <v>121617</v>
      </c>
      <c r="S36" s="34">
        <v>119784</v>
      </c>
      <c r="T36" s="34">
        <f t="shared" si="3"/>
        <v>3685.3636363636365</v>
      </c>
      <c r="U36" s="34">
        <f t="shared" si="4"/>
        <v>3629.818181818182</v>
      </c>
      <c r="V36" s="47">
        <f>U36/U45</f>
        <v>2.9483674444256435E-2</v>
      </c>
      <c r="W36" s="47">
        <f t="shared" si="44"/>
        <v>3.3978865460513062E-2</v>
      </c>
      <c r="X36" s="47">
        <f t="shared" si="16"/>
        <v>1.8268125930276234E-2</v>
      </c>
      <c r="Y36" s="47">
        <f t="shared" si="17"/>
        <v>3.5121178060114007E-2</v>
      </c>
      <c r="Z36" s="217">
        <v>27</v>
      </c>
      <c r="AA36" s="25">
        <v>0.95884335161792</v>
      </c>
      <c r="AB36" s="26">
        <f t="shared" si="46"/>
        <v>0.10993214016400563</v>
      </c>
      <c r="AC36" s="26">
        <v>0.113</v>
      </c>
      <c r="AD36">
        <v>-0.34399999999999997</v>
      </c>
      <c r="AE36" s="294">
        <v>0</v>
      </c>
      <c r="AF36" s="284">
        <v>0.53173462378398495</v>
      </c>
      <c r="AG36" s="295">
        <f>AU36*BC$16</f>
        <v>214514.84939630068</v>
      </c>
      <c r="AH36" s="272" t="e">
        <f>AQ36*#REF!</f>
        <v>#DIV/0!</v>
      </c>
      <c r="AI36" s="37"/>
      <c r="AJ36" s="37"/>
      <c r="AK36" s="67"/>
      <c r="AL36" s="37"/>
      <c r="AM36" s="23"/>
      <c r="AN36" s="65" t="e">
        <f>SUM(AO36:AP36)</f>
        <v>#DIV/0!</v>
      </c>
      <c r="AO36" s="65" t="e">
        <f>AZ36*BC$13</f>
        <v>#DIV/0!</v>
      </c>
      <c r="AP36" s="68"/>
      <c r="AQ36" s="23" t="e">
        <f>Z36*AV36</f>
        <v>#DIV/0!</v>
      </c>
      <c r="AR36" s="23"/>
      <c r="AS36" s="66">
        <f>AVERAGE(AE36,AG36)</f>
        <v>107257.42469815034</v>
      </c>
      <c r="AT36" s="65">
        <f>AS36-(AW36*AS$45)</f>
        <v>104950.06661965196</v>
      </c>
      <c r="AU36" s="23">
        <f>Z36*AW36</f>
        <v>3.2420247713423813</v>
      </c>
      <c r="AV36" s="23" t="e">
        <f>AF36/BC$5</f>
        <v>#DIV/0!</v>
      </c>
      <c r="AW36" s="23">
        <f>CR36/BC$8</f>
        <v>0.12007499153119931</v>
      </c>
      <c r="AX36" s="23" t="e">
        <f>BP36/BC$11</f>
        <v>#DIV/0!</v>
      </c>
      <c r="AY36" s="23"/>
      <c r="AZ36" s="23" t="e">
        <f>Z36*AX36</f>
        <v>#DIV/0!</v>
      </c>
      <c r="BA36" s="23"/>
      <c r="BD36">
        <v>417</v>
      </c>
      <c r="BE36">
        <v>443</v>
      </c>
      <c r="BF36">
        <f t="shared" si="47"/>
        <v>-26</v>
      </c>
      <c r="BG36">
        <v>177</v>
      </c>
      <c r="BH36">
        <v>893</v>
      </c>
      <c r="BI36" s="34">
        <v>1054</v>
      </c>
      <c r="BJ36" s="34">
        <v>632</v>
      </c>
      <c r="BK36" s="34">
        <f t="shared" si="8"/>
        <v>415.69200000000001</v>
      </c>
      <c r="BL36" s="34">
        <f t="shared" si="9"/>
        <v>309.3295454545455</v>
      </c>
      <c r="BM36" s="34">
        <f t="shared" si="10"/>
        <v>203.00627700000001</v>
      </c>
      <c r="BN36" s="34">
        <f t="shared" si="18"/>
        <v>744.6704545454545</v>
      </c>
      <c r="BO36" s="34">
        <f t="shared" si="48"/>
        <v>583.6704545454545</v>
      </c>
      <c r="BP36" s="25">
        <f t="shared" si="20"/>
        <v>0.89743712308759505</v>
      </c>
      <c r="BQ36" s="75">
        <f t="shared" si="21"/>
        <v>428.99372299999999</v>
      </c>
      <c r="BR36" s="25">
        <f t="shared" si="22"/>
        <v>1.8212822878992505</v>
      </c>
      <c r="BS36" s="25">
        <f t="shared" si="23"/>
        <v>1.4724286192257985</v>
      </c>
      <c r="BT36">
        <v>165</v>
      </c>
      <c r="BU36">
        <f t="shared" si="24"/>
        <v>240</v>
      </c>
      <c r="BV36">
        <v>278</v>
      </c>
      <c r="BW36" s="23">
        <v>0.14599999999999999</v>
      </c>
      <c r="BX36" s="23">
        <v>0.13100000000000001</v>
      </c>
      <c r="BY36" s="34">
        <v>121617</v>
      </c>
      <c r="BZ36" s="75">
        <v>121617</v>
      </c>
      <c r="CA36">
        <v>88314</v>
      </c>
      <c r="CB36" s="34">
        <v>108399</v>
      </c>
      <c r="CC36" s="34">
        <v>108399</v>
      </c>
      <c r="CD36" s="34">
        <f t="shared" si="11"/>
        <v>63928.761363636368</v>
      </c>
      <c r="CE36" s="34">
        <f t="shared" si="12"/>
        <v>99601.919999999998</v>
      </c>
      <c r="CF36" s="34">
        <f t="shared" si="49"/>
        <v>44470.238636363632</v>
      </c>
      <c r="CG36" s="34">
        <f t="shared" si="26"/>
        <v>8797.0800000000017</v>
      </c>
      <c r="CH36" s="23">
        <f t="shared" si="27"/>
        <v>-1.6819125171429999E-2</v>
      </c>
      <c r="CI36" s="225">
        <f t="shared" si="13"/>
        <v>0.18846545020610225</v>
      </c>
      <c r="CJ36" s="225">
        <f t="shared" si="28"/>
        <v>0.95884335161792</v>
      </c>
      <c r="CK36" s="34">
        <v>92406.86</v>
      </c>
      <c r="CL36">
        <f t="shared" si="51"/>
        <v>-45414</v>
      </c>
      <c r="CM36" s="34">
        <f t="shared" si="50"/>
        <v>29210.14</v>
      </c>
      <c r="CN36" s="23">
        <v>6.5000000000000002E-2</v>
      </c>
      <c r="CO36" s="23">
        <f t="shared" si="45"/>
        <v>7.8330350410014057E-2</v>
      </c>
      <c r="CP36" s="23">
        <f t="shared" si="30"/>
        <v>0.1046</v>
      </c>
      <c r="CQ36" s="25">
        <f t="shared" si="31"/>
        <v>0.53173462378398495</v>
      </c>
      <c r="CR36" s="25">
        <f t="shared" si="32"/>
        <v>1.1681555528219911</v>
      </c>
    </row>
    <row r="37" spans="1:96" x14ac:dyDescent="0.25">
      <c r="A37" s="9" t="s">
        <v>118</v>
      </c>
      <c r="B37" s="9" t="s">
        <v>119</v>
      </c>
      <c r="C37" s="1">
        <f t="shared" si="0"/>
        <v>17</v>
      </c>
      <c r="D37">
        <v>0</v>
      </c>
      <c r="E37">
        <v>17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07">
        <v>149.5</v>
      </c>
      <c r="M37" s="108">
        <v>8</v>
      </c>
      <c r="N37" s="94">
        <f t="shared" si="1"/>
        <v>8.7941176470588243</v>
      </c>
      <c r="O37" s="96">
        <v>0.47058823529411764</v>
      </c>
      <c r="P37" s="105">
        <f>O37/O45</f>
        <v>4.3527100185369125E-3</v>
      </c>
      <c r="Q37" s="106">
        <f t="shared" si="43"/>
        <v>4.9944251121359834E-2</v>
      </c>
      <c r="R37" s="75">
        <v>0</v>
      </c>
      <c r="S37" s="34">
        <v>720</v>
      </c>
      <c r="T37" s="34">
        <f t="shared" si="3"/>
        <v>0</v>
      </c>
      <c r="U37" s="34">
        <f t="shared" si="4"/>
        <v>42.352941176470587</v>
      </c>
      <c r="V37" s="47">
        <f>U37/U45</f>
        <v>3.4401732176522293E-4</v>
      </c>
      <c r="W37" s="47">
        <f t="shared" si="44"/>
        <v>0</v>
      </c>
      <c r="X37" s="47">
        <f t="shared" si="16"/>
        <v>2.7492329398282368E-3</v>
      </c>
      <c r="Y37" s="47">
        <f t="shared" si="17"/>
        <v>2.9966550672815898E-2</v>
      </c>
      <c r="Z37" s="217">
        <v>16</v>
      </c>
      <c r="AA37" s="26">
        <v>0.17598166380328245</v>
      </c>
      <c r="AB37" s="26">
        <f t="shared" si="46"/>
        <v>-7.21895563413191E-2</v>
      </c>
      <c r="AC37" s="26">
        <v>-5.0000000000000001E-3</v>
      </c>
      <c r="AD37">
        <v>-0.42499999999999999</v>
      </c>
      <c r="AE37" s="294"/>
      <c r="AF37" s="282">
        <v>2.2352455171292251E-3</v>
      </c>
      <c r="AG37" s="294"/>
      <c r="AH37" s="210"/>
      <c r="AI37" s="37"/>
      <c r="AJ37" s="37"/>
      <c r="AK37" s="67"/>
      <c r="AL37" s="37"/>
      <c r="AM37" s="23"/>
      <c r="AN37" s="37"/>
      <c r="AO37" s="60"/>
      <c r="AP37" s="68"/>
      <c r="AQ37" s="23"/>
      <c r="AR37" s="23"/>
      <c r="AS37" s="37"/>
      <c r="AT37" s="60"/>
      <c r="AU37" s="23"/>
      <c r="AV37" s="23"/>
      <c r="AW37" s="23"/>
      <c r="AX37" s="23"/>
      <c r="AY37" s="23"/>
      <c r="AZ37" s="23"/>
      <c r="BA37" s="23"/>
      <c r="BD37">
        <v>299</v>
      </c>
      <c r="BE37">
        <v>300</v>
      </c>
      <c r="BF37">
        <f t="shared" si="47"/>
        <v>-1</v>
      </c>
      <c r="BG37">
        <v>91</v>
      </c>
      <c r="BH37">
        <v>342</v>
      </c>
      <c r="BI37" s="34">
        <v>485</v>
      </c>
      <c r="BJ37" s="34">
        <v>271</v>
      </c>
      <c r="BK37" s="34">
        <f t="shared" si="8"/>
        <v>246.33600000000001</v>
      </c>
      <c r="BL37" s="34">
        <f t="shared" si="9"/>
        <v>183.30639730639732</v>
      </c>
      <c r="BM37" s="34">
        <f t="shared" si="10"/>
        <v>120.300016</v>
      </c>
      <c r="BN37" s="34">
        <f t="shared" si="18"/>
        <v>301.69360269360266</v>
      </c>
      <c r="BO37" s="34">
        <f t="shared" si="48"/>
        <v>158.69360269360268</v>
      </c>
      <c r="BP37" s="23">
        <f t="shared" si="20"/>
        <v>0.11877213257413657</v>
      </c>
      <c r="BQ37" s="75">
        <f t="shared" si="21"/>
        <v>150.699984</v>
      </c>
      <c r="BR37" s="26">
        <f t="shared" si="22"/>
        <v>0.62646272680756032</v>
      </c>
      <c r="BS37" s="23">
        <f t="shared" si="23"/>
        <v>0.40033721164810437</v>
      </c>
      <c r="BT37">
        <v>85</v>
      </c>
      <c r="BU37">
        <f t="shared" si="24"/>
        <v>208</v>
      </c>
      <c r="BV37">
        <v>215</v>
      </c>
      <c r="BW37" s="23">
        <v>6.2E-2</v>
      </c>
      <c r="BX37" s="23">
        <v>-2.4E-2</v>
      </c>
      <c r="BY37" s="34">
        <v>0</v>
      </c>
      <c r="BZ37" s="75">
        <v>0</v>
      </c>
      <c r="CA37">
        <v>42639</v>
      </c>
      <c r="CB37" s="34">
        <v>0</v>
      </c>
      <c r="CC37" s="34">
        <v>0</v>
      </c>
      <c r="CD37" s="34">
        <f t="shared" si="11"/>
        <v>37883.710437710441</v>
      </c>
      <c r="CE37" s="34">
        <f t="shared" si="12"/>
        <v>59023.360000000001</v>
      </c>
      <c r="CF37" s="34">
        <f t="shared" si="49"/>
        <v>-37883.710437710441</v>
      </c>
      <c r="CG37" s="34">
        <f t="shared" si="26"/>
        <v>-59023.360000000001</v>
      </c>
      <c r="CH37" s="23">
        <f t="shared" si="27"/>
        <v>-0.17257008506838178</v>
      </c>
      <c r="CI37" s="36">
        <f t="shared" si="13"/>
        <v>-0.16055165796395043</v>
      </c>
      <c r="CJ37" s="240">
        <f t="shared" si="28"/>
        <v>0.17598166380328245</v>
      </c>
      <c r="CK37" s="34">
        <v>47366.47</v>
      </c>
      <c r="CL37">
        <f t="shared" si="51"/>
        <v>-42639</v>
      </c>
      <c r="CM37" s="34">
        <f t="shared" si="50"/>
        <v>-47366.47</v>
      </c>
      <c r="CN37" s="23">
        <v>-0.106</v>
      </c>
      <c r="CO37" s="23">
        <f t="shared" si="45"/>
        <v>-0.14447389085329776</v>
      </c>
      <c r="CP37" s="23">
        <f t="shared" si="30"/>
        <v>-5.6800000000000003E-2</v>
      </c>
      <c r="CQ37" s="23">
        <f t="shared" si="31"/>
        <v>2.2352455171292251E-3</v>
      </c>
      <c r="CR37" s="23">
        <f t="shared" si="32"/>
        <v>0.311656972898956</v>
      </c>
    </row>
    <row r="38" spans="1:96" x14ac:dyDescent="0.25">
      <c r="A38" s="9" t="s">
        <v>129</v>
      </c>
      <c r="B38" s="9" t="s">
        <v>132</v>
      </c>
      <c r="C38" s="1">
        <f t="shared" si="0"/>
        <v>17</v>
      </c>
      <c r="D38">
        <v>0</v>
      </c>
      <c r="E38">
        <v>0</v>
      </c>
      <c r="F38">
        <v>0</v>
      </c>
      <c r="G38">
        <v>17</v>
      </c>
      <c r="H38">
        <v>0</v>
      </c>
      <c r="I38">
        <v>0</v>
      </c>
      <c r="J38">
        <v>0</v>
      </c>
      <c r="K38">
        <v>0</v>
      </c>
      <c r="L38" s="107">
        <v>82</v>
      </c>
      <c r="M38" s="108">
        <v>49</v>
      </c>
      <c r="N38" s="94">
        <f t="shared" si="1"/>
        <v>4.8235294117647056</v>
      </c>
      <c r="O38" s="96">
        <v>2.8823529411764706</v>
      </c>
      <c r="P38" s="105">
        <f>O38/O45</f>
        <v>2.6660348863538592E-2</v>
      </c>
      <c r="Q38" s="106">
        <f t="shared" si="43"/>
        <v>2.7394171183622112E-2</v>
      </c>
      <c r="R38" s="75">
        <v>0</v>
      </c>
      <c r="S38" s="34">
        <v>0</v>
      </c>
      <c r="T38" s="34">
        <f t="shared" si="3"/>
        <v>0</v>
      </c>
      <c r="U38" s="34">
        <f t="shared" si="4"/>
        <v>0</v>
      </c>
      <c r="V38" s="47">
        <f>U38/U45</f>
        <v>0</v>
      </c>
      <c r="W38" s="47">
        <f t="shared" si="44"/>
        <v>0</v>
      </c>
      <c r="X38" s="47">
        <f t="shared" si="16"/>
        <v>1.5996209318123154E-2</v>
      </c>
      <c r="Y38" s="47">
        <f t="shared" si="17"/>
        <v>1.6436502710173266E-2</v>
      </c>
      <c r="Z38" s="217">
        <v>20</v>
      </c>
      <c r="AA38" s="26">
        <v>-0.14253568911223574</v>
      </c>
      <c r="AB38" s="26">
        <f t="shared" si="46"/>
        <v>-0.27198955634131905</v>
      </c>
      <c r="AC38" s="26">
        <v>-0.218</v>
      </c>
      <c r="AD38">
        <v>-0.253</v>
      </c>
      <c r="AE38" s="294"/>
      <c r="AF38" s="282">
        <v>-0.30117380606457478</v>
      </c>
      <c r="AG38" s="294"/>
      <c r="AH38" s="210"/>
      <c r="AI38" s="37"/>
      <c r="AJ38" s="37"/>
      <c r="AK38" s="67"/>
      <c r="AL38" s="37"/>
      <c r="AM38" s="23"/>
      <c r="AN38" s="37"/>
      <c r="AO38" s="60"/>
      <c r="AP38" s="68"/>
      <c r="AQ38" s="23"/>
      <c r="AR38" s="23"/>
      <c r="AS38" s="37"/>
      <c r="AT38" s="60"/>
      <c r="AU38" s="23"/>
      <c r="AV38" s="23"/>
      <c r="AW38" s="23"/>
      <c r="AX38" s="23"/>
      <c r="AY38" s="23"/>
      <c r="AZ38" s="23"/>
      <c r="BA38" s="23"/>
      <c r="BD38">
        <v>164</v>
      </c>
      <c r="BE38">
        <v>164</v>
      </c>
      <c r="BF38">
        <f t="shared" si="47"/>
        <v>0</v>
      </c>
      <c r="BG38">
        <v>91</v>
      </c>
      <c r="BH38">
        <v>188</v>
      </c>
      <c r="BI38" s="34">
        <v>256</v>
      </c>
      <c r="BJ38" s="34">
        <v>103</v>
      </c>
      <c r="BK38" s="34">
        <f t="shared" si="8"/>
        <v>307.92</v>
      </c>
      <c r="BL38" s="34">
        <f t="shared" si="9"/>
        <v>229.13299663299665</v>
      </c>
      <c r="BM38" s="34">
        <f t="shared" si="10"/>
        <v>150.37502000000001</v>
      </c>
      <c r="BN38" s="34">
        <f t="shared" si="18"/>
        <v>26.867003367003349</v>
      </c>
      <c r="BO38" s="34">
        <f t="shared" ref="BO38:BO42" si="52">BH38-BL38</f>
        <v>-41.132996632996651</v>
      </c>
      <c r="BP38" s="23">
        <f t="shared" si="20"/>
        <v>-0.36431823764020016</v>
      </c>
      <c r="BQ38" s="75">
        <f t="shared" si="21"/>
        <v>-47.375020000000006</v>
      </c>
      <c r="BR38" s="26">
        <f t="shared" si="22"/>
        <v>-0.22394767118746872</v>
      </c>
      <c r="BS38" s="23">
        <f t="shared" ref="BS38:BS42" si="53">(BO38-BO$43)/BO$44</f>
        <v>-0.10376643355043422</v>
      </c>
      <c r="BT38">
        <v>85</v>
      </c>
      <c r="BU38">
        <f t="shared" si="24"/>
        <v>73</v>
      </c>
      <c r="BV38">
        <v>79</v>
      </c>
      <c r="BW38" s="23">
        <v>-0.29199999999999998</v>
      </c>
      <c r="BX38" s="23">
        <v>-0.35699999999999998</v>
      </c>
      <c r="BY38" s="34">
        <v>0</v>
      </c>
      <c r="BZ38" s="75">
        <v>0</v>
      </c>
      <c r="CA38">
        <v>42639</v>
      </c>
      <c r="CB38" s="34">
        <v>0</v>
      </c>
      <c r="CC38" s="34">
        <v>0</v>
      </c>
      <c r="CD38" s="34">
        <f t="shared" si="11"/>
        <v>47354.638047138054</v>
      </c>
      <c r="CE38" s="34">
        <f t="shared" si="12"/>
        <v>73779.199999999997</v>
      </c>
      <c r="CF38" s="34">
        <f t="shared" ref="CF38:CF42" si="54">CB38-CD38</f>
        <v>-47354.638047138054</v>
      </c>
      <c r="CG38" s="34">
        <f t="shared" si="26"/>
        <v>-73779.199999999997</v>
      </c>
      <c r="CH38" s="23">
        <f t="shared" si="27"/>
        <v>-0.20645715870113671</v>
      </c>
      <c r="CI38" s="36">
        <f t="shared" ref="CI38:CI42" si="55">(CF38-CF$43)/CF$44</f>
        <v>-0.20068957245493807</v>
      </c>
      <c r="CJ38" s="240">
        <f t="shared" si="28"/>
        <v>-0.14253568911223574</v>
      </c>
      <c r="CK38" s="34">
        <v>47366.47</v>
      </c>
      <c r="CL38">
        <f>BY37-CA38</f>
        <v>-42639</v>
      </c>
      <c r="CM38" s="34">
        <f t="shared" si="50"/>
        <v>-47366.47</v>
      </c>
      <c r="CN38" s="23">
        <v>-0.106</v>
      </c>
      <c r="CO38" s="23">
        <f t="shared" si="45"/>
        <v>-0.14447389085329776</v>
      </c>
      <c r="CP38" s="23">
        <f t="shared" si="30"/>
        <v>-0.25659999999999999</v>
      </c>
      <c r="CQ38" s="23">
        <f t="shared" si="31"/>
        <v>-0.30117380606457478</v>
      </c>
      <c r="CR38" s="23">
        <f t="shared" si="32"/>
        <v>-0.21464443169445646</v>
      </c>
    </row>
    <row r="39" spans="1:96" x14ac:dyDescent="0.25">
      <c r="A39" s="7" t="s">
        <v>129</v>
      </c>
      <c r="B39" s="7" t="s">
        <v>134</v>
      </c>
      <c r="C39" s="1">
        <f t="shared" si="0"/>
        <v>27</v>
      </c>
      <c r="D39">
        <v>0</v>
      </c>
      <c r="E39">
        <v>0</v>
      </c>
      <c r="F39">
        <v>27</v>
      </c>
      <c r="G39">
        <v>0</v>
      </c>
      <c r="H39">
        <v>0</v>
      </c>
      <c r="I39">
        <v>0</v>
      </c>
      <c r="J39">
        <v>0</v>
      </c>
      <c r="K39">
        <v>0</v>
      </c>
      <c r="L39" s="107">
        <v>82.5</v>
      </c>
      <c r="M39" s="108">
        <v>37.5</v>
      </c>
      <c r="N39" s="94">
        <f t="shared" si="1"/>
        <v>3.0555555555555554</v>
      </c>
      <c r="O39" s="96">
        <v>1.3888888888888888</v>
      </c>
      <c r="P39" s="105">
        <f>O39/O45</f>
        <v>1.2846539985265195E-2</v>
      </c>
      <c r="Q39" s="106">
        <f t="shared" si="43"/>
        <v>1.7353353696942193E-2</v>
      </c>
      <c r="R39" s="75">
        <v>0</v>
      </c>
      <c r="S39" s="34">
        <v>0</v>
      </c>
      <c r="T39" s="34">
        <f t="shared" si="3"/>
        <v>0</v>
      </c>
      <c r="U39" s="34">
        <f t="shared" si="4"/>
        <v>0</v>
      </c>
      <c r="V39" s="47">
        <f>U39/U45</f>
        <v>0</v>
      </c>
      <c r="W39" s="47">
        <f t="shared" si="44"/>
        <v>0</v>
      </c>
      <c r="X39" s="47">
        <f t="shared" si="16"/>
        <v>7.7079239911591168E-3</v>
      </c>
      <c r="Y39" s="47">
        <f t="shared" si="17"/>
        <v>1.0412012218165316E-2</v>
      </c>
      <c r="Z39" s="217">
        <v>24</v>
      </c>
      <c r="AA39" s="26">
        <v>-0.28093187503362316</v>
      </c>
      <c r="AB39" s="26">
        <f t="shared" si="46"/>
        <v>-0.37732214123719204</v>
      </c>
      <c r="AC39" s="26">
        <v>-0.32600000000000001</v>
      </c>
      <c r="AD39">
        <v>-0.41199999999999998</v>
      </c>
      <c r="AE39" s="294"/>
      <c r="AF39" s="282">
        <v>-0.38099061715052329</v>
      </c>
      <c r="AG39" s="294"/>
      <c r="AH39" s="210"/>
      <c r="AI39" s="37"/>
      <c r="AJ39" s="37"/>
      <c r="AK39" s="67"/>
      <c r="AL39" s="37"/>
      <c r="AM39" s="23"/>
      <c r="AN39" s="37"/>
      <c r="AO39" s="60"/>
      <c r="AP39" s="68"/>
      <c r="AQ39" s="23"/>
      <c r="AR39" s="23"/>
      <c r="AS39" s="37"/>
      <c r="AT39" s="60"/>
      <c r="AU39" s="23"/>
      <c r="AV39" s="23"/>
      <c r="AW39" s="23"/>
      <c r="AX39" s="23"/>
      <c r="AY39" s="23"/>
      <c r="AZ39" s="23"/>
      <c r="BA39" s="23"/>
      <c r="BD39">
        <v>165</v>
      </c>
      <c r="BE39">
        <v>165</v>
      </c>
      <c r="BF39">
        <f t="shared" si="47"/>
        <v>0</v>
      </c>
      <c r="BG39">
        <v>145</v>
      </c>
      <c r="BH39">
        <v>153</v>
      </c>
      <c r="BI39" s="34">
        <v>239</v>
      </c>
      <c r="BJ39" s="34">
        <v>85</v>
      </c>
      <c r="BK39" s="34">
        <f t="shared" si="8"/>
        <v>369.50400000000002</v>
      </c>
      <c r="BL39" s="34">
        <f t="shared" si="9"/>
        <v>274.95959595959596</v>
      </c>
      <c r="BM39" s="34">
        <f t="shared" si="10"/>
        <v>180.45002399999998</v>
      </c>
      <c r="BN39" s="34">
        <f t="shared" si="18"/>
        <v>-35.959595959595958</v>
      </c>
      <c r="BO39" s="34">
        <f t="shared" si="52"/>
        <v>-121.95959595959596</v>
      </c>
      <c r="BP39" s="23">
        <f t="shared" si="20"/>
        <v>-0.4747548736949444</v>
      </c>
      <c r="BQ39" s="75">
        <f t="shared" si="21"/>
        <v>-95.450023999999985</v>
      </c>
      <c r="BR39" s="26">
        <f t="shared" si="22"/>
        <v>-0.43035172247933484</v>
      </c>
      <c r="BS39" s="23">
        <f t="shared" si="53"/>
        <v>-0.30766813375875479</v>
      </c>
      <c r="BT39">
        <v>135</v>
      </c>
      <c r="BU39">
        <f t="shared" si="24"/>
        <v>20</v>
      </c>
      <c r="BV39">
        <v>30</v>
      </c>
      <c r="BW39" s="23">
        <v>-0.43099999999999999</v>
      </c>
      <c r="BX39" s="23">
        <v>-0.47799999999999998</v>
      </c>
      <c r="BY39" s="34">
        <v>0</v>
      </c>
      <c r="BZ39" s="75">
        <v>0</v>
      </c>
      <c r="CA39">
        <v>70853</v>
      </c>
      <c r="CB39" s="34">
        <v>0</v>
      </c>
      <c r="CC39" s="34">
        <v>0</v>
      </c>
      <c r="CD39" s="34">
        <f t="shared" si="11"/>
        <v>56825.565656565661</v>
      </c>
      <c r="CE39" s="34">
        <f t="shared" si="12"/>
        <v>88535.040000000008</v>
      </c>
      <c r="CF39" s="34">
        <f t="shared" si="54"/>
        <v>-56825.565656565661</v>
      </c>
      <c r="CG39" s="34">
        <f t="shared" si="26"/>
        <v>-88535.040000000008</v>
      </c>
      <c r="CH39" s="23">
        <f t="shared" si="27"/>
        <v>-0.24034423233389163</v>
      </c>
      <c r="CI39" s="36">
        <f t="shared" si="55"/>
        <v>-0.24082748694592571</v>
      </c>
      <c r="CJ39" s="240">
        <f t="shared" si="28"/>
        <v>-0.28093187503362316</v>
      </c>
      <c r="CK39" s="34">
        <v>75491.5</v>
      </c>
      <c r="CL39" t="e">
        <f>#REF!-CA39</f>
        <v>#REF!</v>
      </c>
      <c r="CM39" s="34">
        <f t="shared" si="50"/>
        <v>-75491.5</v>
      </c>
      <c r="CN39" s="23">
        <v>-0.16900000000000001</v>
      </c>
      <c r="CO39" s="23">
        <f t="shared" si="45"/>
        <v>-0.22630535309298008</v>
      </c>
      <c r="CP39" s="23">
        <f t="shared" si="30"/>
        <v>-0.35439999999999999</v>
      </c>
      <c r="CQ39" s="23">
        <f t="shared" si="31"/>
        <v>-0.38099061715052329</v>
      </c>
      <c r="CR39" s="23">
        <f t="shared" si="32"/>
        <v>-0.35454202826597114</v>
      </c>
    </row>
    <row r="40" spans="1:96" x14ac:dyDescent="0.25">
      <c r="A40" s="7" t="s">
        <v>135</v>
      </c>
      <c r="B40" s="116" t="s">
        <v>192</v>
      </c>
      <c r="C40" s="1">
        <f t="shared" si="0"/>
        <v>18</v>
      </c>
      <c r="D40">
        <v>0</v>
      </c>
      <c r="E40" s="8">
        <v>6</v>
      </c>
      <c r="F40">
        <v>0</v>
      </c>
      <c r="G40">
        <v>0</v>
      </c>
      <c r="H40">
        <v>0</v>
      </c>
      <c r="I40" s="8">
        <v>12</v>
      </c>
      <c r="J40">
        <v>0</v>
      </c>
      <c r="K40">
        <v>0</v>
      </c>
      <c r="L40" s="107">
        <v>24.5</v>
      </c>
      <c r="M40" s="108">
        <v>11</v>
      </c>
      <c r="N40" s="94">
        <f t="shared" si="1"/>
        <v>1.3611111111111112</v>
      </c>
      <c r="O40" s="96">
        <v>0.61111111111111116</v>
      </c>
      <c r="P40" s="105">
        <f>O40/O45</f>
        <v>5.6524775935166858E-3</v>
      </c>
      <c r="Q40" s="106">
        <f t="shared" si="43"/>
        <v>7.7301302831833405E-3</v>
      </c>
      <c r="R40" s="75">
        <v>0</v>
      </c>
      <c r="S40" s="34">
        <v>0</v>
      </c>
      <c r="T40" s="34">
        <f t="shared" si="3"/>
        <v>0</v>
      </c>
      <c r="U40" s="34">
        <f t="shared" si="4"/>
        <v>0</v>
      </c>
      <c r="V40" s="47">
        <f>U40/U45</f>
        <v>0</v>
      </c>
      <c r="W40" s="47">
        <f t="shared" si="44"/>
        <v>0</v>
      </c>
      <c r="X40" s="47">
        <f t="shared" si="16"/>
        <v>3.3914865561100113E-3</v>
      </c>
      <c r="Y40" s="47">
        <f t="shared" si="17"/>
        <v>4.6380781699100039E-3</v>
      </c>
      <c r="Z40" s="217">
        <v>16</v>
      </c>
      <c r="AA40" s="26">
        <v>-0.26750994904781261</v>
      </c>
      <c r="AB40" s="26">
        <f t="shared" si="46"/>
        <v>-0.45045738791959755</v>
      </c>
      <c r="AC40" s="26">
        <v>-0.442</v>
      </c>
      <c r="AD40">
        <v>-0.42499999999999999</v>
      </c>
      <c r="AE40" s="294"/>
      <c r="AF40" s="282">
        <v>-0.42069158674135165</v>
      </c>
      <c r="AG40" s="294"/>
      <c r="AH40" s="210"/>
      <c r="AI40" s="37"/>
      <c r="AJ40" s="37"/>
      <c r="AK40" s="67"/>
      <c r="AL40" s="37"/>
      <c r="AM40" s="23"/>
      <c r="AN40" s="37"/>
      <c r="AO40" s="60"/>
      <c r="AP40" s="68"/>
      <c r="AQ40" s="23"/>
      <c r="AR40" s="23"/>
      <c r="AS40" s="37"/>
      <c r="AT40" s="60"/>
      <c r="AU40" s="23"/>
      <c r="AV40" s="23"/>
      <c r="AW40" s="23"/>
      <c r="AX40" s="23"/>
      <c r="AY40" s="23"/>
      <c r="AZ40" s="23"/>
      <c r="BA40" s="23"/>
      <c r="BD40">
        <v>29</v>
      </c>
      <c r="BE40">
        <v>50</v>
      </c>
      <c r="BF40">
        <f t="shared" si="47"/>
        <v>-21</v>
      </c>
      <c r="BG40">
        <v>97</v>
      </c>
      <c r="BH40">
        <v>49</v>
      </c>
      <c r="BI40" s="34">
        <v>84</v>
      </c>
      <c r="BJ40" s="34">
        <v>27</v>
      </c>
      <c r="BK40" s="34">
        <f t="shared" si="8"/>
        <v>246.33600000000001</v>
      </c>
      <c r="BL40" s="34">
        <f t="shared" si="9"/>
        <v>183.30639730639732</v>
      </c>
      <c r="BM40" s="34">
        <f t="shared" si="10"/>
        <v>120.300016</v>
      </c>
      <c r="BN40" s="34">
        <f t="shared" si="18"/>
        <v>-99.306397306397315</v>
      </c>
      <c r="BO40" s="34">
        <f t="shared" si="52"/>
        <v>-134.30639730639732</v>
      </c>
      <c r="BP40" s="23">
        <f t="shared" si="20"/>
        <v>-0.58610592118999827</v>
      </c>
      <c r="BQ40" s="75">
        <f t="shared" si="21"/>
        <v>-93.300015999999999</v>
      </c>
      <c r="BR40" s="26">
        <f t="shared" si="22"/>
        <v>-0.4211209304962511</v>
      </c>
      <c r="BS40" s="23">
        <f t="shared" si="53"/>
        <v>-0.33881547643705406</v>
      </c>
      <c r="BT40">
        <v>90</v>
      </c>
      <c r="BU40">
        <f t="shared" si="24"/>
        <v>-68</v>
      </c>
      <c r="BV40">
        <v>-40</v>
      </c>
      <c r="BW40" s="23">
        <v>-0.66200000000000003</v>
      </c>
      <c r="BX40" s="23">
        <v>-0.64900000000000002</v>
      </c>
      <c r="BY40" s="34">
        <v>0</v>
      </c>
      <c r="BZ40" s="75">
        <v>0</v>
      </c>
      <c r="CA40">
        <v>45400</v>
      </c>
      <c r="CB40" s="34">
        <v>0</v>
      </c>
      <c r="CC40" s="34">
        <v>0</v>
      </c>
      <c r="CD40" s="34">
        <f t="shared" si="11"/>
        <v>37883.710437710441</v>
      </c>
      <c r="CE40" s="34">
        <f t="shared" si="12"/>
        <v>59023.360000000001</v>
      </c>
      <c r="CF40" s="34">
        <f t="shared" si="54"/>
        <v>-37883.710437710441</v>
      </c>
      <c r="CG40" s="34">
        <f t="shared" si="26"/>
        <v>-59023.360000000001</v>
      </c>
      <c r="CH40" s="23">
        <f t="shared" si="27"/>
        <v>-0.17257008506838178</v>
      </c>
      <c r="CI40" s="36">
        <f t="shared" si="55"/>
        <v>-0.16055165796395043</v>
      </c>
      <c r="CJ40" s="240">
        <f t="shared" si="28"/>
        <v>-0.26750994904781261</v>
      </c>
      <c r="CK40" s="34">
        <v>50174.31</v>
      </c>
      <c r="CL40">
        <f t="shared" si="51"/>
        <v>-45400</v>
      </c>
      <c r="CM40" s="34">
        <f t="shared" si="50"/>
        <v>-50174.31</v>
      </c>
      <c r="CN40" s="23">
        <v>-0.112</v>
      </c>
      <c r="CO40" s="23">
        <f t="shared" si="45"/>
        <v>-0.15264346979899379</v>
      </c>
      <c r="CP40" s="23">
        <f t="shared" si="30"/>
        <v>-0.43420000000000003</v>
      </c>
      <c r="CQ40" s="23">
        <f t="shared" si="31"/>
        <v>-0.42069158674135165</v>
      </c>
      <c r="CR40" s="23">
        <f t="shared" si="32"/>
        <v>-0.31689322148333082</v>
      </c>
    </row>
    <row r="41" spans="1:96" x14ac:dyDescent="0.25">
      <c r="A41" s="9" t="s">
        <v>138</v>
      </c>
      <c r="B41" s="115" t="s">
        <v>193</v>
      </c>
      <c r="C41" s="1">
        <f t="shared" si="0"/>
        <v>9</v>
      </c>
      <c r="D41">
        <v>0</v>
      </c>
      <c r="E41">
        <v>1</v>
      </c>
      <c r="F41">
        <v>0</v>
      </c>
      <c r="G41">
        <v>0</v>
      </c>
      <c r="H41">
        <v>0</v>
      </c>
      <c r="I41">
        <v>8</v>
      </c>
      <c r="J41">
        <v>0</v>
      </c>
      <c r="K41">
        <v>0</v>
      </c>
      <c r="L41" s="107">
        <v>8</v>
      </c>
      <c r="M41" s="108">
        <v>3.5</v>
      </c>
      <c r="N41" s="94">
        <f t="shared" si="1"/>
        <v>0.88888888888888884</v>
      </c>
      <c r="O41" s="96">
        <v>0.3888888888888889</v>
      </c>
      <c r="P41" s="105">
        <f>O41/O45</f>
        <v>3.5970311958742544E-3</v>
      </c>
      <c r="Q41" s="106">
        <f t="shared" si="43"/>
        <v>5.0482483482013653E-3</v>
      </c>
      <c r="R41" s="75">
        <v>0</v>
      </c>
      <c r="S41" s="34">
        <v>0</v>
      </c>
      <c r="T41" s="34">
        <f t="shared" si="3"/>
        <v>0</v>
      </c>
      <c r="U41" s="34">
        <f t="shared" si="4"/>
        <v>0</v>
      </c>
      <c r="V41" s="47">
        <f>U41/U45</f>
        <v>0</v>
      </c>
      <c r="W41" s="47">
        <f t="shared" si="44"/>
        <v>0</v>
      </c>
      <c r="X41" s="47">
        <f t="shared" si="16"/>
        <v>2.1582187175245527E-3</v>
      </c>
      <c r="Y41" s="47">
        <f t="shared" si="17"/>
        <v>3.0289490089208189E-3</v>
      </c>
      <c r="Z41" s="217">
        <v>6</v>
      </c>
      <c r="AA41" s="26">
        <v>-0.10239746286450052</v>
      </c>
      <c r="AB41" s="26">
        <f t="shared" si="46"/>
        <v>-0.40490843508993629</v>
      </c>
      <c r="AC41" s="26">
        <v>-0.36399999999999999</v>
      </c>
      <c r="AD41">
        <v>-0.35499999999999998</v>
      </c>
      <c r="AE41" s="294"/>
      <c r="AF41" s="282">
        <v>-0.32925429794541883</v>
      </c>
      <c r="AG41" s="294"/>
      <c r="AH41" s="210"/>
      <c r="AI41" s="37"/>
      <c r="AJ41" s="37"/>
      <c r="AK41" s="67"/>
      <c r="AL41" s="37"/>
      <c r="AM41" s="23"/>
      <c r="AN41" s="37"/>
      <c r="AO41" s="60"/>
      <c r="AP41" s="68"/>
      <c r="AQ41" s="23"/>
      <c r="AR41" s="23"/>
      <c r="AS41" s="37"/>
      <c r="AT41" s="60"/>
      <c r="AU41" s="23"/>
      <c r="AV41" s="23"/>
      <c r="AW41" s="23"/>
      <c r="AX41" s="23"/>
      <c r="AY41" s="23"/>
      <c r="AZ41" s="23"/>
      <c r="BA41" s="23"/>
      <c r="BD41">
        <v>16</v>
      </c>
      <c r="BE41">
        <v>16</v>
      </c>
      <c r="BF41">
        <f t="shared" si="47"/>
        <v>0</v>
      </c>
      <c r="BG41">
        <v>48</v>
      </c>
      <c r="BH41">
        <v>17</v>
      </c>
      <c r="BI41" s="34">
        <v>24</v>
      </c>
      <c r="BJ41" s="34">
        <v>16</v>
      </c>
      <c r="BK41" s="34">
        <f t="shared" si="8"/>
        <v>92.376000000000005</v>
      </c>
      <c r="BL41" s="34">
        <f t="shared" si="9"/>
        <v>68.73989898989899</v>
      </c>
      <c r="BM41" s="34">
        <f t="shared" si="10"/>
        <v>45.112505999999996</v>
      </c>
      <c r="BN41" s="34">
        <f t="shared" si="18"/>
        <v>-44.73989898989899</v>
      </c>
      <c r="BO41" s="34">
        <f t="shared" si="52"/>
        <v>-51.73989898989899</v>
      </c>
      <c r="BP41" s="23">
        <f t="shared" si="20"/>
        <v>-0.49018889591803505</v>
      </c>
      <c r="BQ41" s="75">
        <f t="shared" si="21"/>
        <v>-29.112505999999996</v>
      </c>
      <c r="BR41" s="26">
        <f t="shared" si="22"/>
        <v>-0.14553983836909956</v>
      </c>
      <c r="BS41" s="23">
        <f t="shared" si="53"/>
        <v>-0.13052452361651329</v>
      </c>
      <c r="BT41">
        <v>45</v>
      </c>
      <c r="BU41">
        <f t="shared" si="24"/>
        <v>-32</v>
      </c>
      <c r="BV41">
        <v>-29</v>
      </c>
      <c r="BW41" s="23">
        <v>-0.56799999999999995</v>
      </c>
      <c r="BX41" s="23">
        <v>-0.622</v>
      </c>
      <c r="BY41" s="34">
        <v>0</v>
      </c>
      <c r="BZ41" s="75">
        <v>0</v>
      </c>
      <c r="CA41">
        <v>21213</v>
      </c>
      <c r="CB41" s="34">
        <v>0</v>
      </c>
      <c r="CC41" s="34">
        <v>0</v>
      </c>
      <c r="CD41" s="34">
        <f t="shared" si="11"/>
        <v>14206.391414141415</v>
      </c>
      <c r="CE41" s="34">
        <f t="shared" si="12"/>
        <v>22133.760000000002</v>
      </c>
      <c r="CF41" s="34">
        <f t="shared" si="54"/>
        <v>-14206.391414141415</v>
      </c>
      <c r="CG41" s="34">
        <f t="shared" si="26"/>
        <v>-22133.760000000002</v>
      </c>
      <c r="CH41" s="23">
        <f t="shared" si="27"/>
        <v>-8.785240098649448E-2</v>
      </c>
      <c r="CI41" s="36">
        <f t="shared" si="55"/>
        <v>-6.0206871736481385E-2</v>
      </c>
      <c r="CJ41" s="240">
        <f t="shared" si="28"/>
        <v>-0.10239746286450052</v>
      </c>
      <c r="CK41" s="34">
        <v>24956.62</v>
      </c>
      <c r="CL41">
        <f t="shared" si="51"/>
        <v>-21213</v>
      </c>
      <c r="CM41" s="34">
        <f t="shared" si="50"/>
        <v>-24956.62</v>
      </c>
      <c r="CN41">
        <v>-5.8000000000000003E-2</v>
      </c>
      <c r="CO41" s="23">
        <f t="shared" si="45"/>
        <v>-7.9271087724840789E-2</v>
      </c>
      <c r="CP41" s="23">
        <f t="shared" si="30"/>
        <v>-0.39639999999999997</v>
      </c>
      <c r="CQ41" s="23">
        <f t="shared" si="31"/>
        <v>-0.32925429794541883</v>
      </c>
      <c r="CR41" s="23">
        <f t="shared" si="32"/>
        <v>-0.11140665171605228</v>
      </c>
    </row>
    <row r="42" spans="1:96" ht="15.75" thickBot="1" x14ac:dyDescent="0.3">
      <c r="A42" s="7" t="s">
        <v>139</v>
      </c>
      <c r="B42" s="7" t="s">
        <v>140</v>
      </c>
      <c r="C42" s="1">
        <f t="shared" si="0"/>
        <v>14</v>
      </c>
      <c r="D42">
        <v>0</v>
      </c>
      <c r="E42">
        <v>0</v>
      </c>
      <c r="F42">
        <v>0</v>
      </c>
      <c r="G42">
        <v>0</v>
      </c>
      <c r="H42">
        <v>0</v>
      </c>
      <c r="I42">
        <v>14</v>
      </c>
      <c r="J42">
        <v>0</v>
      </c>
      <c r="K42">
        <v>0</v>
      </c>
      <c r="L42" s="109">
        <v>27</v>
      </c>
      <c r="M42" s="110">
        <v>11</v>
      </c>
      <c r="N42" s="111">
        <f t="shared" si="1"/>
        <v>1.9285714285714286</v>
      </c>
      <c r="O42" s="102">
        <v>0.7857142857142857</v>
      </c>
      <c r="P42" s="112">
        <f>O42/O45</f>
        <v>7.2674711916643096E-3</v>
      </c>
      <c r="Q42" s="113">
        <f t="shared" si="43"/>
        <v>1.0952895969758319E-2</v>
      </c>
      <c r="R42" s="75">
        <v>14977</v>
      </c>
      <c r="S42" s="34">
        <v>0</v>
      </c>
      <c r="T42" s="34">
        <f t="shared" si="3"/>
        <v>1069.7857142857142</v>
      </c>
      <c r="U42" s="34">
        <f t="shared" si="4"/>
        <v>0</v>
      </c>
      <c r="V42" s="47">
        <f>U42/U45</f>
        <v>0</v>
      </c>
      <c r="W42" s="47">
        <f t="shared" si="44"/>
        <v>9.8633699260027297E-3</v>
      </c>
      <c r="X42" s="47">
        <f t="shared" si="16"/>
        <v>4.3604827149985852E-3</v>
      </c>
      <c r="Y42" s="47">
        <f t="shared" si="17"/>
        <v>1.0517085552256084E-2</v>
      </c>
      <c r="Z42" s="217">
        <v>14</v>
      </c>
      <c r="AA42" s="26">
        <v>-0.10405290973705701</v>
      </c>
      <c r="AB42" s="26">
        <f t="shared" si="46"/>
        <v>-0.38516451248099492</v>
      </c>
      <c r="AC42" s="26">
        <v>-0.34499999999999997</v>
      </c>
      <c r="AD42">
        <v>-0.38</v>
      </c>
      <c r="AE42" s="294"/>
      <c r="AF42" s="282">
        <v>-0.33802148200655457</v>
      </c>
      <c r="AG42" s="294"/>
      <c r="AH42" s="210"/>
      <c r="AI42" s="37"/>
      <c r="AJ42" s="37"/>
      <c r="AK42" s="67"/>
      <c r="AL42" s="37"/>
      <c r="AM42" s="23"/>
      <c r="AN42" s="37"/>
      <c r="AO42" s="60"/>
      <c r="AP42" s="68"/>
      <c r="AQ42" s="23"/>
      <c r="AR42" s="23"/>
      <c r="AS42" s="37"/>
      <c r="AT42" s="60"/>
      <c r="AU42" s="23"/>
      <c r="AV42" s="23"/>
      <c r="AW42" s="23"/>
      <c r="AX42" s="23"/>
      <c r="AY42" s="23"/>
      <c r="AZ42" s="23"/>
      <c r="BA42" s="23"/>
      <c r="BD42">
        <v>54</v>
      </c>
      <c r="BE42">
        <v>54</v>
      </c>
      <c r="BF42">
        <f t="shared" si="47"/>
        <v>0</v>
      </c>
      <c r="BG42">
        <v>75</v>
      </c>
      <c r="BH42">
        <v>112</v>
      </c>
      <c r="BI42" s="34">
        <v>120</v>
      </c>
      <c r="BJ42" s="34">
        <v>102</v>
      </c>
      <c r="BK42" s="34">
        <f t="shared" si="8"/>
        <v>215.54400000000001</v>
      </c>
      <c r="BL42" s="34">
        <f t="shared" si="9"/>
        <v>160.39309764309766</v>
      </c>
      <c r="BM42" s="34">
        <f t="shared" si="10"/>
        <v>105.262514</v>
      </c>
      <c r="BN42" s="34">
        <f t="shared" si="18"/>
        <v>-40.393097643097661</v>
      </c>
      <c r="BO42" s="34">
        <f t="shared" si="52"/>
        <v>-48.393097643097661</v>
      </c>
      <c r="BP42" s="23">
        <f t="shared" si="20"/>
        <v>-0.48254808575984881</v>
      </c>
      <c r="BQ42" s="75">
        <f t="shared" si="21"/>
        <v>-3.2625139999999959</v>
      </c>
      <c r="BR42" s="26">
        <f t="shared" si="22"/>
        <v>-3.4556112300926332E-2</v>
      </c>
      <c r="BS42" s="23">
        <f t="shared" si="53"/>
        <v>-0.12208152971898689</v>
      </c>
      <c r="BT42">
        <v>70</v>
      </c>
      <c r="BU42">
        <f t="shared" si="24"/>
        <v>-21</v>
      </c>
      <c r="BV42">
        <v>-16</v>
      </c>
      <c r="BW42" s="23">
        <v>-0.53900000000000003</v>
      </c>
      <c r="BX42" s="23">
        <v>-0.59099999999999997</v>
      </c>
      <c r="BY42" s="34">
        <v>14977</v>
      </c>
      <c r="BZ42" s="75">
        <v>14977</v>
      </c>
      <c r="CA42">
        <v>34455</v>
      </c>
      <c r="CB42" s="34">
        <v>14977</v>
      </c>
      <c r="CC42" s="34">
        <v>14977</v>
      </c>
      <c r="CD42" s="34">
        <f t="shared" si="11"/>
        <v>33148.246632996634</v>
      </c>
      <c r="CE42" s="34">
        <f t="shared" si="12"/>
        <v>51645.440000000002</v>
      </c>
      <c r="CF42" s="34">
        <f t="shared" si="54"/>
        <v>-18171.246632996634</v>
      </c>
      <c r="CG42" s="34">
        <f t="shared" si="26"/>
        <v>-36668.44</v>
      </c>
      <c r="CH42" s="23">
        <f t="shared" si="27"/>
        <v>-0.12123157637661328</v>
      </c>
      <c r="CI42" s="36">
        <f t="shared" si="55"/>
        <v>-7.7009979764162184E-2</v>
      </c>
      <c r="CJ42" s="240">
        <f t="shared" si="28"/>
        <v>-0.10405290973705701</v>
      </c>
      <c r="CK42" s="34">
        <v>38950.720000000001</v>
      </c>
      <c r="CL42">
        <f t="shared" si="51"/>
        <v>-34455</v>
      </c>
      <c r="CM42" s="34">
        <f t="shared" si="50"/>
        <v>-23973.72</v>
      </c>
      <c r="CN42">
        <v>-5.3999999999999999E-2</v>
      </c>
      <c r="CO42" s="23">
        <f t="shared" si="45"/>
        <v>-7.6411281202487427E-2</v>
      </c>
      <c r="CP42" s="23">
        <f t="shared" si="30"/>
        <v>-0.37619999999999998</v>
      </c>
      <c r="CQ42" s="23">
        <f t="shared" si="31"/>
        <v>-0.33802148200655457</v>
      </c>
      <c r="CR42" s="23">
        <f t="shared" si="32"/>
        <v>-5.1537659286220672E-2</v>
      </c>
    </row>
    <row r="43" spans="1:96" x14ac:dyDescent="0.25">
      <c r="C43" s="1">
        <f t="shared" si="0"/>
        <v>2329</v>
      </c>
      <c r="D43" s="1">
        <f t="shared" ref="D43:M43" si="56">SUM(D3:D42)</f>
        <v>394</v>
      </c>
      <c r="E43" s="1">
        <f t="shared" si="56"/>
        <v>184</v>
      </c>
      <c r="F43" s="1">
        <f t="shared" si="56"/>
        <v>176</v>
      </c>
      <c r="G43" s="1">
        <f t="shared" si="56"/>
        <v>591</v>
      </c>
      <c r="H43" s="1">
        <f t="shared" si="56"/>
        <v>205</v>
      </c>
      <c r="I43" s="1">
        <f t="shared" si="56"/>
        <v>520</v>
      </c>
      <c r="J43" s="1">
        <f t="shared" si="56"/>
        <v>147</v>
      </c>
      <c r="K43" s="17">
        <f t="shared" si="56"/>
        <v>112</v>
      </c>
      <c r="L43" s="18">
        <f t="shared" si="56"/>
        <v>9692.5</v>
      </c>
      <c r="M43" s="1">
        <f t="shared" si="56"/>
        <v>6868</v>
      </c>
      <c r="N43" s="53">
        <f t="shared" si="1"/>
        <v>4.1616573636753973</v>
      </c>
      <c r="O43" s="79">
        <v>2.9397693293464333</v>
      </c>
      <c r="P43" s="80">
        <f>SUM(P3:P42)</f>
        <v>0.99999999999999978</v>
      </c>
      <c r="Q43" s="80">
        <f>SUM(Q3:Q42)</f>
        <v>1</v>
      </c>
      <c r="R43" s="114">
        <f>SUM(R3:R42)</f>
        <v>7006819</v>
      </c>
      <c r="S43" s="54">
        <f>SUM(S3:S42)</f>
        <v>6900043</v>
      </c>
      <c r="T43" s="54">
        <f t="shared" si="3"/>
        <v>3008.5096607986261</v>
      </c>
      <c r="U43" s="54">
        <f t="shared" si="4"/>
        <v>2962.6633748389868</v>
      </c>
      <c r="V43" s="80">
        <f>SUM(V3:V42)</f>
        <v>1.0000000000000002</v>
      </c>
      <c r="W43" s="80">
        <f>SUM(W3:W42)</f>
        <v>1</v>
      </c>
      <c r="X43" s="56">
        <f>SUM(X3:X42)</f>
        <v>0.99999999999999967</v>
      </c>
      <c r="Y43" s="56">
        <f>SUM(Y3:Y42)</f>
        <v>1.0000000000000002</v>
      </c>
      <c r="Z43" s="153">
        <f>SUM(Z3:Z42)</f>
        <v>2376</v>
      </c>
      <c r="AA43" s="218"/>
      <c r="AB43" s="80"/>
      <c r="AC43" s="80"/>
      <c r="AD43" s="56"/>
      <c r="AE43" s="297"/>
      <c r="AF43" s="80"/>
      <c r="AG43" s="68"/>
      <c r="AH43" s="68" t="e">
        <f>SUM(AH3:AH42)</f>
        <v>#DIV/0!</v>
      </c>
      <c r="AI43" s="60" t="e">
        <f t="shared" ref="AI43:AM43" si="57">SUM(AI3:AI42)</f>
        <v>#DIV/0!</v>
      </c>
      <c r="AJ43" s="60" t="e">
        <f t="shared" si="57"/>
        <v>#REF!</v>
      </c>
      <c r="AK43" s="68"/>
      <c r="AL43" s="60" t="e">
        <f>SUM(AL3:AL42)</f>
        <v>#DIV/0!</v>
      </c>
      <c r="AM43" s="59" t="e">
        <f t="shared" si="57"/>
        <v>#REF!</v>
      </c>
      <c r="AN43" s="60" t="e">
        <f>SUM(AN3:AN42)</f>
        <v>#DIV/0!</v>
      </c>
      <c r="AO43" s="60" t="e">
        <f>SUM(AO3:AO42)</f>
        <v>#DIV/0!</v>
      </c>
      <c r="AP43" s="68" t="e">
        <f>SUM(AP3:AP42)</f>
        <v>#DIV/0!</v>
      </c>
      <c r="AQ43" s="60" t="e">
        <f>SUM(AQ3:AQ42)</f>
        <v>#DIV/0!</v>
      </c>
      <c r="AR43" s="59" t="e">
        <f>SUM(AR3:AR42)</f>
        <v>#DIV/0!</v>
      </c>
      <c r="AS43" s="60"/>
      <c r="AT43" s="60"/>
      <c r="AU43" s="59">
        <f>SUM(AU3:AU42)</f>
        <v>77.286392949001936</v>
      </c>
      <c r="AV43" s="59"/>
      <c r="AW43" s="59"/>
      <c r="AX43" s="59"/>
      <c r="AY43" s="59"/>
      <c r="AZ43" s="59" t="e">
        <f>SUM(AZ3:AZ42)</f>
        <v>#DIV/0!</v>
      </c>
      <c r="BA43" s="59" t="e">
        <f>SUM(BA3:BA42)</f>
        <v>#DIV/0!</v>
      </c>
      <c r="BD43" s="1">
        <f>SUM(BD3:BD42)</f>
        <v>19465</v>
      </c>
      <c r="BE43" s="1">
        <f>SUM(BE3:BE42)</f>
        <v>20203</v>
      </c>
      <c r="BF43" s="1">
        <f>SUM(BF3:BF42)</f>
        <v>-738</v>
      </c>
      <c r="BH43" s="54">
        <f>SUM(BH38:BH42,BH3:BH16,BH17:BH29,BH30:BH37)</f>
        <v>27221</v>
      </c>
      <c r="BI43" s="54">
        <f>SUM(BI3:BI42)</f>
        <v>36586</v>
      </c>
      <c r="BJ43" s="54">
        <f>SUM(BJ3:BJ42)</f>
        <v>18056</v>
      </c>
      <c r="BK43" s="54"/>
      <c r="BL43" s="1"/>
      <c r="BM43" s="1"/>
      <c r="BN43" s="53">
        <f>AVERAGE(BN3:BN42)</f>
        <v>234.12499999999994</v>
      </c>
      <c r="BO43" s="53">
        <f>AVERAGE(BO3:BO16,BO17:BO29,BO30:BO37,BO38:BO42)</f>
        <v>-2.4868995751603507E-14</v>
      </c>
      <c r="BP43" s="53"/>
      <c r="BQ43" s="54">
        <f>AVERAGE(BQ38:BQ42,BQ3:BQ16,BQ17:BQ29,BQ30:BQ37)</f>
        <v>4.7861906000000172</v>
      </c>
      <c r="BR43" s="79"/>
      <c r="BS43" s="1"/>
      <c r="BY43" s="54">
        <f>SUM(BY3:BY42)</f>
        <v>7006819</v>
      </c>
      <c r="BZ43" s="54">
        <f>SUM(BZ3:BZ42)</f>
        <v>6652560.3599999994</v>
      </c>
      <c r="CB43" s="54">
        <f>SUM(CB38:CB42,CB3:CB16,CB17:CB29,CB30:CB37)</f>
        <v>5625731</v>
      </c>
      <c r="CC43" s="54">
        <f>SUM(CC3:CC42)</f>
        <v>9409802</v>
      </c>
      <c r="CD43" s="54"/>
      <c r="CE43" s="54"/>
      <c r="CF43" s="54">
        <f>AVERAGE(CF38:CF42,CF3:CF16,CF17:CF29,CF30:CF37)</f>
        <v>-1.2369127944111824E-11</v>
      </c>
      <c r="CG43" s="54">
        <f>AVERAGE(CG38:CG42,CG3:CG16,CG17:CG29,CG30:CG37)</f>
        <v>16120.825999999983</v>
      </c>
      <c r="CH43" s="53"/>
      <c r="CI43" s="54"/>
      <c r="CJ43" s="114"/>
    </row>
    <row r="44" spans="1:96" x14ac:dyDescent="0.25">
      <c r="C44" s="1">
        <v>797</v>
      </c>
      <c r="N44" s="81" t="s">
        <v>158</v>
      </c>
      <c r="O44" s="81" t="s">
        <v>158</v>
      </c>
      <c r="S44" s="34"/>
      <c r="T44" s="39" t="s">
        <v>158</v>
      </c>
      <c r="U44" s="39" t="s">
        <v>158</v>
      </c>
      <c r="AB44" s="26"/>
      <c r="AC44" s="16"/>
      <c r="AE44" s="60">
        <f>SUM(AE3:AE43)</f>
        <v>5152235.8581983009</v>
      </c>
      <c r="AG44" s="68">
        <f>SUM(AG3:AG43)</f>
        <v>5113803.9074802594</v>
      </c>
      <c r="AS44" s="60">
        <f>SUM(AS3:AS43)</f>
        <v>5133019.882839282</v>
      </c>
      <c r="AT44" s="60">
        <f>SUM(AT3:AT43)</f>
        <v>5113803.9074802585</v>
      </c>
      <c r="BE44" s="155">
        <f>(BD43/BE43)*100</f>
        <v>96.347077166757416</v>
      </c>
      <c r="BN44" s="53">
        <f>STDEV(BN3:BN42)</f>
        <v>568.89272954181365</v>
      </c>
      <c r="BO44" s="23">
        <f>STDEV(BO3:BO16,BO17:BO29,BO30:BO37,BO38:BO42)</f>
        <v>396.39983013393737</v>
      </c>
      <c r="BP44" s="23"/>
      <c r="BQ44" s="34">
        <f>STDEV(BQ3:BQ16,BQ17:BQ29,BQ30:BQ37,BQ38:BQ42)</f>
        <v>232.91695923167418</v>
      </c>
      <c r="BR44" s="26"/>
      <c r="CF44" s="34">
        <f>STDEV(CF3:CF16,CF17:CF29,CF30:CF37,CF38:CF42)</f>
        <v>235959.63391556297</v>
      </c>
      <c r="CG44" s="34">
        <f>STDEV(CG3:CG16,CG17:CG29,CG30:CG37,CG38:CG42)</f>
        <v>435441.55390677194</v>
      </c>
      <c r="CH44" s="23"/>
      <c r="CI44" s="34"/>
      <c r="CJ44" s="75"/>
      <c r="CL44" s="1" t="s">
        <v>270</v>
      </c>
      <c r="CM44" s="34">
        <f>AVERAGE(CM3:CM15,CM17:CM29,CM30:CM42)</f>
        <v>2288.4231578947329</v>
      </c>
    </row>
    <row r="45" spans="1:96" ht="18.75" x14ac:dyDescent="0.3">
      <c r="A45" s="14"/>
      <c r="C45" s="1">
        <f>C44/C43</f>
        <v>0.34220695577501076</v>
      </c>
      <c r="N45" s="53">
        <f>SUM(N3:N42)</f>
        <v>176.07867671676456</v>
      </c>
      <c r="O45" s="79">
        <f>SUM(O3:O42)</f>
        <v>108.11384936970775</v>
      </c>
      <c r="S45" s="34"/>
      <c r="T45" s="55">
        <f>SUM(T3:T42)</f>
        <v>108460.46759996764</v>
      </c>
      <c r="U45" s="55">
        <f>SUM(U3:U42)</f>
        <v>123112.81582900832</v>
      </c>
      <c r="AB45" s="16"/>
      <c r="AC45" s="16"/>
      <c r="AS45" s="37">
        <f>AS44-AG44</f>
        <v>19215.975359022617</v>
      </c>
      <c r="AT45" s="37"/>
      <c r="CL45" s="1" t="s">
        <v>267</v>
      </c>
      <c r="CM45">
        <f>STDEV(CM3:CM15,CM17:CM29,CM30:CM42)</f>
        <v>343694.57944699161</v>
      </c>
    </row>
    <row r="46" spans="1:96" ht="18.75" x14ac:dyDescent="0.3">
      <c r="A46" s="14"/>
      <c r="Z46" s="277"/>
      <c r="AB46" s="16"/>
      <c r="BC46" s="277" t="s">
        <v>400</v>
      </c>
      <c r="BE46" s="230" t="s">
        <v>343</v>
      </c>
      <c r="BH46" s="58">
        <f>BH43/Z43</f>
        <v>11.456649831649832</v>
      </c>
      <c r="BI46" s="58">
        <f>BI43/Z43</f>
        <v>15.398148148148149</v>
      </c>
      <c r="BJ46" s="58">
        <f>BJ43/Z43</f>
        <v>7.5993265993265995</v>
      </c>
      <c r="BK46" s="58"/>
      <c r="BS46" s="277" t="s">
        <v>400</v>
      </c>
      <c r="BZ46" s="230" t="s">
        <v>343</v>
      </c>
      <c r="CB46" s="37">
        <f>CB43/Z43</f>
        <v>2367.7319023569025</v>
      </c>
      <c r="CC46" s="37">
        <f>CC43/Z43</f>
        <v>3960.3543771043769</v>
      </c>
    </row>
    <row r="47" spans="1:96" ht="18.75" x14ac:dyDescent="0.3">
      <c r="A47" s="14"/>
      <c r="Z47" s="277"/>
      <c r="AB47" s="16"/>
      <c r="BC47" s="277" t="s">
        <v>432</v>
      </c>
      <c r="BE47" s="230" t="s">
        <v>344</v>
      </c>
      <c r="BH47" s="58">
        <v>11.48911</v>
      </c>
      <c r="BI47" s="58">
        <v>15.396000000000001</v>
      </c>
      <c r="BJ47" s="58">
        <v>7.518751</v>
      </c>
      <c r="BK47" s="58"/>
      <c r="BS47" s="277" t="s">
        <v>432</v>
      </c>
      <c r="BZ47" s="230" t="s">
        <v>344</v>
      </c>
      <c r="CB47" s="37">
        <v>2161.375</v>
      </c>
      <c r="CC47" s="37">
        <v>3688.96</v>
      </c>
    </row>
    <row r="48" spans="1:96" ht="18.75" x14ac:dyDescent="0.3">
      <c r="A48" s="14"/>
      <c r="BE48" s="273" t="s">
        <v>395</v>
      </c>
      <c r="BZ48" s="273" t="s">
        <v>396</v>
      </c>
    </row>
    <row r="49" spans="1:1" ht="18.75" x14ac:dyDescent="0.3">
      <c r="A49" s="14"/>
    </row>
    <row r="50" spans="1:1" ht="18.75" x14ac:dyDescent="0.3">
      <c r="A50" s="14"/>
    </row>
    <row r="51" spans="1:1" ht="18.75" x14ac:dyDescent="0.3">
      <c r="A51" s="14"/>
    </row>
    <row r="52" spans="1:1" ht="18.75" x14ac:dyDescent="0.3">
      <c r="A52" s="14"/>
    </row>
    <row r="53" spans="1:1" ht="18.75" x14ac:dyDescent="0.3">
      <c r="A53" s="14"/>
    </row>
    <row r="54" spans="1:1" ht="18.75" x14ac:dyDescent="0.3">
      <c r="A54" s="14"/>
    </row>
    <row r="55" spans="1:1" ht="18.75" x14ac:dyDescent="0.3">
      <c r="A55" s="14"/>
    </row>
    <row r="56" spans="1:1" ht="18.75" x14ac:dyDescent="0.3">
      <c r="A56" s="14"/>
    </row>
    <row r="57" spans="1:1" ht="18.75" x14ac:dyDescent="0.3">
      <c r="A57" s="14"/>
    </row>
    <row r="58" spans="1:1" ht="18.75" x14ac:dyDescent="0.3">
      <c r="A58" s="14"/>
    </row>
    <row r="59" spans="1:1" ht="18.75" x14ac:dyDescent="0.3">
      <c r="A59" s="14"/>
    </row>
    <row r="60" spans="1:1" ht="18.75" x14ac:dyDescent="0.3">
      <c r="A60" s="14"/>
    </row>
    <row r="61" spans="1:1" ht="18.75" x14ac:dyDescent="0.3">
      <c r="A61" s="14"/>
    </row>
    <row r="62" spans="1:1" ht="18.75" x14ac:dyDescent="0.3">
      <c r="A62" s="14"/>
    </row>
    <row r="63" spans="1:1" ht="18.75" x14ac:dyDescent="0.3">
      <c r="A63" s="14"/>
    </row>
    <row r="64" spans="1:1" ht="18.75" x14ac:dyDescent="0.3">
      <c r="A64" s="14"/>
    </row>
    <row r="65" spans="1:1" ht="18.75" x14ac:dyDescent="0.3">
      <c r="A65" s="14"/>
    </row>
    <row r="66" spans="1:1" ht="18.75" x14ac:dyDescent="0.3">
      <c r="A66" s="14"/>
    </row>
    <row r="67" spans="1:1" ht="18.75" x14ac:dyDescent="0.3">
      <c r="A67" s="14"/>
    </row>
    <row r="68" spans="1:1" ht="18.75" x14ac:dyDescent="0.3">
      <c r="A68" s="14"/>
    </row>
    <row r="69" spans="1:1" ht="18.75" x14ac:dyDescent="0.3">
      <c r="A69" s="14"/>
    </row>
  </sheetData>
  <dataValidations disablePrompts="1" count="1">
    <dataValidation type="list" showInputMessage="1" showErrorMessage="1" sqref="D1:J1">
      <formula1>$A$45:$A$69</formula1>
    </dataValidation>
  </dataValidations>
  <pageMargins left="0.75" right="0.75" top="1" bottom="1" header="0.5" footer="0.5"/>
  <pageSetup paperSize="9" orientation="portrait" r:id="rId1"/>
  <ignoredErrors>
    <ignoredError sqref="C28:C29 O45 C3:C15 C17:C26 C30:C37 C38:C4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40"/>
  <sheetViews>
    <sheetView workbookViewId="0">
      <pane ySplit="2" topLeftCell="A3" activePane="bottomLeft" state="frozen"/>
      <selection pane="bottomLeft" activeCell="V1" sqref="V1"/>
    </sheetView>
  </sheetViews>
  <sheetFormatPr defaultColWidth="8.7109375" defaultRowHeight="15" x14ac:dyDescent="0.25"/>
  <cols>
    <col min="1" max="1" width="44.140625" customWidth="1"/>
    <col min="2" max="2" width="47.140625" bestFit="1" customWidth="1"/>
    <col min="3" max="3" width="9" style="1" customWidth="1"/>
    <col min="4" max="4" width="16.85546875" hidden="1" customWidth="1"/>
    <col min="5" max="5" width="16.85546875" style="16" hidden="1" customWidth="1"/>
    <col min="6" max="6" width="13.28515625" hidden="1" customWidth="1"/>
    <col min="7" max="8" width="16.28515625" hidden="1" customWidth="1"/>
    <col min="9" max="9" width="13.85546875" hidden="1" customWidth="1"/>
    <col min="10" max="10" width="15.140625" hidden="1" customWidth="1"/>
    <col min="11" max="12" width="20.140625" hidden="1" customWidth="1"/>
    <col min="13" max="14" width="14.7109375" hidden="1" customWidth="1"/>
    <col min="15" max="16" width="13.85546875" hidden="1" customWidth="1"/>
    <col min="17" max="17" width="14" hidden="1" customWidth="1"/>
    <col min="18" max="18" width="14" style="16" hidden="1" customWidth="1"/>
    <col min="19" max="19" width="15.140625" style="16" hidden="1" customWidth="1"/>
    <col min="20" max="20" width="14.140625" hidden="1" customWidth="1"/>
    <col min="21" max="21" width="22.5703125" hidden="1" customWidth="1"/>
    <col min="22" max="22" width="8.5703125" bestFit="1" customWidth="1"/>
    <col min="23" max="23" width="7.140625" hidden="1" customWidth="1"/>
    <col min="24" max="24" width="24.28515625" hidden="1" customWidth="1"/>
    <col min="25" max="25" width="13.7109375" hidden="1" customWidth="1"/>
    <col min="26" max="26" width="11.140625" hidden="1" customWidth="1"/>
    <col min="27" max="27" width="12.85546875" hidden="1" customWidth="1"/>
    <col min="28" max="28" width="11.140625" bestFit="1" customWidth="1"/>
    <col min="29" max="29" width="16.42578125" hidden="1" customWidth="1"/>
    <col min="30" max="30" width="11.7109375" hidden="1" customWidth="1"/>
    <col min="31" max="31" width="19.140625" hidden="1" customWidth="1"/>
    <col min="32" max="32" width="11.140625" style="16" bestFit="1" customWidth="1"/>
    <col min="33" max="34" width="11.140625" style="16" hidden="1" customWidth="1"/>
    <col min="35" max="35" width="14.42578125" style="16" hidden="1" customWidth="1"/>
    <col min="36" max="36" width="13.7109375" style="16" hidden="1" customWidth="1"/>
    <col min="37" max="38" width="11.140625" style="16" bestFit="1" customWidth="1"/>
    <col min="39" max="39" width="13.7109375" style="16" customWidth="1"/>
    <col min="40" max="40" width="11.140625" hidden="1" customWidth="1"/>
    <col min="41" max="41" width="21.42578125" hidden="1" customWidth="1"/>
    <col min="42" max="42" width="12.7109375" style="16" hidden="1" customWidth="1"/>
    <col min="43" max="43" width="11.7109375" hidden="1" customWidth="1"/>
    <col min="44" max="44" width="20.140625" hidden="1" customWidth="1"/>
    <col min="45" max="46" width="14.42578125" hidden="1" customWidth="1"/>
    <col min="47" max="47" width="14.42578125" customWidth="1"/>
    <col min="48" max="48" width="12.7109375" hidden="1" customWidth="1"/>
    <col min="49" max="49" width="22.85546875" hidden="1" customWidth="1"/>
    <col min="50" max="51" width="15" hidden="1" customWidth="1"/>
    <col min="52" max="52" width="12.42578125" bestFit="1" customWidth="1"/>
    <col min="53" max="53" width="0" hidden="1" customWidth="1"/>
    <col min="54" max="54" width="12.140625" hidden="1" customWidth="1"/>
    <col min="55" max="55" width="13.140625" hidden="1" customWidth="1"/>
    <col min="56" max="56" width="20.42578125" hidden="1" customWidth="1"/>
    <col min="57" max="57" width="22.140625" bestFit="1" customWidth="1"/>
    <col min="58" max="58" width="12.28515625" hidden="1" customWidth="1"/>
    <col min="59" max="59" width="17.42578125" hidden="1" customWidth="1"/>
    <col min="60" max="60" width="20.140625" bestFit="1" customWidth="1"/>
    <col min="61" max="61" width="9.140625" hidden="1" customWidth="1"/>
    <col min="62" max="62" width="16" hidden="1" customWidth="1"/>
    <col min="63" max="63" width="6.42578125" hidden="1" customWidth="1"/>
    <col min="64" max="64" width="0" hidden="1" customWidth="1"/>
    <col min="66" max="66" width="10" hidden="1" customWidth="1"/>
    <col min="67" max="67" width="10" customWidth="1"/>
    <col min="68" max="68" width="11" hidden="1" customWidth="1"/>
    <col min="69" max="69" width="12.85546875" hidden="1" customWidth="1"/>
    <col min="70" max="70" width="13.5703125" hidden="1" customWidth="1"/>
    <col min="71" max="71" width="11.7109375" hidden="1" customWidth="1"/>
    <col min="72" max="72" width="12.28515625" style="16" bestFit="1" customWidth="1"/>
    <col min="73" max="73" width="13.140625" style="16" bestFit="1" customWidth="1"/>
    <col min="74" max="74" width="10.85546875" hidden="1" customWidth="1"/>
    <col min="75" max="75" width="11.28515625" bestFit="1" customWidth="1"/>
    <col min="76" max="76" width="10.85546875" hidden="1" customWidth="1"/>
    <col min="77" max="77" width="15" hidden="1" customWidth="1"/>
    <col min="78" max="78" width="9.7109375" hidden="1" customWidth="1"/>
    <col min="79" max="79" width="15.7109375" hidden="1" customWidth="1"/>
    <col min="80" max="80" width="12.28515625" hidden="1" customWidth="1"/>
    <col min="81" max="81" width="18.28515625" hidden="1" customWidth="1"/>
    <col min="82" max="82" width="9.5703125" hidden="1" customWidth="1"/>
    <col min="83" max="83" width="16.85546875" hidden="1" customWidth="1"/>
    <col min="84" max="84" width="0" hidden="1" customWidth="1"/>
    <col min="86" max="86" width="10.7109375" hidden="1" customWidth="1"/>
    <col min="87" max="87" width="10.85546875" customWidth="1"/>
    <col min="88" max="88" width="13.5703125" hidden="1" customWidth="1"/>
    <col min="89" max="89" width="14.42578125" hidden="1" customWidth="1"/>
    <col min="90" max="90" width="12.5703125" hidden="1" customWidth="1"/>
    <col min="91" max="91" width="11.5703125" bestFit="1" customWidth="1"/>
    <col min="92" max="92" width="9.85546875" bestFit="1" customWidth="1"/>
    <col min="93" max="93" width="6.42578125" style="16" hidden="1" customWidth="1"/>
    <col min="94" max="94" width="14.85546875" hidden="1" customWidth="1"/>
    <col min="95" max="95" width="11.7109375" hidden="1" customWidth="1"/>
    <col min="96" max="96" width="15.85546875" hidden="1" customWidth="1"/>
    <col min="97" max="97" width="0" hidden="1" customWidth="1"/>
    <col min="98" max="98" width="13.85546875" hidden="1" customWidth="1"/>
    <col min="99" max="99" width="9.140625" hidden="1" customWidth="1"/>
  </cols>
  <sheetData>
    <row r="1" spans="1:100" ht="75" x14ac:dyDescent="0.25">
      <c r="C1" s="2" t="s">
        <v>142</v>
      </c>
      <c r="D1" s="4" t="s">
        <v>23</v>
      </c>
      <c r="E1" s="83" t="s">
        <v>156</v>
      </c>
      <c r="F1" s="84" t="s">
        <v>156</v>
      </c>
      <c r="G1" s="86" t="s">
        <v>150</v>
      </c>
      <c r="H1" s="86" t="s">
        <v>150</v>
      </c>
      <c r="I1" s="86"/>
      <c r="J1" s="87"/>
      <c r="K1" s="21" t="s">
        <v>151</v>
      </c>
      <c r="L1" s="21" t="s">
        <v>151</v>
      </c>
      <c r="M1" s="21"/>
      <c r="N1" s="21"/>
      <c r="O1" s="21"/>
      <c r="P1" s="21"/>
      <c r="AZ1" s="64"/>
      <c r="BF1" t="s">
        <v>176</v>
      </c>
      <c r="BG1" s="201" t="s">
        <v>273</v>
      </c>
      <c r="BH1" s="213" t="s">
        <v>295</v>
      </c>
    </row>
    <row r="2" spans="1:100" x14ac:dyDescent="0.25">
      <c r="A2" s="5" t="s">
        <v>0</v>
      </c>
      <c r="B2" s="5" t="s">
        <v>1</v>
      </c>
      <c r="C2" s="6" t="s">
        <v>330</v>
      </c>
      <c r="E2" s="88" t="s">
        <v>180</v>
      </c>
      <c r="F2" s="89" t="s">
        <v>188</v>
      </c>
      <c r="G2" s="89" t="s">
        <v>183</v>
      </c>
      <c r="H2" s="89" t="s">
        <v>182</v>
      </c>
      <c r="I2" s="90" t="s">
        <v>185</v>
      </c>
      <c r="J2" s="91" t="s">
        <v>184</v>
      </c>
      <c r="K2" s="1" t="s">
        <v>167</v>
      </c>
      <c r="L2" s="1" t="s">
        <v>166</v>
      </c>
      <c r="M2" s="1" t="s">
        <v>186</v>
      </c>
      <c r="N2" s="1" t="s">
        <v>187</v>
      </c>
      <c r="O2" s="1" t="s">
        <v>184</v>
      </c>
      <c r="P2" s="1" t="s">
        <v>185</v>
      </c>
      <c r="Q2" s="1" t="s">
        <v>171</v>
      </c>
      <c r="R2" s="1" t="s">
        <v>172</v>
      </c>
      <c r="S2" s="1" t="s">
        <v>170</v>
      </c>
      <c r="T2" s="1" t="s">
        <v>169</v>
      </c>
      <c r="U2" s="1" t="s">
        <v>243</v>
      </c>
      <c r="V2" s="1" t="s">
        <v>329</v>
      </c>
      <c r="W2" s="1" t="s">
        <v>353</v>
      </c>
      <c r="X2" s="1" t="s">
        <v>294</v>
      </c>
      <c r="Y2" s="1" t="s">
        <v>155</v>
      </c>
      <c r="Z2" s="1" t="s">
        <v>173</v>
      </c>
      <c r="AA2" s="1" t="s">
        <v>244</v>
      </c>
      <c r="AB2" s="1" t="s">
        <v>431</v>
      </c>
      <c r="AC2" s="211" t="s">
        <v>292</v>
      </c>
      <c r="AD2" s="1" t="s">
        <v>177</v>
      </c>
      <c r="AE2" s="1" t="s">
        <v>274</v>
      </c>
      <c r="AF2" s="61" t="s">
        <v>393</v>
      </c>
      <c r="AG2" s="61" t="s">
        <v>429</v>
      </c>
      <c r="AH2" s="61" t="s">
        <v>430</v>
      </c>
      <c r="AI2" s="61" t="s">
        <v>442</v>
      </c>
      <c r="AJ2" s="61" t="s">
        <v>445</v>
      </c>
      <c r="AK2" s="61" t="s">
        <v>470</v>
      </c>
      <c r="AL2" s="61" t="s">
        <v>469</v>
      </c>
      <c r="AM2" s="61" t="s">
        <v>466</v>
      </c>
      <c r="AN2" s="1" t="s">
        <v>391</v>
      </c>
      <c r="AO2" s="1" t="s">
        <v>297</v>
      </c>
      <c r="AP2" s="1" t="s">
        <v>194</v>
      </c>
      <c r="AQ2" s="1" t="s">
        <v>174</v>
      </c>
      <c r="AR2" s="1" t="s">
        <v>272</v>
      </c>
      <c r="AS2" s="1" t="s">
        <v>441</v>
      </c>
      <c r="AT2" s="1" t="s">
        <v>444</v>
      </c>
      <c r="AU2" s="1" t="s">
        <v>465</v>
      </c>
      <c r="AV2" s="1" t="s">
        <v>394</v>
      </c>
      <c r="AW2" s="1" t="s">
        <v>296</v>
      </c>
      <c r="AX2" s="1" t="s">
        <v>440</v>
      </c>
      <c r="AY2" s="1" t="s">
        <v>443</v>
      </c>
      <c r="AZ2" s="1" t="s">
        <v>160</v>
      </c>
      <c r="BA2" s="1" t="s">
        <v>2</v>
      </c>
      <c r="BB2" s="16"/>
      <c r="BC2" s="39" t="s">
        <v>179</v>
      </c>
      <c r="BD2" s="39" t="s">
        <v>275</v>
      </c>
      <c r="BE2" s="39" t="s">
        <v>298</v>
      </c>
      <c r="BF2" s="25">
        <f>SUM(S3,S4,S5)</f>
        <v>3.2829999999999999</v>
      </c>
      <c r="BG2" s="25">
        <f>SUM(U3:U5)</f>
        <v>3.2814825692683858</v>
      </c>
      <c r="BH2" s="25">
        <f>SUM(X3:X5)</f>
        <v>3.2823540098818498</v>
      </c>
      <c r="BI2" s="1" t="s">
        <v>225</v>
      </c>
      <c r="BJ2" s="1" t="s">
        <v>245</v>
      </c>
      <c r="BK2" s="1" t="s">
        <v>238</v>
      </c>
      <c r="BL2" s="1" t="s">
        <v>226</v>
      </c>
      <c r="BM2" s="1" t="s">
        <v>354</v>
      </c>
      <c r="BN2" s="1" t="s">
        <v>409</v>
      </c>
      <c r="BO2" s="1" t="s">
        <v>455</v>
      </c>
      <c r="BP2" s="1" t="s">
        <v>347</v>
      </c>
      <c r="BQ2" s="1" t="s">
        <v>413</v>
      </c>
      <c r="BR2" s="1" t="s">
        <v>415</v>
      </c>
      <c r="BS2" s="1" t="s">
        <v>414</v>
      </c>
      <c r="BT2" s="61" t="s">
        <v>456</v>
      </c>
      <c r="BU2" s="61" t="s">
        <v>462</v>
      </c>
      <c r="BV2" s="1" t="s">
        <v>348</v>
      </c>
      <c r="BW2" s="1" t="s">
        <v>463</v>
      </c>
      <c r="BX2" s="1" t="s">
        <v>349</v>
      </c>
      <c r="BY2" s="1" t="s">
        <v>239</v>
      </c>
      <c r="BZ2" s="1" t="s">
        <v>227</v>
      </c>
      <c r="CA2" s="1" t="s">
        <v>240</v>
      </c>
      <c r="CB2" s="1" t="s">
        <v>228</v>
      </c>
      <c r="CC2" s="1" t="s">
        <v>241</v>
      </c>
      <c r="CD2" s="1" t="s">
        <v>229</v>
      </c>
      <c r="CE2" s="1" t="s">
        <v>279</v>
      </c>
      <c r="CF2" s="1" t="s">
        <v>230</v>
      </c>
      <c r="CG2" s="1" t="s">
        <v>350</v>
      </c>
      <c r="CH2" s="1" t="s">
        <v>410</v>
      </c>
      <c r="CI2" s="1" t="s">
        <v>351</v>
      </c>
      <c r="CJ2" s="1" t="s">
        <v>419</v>
      </c>
      <c r="CK2" s="1" t="s">
        <v>420</v>
      </c>
      <c r="CL2" s="1" t="s">
        <v>421</v>
      </c>
      <c r="CM2" s="1" t="s">
        <v>352</v>
      </c>
      <c r="CN2" s="1" t="s">
        <v>346</v>
      </c>
      <c r="CO2" s="61" t="s">
        <v>353</v>
      </c>
      <c r="CP2" s="1" t="s">
        <v>286</v>
      </c>
      <c r="CQ2" s="1" t="s">
        <v>231</v>
      </c>
      <c r="CR2" s="1" t="s">
        <v>287</v>
      </c>
      <c r="CS2" s="1" t="s">
        <v>232</v>
      </c>
      <c r="CT2" s="1" t="s">
        <v>288</v>
      </c>
      <c r="CU2" s="1" t="s">
        <v>425</v>
      </c>
      <c r="CV2" s="1" t="s">
        <v>461</v>
      </c>
    </row>
    <row r="3" spans="1:100" x14ac:dyDescent="0.25">
      <c r="A3" s="7" t="s">
        <v>3</v>
      </c>
      <c r="B3" s="7" t="s">
        <v>32</v>
      </c>
      <c r="C3" s="230">
        <f t="shared" ref="C3:C13" si="0">SUM(D3:D3)</f>
        <v>223</v>
      </c>
      <c r="D3" s="8">
        <v>223</v>
      </c>
      <c r="E3" s="92">
        <v>2043.5</v>
      </c>
      <c r="F3" s="69">
        <v>1646.5</v>
      </c>
      <c r="G3" s="94">
        <f t="shared" ref="G3:G14" si="1">E3/C3</f>
        <v>9.1636771300448423</v>
      </c>
      <c r="H3" s="118">
        <f t="shared" ref="H3:H14" si="2">F3/C3</f>
        <v>7.383408071748879</v>
      </c>
      <c r="I3" s="118">
        <f t="shared" ref="I3:I13" si="3">G3/G$15</f>
        <v>0.21513520586820442</v>
      </c>
      <c r="J3" s="95">
        <f>H3/H15</f>
        <v>0.18851584302927257</v>
      </c>
      <c r="K3" s="34">
        <v>10909</v>
      </c>
      <c r="L3" s="34">
        <v>51903</v>
      </c>
      <c r="M3" s="34">
        <f t="shared" ref="M3:M14" si="4">K3/C3</f>
        <v>48.91928251121076</v>
      </c>
      <c r="N3" s="34">
        <f t="shared" ref="N3:N14" si="5">L3/C3</f>
        <v>232.74887892376682</v>
      </c>
      <c r="O3" s="40">
        <f>N3/N15</f>
        <v>2.4195965168803138E-2</v>
      </c>
      <c r="P3" s="40">
        <f t="shared" ref="P3:P13" si="6">M3/M$15</f>
        <v>2.9624409307545461E-3</v>
      </c>
      <c r="Q3" s="47">
        <f t="shared" ref="Q3:Q13" si="7">(0.6*J3)+(0.4*O3)</f>
        <v>0.12278789188508479</v>
      </c>
      <c r="R3" s="47">
        <f t="shared" ref="R3:R13" si="8">(0.6*I3)+(0.4*P3)</f>
        <v>0.13026609989322446</v>
      </c>
      <c r="S3" s="25">
        <v>1.2669999999999999</v>
      </c>
      <c r="T3" s="71">
        <v>1.147</v>
      </c>
      <c r="U3" s="26">
        <f t="shared" ref="U3:U13" si="9">(0.6*CC3)+(0.4*CS3)</f>
        <v>1.3030877059192811</v>
      </c>
      <c r="V3" s="217">
        <v>224</v>
      </c>
      <c r="W3" s="25">
        <v>1.4033400290229823</v>
      </c>
      <c r="X3" s="25">
        <f>(0.6*CC3)+(0.4*CT3)</f>
        <v>1.3035220815603161</v>
      </c>
      <c r="Y3" s="65">
        <f>AD3*BC$3</f>
        <v>771539.22319424397</v>
      </c>
      <c r="Z3" s="65" t="e">
        <f>AQ3*C3</f>
        <v>#VALUE!</v>
      </c>
      <c r="AA3" s="65">
        <f>AE3*BD$3</f>
        <v>804902.14973116189</v>
      </c>
      <c r="AB3" s="291">
        <f>AO3*BE$3</f>
        <v>804808.26417449617</v>
      </c>
      <c r="AC3" s="298">
        <f>AB3-Y3</f>
        <v>33269.040980252204</v>
      </c>
      <c r="AD3" s="291">
        <f>AP3*C3</f>
        <v>86.061833688699352</v>
      </c>
      <c r="AE3" s="291">
        <f>AR3*C3</f>
        <v>88.554046009998189</v>
      </c>
      <c r="AF3" s="291">
        <f>AM3*BE$14</f>
        <v>818586.03262216225</v>
      </c>
      <c r="AG3" s="65" t="e">
        <f>AN3*BE$6</f>
        <v>#DIV/0!</v>
      </c>
      <c r="AH3" s="65" t="e">
        <f>SUM(AI3:AJ3)</f>
        <v>#DIV/0!</v>
      </c>
      <c r="AI3" s="65" t="e">
        <f>AS3*BE9</f>
        <v>#DIV/0!</v>
      </c>
      <c r="AJ3" s="68"/>
      <c r="AK3" s="298">
        <f>AVERAGE(AB3,AF3)</f>
        <v>811697.14839832927</v>
      </c>
      <c r="AL3" s="65">
        <f>AK3-(AU3*AK$15)</f>
        <v>804780.94714504422</v>
      </c>
      <c r="AM3" s="68">
        <f>AU3*V3</f>
        <v>87.252318948906833</v>
      </c>
      <c r="AN3" s="68" t="e">
        <f>AV3*V3</f>
        <v>#DIV/0!</v>
      </c>
      <c r="AO3" s="65">
        <f>AW3*C3</f>
        <v>88.560046635071487</v>
      </c>
      <c r="AP3" s="125">
        <f>S3/BF$2</f>
        <v>0.38592750533049036</v>
      </c>
      <c r="AQ3" s="58" t="e">
        <f>T3/BC2</f>
        <v>#VALUE!</v>
      </c>
      <c r="AR3" s="58">
        <f>U3/BG$2</f>
        <v>0.39710334533631475</v>
      </c>
      <c r="AS3" s="58" t="e">
        <f>AX3*V3</f>
        <v>#DIV/0!</v>
      </c>
      <c r="AT3" s="58"/>
      <c r="AU3" s="58">
        <f>CV3/BH$14</f>
        <v>0.38951928102190553</v>
      </c>
      <c r="AV3" s="23" t="e">
        <f>CU3/BH$6</f>
        <v>#DIV/0!</v>
      </c>
      <c r="AW3" s="58">
        <f t="shared" ref="AW3:AW5" si="10">X3/BH$2</f>
        <v>0.39713025396893042</v>
      </c>
      <c r="AX3" s="23" t="e">
        <f>BS3/BH8</f>
        <v>#DIV/0!</v>
      </c>
      <c r="AY3" s="23"/>
      <c r="AZ3" s="138">
        <v>2244684.0333812442</v>
      </c>
      <c r="BA3">
        <v>347</v>
      </c>
      <c r="BB3" s="134"/>
      <c r="BC3" s="62">
        <f>AZ3/AD14</f>
        <v>8964.9405564031531</v>
      </c>
      <c r="BD3" s="62">
        <f>AZ3/AE14</f>
        <v>9089.3887518169922</v>
      </c>
      <c r="BE3" s="62">
        <f>AZ3/AO14</f>
        <v>9087.7127412868431</v>
      </c>
      <c r="BI3">
        <v>4087</v>
      </c>
      <c r="BJ3">
        <v>4094</v>
      </c>
      <c r="BK3">
        <f t="shared" ref="BK3:BK13" si="11">BI3-BJ3</f>
        <v>-7</v>
      </c>
      <c r="BL3">
        <v>1729</v>
      </c>
      <c r="BM3" s="34">
        <v>4785</v>
      </c>
      <c r="BN3" s="34">
        <v>6584</v>
      </c>
      <c r="BO3" s="34">
        <v>2328</v>
      </c>
      <c r="BP3" s="117">
        <f>V3*BM$17</f>
        <v>2788.7669616519174</v>
      </c>
      <c r="BQ3" s="117">
        <f>V3*BN$18</f>
        <v>2827.328</v>
      </c>
      <c r="BR3" s="117">
        <f>BN3-BQ3</f>
        <v>3756.672</v>
      </c>
      <c r="BS3" s="25">
        <f t="shared" ref="BS3:BS13" si="12">(BR3-BR$16)/BR$17</f>
        <v>2.3792591514455084</v>
      </c>
      <c r="BT3" s="75">
        <f>V3*BO$18</f>
        <v>1227.3909759999999</v>
      </c>
      <c r="BU3" s="75">
        <f>BO3-BT3</f>
        <v>1100.6090240000001</v>
      </c>
      <c r="BV3" s="117">
        <f t="shared" ref="BV3:BV13" si="13">BM3-BP3</f>
        <v>1996.2330383480826</v>
      </c>
      <c r="BW3" s="25">
        <f>(BU3-BU$16)/BU$17</f>
        <v>1.900718411657895</v>
      </c>
      <c r="BX3" s="25">
        <f>(BV3-BV$16)/BV$17</f>
        <v>2.8200032757877187</v>
      </c>
      <c r="BY3">
        <v>1722</v>
      </c>
      <c r="BZ3">
        <f t="shared" ref="BZ3:BZ13" si="14">BI3-BL3</f>
        <v>2358</v>
      </c>
      <c r="CA3">
        <f t="shared" ref="CA3:CA13" si="15">BJ3-BY3</f>
        <v>2372</v>
      </c>
      <c r="CB3" s="23">
        <v>2.198</v>
      </c>
      <c r="CC3" s="23">
        <f t="shared" ref="CC3:CC13" si="16">(CA3-CA$16)/CA$17</f>
        <v>2.2591661765321351</v>
      </c>
      <c r="CD3" s="34">
        <v>10909</v>
      </c>
      <c r="CE3" s="202">
        <v>10908.529999999999</v>
      </c>
      <c r="CF3" s="117">
        <v>50675.199999999997</v>
      </c>
      <c r="CG3" s="34">
        <v>25652</v>
      </c>
      <c r="CH3" s="34">
        <v>36562</v>
      </c>
      <c r="CI3" s="34">
        <f t="shared" ref="CI3:CI13" si="17">V3*CG$17</f>
        <v>263568.54277286131</v>
      </c>
      <c r="CJ3" s="34">
        <f t="shared" ref="CJ3:CJ13" si="18">V3*CH$18</f>
        <v>574884.576</v>
      </c>
      <c r="CK3" s="34">
        <f>CH3-CJ3</f>
        <v>-538322.576</v>
      </c>
      <c r="CL3" s="23">
        <f t="shared" ref="CL3:CL13" si="19">(CK3-CK$16)/CK$17</f>
        <v>-0.79122239292647134</v>
      </c>
      <c r="CM3" s="34">
        <f>CG3-CI3</f>
        <v>-237916.54277286131</v>
      </c>
      <c r="CN3" s="36">
        <f>(CM3-CM$16)/CM$17</f>
        <v>-0.72165484112412215</v>
      </c>
      <c r="CO3" s="225">
        <f>(0.6*BX3)+(0.4*CN3)</f>
        <v>1.4033400290229823</v>
      </c>
      <c r="CP3" s="117">
        <v>50543</v>
      </c>
      <c r="CQ3" s="117">
        <f>CD3-CF3</f>
        <v>-39766.199999999997</v>
      </c>
      <c r="CR3" s="117">
        <f>CE3-CP3</f>
        <v>-39634.47</v>
      </c>
      <c r="CS3" s="23">
        <v>-0.13103000000000001</v>
      </c>
      <c r="CT3" s="23">
        <f>(CR3-CR$15)/CR$16</f>
        <v>-0.1299440608974122</v>
      </c>
      <c r="CU3" s="25">
        <f t="shared" ref="CU3:CU13" si="20">(0.6*BS3)+(0.4*CL3)</f>
        <v>1.1110665336967163</v>
      </c>
      <c r="CV3" s="25">
        <f>(0.6*BW3)+(0.4*CN3)</f>
        <v>0.85176911054508808</v>
      </c>
    </row>
    <row r="4" spans="1:100" x14ac:dyDescent="0.25">
      <c r="A4" s="9" t="s">
        <v>3</v>
      </c>
      <c r="B4" s="9" t="s">
        <v>36</v>
      </c>
      <c r="C4" s="230">
        <f t="shared" si="0"/>
        <v>434</v>
      </c>
      <c r="D4" s="8">
        <v>434</v>
      </c>
      <c r="E4" s="92">
        <v>2655.5</v>
      </c>
      <c r="F4" s="69">
        <v>2229.5</v>
      </c>
      <c r="G4" s="94">
        <f t="shared" si="1"/>
        <v>6.1186635944700463</v>
      </c>
      <c r="H4" s="118">
        <f t="shared" si="2"/>
        <v>5.137096774193548</v>
      </c>
      <c r="I4" s="118">
        <f t="shared" si="3"/>
        <v>0.14364757000426526</v>
      </c>
      <c r="J4" s="95">
        <f>H4/H15</f>
        <v>0.13116221123081803</v>
      </c>
      <c r="K4" s="34">
        <v>10264</v>
      </c>
      <c r="L4" s="34">
        <v>10264</v>
      </c>
      <c r="M4" s="34">
        <f t="shared" si="4"/>
        <v>23.649769585253456</v>
      </c>
      <c r="N4" s="34">
        <f t="shared" si="5"/>
        <v>23.649769585253456</v>
      </c>
      <c r="O4" s="40">
        <f>N4/N15</f>
        <v>2.4585682379266666E-3</v>
      </c>
      <c r="P4" s="40">
        <f t="shared" si="6"/>
        <v>1.432176471644142E-3</v>
      </c>
      <c r="Q4" s="47">
        <f t="shared" si="7"/>
        <v>7.9680754033661483E-2</v>
      </c>
      <c r="R4" s="47">
        <f t="shared" si="8"/>
        <v>8.6761412591216808E-2</v>
      </c>
      <c r="S4" s="25">
        <v>1.052</v>
      </c>
      <c r="T4">
        <v>0.189</v>
      </c>
      <c r="U4" s="26">
        <f t="shared" si="9"/>
        <v>1.0047502238290769</v>
      </c>
      <c r="V4" s="217">
        <v>452</v>
      </c>
      <c r="W4" s="26">
        <v>-0.26518512581027759</v>
      </c>
      <c r="X4" s="25">
        <f t="shared" ref="X4:X13" si="21">(0.6*CC4)+(0.4*CT4)</f>
        <v>1.0054118620566259</v>
      </c>
      <c r="Y4" s="65">
        <f>AD4*BC$3</f>
        <v>1246757.5327310006</v>
      </c>
      <c r="Z4" s="37"/>
      <c r="AA4" s="65">
        <f>AE4*BD$3</f>
        <v>1207848.3711232648</v>
      </c>
      <c r="AB4" s="291">
        <f>AO4*BE$3</f>
        <v>1208100.0605390852</v>
      </c>
      <c r="AC4" s="298">
        <f>AB4-Y4</f>
        <v>-38657.472191915382</v>
      </c>
      <c r="AD4" s="291">
        <f>AP4*C4</f>
        <v>139.07036247334756</v>
      </c>
      <c r="AE4" s="291">
        <f>AR4*C4</f>
        <v>132.88554424320478</v>
      </c>
      <c r="AF4" s="291">
        <f>AM4*BE$14</f>
        <v>1254828.8678765243</v>
      </c>
      <c r="AG4" s="68"/>
      <c r="AH4" s="65" t="e">
        <f>SUM(AI4:AJ4)</f>
        <v>#DIV/0!</v>
      </c>
      <c r="AI4" s="65" t="e">
        <f>AS4*BE9</f>
        <v>#DIV/0!</v>
      </c>
      <c r="AJ4" s="68"/>
      <c r="AK4" s="298">
        <f>AVERAGE(AB4,AF4)</f>
        <v>1231464.4642078048</v>
      </c>
      <c r="AL4" s="65">
        <f>AK4-(AU4*AK$15)</f>
        <v>1226210.3757904442</v>
      </c>
      <c r="AM4" s="68">
        <f>AU4*V4</f>
        <v>133.75103439713143</v>
      </c>
      <c r="AN4" s="68"/>
      <c r="AO4" s="65">
        <f>AW4*C4</f>
        <v>132.93774736634282</v>
      </c>
      <c r="AP4" s="125">
        <f>S4/BF$2</f>
        <v>0.32043862321047822</v>
      </c>
      <c r="AQ4" s="58"/>
      <c r="AR4" s="58">
        <f>U4/BG$2</f>
        <v>0.30618788996130131</v>
      </c>
      <c r="AS4" s="58" t="e">
        <f>AX4*V4</f>
        <v>#DIV/0!</v>
      </c>
      <c r="AT4" s="58"/>
      <c r="AU4" s="58">
        <f>CV4/BH$14</f>
        <v>0.29590936813524654</v>
      </c>
      <c r="AV4" s="23"/>
      <c r="AW4" s="58">
        <f t="shared" si="10"/>
        <v>0.30630817365516777</v>
      </c>
      <c r="AX4" s="23" t="e">
        <f>BS4/BH8</f>
        <v>#DIV/0!</v>
      </c>
      <c r="AY4" s="23"/>
      <c r="BA4" s="51">
        <f>BA3/C14</f>
        <v>0.26407914764079149</v>
      </c>
      <c r="BB4" s="39" t="s">
        <v>163</v>
      </c>
      <c r="BI4">
        <v>5311</v>
      </c>
      <c r="BJ4">
        <v>5194</v>
      </c>
      <c r="BK4">
        <f t="shared" si="11"/>
        <v>117</v>
      </c>
      <c r="BL4">
        <v>3365</v>
      </c>
      <c r="BM4" s="34">
        <v>6034</v>
      </c>
      <c r="BN4" s="34">
        <v>8322</v>
      </c>
      <c r="BO4" s="34">
        <v>3670</v>
      </c>
      <c r="BP4" s="117">
        <f t="shared" ref="BP4:BP13" si="22">V4*BM$17</f>
        <v>5627.333333333333</v>
      </c>
      <c r="BQ4" s="117">
        <f t="shared" ref="BQ4:BQ13" si="23">V4*BN$18</f>
        <v>5705.1440000000002</v>
      </c>
      <c r="BR4" s="117">
        <f t="shared" ref="BR4:BR13" si="24">BN4-BQ4</f>
        <v>2616.8559999999998</v>
      </c>
      <c r="BS4" s="25">
        <f t="shared" si="12"/>
        <v>1.5355438296563069</v>
      </c>
      <c r="BT4" s="75">
        <f>V4*BO$18</f>
        <v>2476.6996479999998</v>
      </c>
      <c r="BU4" s="75">
        <f t="shared" ref="BU4:BU13" si="25">BO4-BT4</f>
        <v>1193.3003520000002</v>
      </c>
      <c r="BV4" s="117">
        <f t="shared" si="13"/>
        <v>406.66666666666697</v>
      </c>
      <c r="BW4" s="25">
        <f t="shared" ref="BW4:BW13" si="26">(BU4-BU$16)/BU$17</f>
        <v>2.0949088362181141</v>
      </c>
      <c r="BX4" s="25">
        <f t="shared" ref="BX4:BX13" si="27">(BV4-BV$16)/BV$17</f>
        <v>0.57448269321435086</v>
      </c>
      <c r="BY4">
        <v>3351</v>
      </c>
      <c r="BZ4">
        <f t="shared" si="14"/>
        <v>1946</v>
      </c>
      <c r="CA4">
        <f t="shared" si="15"/>
        <v>1843</v>
      </c>
      <c r="CB4" s="23">
        <v>1.744</v>
      </c>
      <c r="CC4" s="23">
        <f t="shared" si="16"/>
        <v>1.6657437063817948</v>
      </c>
      <c r="CD4" s="34">
        <v>10264</v>
      </c>
      <c r="CE4" s="202">
        <v>10264.41</v>
      </c>
      <c r="CF4" s="117">
        <v>25872.75</v>
      </c>
      <c r="CG4" s="34">
        <v>29182</v>
      </c>
      <c r="CH4" s="34">
        <v>39447</v>
      </c>
      <c r="CI4" s="34">
        <f t="shared" si="17"/>
        <v>531843.66666666663</v>
      </c>
      <c r="CJ4" s="34">
        <f t="shared" si="18"/>
        <v>1160034.9480000001</v>
      </c>
      <c r="CK4" s="34">
        <f t="shared" ref="CK4:CK13" si="28">CH4-CJ4</f>
        <v>-1120587.9480000001</v>
      </c>
      <c r="CL4" s="23">
        <f t="shared" si="19"/>
        <v>-1.9361682833175586</v>
      </c>
      <c r="CM4" s="34">
        <f t="shared" ref="CM4:CM13" si="29">CG4-CI4</f>
        <v>-502661.66666666663</v>
      </c>
      <c r="CN4" s="36">
        <f t="shared" ref="CN4:CN13" si="30">(CM4-CM$16)/CM$17</f>
        <v>-1.5246868543472201</v>
      </c>
      <c r="CO4" s="240">
        <f t="shared" ref="CO4:CO13" si="31">(0.6*BX4)+(0.4*CN4)</f>
        <v>-0.26518512581027759</v>
      </c>
      <c r="CP4" s="117">
        <v>25670</v>
      </c>
      <c r="CQ4" s="117">
        <f t="shared" ref="CQ4:CQ13" si="32">CD4-CF4</f>
        <v>-15608.75</v>
      </c>
      <c r="CR4" s="117">
        <f t="shared" ref="CR4:CR13" si="33">CE4-CP4</f>
        <v>-15405.59</v>
      </c>
      <c r="CS4" s="23">
        <v>1.3259999999999999E-2</v>
      </c>
      <c r="CT4" s="23">
        <f t="shared" ref="CT4:CT13" si="34">(CR4-CR$15)/CR$16</f>
        <v>1.4914095568872477E-2</v>
      </c>
      <c r="CU4" s="23">
        <f t="shared" si="20"/>
        <v>0.1468589844667606</v>
      </c>
      <c r="CV4" s="25">
        <f t="shared" ref="CV4:CV13" si="35">(0.6*BW4)+(0.4*CN4)</f>
        <v>0.64707055999198038</v>
      </c>
    </row>
    <row r="5" spans="1:100" x14ac:dyDescent="0.25">
      <c r="A5" s="7" t="s">
        <v>3</v>
      </c>
      <c r="B5" s="7" t="s">
        <v>41</v>
      </c>
      <c r="C5" s="230">
        <f t="shared" si="0"/>
        <v>86</v>
      </c>
      <c r="D5" s="8">
        <v>86</v>
      </c>
      <c r="E5" s="92">
        <v>500.5</v>
      </c>
      <c r="F5" s="69">
        <v>519.5</v>
      </c>
      <c r="G5" s="94">
        <f t="shared" si="1"/>
        <v>5.8197674418604652</v>
      </c>
      <c r="H5" s="118">
        <f t="shared" si="2"/>
        <v>6.0406976744186043</v>
      </c>
      <c r="I5" s="118">
        <f t="shared" si="3"/>
        <v>0.13663039945009475</v>
      </c>
      <c r="J5" s="95">
        <f>H5/H15</f>
        <v>0.15423327594952424</v>
      </c>
      <c r="K5" s="34">
        <v>513058</v>
      </c>
      <c r="L5" s="34">
        <v>111160</v>
      </c>
      <c r="M5" s="34">
        <f t="shared" si="4"/>
        <v>5965.7906976744189</v>
      </c>
      <c r="N5" s="75">
        <f t="shared" si="5"/>
        <v>1292.5581395348838</v>
      </c>
      <c r="O5" s="40">
        <f>N5/N15</f>
        <v>0.13437096611357927</v>
      </c>
      <c r="P5" s="40">
        <f t="shared" si="6"/>
        <v>0.36127477019016491</v>
      </c>
      <c r="Q5" s="47">
        <f t="shared" si="7"/>
        <v>0.14628835201514626</v>
      </c>
      <c r="R5" s="47">
        <f t="shared" si="8"/>
        <v>0.22648814774612283</v>
      </c>
      <c r="S5" s="25">
        <v>0.96399999999999997</v>
      </c>
      <c r="T5" s="71">
        <v>0.60299999999999998</v>
      </c>
      <c r="U5" s="26">
        <f t="shared" si="9"/>
        <v>0.97364463952002789</v>
      </c>
      <c r="V5" s="217">
        <v>97</v>
      </c>
      <c r="W5" s="25">
        <v>0.26206840059940151</v>
      </c>
      <c r="X5" s="25">
        <f t="shared" si="21"/>
        <v>0.97342006626490785</v>
      </c>
      <c r="Y5" s="65">
        <f>AD5*BC$3</f>
        <v>226387.27745599966</v>
      </c>
      <c r="Z5" s="65" t="e">
        <f>AQ5*C5</f>
        <v>#VALUE!</v>
      </c>
      <c r="AA5" s="65">
        <f>AE5*BD$3</f>
        <v>231933.51252681727</v>
      </c>
      <c r="AB5" s="291">
        <f>AO5*BE$3</f>
        <v>231775.70866766275</v>
      </c>
      <c r="AC5" s="298">
        <f>AB5-Y5</f>
        <v>5388.4312116630899</v>
      </c>
      <c r="AD5" s="291">
        <f>AP5*C5</f>
        <v>25.252512945476695</v>
      </c>
      <c r="AE5" s="291">
        <f>AR5*C5</f>
        <v>25.516953764405024</v>
      </c>
      <c r="AF5" s="298">
        <v>0</v>
      </c>
      <c r="AG5" s="65" t="e">
        <f>AN5*BE$6</f>
        <v>#DIV/0!</v>
      </c>
      <c r="AH5" s="65" t="e">
        <f>SUM(AI5:AJ5)</f>
        <v>#DIV/0!</v>
      </c>
      <c r="AI5" s="68"/>
      <c r="AJ5" s="65" t="e">
        <f>AT5*BE11</f>
        <v>#DIV/0!</v>
      </c>
      <c r="AK5" s="298">
        <f>AVERAGE(AB5,AF5)</f>
        <v>115887.85433383138</v>
      </c>
      <c r="AL5" s="65">
        <f>AK5-(AU5*AK$15)</f>
        <v>115887.85433383138</v>
      </c>
      <c r="AM5" s="68"/>
      <c r="AN5" s="68" t="e">
        <f>AV5*V5</f>
        <v>#DIV/0!</v>
      </c>
      <c r="AO5" s="65">
        <f>AW5*C5</f>
        <v>25.50429522432756</v>
      </c>
      <c r="AP5" s="125">
        <f>S5/BF$2</f>
        <v>0.29363387145903136</v>
      </c>
      <c r="AQ5" s="58" t="e">
        <f>T5/BC2</f>
        <v>#VALUE!</v>
      </c>
      <c r="AR5" s="58">
        <f>U5/BG$2</f>
        <v>0.296708764702384</v>
      </c>
      <c r="AS5" s="58"/>
      <c r="AT5" s="58" t="e">
        <f>AY5*V5</f>
        <v>#DIV/0!</v>
      </c>
      <c r="AU5" s="58"/>
      <c r="AV5" s="23" t="e">
        <f>CU5/BH$6</f>
        <v>#DIV/0!</v>
      </c>
      <c r="AW5" s="58">
        <f t="shared" si="10"/>
        <v>0.29656157237590186</v>
      </c>
      <c r="AX5" s="58"/>
      <c r="AY5" s="23" t="e">
        <f>CL5/BH10</f>
        <v>#DIV/0!</v>
      </c>
      <c r="AZ5" s="16"/>
      <c r="BA5" s="16"/>
      <c r="BB5" s="16"/>
      <c r="BC5" s="16"/>
      <c r="BD5" s="16"/>
      <c r="BE5" s="81"/>
      <c r="BF5" s="16"/>
      <c r="BG5" s="16"/>
      <c r="BH5" s="270"/>
      <c r="BI5">
        <v>1001</v>
      </c>
      <c r="BJ5">
        <v>1005</v>
      </c>
      <c r="BK5">
        <f t="shared" si="11"/>
        <v>-4</v>
      </c>
      <c r="BL5">
        <v>667</v>
      </c>
      <c r="BM5" s="34">
        <v>1060</v>
      </c>
      <c r="BN5" s="34">
        <v>1609</v>
      </c>
      <c r="BO5" s="34">
        <v>702</v>
      </c>
      <c r="BP5" s="117">
        <f t="shared" si="22"/>
        <v>1207.6356932153392</v>
      </c>
      <c r="BQ5" s="117">
        <f t="shared" si="23"/>
        <v>1224.3340000000001</v>
      </c>
      <c r="BR5" s="117">
        <f t="shared" si="24"/>
        <v>384.66599999999994</v>
      </c>
      <c r="BS5" s="23">
        <f t="shared" si="12"/>
        <v>-0.1167692666194399</v>
      </c>
      <c r="BT5" s="75">
        <f>V5*BO$18</f>
        <v>531.50412800000004</v>
      </c>
      <c r="BU5" s="75">
        <f t="shared" si="25"/>
        <v>170.49587199999996</v>
      </c>
      <c r="BV5" s="117">
        <f t="shared" si="13"/>
        <v>-147.63569321533919</v>
      </c>
      <c r="BW5" s="23">
        <f t="shared" si="26"/>
        <v>-4.7889638017726555E-2</v>
      </c>
      <c r="BX5" s="23">
        <f t="shared" si="27"/>
        <v>-0.20855938685143205</v>
      </c>
      <c r="BY5">
        <v>664</v>
      </c>
      <c r="BZ5">
        <f t="shared" si="14"/>
        <v>334</v>
      </c>
      <c r="CA5">
        <f t="shared" si="15"/>
        <v>341</v>
      </c>
      <c r="CB5" s="23">
        <v>-3.5000000000000003E-2</v>
      </c>
      <c r="CC5" s="23">
        <f t="shared" si="16"/>
        <v>-1.9172267466620357E-2</v>
      </c>
      <c r="CD5" s="34">
        <v>513058</v>
      </c>
      <c r="CE5" s="202">
        <v>513058</v>
      </c>
      <c r="CF5" s="117">
        <v>118530.66</v>
      </c>
      <c r="CG5" s="34">
        <v>433270</v>
      </c>
      <c r="CH5" s="34">
        <v>513058</v>
      </c>
      <c r="CI5" s="34">
        <f t="shared" si="17"/>
        <v>114134.59218289085</v>
      </c>
      <c r="CJ5" s="34">
        <f t="shared" si="18"/>
        <v>248945.55300000001</v>
      </c>
      <c r="CK5" s="75">
        <f t="shared" si="28"/>
        <v>264112.44699999999</v>
      </c>
      <c r="CL5" s="25">
        <f t="shared" si="19"/>
        <v>0.78665725795156061</v>
      </c>
      <c r="CM5" s="34">
        <f t="shared" si="29"/>
        <v>319135.40781710914</v>
      </c>
      <c r="CN5" s="225">
        <f t="shared" si="30"/>
        <v>0.96801008177565173</v>
      </c>
      <c r="CO5" s="225">
        <f t="shared" si="31"/>
        <v>0.26206840059940151</v>
      </c>
      <c r="CP5" s="117">
        <v>119114</v>
      </c>
      <c r="CQ5" s="117">
        <f t="shared" si="32"/>
        <v>394527.33999999997</v>
      </c>
      <c r="CR5" s="117">
        <f t="shared" si="33"/>
        <v>393944</v>
      </c>
      <c r="CS5" s="23">
        <v>2.4628700000000001</v>
      </c>
      <c r="CT5" s="23">
        <f t="shared" si="34"/>
        <v>2.4623085668622</v>
      </c>
      <c r="CU5" s="25">
        <f t="shared" si="20"/>
        <v>0.24460134320896035</v>
      </c>
      <c r="CV5" s="23">
        <f t="shared" si="35"/>
        <v>0.35847024989962478</v>
      </c>
    </row>
    <row r="6" spans="1:100" x14ac:dyDescent="0.25">
      <c r="A6" s="9" t="s">
        <v>80</v>
      </c>
      <c r="B6" s="9" t="s">
        <v>81</v>
      </c>
      <c r="C6" s="238">
        <f t="shared" si="0"/>
        <v>48</v>
      </c>
      <c r="D6">
        <v>48</v>
      </c>
      <c r="E6" s="92">
        <v>127</v>
      </c>
      <c r="F6" s="69">
        <v>135</v>
      </c>
      <c r="G6" s="94">
        <f t="shared" si="1"/>
        <v>2.6458333333333335</v>
      </c>
      <c r="H6" s="118">
        <f t="shared" si="2"/>
        <v>2.8125</v>
      </c>
      <c r="I6" s="118">
        <f t="shared" si="3"/>
        <v>6.2116101514899054E-2</v>
      </c>
      <c r="J6" s="95">
        <f>H6/H15</f>
        <v>7.1809766352822282E-2</v>
      </c>
      <c r="K6" s="34">
        <v>0</v>
      </c>
      <c r="L6" s="34">
        <v>0</v>
      </c>
      <c r="M6" s="34">
        <f t="shared" si="4"/>
        <v>0</v>
      </c>
      <c r="N6" s="75">
        <f t="shared" si="5"/>
        <v>0</v>
      </c>
      <c r="O6" s="40">
        <f>N6/N15</f>
        <v>0</v>
      </c>
      <c r="P6" s="40">
        <f t="shared" si="6"/>
        <v>0</v>
      </c>
      <c r="Q6" s="47">
        <f t="shared" si="7"/>
        <v>4.3085859811693369E-2</v>
      </c>
      <c r="R6" s="47">
        <f t="shared" si="8"/>
        <v>3.7269660908939434E-2</v>
      </c>
      <c r="S6" s="26">
        <v>-0.64300000000000002</v>
      </c>
      <c r="T6">
        <v>-0.36699999999999999</v>
      </c>
      <c r="U6" s="26">
        <f t="shared" si="9"/>
        <v>-0.64186894610816436</v>
      </c>
      <c r="V6" s="217">
        <v>35</v>
      </c>
      <c r="W6" s="26">
        <v>-0.13620511008465794</v>
      </c>
      <c r="X6" s="26">
        <f t="shared" si="21"/>
        <v>-0.64550952641041559</v>
      </c>
      <c r="Y6" s="73"/>
      <c r="Z6" s="37"/>
      <c r="AA6" s="67"/>
      <c r="AB6" s="298"/>
      <c r="AC6" s="298"/>
      <c r="AD6" s="299"/>
      <c r="AE6" s="299"/>
      <c r="AF6" s="298"/>
      <c r="AG6" s="67"/>
      <c r="AH6" s="67"/>
      <c r="AI6" s="67"/>
      <c r="AJ6" s="67"/>
      <c r="AK6" s="298"/>
      <c r="AL6" s="67"/>
      <c r="AM6" s="67"/>
      <c r="AN6" s="67"/>
      <c r="AO6" s="37"/>
      <c r="AP6" s="125"/>
      <c r="AQ6" s="58"/>
      <c r="AR6" s="58"/>
      <c r="AS6" s="58"/>
      <c r="AT6" s="58"/>
      <c r="AU6" s="58"/>
      <c r="AV6" s="23"/>
      <c r="AW6" s="58"/>
      <c r="AX6" s="58"/>
      <c r="AY6" s="23"/>
      <c r="AZ6" s="270"/>
      <c r="BA6" s="16"/>
      <c r="BB6" s="16"/>
      <c r="BC6" s="16"/>
      <c r="BD6" s="16"/>
      <c r="BE6" s="134"/>
      <c r="BF6" s="16"/>
      <c r="BG6" s="16"/>
      <c r="BH6" s="26"/>
      <c r="BI6">
        <v>254</v>
      </c>
      <c r="BJ6">
        <v>254</v>
      </c>
      <c r="BK6">
        <f t="shared" si="11"/>
        <v>0</v>
      </c>
      <c r="BL6">
        <v>372</v>
      </c>
      <c r="BM6" s="34">
        <v>334</v>
      </c>
      <c r="BN6" s="34">
        <v>462</v>
      </c>
      <c r="BO6" s="34">
        <v>162</v>
      </c>
      <c r="BP6" s="117">
        <f t="shared" si="22"/>
        <v>435.74483775811211</v>
      </c>
      <c r="BQ6" s="117">
        <f t="shared" si="23"/>
        <v>441.77</v>
      </c>
      <c r="BR6" s="117">
        <f t="shared" si="24"/>
        <v>20.230000000000018</v>
      </c>
      <c r="BS6" s="23">
        <f t="shared" si="12"/>
        <v>-0.38653231347223826</v>
      </c>
      <c r="BT6" s="75">
        <f>V6*BO$18</f>
        <v>191.77984000000001</v>
      </c>
      <c r="BU6" s="75">
        <f t="shared" si="25"/>
        <v>-29.779840000000007</v>
      </c>
      <c r="BV6" s="117">
        <f t="shared" si="13"/>
        <v>-101.74483775811211</v>
      </c>
      <c r="BW6" s="23">
        <f t="shared" si="26"/>
        <v>-0.46747177565178977</v>
      </c>
      <c r="BX6" s="23">
        <f t="shared" si="27"/>
        <v>-0.14373110266214117</v>
      </c>
      <c r="BY6">
        <v>371</v>
      </c>
      <c r="BZ6">
        <f t="shared" si="14"/>
        <v>-118</v>
      </c>
      <c r="CA6">
        <f t="shared" si="15"/>
        <v>-117</v>
      </c>
      <c r="CB6" s="23">
        <v>-0.53400000000000003</v>
      </c>
      <c r="CC6" s="23">
        <f t="shared" si="16"/>
        <v>-0.53294824351360714</v>
      </c>
      <c r="CD6" s="34">
        <v>0</v>
      </c>
      <c r="CE6" s="202">
        <v>0</v>
      </c>
      <c r="CF6" s="117">
        <v>152650.23000000001</v>
      </c>
      <c r="CG6" s="34">
        <v>0</v>
      </c>
      <c r="CH6" s="34">
        <v>0</v>
      </c>
      <c r="CI6" s="34">
        <f t="shared" si="17"/>
        <v>41182.584808259584</v>
      </c>
      <c r="CJ6" s="34">
        <f t="shared" si="18"/>
        <v>89825.714999999997</v>
      </c>
      <c r="CK6" s="75">
        <f t="shared" si="28"/>
        <v>-89825.714999999997</v>
      </c>
      <c r="CL6" s="23">
        <f t="shared" si="19"/>
        <v>9.0685861537358609E-2</v>
      </c>
      <c r="CM6" s="34">
        <f t="shared" si="29"/>
        <v>-41182.584808259584</v>
      </c>
      <c r="CN6" s="36">
        <f t="shared" si="30"/>
        <v>-0.12491612121843308</v>
      </c>
      <c r="CO6" s="240">
        <f t="shared" si="31"/>
        <v>-0.13620511008465794</v>
      </c>
      <c r="CP6" s="117">
        <v>154108</v>
      </c>
      <c r="CQ6" s="117">
        <f t="shared" si="32"/>
        <v>-152650.23000000001</v>
      </c>
      <c r="CR6" s="117">
        <f t="shared" si="33"/>
        <v>-154108</v>
      </c>
      <c r="CS6" s="23">
        <v>-0.80525000000000002</v>
      </c>
      <c r="CT6" s="23">
        <f t="shared" si="34"/>
        <v>-0.8143514507556282</v>
      </c>
      <c r="CU6" s="23">
        <f t="shared" si="20"/>
        <v>-0.1956450434683995</v>
      </c>
      <c r="CV6" s="23">
        <f t="shared" si="35"/>
        <v>-0.33044951387844712</v>
      </c>
    </row>
    <row r="7" spans="1:100" x14ac:dyDescent="0.25">
      <c r="A7" s="7" t="s">
        <v>99</v>
      </c>
      <c r="B7" s="7" t="s">
        <v>102</v>
      </c>
      <c r="C7" s="238">
        <f t="shared" si="0"/>
        <v>293</v>
      </c>
      <c r="D7" s="8">
        <v>293</v>
      </c>
      <c r="E7" s="92">
        <v>1239</v>
      </c>
      <c r="F7" s="69">
        <v>1080</v>
      </c>
      <c r="G7" s="94">
        <f t="shared" si="1"/>
        <v>4.2286689419795218</v>
      </c>
      <c r="H7" s="118">
        <f t="shared" si="2"/>
        <v>3.6860068259385668</v>
      </c>
      <c r="I7" s="118">
        <f t="shared" si="3"/>
        <v>9.9276256733064838E-2</v>
      </c>
      <c r="J7" s="95">
        <f>H7/H15</f>
        <v>9.4112458291753437E-2</v>
      </c>
      <c r="K7" s="34">
        <v>56571</v>
      </c>
      <c r="L7" s="34">
        <v>46292</v>
      </c>
      <c r="M7" s="34">
        <f t="shared" si="4"/>
        <v>193.07508532423208</v>
      </c>
      <c r="N7" s="75">
        <f t="shared" si="5"/>
        <v>157.99317406143345</v>
      </c>
      <c r="O7" s="40">
        <f>N7/N15</f>
        <v>1.6424557463716898E-2</v>
      </c>
      <c r="P7" s="40">
        <f t="shared" si="6"/>
        <v>1.169218978921764E-2</v>
      </c>
      <c r="Q7" s="47">
        <f t="shared" si="7"/>
        <v>6.3037297960538821E-2</v>
      </c>
      <c r="R7" s="47">
        <f t="shared" si="8"/>
        <v>6.4242629955525959E-2</v>
      </c>
      <c r="S7" s="26">
        <v>-0.02</v>
      </c>
      <c r="T7">
        <v>-0.30299999999999999</v>
      </c>
      <c r="U7" s="26">
        <f t="shared" si="9"/>
        <v>-3.0209049939294838E-2</v>
      </c>
      <c r="V7" s="217">
        <v>315</v>
      </c>
      <c r="W7" s="26">
        <v>-0.65424922354727244</v>
      </c>
      <c r="X7" s="26">
        <f t="shared" si="21"/>
        <v>-2.9512527853035958E-2</v>
      </c>
      <c r="Y7" s="73"/>
      <c r="Z7" s="37"/>
      <c r="AA7" s="67"/>
      <c r="AB7" s="298"/>
      <c r="AC7" s="298"/>
      <c r="AD7" s="299"/>
      <c r="AE7" s="299"/>
      <c r="AF7" s="298"/>
      <c r="AG7" s="67"/>
      <c r="AH7" s="67"/>
      <c r="AI7" s="67"/>
      <c r="AJ7" s="67"/>
      <c r="AK7" s="298"/>
      <c r="AL7" s="67"/>
      <c r="AM7" s="67"/>
      <c r="AN7" s="67"/>
      <c r="AO7" s="37"/>
      <c r="AP7" s="125"/>
      <c r="AQ7" s="58"/>
      <c r="AR7" s="58"/>
      <c r="AS7" s="58"/>
      <c r="AT7" s="58"/>
      <c r="AU7" s="58"/>
      <c r="AV7" s="23"/>
      <c r="AW7" s="58"/>
      <c r="AX7" s="58"/>
      <c r="AY7" s="23"/>
      <c r="AZ7" s="67"/>
      <c r="BA7" s="16"/>
      <c r="BB7" s="16"/>
      <c r="BC7" s="16"/>
      <c r="BD7" s="16"/>
      <c r="BE7" s="16"/>
      <c r="BF7" s="16"/>
      <c r="BG7" s="16"/>
      <c r="BH7" s="278"/>
      <c r="BI7">
        <v>2478</v>
      </c>
      <c r="BJ7">
        <v>2448</v>
      </c>
      <c r="BK7">
        <f t="shared" si="11"/>
        <v>30</v>
      </c>
      <c r="BL7">
        <v>2272</v>
      </c>
      <c r="BM7" s="34">
        <v>3366</v>
      </c>
      <c r="BN7" s="34">
        <v>4270</v>
      </c>
      <c r="BO7" s="34">
        <v>1713</v>
      </c>
      <c r="BP7" s="117">
        <f t="shared" si="22"/>
        <v>3921.7035398230087</v>
      </c>
      <c r="BQ7" s="117">
        <f t="shared" si="23"/>
        <v>3975.93</v>
      </c>
      <c r="BR7" s="117">
        <f t="shared" si="24"/>
        <v>294.07000000000016</v>
      </c>
      <c r="BS7" s="23">
        <f t="shared" si="12"/>
        <v>-0.18383029514756574</v>
      </c>
      <c r="BT7" s="75">
        <f t="shared" ref="BT7:BT13" si="36">V7*BO$18</f>
        <v>1726.01856</v>
      </c>
      <c r="BU7" s="75">
        <f t="shared" si="25"/>
        <v>-13.018559999999979</v>
      </c>
      <c r="BV7" s="117">
        <f t="shared" si="13"/>
        <v>-555.70353982300867</v>
      </c>
      <c r="BW7" s="23">
        <f t="shared" si="26"/>
        <v>-0.43235651568515399</v>
      </c>
      <c r="BX7" s="26">
        <f t="shared" si="27"/>
        <v>-0.78502147422853297</v>
      </c>
      <c r="BY7">
        <v>2262</v>
      </c>
      <c r="BZ7">
        <f t="shared" si="14"/>
        <v>206</v>
      </c>
      <c r="CA7">
        <f t="shared" si="15"/>
        <v>186</v>
      </c>
      <c r="CB7" s="23">
        <v>-0.17599999999999999</v>
      </c>
      <c r="CC7" s="23">
        <f t="shared" si="16"/>
        <v>-0.1930484165654914</v>
      </c>
      <c r="CD7" s="34">
        <v>56571</v>
      </c>
      <c r="CE7" s="202">
        <v>56571</v>
      </c>
      <c r="CF7" s="117">
        <v>38560.949999999997</v>
      </c>
      <c r="CG7" s="34">
        <v>219619</v>
      </c>
      <c r="CH7" s="34">
        <v>271235</v>
      </c>
      <c r="CI7" s="34">
        <f t="shared" si="17"/>
        <v>370643.26327433629</v>
      </c>
      <c r="CJ7" s="34">
        <f t="shared" si="18"/>
        <v>808431.43500000006</v>
      </c>
      <c r="CK7" s="75">
        <f t="shared" si="28"/>
        <v>-537196.43500000006</v>
      </c>
      <c r="CL7" s="23">
        <f t="shared" si="19"/>
        <v>-0.78900798937105809</v>
      </c>
      <c r="CM7" s="34">
        <f t="shared" si="29"/>
        <v>-151024.26327433629</v>
      </c>
      <c r="CN7" s="36">
        <f t="shared" si="30"/>
        <v>-0.45809084752538165</v>
      </c>
      <c r="CO7" s="240">
        <f t="shared" si="31"/>
        <v>-0.65424922354727244</v>
      </c>
      <c r="CP7" s="117">
        <v>38378</v>
      </c>
      <c r="CQ7" s="117">
        <f t="shared" si="32"/>
        <v>18010.050000000003</v>
      </c>
      <c r="CR7" s="117">
        <f t="shared" si="33"/>
        <v>18193</v>
      </c>
      <c r="CS7" s="23">
        <v>0.21404999999999999</v>
      </c>
      <c r="CT7" s="23">
        <f t="shared" si="34"/>
        <v>0.21579130521564718</v>
      </c>
      <c r="CU7" s="23">
        <f t="shared" si="20"/>
        <v>-0.42590137283696272</v>
      </c>
      <c r="CV7" s="23">
        <f t="shared" si="35"/>
        <v>-0.44265024842124506</v>
      </c>
    </row>
    <row r="8" spans="1:100" x14ac:dyDescent="0.25">
      <c r="A8" s="9" t="s">
        <v>106</v>
      </c>
      <c r="B8" s="9" t="s">
        <v>109</v>
      </c>
      <c r="C8" s="238">
        <f t="shared" si="0"/>
        <v>38</v>
      </c>
      <c r="D8" s="8">
        <v>38</v>
      </c>
      <c r="E8" s="92">
        <v>178.5</v>
      </c>
      <c r="F8" s="69">
        <v>225</v>
      </c>
      <c r="G8" s="94">
        <f t="shared" si="1"/>
        <v>4.6973684210526319</v>
      </c>
      <c r="H8" s="118">
        <f t="shared" si="2"/>
        <v>5.9210526315789478</v>
      </c>
      <c r="I8" s="118">
        <f t="shared" si="3"/>
        <v>0.11027989179023105</v>
      </c>
      <c r="J8" s="95">
        <f>H8/H15</f>
        <v>0.15117845547962586</v>
      </c>
      <c r="K8" s="34">
        <v>329494</v>
      </c>
      <c r="L8" s="34">
        <v>257811</v>
      </c>
      <c r="M8" s="34">
        <f t="shared" si="4"/>
        <v>8670.894736842105</v>
      </c>
      <c r="N8" s="75">
        <f t="shared" si="5"/>
        <v>6784.5</v>
      </c>
      <c r="O8" s="40">
        <f>N8/N15</f>
        <v>0.70529888885742842</v>
      </c>
      <c r="P8" s="40">
        <f t="shared" si="6"/>
        <v>0.52508974285954757</v>
      </c>
      <c r="Q8" s="47">
        <f t="shared" si="7"/>
        <v>0.37282662883074685</v>
      </c>
      <c r="R8" s="47">
        <f t="shared" si="8"/>
        <v>0.27620383221795763</v>
      </c>
      <c r="S8" s="26">
        <v>0.27</v>
      </c>
      <c r="T8" s="71">
        <v>0.753</v>
      </c>
      <c r="U8" s="26">
        <f t="shared" si="9"/>
        <v>0.28171443295705256</v>
      </c>
      <c r="V8" s="217">
        <v>46</v>
      </c>
      <c r="W8" s="25">
        <v>0.72862914665684042</v>
      </c>
      <c r="X8" s="26">
        <f t="shared" si="21"/>
        <v>0.27826478582989411</v>
      </c>
      <c r="Y8" s="133"/>
      <c r="Z8" s="65" t="e">
        <f>AQ8*C8</f>
        <v>#VALUE!</v>
      </c>
      <c r="AA8" s="68"/>
      <c r="AB8" s="298">
        <v>0</v>
      </c>
      <c r="AC8" s="298"/>
      <c r="AD8" s="298"/>
      <c r="AE8" s="298"/>
      <c r="AF8" s="291">
        <f>AM8*BE$14</f>
        <v>135757.66225578697</v>
      </c>
      <c r="AG8" s="65" t="e">
        <f>AN8*BE$6</f>
        <v>#DIV/0!</v>
      </c>
      <c r="AH8" s="65" t="e">
        <f>SUM(AI8:AJ8)</f>
        <v>#DIV/0!</v>
      </c>
      <c r="AI8" s="68"/>
      <c r="AJ8" s="65" t="e">
        <f>AT8*BE11</f>
        <v>#DIV/0!</v>
      </c>
      <c r="AK8" s="298">
        <f>AVERAGE(AB8,AF8)</f>
        <v>67878.831127893485</v>
      </c>
      <c r="AL8" s="65">
        <f>AK8-(AU8*AK$15)</f>
        <v>62293.385485153827</v>
      </c>
      <c r="AM8" s="68">
        <f>AU8*V8</f>
        <v>14.470282138771008</v>
      </c>
      <c r="AN8" s="68" t="e">
        <f>AV8*V8</f>
        <v>#DIV/0!</v>
      </c>
      <c r="AO8" s="68"/>
      <c r="AP8" s="125"/>
      <c r="AQ8" s="58" t="e">
        <f>T8/BC2</f>
        <v>#VALUE!</v>
      </c>
      <c r="AR8" s="58"/>
      <c r="AS8" s="58"/>
      <c r="AT8" s="58" t="e">
        <f>AY8*V8</f>
        <v>#DIV/0!</v>
      </c>
      <c r="AU8" s="58">
        <f>CV8/BH$14</f>
        <v>0.31457135084284799</v>
      </c>
      <c r="AV8" s="23" t="e">
        <f>CU8/BH$6</f>
        <v>#DIV/0!</v>
      </c>
      <c r="AW8" s="58"/>
      <c r="AX8" s="58"/>
      <c r="AY8" s="23" t="e">
        <f>CL8/BH10</f>
        <v>#DIV/0!</v>
      </c>
      <c r="AZ8" s="278"/>
      <c r="BA8" s="16"/>
      <c r="BB8" s="16"/>
      <c r="BC8" s="16"/>
      <c r="BD8" s="16"/>
      <c r="BE8" s="278"/>
      <c r="BF8" s="16"/>
      <c r="BG8" s="16"/>
      <c r="BH8" s="26"/>
      <c r="BI8">
        <v>357</v>
      </c>
      <c r="BJ8">
        <v>370</v>
      </c>
      <c r="BK8">
        <f t="shared" si="11"/>
        <v>-13</v>
      </c>
      <c r="BL8">
        <v>295</v>
      </c>
      <c r="BM8" s="34">
        <v>285</v>
      </c>
      <c r="BN8" s="34">
        <v>484</v>
      </c>
      <c r="BO8" s="34">
        <v>219</v>
      </c>
      <c r="BP8" s="117">
        <f t="shared" si="22"/>
        <v>572.69321533923301</v>
      </c>
      <c r="BQ8" s="117">
        <f t="shared" si="23"/>
        <v>580.61199999999997</v>
      </c>
      <c r="BR8" s="117">
        <f t="shared" si="24"/>
        <v>-96.611999999999966</v>
      </c>
      <c r="BS8" s="23">
        <f t="shared" si="12"/>
        <v>-0.47302117275171307</v>
      </c>
      <c r="BT8" s="75">
        <f t="shared" si="36"/>
        <v>252.053504</v>
      </c>
      <c r="BU8" s="75">
        <f t="shared" si="25"/>
        <v>-33.053504000000004</v>
      </c>
      <c r="BV8" s="117">
        <f t="shared" si="13"/>
        <v>-287.69321533923301</v>
      </c>
      <c r="BW8" s="23">
        <f t="shared" si="26"/>
        <v>-0.47433017563099283</v>
      </c>
      <c r="BX8" s="23">
        <f t="shared" si="27"/>
        <v>-0.40641337664158694</v>
      </c>
      <c r="BY8">
        <v>293</v>
      </c>
      <c r="BZ8">
        <f t="shared" si="14"/>
        <v>62</v>
      </c>
      <c r="CA8">
        <f t="shared" si="15"/>
        <v>77</v>
      </c>
      <c r="CB8" s="23">
        <v>-0.33500000000000002</v>
      </c>
      <c r="CC8" s="23">
        <f t="shared" si="16"/>
        <v>-0.31532261173824588</v>
      </c>
      <c r="CD8" s="34">
        <v>329494</v>
      </c>
      <c r="CE8" s="202">
        <v>329493.82999999996</v>
      </c>
      <c r="CF8" s="117">
        <v>150212.88</v>
      </c>
      <c r="CG8" s="34">
        <v>855646</v>
      </c>
      <c r="CH8" s="34">
        <v>1032093</v>
      </c>
      <c r="CI8" s="34">
        <f t="shared" si="17"/>
        <v>54125.682890855453</v>
      </c>
      <c r="CJ8" s="34">
        <f t="shared" si="18"/>
        <v>118056.65400000001</v>
      </c>
      <c r="CK8" s="75">
        <f t="shared" si="28"/>
        <v>914036.34600000002</v>
      </c>
      <c r="CL8" s="25">
        <f t="shared" si="19"/>
        <v>2.0646444662085579</v>
      </c>
      <c r="CM8" s="34">
        <f t="shared" si="29"/>
        <v>801520.31710914453</v>
      </c>
      <c r="CN8" s="225">
        <f t="shared" si="30"/>
        <v>2.4311929316044814</v>
      </c>
      <c r="CO8" s="225">
        <f t="shared" si="31"/>
        <v>0.72862914665684042</v>
      </c>
      <c r="CP8" s="117">
        <v>151927</v>
      </c>
      <c r="CQ8" s="117">
        <f t="shared" si="32"/>
        <v>179281.12</v>
      </c>
      <c r="CR8" s="117">
        <f t="shared" si="33"/>
        <v>177566.82999999996</v>
      </c>
      <c r="CS8" s="23">
        <v>1.17727</v>
      </c>
      <c r="CT8" s="23">
        <f t="shared" si="34"/>
        <v>1.168645882182104</v>
      </c>
      <c r="CU8" s="25">
        <f t="shared" si="20"/>
        <v>0.54204508283239539</v>
      </c>
      <c r="CV8" s="25">
        <f t="shared" si="35"/>
        <v>0.68787906726319692</v>
      </c>
    </row>
    <row r="9" spans="1:100" x14ac:dyDescent="0.25">
      <c r="A9" s="7" t="s">
        <v>114</v>
      </c>
      <c r="B9" s="7" t="s">
        <v>115</v>
      </c>
      <c r="C9" s="238">
        <f t="shared" si="0"/>
        <v>18</v>
      </c>
      <c r="D9">
        <v>18</v>
      </c>
      <c r="E9" s="92">
        <v>46.5</v>
      </c>
      <c r="F9" s="69">
        <v>31</v>
      </c>
      <c r="G9" s="94">
        <f t="shared" si="1"/>
        <v>2.5833333333333335</v>
      </c>
      <c r="H9" s="118">
        <f t="shared" si="2"/>
        <v>1.7222222222222223</v>
      </c>
      <c r="I9" s="118">
        <f t="shared" si="3"/>
        <v>6.0648792030295134E-2</v>
      </c>
      <c r="J9" s="95">
        <f>H9/H15</f>
        <v>4.3972400137036856E-2</v>
      </c>
      <c r="K9" s="34">
        <v>0</v>
      </c>
      <c r="L9" s="34">
        <v>0</v>
      </c>
      <c r="M9" s="34">
        <f t="shared" si="4"/>
        <v>0</v>
      </c>
      <c r="N9" s="75">
        <f t="shared" si="5"/>
        <v>0</v>
      </c>
      <c r="O9" s="40">
        <f>N9/N15</f>
        <v>0</v>
      </c>
      <c r="P9" s="40">
        <f t="shared" si="6"/>
        <v>0</v>
      </c>
      <c r="Q9" s="40">
        <f t="shared" si="7"/>
        <v>2.6383440082222112E-2</v>
      </c>
      <c r="R9" s="47">
        <f t="shared" si="8"/>
        <v>3.6389275218177079E-2</v>
      </c>
      <c r="S9" s="26">
        <v>-0.443</v>
      </c>
      <c r="T9">
        <v>-0.32800000000000001</v>
      </c>
      <c r="U9" s="26">
        <f t="shared" si="9"/>
        <v>-0.4463074634316741</v>
      </c>
      <c r="V9" s="217">
        <v>17</v>
      </c>
      <c r="W9" s="26">
        <v>-6.8316871116035752E-2</v>
      </c>
      <c r="X9" s="26">
        <f t="shared" si="21"/>
        <v>-0.45001246642527287</v>
      </c>
      <c r="Z9" s="37"/>
      <c r="AA9" s="37"/>
      <c r="AB9" s="37"/>
      <c r="AC9" s="37"/>
      <c r="AD9" s="37"/>
      <c r="AE9" s="37"/>
      <c r="AF9" s="67"/>
      <c r="AG9" s="67"/>
      <c r="AH9" s="67"/>
      <c r="AI9" s="67"/>
      <c r="AJ9" s="67"/>
      <c r="AK9" s="67"/>
      <c r="AL9" s="67"/>
      <c r="AM9" s="67"/>
      <c r="AN9" s="37"/>
      <c r="AO9" s="37"/>
      <c r="AP9" s="67"/>
      <c r="AQ9" s="58"/>
      <c r="AR9" s="58"/>
      <c r="AS9" s="58"/>
      <c r="AT9" s="58"/>
      <c r="AU9" s="58"/>
      <c r="AV9" s="58"/>
      <c r="AW9" s="58"/>
      <c r="AX9" s="58"/>
      <c r="AY9" s="23"/>
      <c r="AZ9" s="67"/>
      <c r="BA9" s="16"/>
      <c r="BB9" s="16"/>
      <c r="BC9" s="16"/>
      <c r="BD9" s="16"/>
      <c r="BE9" s="134"/>
      <c r="BF9" s="16"/>
      <c r="BG9" s="16"/>
      <c r="BH9" s="278"/>
      <c r="BI9">
        <v>93</v>
      </c>
      <c r="BJ9">
        <v>87</v>
      </c>
      <c r="BK9">
        <f t="shared" si="11"/>
        <v>6</v>
      </c>
      <c r="BL9">
        <v>140</v>
      </c>
      <c r="BM9" s="34">
        <v>144</v>
      </c>
      <c r="BN9" s="34">
        <v>168</v>
      </c>
      <c r="BO9" s="34">
        <v>93</v>
      </c>
      <c r="BP9" s="117">
        <f t="shared" si="22"/>
        <v>211.64749262536873</v>
      </c>
      <c r="BQ9" s="117">
        <f t="shared" si="23"/>
        <v>214.57400000000001</v>
      </c>
      <c r="BR9" s="117">
        <f t="shared" si="24"/>
        <v>-46.574000000000012</v>
      </c>
      <c r="BS9" s="23">
        <f t="shared" si="12"/>
        <v>-0.43598201268404602</v>
      </c>
      <c r="BT9" s="75">
        <f t="shared" si="36"/>
        <v>93.150207999999992</v>
      </c>
      <c r="BU9" s="75">
        <f t="shared" si="25"/>
        <v>-0.15020799999999213</v>
      </c>
      <c r="BV9" s="117">
        <f t="shared" si="13"/>
        <v>-67.647492625368727</v>
      </c>
      <c r="BW9" s="23">
        <f t="shared" si="26"/>
        <v>-0.40539702775689451</v>
      </c>
      <c r="BX9" s="23">
        <f t="shared" si="27"/>
        <v>-9.556306660480271E-2</v>
      </c>
      <c r="BY9">
        <v>139</v>
      </c>
      <c r="BZ9">
        <f t="shared" si="14"/>
        <v>-47</v>
      </c>
      <c r="CA9">
        <f t="shared" si="15"/>
        <v>-52</v>
      </c>
      <c r="CB9" s="23">
        <v>-0.45500000000000002</v>
      </c>
      <c r="CC9" s="23">
        <f t="shared" si="16"/>
        <v>-0.46003243905279018</v>
      </c>
      <c r="CD9" s="34">
        <v>0</v>
      </c>
      <c r="CE9" s="202">
        <v>0</v>
      </c>
      <c r="CF9" s="117">
        <v>89105.64</v>
      </c>
      <c r="CG9" s="34">
        <v>10954</v>
      </c>
      <c r="CH9" s="34">
        <v>10954</v>
      </c>
      <c r="CI9" s="34">
        <f t="shared" si="17"/>
        <v>20002.969764011799</v>
      </c>
      <c r="CJ9" s="34">
        <f t="shared" si="18"/>
        <v>43629.633000000002</v>
      </c>
      <c r="CK9" s="34">
        <f t="shared" si="28"/>
        <v>-32675.633000000002</v>
      </c>
      <c r="CL9" s="23">
        <f t="shared" si="19"/>
        <v>0.20306374740863731</v>
      </c>
      <c r="CM9" s="34">
        <f t="shared" si="29"/>
        <v>-9048.9697640117993</v>
      </c>
      <c r="CN9" s="36">
        <f t="shared" si="30"/>
        <v>-2.7447577882885318E-2</v>
      </c>
      <c r="CO9" s="240">
        <f t="shared" si="31"/>
        <v>-6.8316871116035752E-2</v>
      </c>
      <c r="CP9" s="117">
        <v>90655</v>
      </c>
      <c r="CQ9" s="117">
        <f t="shared" si="32"/>
        <v>-89105.64</v>
      </c>
      <c r="CR9" s="117">
        <f t="shared" si="33"/>
        <v>-90655</v>
      </c>
      <c r="CS9" s="23">
        <v>-0.42571999999999999</v>
      </c>
      <c r="CT9" s="23">
        <f t="shared" si="34"/>
        <v>-0.43498250748399692</v>
      </c>
      <c r="CU9" s="23">
        <f t="shared" si="20"/>
        <v>-0.18036370864697265</v>
      </c>
      <c r="CV9" s="23">
        <f t="shared" si="35"/>
        <v>-0.25421724780729082</v>
      </c>
    </row>
    <row r="10" spans="1:100" x14ac:dyDescent="0.25">
      <c r="A10" s="7" t="s">
        <v>118</v>
      </c>
      <c r="B10" s="7" t="s">
        <v>122</v>
      </c>
      <c r="C10" s="238">
        <f t="shared" si="0"/>
        <v>77</v>
      </c>
      <c r="D10" s="8">
        <v>77</v>
      </c>
      <c r="E10" s="92">
        <v>128.5</v>
      </c>
      <c r="F10" s="69">
        <v>77.5</v>
      </c>
      <c r="G10" s="94">
        <f t="shared" si="1"/>
        <v>1.6688311688311688</v>
      </c>
      <c r="H10" s="118">
        <f t="shared" si="2"/>
        <v>1.0064935064935066</v>
      </c>
      <c r="I10" s="118">
        <f t="shared" si="3"/>
        <v>3.917906883565777E-2</v>
      </c>
      <c r="J10" s="95">
        <f>H10/H15</f>
        <v>2.5698155924242318E-2</v>
      </c>
      <c r="K10" s="34">
        <v>12500</v>
      </c>
      <c r="L10" s="34">
        <v>12500</v>
      </c>
      <c r="M10" s="34">
        <f t="shared" si="4"/>
        <v>162.33766233766235</v>
      </c>
      <c r="N10" s="75">
        <f t="shared" si="5"/>
        <v>162.33766233766235</v>
      </c>
      <c r="O10" s="40">
        <f>N10/N15</f>
        <v>1.6876199110688432E-2</v>
      </c>
      <c r="P10" s="40">
        <f t="shared" si="6"/>
        <v>9.8308010834355745E-3</v>
      </c>
      <c r="Q10" s="40">
        <f t="shared" si="7"/>
        <v>2.2169373198820765E-2</v>
      </c>
      <c r="R10" s="47">
        <f t="shared" si="8"/>
        <v>2.7439761734768892E-2</v>
      </c>
      <c r="S10" s="26">
        <v>-0.7</v>
      </c>
      <c r="T10">
        <v>-0.64300000000000002</v>
      </c>
      <c r="U10" s="26">
        <f t="shared" si="9"/>
        <v>-0.70076118720823066</v>
      </c>
      <c r="V10" s="217">
        <v>74</v>
      </c>
      <c r="W10" s="26">
        <v>-0.49802243273308355</v>
      </c>
      <c r="X10" s="26">
        <f t="shared" si="21"/>
        <v>-0.7025917369328788</v>
      </c>
      <c r="Z10" s="37"/>
      <c r="AA10" s="37"/>
      <c r="AB10" s="37"/>
      <c r="AC10" s="37"/>
      <c r="AD10" s="37"/>
      <c r="AE10" s="37"/>
      <c r="AF10" s="67"/>
      <c r="AG10" s="67"/>
      <c r="AH10" s="67"/>
      <c r="AI10" s="67"/>
      <c r="AJ10" s="67"/>
      <c r="AK10" s="67"/>
      <c r="AL10" s="67"/>
      <c r="AM10" s="67"/>
      <c r="AN10" s="37"/>
      <c r="AO10" s="37"/>
      <c r="AP10" s="67"/>
      <c r="AQ10" s="58"/>
      <c r="AR10" s="58"/>
      <c r="AS10" s="58"/>
      <c r="AT10" s="58"/>
      <c r="AU10" s="58"/>
      <c r="AV10" s="58"/>
      <c r="AW10" s="58"/>
      <c r="AX10" s="58"/>
      <c r="AY10" s="23"/>
      <c r="AZ10" s="278"/>
      <c r="BA10" s="16"/>
      <c r="BB10" s="16"/>
      <c r="BC10" s="16"/>
      <c r="BD10" s="16"/>
      <c r="BE10" s="278"/>
      <c r="BF10" s="16"/>
      <c r="BG10" s="16"/>
      <c r="BH10" s="26"/>
      <c r="BI10">
        <v>257</v>
      </c>
      <c r="BJ10">
        <v>257</v>
      </c>
      <c r="BK10">
        <f t="shared" si="11"/>
        <v>0</v>
      </c>
      <c r="BL10">
        <v>597</v>
      </c>
      <c r="BM10" s="34">
        <v>428</v>
      </c>
      <c r="BN10" s="34">
        <v>508</v>
      </c>
      <c r="BO10" s="34">
        <v>339</v>
      </c>
      <c r="BP10" s="117">
        <f t="shared" si="22"/>
        <v>921.28908554572274</v>
      </c>
      <c r="BQ10" s="117">
        <f t="shared" si="23"/>
        <v>934.02800000000002</v>
      </c>
      <c r="BR10" s="117">
        <f t="shared" si="24"/>
        <v>-426.02800000000002</v>
      </c>
      <c r="BS10" s="23">
        <f t="shared" si="12"/>
        <v>-0.71686169301332681</v>
      </c>
      <c r="BT10" s="75">
        <f t="shared" si="36"/>
        <v>405.47737599999999</v>
      </c>
      <c r="BU10" s="75">
        <f t="shared" si="25"/>
        <v>-66.477375999999992</v>
      </c>
      <c r="BV10" s="117">
        <f t="shared" si="13"/>
        <v>-493.28908554572274</v>
      </c>
      <c r="BW10" s="23">
        <f t="shared" si="26"/>
        <v>-0.54435394197649611</v>
      </c>
      <c r="BX10" s="23">
        <f t="shared" si="27"/>
        <v>-0.69685092392840398</v>
      </c>
      <c r="BY10">
        <v>595</v>
      </c>
      <c r="BZ10">
        <f t="shared" si="14"/>
        <v>-340</v>
      </c>
      <c r="CA10">
        <f t="shared" si="15"/>
        <v>-338</v>
      </c>
      <c r="CB10" s="23">
        <v>-0.77900000000000003</v>
      </c>
      <c r="CC10" s="23">
        <f t="shared" si="16"/>
        <v>-0.78086197868038443</v>
      </c>
      <c r="CD10" s="34">
        <v>12500</v>
      </c>
      <c r="CE10" s="202">
        <v>12500</v>
      </c>
      <c r="CF10" s="117">
        <v>127538.48</v>
      </c>
      <c r="CG10" s="34">
        <v>21208</v>
      </c>
      <c r="CH10" s="34">
        <v>33708</v>
      </c>
      <c r="CI10" s="34">
        <f t="shared" si="17"/>
        <v>87071.750737463124</v>
      </c>
      <c r="CJ10" s="34">
        <f t="shared" si="18"/>
        <v>189917.226</v>
      </c>
      <c r="CK10" s="34">
        <f t="shared" si="28"/>
        <v>-156209.226</v>
      </c>
      <c r="CL10" s="23">
        <f t="shared" si="19"/>
        <v>-3.9848310275251819E-2</v>
      </c>
      <c r="CM10" s="34">
        <f t="shared" si="29"/>
        <v>-65863.750737463124</v>
      </c>
      <c r="CN10" s="36">
        <f t="shared" si="30"/>
        <v>-0.199779695940103</v>
      </c>
      <c r="CO10" s="240">
        <f t="shared" si="31"/>
        <v>-0.49802243273308355</v>
      </c>
      <c r="CP10" s="117">
        <v>128278</v>
      </c>
      <c r="CQ10" s="117">
        <f t="shared" si="32"/>
        <v>-115038.48</v>
      </c>
      <c r="CR10" s="117">
        <f t="shared" si="33"/>
        <v>-115778</v>
      </c>
      <c r="CS10" s="23">
        <v>-0.58060999999999996</v>
      </c>
      <c r="CT10" s="23">
        <f t="shared" si="34"/>
        <v>-0.58518637431162035</v>
      </c>
      <c r="CU10" s="23">
        <f t="shared" si="20"/>
        <v>-0.44605633991809679</v>
      </c>
      <c r="CV10" s="23">
        <f t="shared" si="35"/>
        <v>-0.40652424356193884</v>
      </c>
    </row>
    <row r="11" spans="1:100" x14ac:dyDescent="0.25">
      <c r="A11" s="9" t="s">
        <v>129</v>
      </c>
      <c r="B11" s="9" t="s">
        <v>131</v>
      </c>
      <c r="C11" s="238">
        <f t="shared" si="0"/>
        <v>30</v>
      </c>
      <c r="D11">
        <v>30</v>
      </c>
      <c r="E11" s="92">
        <v>59</v>
      </c>
      <c r="F11" s="69">
        <v>71.5</v>
      </c>
      <c r="G11" s="94">
        <f t="shared" si="1"/>
        <v>1.9666666666666666</v>
      </c>
      <c r="H11" s="118">
        <f t="shared" si="2"/>
        <v>2.3833333333333333</v>
      </c>
      <c r="I11" s="118">
        <f t="shared" si="3"/>
        <v>4.6171338448869843E-2</v>
      </c>
      <c r="J11" s="95">
        <f>H11/H15</f>
        <v>6.0852127931576808E-2</v>
      </c>
      <c r="K11" s="34">
        <v>0</v>
      </c>
      <c r="L11" s="34">
        <v>0</v>
      </c>
      <c r="M11" s="34">
        <f t="shared" si="4"/>
        <v>0</v>
      </c>
      <c r="N11" s="75">
        <f t="shared" si="5"/>
        <v>0</v>
      </c>
      <c r="O11" s="40">
        <f>N11/N15</f>
        <v>0</v>
      </c>
      <c r="P11" s="40">
        <f t="shared" si="6"/>
        <v>0</v>
      </c>
      <c r="Q11" s="40">
        <f t="shared" si="7"/>
        <v>3.6511276758946082E-2</v>
      </c>
      <c r="R11" s="47">
        <f t="shared" si="8"/>
        <v>2.7702803069321904E-2</v>
      </c>
      <c r="S11" s="26">
        <v>-0.60199999999999998</v>
      </c>
      <c r="T11">
        <v>-0.34599999999999997</v>
      </c>
      <c r="U11" s="26">
        <f t="shared" si="9"/>
        <v>-0.60155373921540312</v>
      </c>
      <c r="V11" s="217">
        <v>28</v>
      </c>
      <c r="W11" s="26">
        <v>-0.27526270112967721</v>
      </c>
      <c r="X11" s="26">
        <f t="shared" si="21"/>
        <v>-0.60601797323222617</v>
      </c>
      <c r="Z11" s="37"/>
      <c r="AA11" s="37"/>
      <c r="AB11" s="37"/>
      <c r="AC11" s="37"/>
      <c r="AD11" s="37"/>
      <c r="AE11" s="37"/>
      <c r="AF11" s="67"/>
      <c r="AG11" s="67"/>
      <c r="AH11" s="67"/>
      <c r="AI11" s="67"/>
      <c r="AJ11" s="67"/>
      <c r="AK11" s="67"/>
      <c r="AL11" s="67"/>
      <c r="AM11" s="67"/>
      <c r="AN11" s="37"/>
      <c r="AO11" s="37"/>
      <c r="AP11" s="67"/>
      <c r="AQ11" s="58"/>
      <c r="AR11" s="58"/>
      <c r="AS11" s="58"/>
      <c r="AT11" s="58"/>
      <c r="AU11" s="58"/>
      <c r="AV11" s="58"/>
      <c r="AW11" s="58"/>
      <c r="AX11" s="58"/>
      <c r="AY11" s="23"/>
      <c r="AZ11" s="67"/>
      <c r="BA11" s="16"/>
      <c r="BB11" s="16"/>
      <c r="BC11" s="16"/>
      <c r="BD11" s="16"/>
      <c r="BE11" s="134"/>
      <c r="BF11" s="16"/>
      <c r="BG11" s="16"/>
      <c r="BH11" s="16"/>
      <c r="BI11">
        <v>118</v>
      </c>
      <c r="BJ11">
        <v>118</v>
      </c>
      <c r="BK11">
        <f t="shared" si="11"/>
        <v>0</v>
      </c>
      <c r="BL11">
        <v>233</v>
      </c>
      <c r="BM11" s="34">
        <v>71</v>
      </c>
      <c r="BN11" s="34">
        <v>156</v>
      </c>
      <c r="BO11" s="34">
        <v>40</v>
      </c>
      <c r="BP11" s="117">
        <f t="shared" si="22"/>
        <v>348.59587020648968</v>
      </c>
      <c r="BQ11" s="117">
        <f t="shared" si="23"/>
        <v>353.416</v>
      </c>
      <c r="BR11" s="117">
        <f t="shared" si="24"/>
        <v>-197.416</v>
      </c>
      <c r="BS11" s="23">
        <f t="shared" si="12"/>
        <v>-0.54763837350836031</v>
      </c>
      <c r="BT11" s="75">
        <f t="shared" si="36"/>
        <v>153.42387199999999</v>
      </c>
      <c r="BU11" s="75">
        <f t="shared" si="25"/>
        <v>-113.42387199999999</v>
      </c>
      <c r="BV11" s="117">
        <f t="shared" si="13"/>
        <v>-277.59587020648968</v>
      </c>
      <c r="BW11" s="23">
        <f t="shared" si="26"/>
        <v>-0.64270791085969758</v>
      </c>
      <c r="BX11" s="23">
        <f t="shared" si="27"/>
        <v>-0.39214923723296435</v>
      </c>
      <c r="BY11">
        <v>232</v>
      </c>
      <c r="BZ11">
        <f t="shared" si="14"/>
        <v>-115</v>
      </c>
      <c r="CA11">
        <f t="shared" si="15"/>
        <v>-114</v>
      </c>
      <c r="CB11" s="23">
        <v>-0.53</v>
      </c>
      <c r="CC11" s="23">
        <f t="shared" si="16"/>
        <v>-0.52958289869233865</v>
      </c>
      <c r="CD11" s="34">
        <v>0</v>
      </c>
      <c r="CE11" s="202">
        <v>0</v>
      </c>
      <c r="CF11" s="117">
        <v>136621.60999999999</v>
      </c>
      <c r="CG11" s="34">
        <v>0</v>
      </c>
      <c r="CH11" s="34">
        <v>0</v>
      </c>
      <c r="CI11" s="34">
        <f t="shared" si="17"/>
        <v>32946.067846607664</v>
      </c>
      <c r="CJ11" s="34">
        <f t="shared" si="18"/>
        <v>71860.572</v>
      </c>
      <c r="CK11" s="34">
        <f t="shared" si="28"/>
        <v>-71860.572</v>
      </c>
      <c r="CL11" s="23">
        <f t="shared" si="19"/>
        <v>0.12601187891236781</v>
      </c>
      <c r="CM11" s="34">
        <f t="shared" si="29"/>
        <v>-32946.067846607664</v>
      </c>
      <c r="CN11" s="36">
        <f t="shared" si="30"/>
        <v>-9.9932896974746457E-2</v>
      </c>
      <c r="CO11" s="240">
        <f t="shared" si="31"/>
        <v>-0.27526270112967721</v>
      </c>
      <c r="CP11" s="117">
        <v>138439</v>
      </c>
      <c r="CQ11" s="117">
        <f t="shared" si="32"/>
        <v>-136621.60999999999</v>
      </c>
      <c r="CR11" s="117">
        <f t="shared" si="33"/>
        <v>-138439</v>
      </c>
      <c r="CS11" s="23">
        <v>-0.70950999999999997</v>
      </c>
      <c r="CT11" s="23">
        <f t="shared" si="34"/>
        <v>-0.72067058504205761</v>
      </c>
      <c r="CU11" s="23">
        <f t="shared" si="20"/>
        <v>-0.27817827254006905</v>
      </c>
      <c r="CV11" s="23">
        <f t="shared" si="35"/>
        <v>-0.42559790530571712</v>
      </c>
    </row>
    <row r="12" spans="1:100" x14ac:dyDescent="0.25">
      <c r="A12" s="9" t="s">
        <v>135</v>
      </c>
      <c r="B12" s="239" t="s">
        <v>312</v>
      </c>
      <c r="C12" s="238">
        <f t="shared" si="0"/>
        <v>26</v>
      </c>
      <c r="D12" s="8">
        <v>26</v>
      </c>
      <c r="E12" s="92">
        <v>39.5</v>
      </c>
      <c r="F12" s="69">
        <v>26</v>
      </c>
      <c r="G12" s="94">
        <f t="shared" si="1"/>
        <v>1.5192307692307692</v>
      </c>
      <c r="H12" s="118">
        <f t="shared" si="2"/>
        <v>1</v>
      </c>
      <c r="I12" s="118">
        <f t="shared" si="3"/>
        <v>3.5666907471910536E-2</v>
      </c>
      <c r="J12" s="95">
        <f>H12/H15</f>
        <v>2.5532361369892367E-2</v>
      </c>
      <c r="K12" s="34">
        <v>37661</v>
      </c>
      <c r="L12" s="34">
        <v>25104</v>
      </c>
      <c r="M12" s="34">
        <f t="shared" si="4"/>
        <v>1448.5</v>
      </c>
      <c r="N12" s="75">
        <f t="shared" si="5"/>
        <v>965.53846153846155</v>
      </c>
      <c r="O12" s="40">
        <f>N12/N15</f>
        <v>0.1003748550478573</v>
      </c>
      <c r="P12" s="40">
        <f t="shared" si="6"/>
        <v>8.7717878675235603E-2</v>
      </c>
      <c r="Q12" s="40">
        <f t="shared" si="7"/>
        <v>5.5469358841078342E-2</v>
      </c>
      <c r="R12" s="47">
        <f t="shared" si="8"/>
        <v>5.6487295953240563E-2</v>
      </c>
      <c r="S12" s="26">
        <v>-0.48799999999999999</v>
      </c>
      <c r="T12">
        <v>-0.29899999999999999</v>
      </c>
      <c r="U12" s="26">
        <f t="shared" si="9"/>
        <v>-0.48734522196517904</v>
      </c>
      <c r="V12" s="217">
        <v>27</v>
      </c>
      <c r="W12" s="26">
        <v>-0.22175035210353078</v>
      </c>
      <c r="X12" s="26">
        <f t="shared" si="21"/>
        <v>-0.46772757848608881</v>
      </c>
      <c r="Z12" s="37"/>
      <c r="AA12" s="37"/>
      <c r="AB12" s="37"/>
      <c r="AC12" s="37"/>
      <c r="AD12" s="37"/>
      <c r="AE12" s="37"/>
      <c r="AF12" s="67"/>
      <c r="AG12" s="67"/>
      <c r="AH12" s="65" t="e">
        <f>SUM(AI12:AJ12)</f>
        <v>#DIV/0!</v>
      </c>
      <c r="AI12" s="67"/>
      <c r="AJ12" s="65" t="e">
        <f>AT12*BE11</f>
        <v>#DIV/0!</v>
      </c>
      <c r="AK12" s="68"/>
      <c r="AL12" s="68"/>
      <c r="AM12" s="68"/>
      <c r="AN12" s="37"/>
      <c r="AO12" s="37"/>
      <c r="AP12" s="67"/>
      <c r="AQ12" s="58"/>
      <c r="AR12" s="58"/>
      <c r="AS12" s="58"/>
      <c r="AT12" s="58" t="e">
        <f>AY12*V12</f>
        <v>#DIV/0!</v>
      </c>
      <c r="AU12" s="58"/>
      <c r="AV12" s="58"/>
      <c r="AW12" s="58"/>
      <c r="AX12" s="58"/>
      <c r="AY12" s="23" t="e">
        <f>CL12/BH10</f>
        <v>#DIV/0!</v>
      </c>
      <c r="BI12">
        <v>79</v>
      </c>
      <c r="BJ12">
        <v>80</v>
      </c>
      <c r="BK12">
        <f t="shared" si="11"/>
        <v>-1</v>
      </c>
      <c r="BL12">
        <v>202</v>
      </c>
      <c r="BM12" s="34">
        <v>120</v>
      </c>
      <c r="BN12" s="34">
        <v>139</v>
      </c>
      <c r="BO12" s="34">
        <v>72</v>
      </c>
      <c r="BP12" s="117">
        <f t="shared" si="22"/>
        <v>336.14601769911502</v>
      </c>
      <c r="BQ12" s="117">
        <f t="shared" si="23"/>
        <v>340.79399999999998</v>
      </c>
      <c r="BR12" s="117">
        <f t="shared" si="24"/>
        <v>-201.79399999999998</v>
      </c>
      <c r="BS12" s="23">
        <f t="shared" si="12"/>
        <v>-0.5508790594425752</v>
      </c>
      <c r="BT12" s="75">
        <f t="shared" si="36"/>
        <v>147.94444799999999</v>
      </c>
      <c r="BU12" s="75">
        <f t="shared" si="25"/>
        <v>-75.944447999999994</v>
      </c>
      <c r="BV12" s="117">
        <f t="shared" si="13"/>
        <v>-216.14601769911502</v>
      </c>
      <c r="BW12" s="23">
        <f t="shared" si="26"/>
        <v>-0.56418767152476801</v>
      </c>
      <c r="BX12" s="23">
        <f t="shared" si="27"/>
        <v>-0.30534134354592857</v>
      </c>
      <c r="BY12">
        <v>201</v>
      </c>
      <c r="BZ12">
        <f t="shared" si="14"/>
        <v>-123</v>
      </c>
      <c r="CA12">
        <f t="shared" si="15"/>
        <v>-121</v>
      </c>
      <c r="CB12" s="23">
        <v>-0.53900000000000003</v>
      </c>
      <c r="CC12" s="23">
        <f t="shared" si="16"/>
        <v>-0.53743536994196506</v>
      </c>
      <c r="CD12" s="34">
        <v>37661</v>
      </c>
      <c r="CE12" s="202">
        <v>47661</v>
      </c>
      <c r="CF12" s="117">
        <v>124506.06</v>
      </c>
      <c r="CG12" s="34">
        <v>0</v>
      </c>
      <c r="CH12" s="34">
        <v>47661</v>
      </c>
      <c r="CI12" s="34">
        <f t="shared" si="17"/>
        <v>31769.422566371679</v>
      </c>
      <c r="CJ12" s="34">
        <f t="shared" si="18"/>
        <v>69294.123000000007</v>
      </c>
      <c r="CK12" s="34">
        <f t="shared" si="28"/>
        <v>-21633.123000000007</v>
      </c>
      <c r="CL12" s="25">
        <f t="shared" si="19"/>
        <v>0.2247773457987928</v>
      </c>
      <c r="CM12" s="34">
        <f t="shared" si="29"/>
        <v>-31769.422566371679</v>
      </c>
      <c r="CN12" s="36">
        <f t="shared" si="30"/>
        <v>-9.6363864939934096E-2</v>
      </c>
      <c r="CO12" s="240">
        <f t="shared" si="31"/>
        <v>-0.22175035210353078</v>
      </c>
      <c r="CP12" s="117">
        <v>126304</v>
      </c>
      <c r="CQ12" s="117">
        <f t="shared" si="32"/>
        <v>-86845.06</v>
      </c>
      <c r="CR12" s="117">
        <f t="shared" si="33"/>
        <v>-78643</v>
      </c>
      <c r="CS12" s="23">
        <v>-0.41221000000000002</v>
      </c>
      <c r="CT12" s="23">
        <f t="shared" si="34"/>
        <v>-0.36316589130227445</v>
      </c>
      <c r="CU12" s="23">
        <f t="shared" si="20"/>
        <v>-0.24061649734602797</v>
      </c>
      <c r="CV12" s="23">
        <f t="shared" si="35"/>
        <v>-0.37705814889083444</v>
      </c>
    </row>
    <row r="13" spans="1:100" x14ac:dyDescent="0.25">
      <c r="A13" s="7" t="s">
        <v>138</v>
      </c>
      <c r="B13" s="7" t="s">
        <v>131</v>
      </c>
      <c r="C13" s="238">
        <f t="shared" si="0"/>
        <v>41</v>
      </c>
      <c r="D13">
        <v>41</v>
      </c>
      <c r="E13" s="92">
        <v>89.5</v>
      </c>
      <c r="F13" s="69">
        <v>85</v>
      </c>
      <c r="G13" s="94">
        <f t="shared" si="1"/>
        <v>2.1829268292682928</v>
      </c>
      <c r="H13" s="118">
        <f t="shared" si="2"/>
        <v>2.0731707317073171</v>
      </c>
      <c r="I13" s="118">
        <f t="shared" si="3"/>
        <v>5.1248467852507459E-2</v>
      </c>
      <c r="J13" s="95">
        <f>H13/H15</f>
        <v>5.2932944303435397E-2</v>
      </c>
      <c r="K13" s="34">
        <v>0</v>
      </c>
      <c r="L13" s="34">
        <v>0</v>
      </c>
      <c r="M13" s="34">
        <f t="shared" si="4"/>
        <v>0</v>
      </c>
      <c r="N13" s="34">
        <f t="shared" si="5"/>
        <v>0</v>
      </c>
      <c r="O13" s="40">
        <f>N13/N15</f>
        <v>0</v>
      </c>
      <c r="P13" s="40">
        <f t="shared" si="6"/>
        <v>0</v>
      </c>
      <c r="Q13" s="40">
        <f t="shared" si="7"/>
        <v>3.1759766582061234E-2</v>
      </c>
      <c r="R13" s="47">
        <f t="shared" si="8"/>
        <v>3.0749080711504475E-2</v>
      </c>
      <c r="S13" s="26">
        <v>-0.65600000000000003</v>
      </c>
      <c r="T13">
        <v>-0.40500000000000003</v>
      </c>
      <c r="U13" s="26">
        <f t="shared" si="9"/>
        <v>-0.65515539435749182</v>
      </c>
      <c r="V13" s="217">
        <v>41</v>
      </c>
      <c r="W13" s="26">
        <v>-0.27504575975468892</v>
      </c>
      <c r="X13" s="26">
        <f t="shared" si="21"/>
        <v>-0.65924698637182544</v>
      </c>
      <c r="Z13" s="37"/>
      <c r="AA13" s="37"/>
      <c r="AB13" s="37"/>
      <c r="AC13" s="37"/>
      <c r="AD13" s="37"/>
      <c r="AE13" s="37"/>
      <c r="AF13" s="67"/>
      <c r="AG13" s="67"/>
      <c r="AH13" s="67"/>
      <c r="AI13" s="67"/>
      <c r="AJ13" s="67"/>
      <c r="AK13" s="67"/>
      <c r="AL13" s="67"/>
      <c r="AM13" s="67"/>
      <c r="AN13" s="37"/>
      <c r="AO13" s="37"/>
      <c r="AP13" s="67"/>
      <c r="AQ13" s="58"/>
      <c r="AR13" s="58"/>
      <c r="AS13" s="58"/>
      <c r="AT13" s="58"/>
      <c r="AU13" s="58"/>
      <c r="AV13" s="58"/>
      <c r="AW13" s="58"/>
      <c r="AX13" s="58"/>
      <c r="AY13" s="23"/>
      <c r="AZ13" s="290" t="s">
        <v>467</v>
      </c>
      <c r="BE13" s="290" t="s">
        <v>468</v>
      </c>
      <c r="BH13" s="290" t="s">
        <v>472</v>
      </c>
      <c r="BI13">
        <v>179</v>
      </c>
      <c r="BJ13">
        <v>179</v>
      </c>
      <c r="BK13">
        <f t="shared" si="11"/>
        <v>0</v>
      </c>
      <c r="BL13">
        <v>318</v>
      </c>
      <c r="BM13" s="34">
        <v>255</v>
      </c>
      <c r="BN13" s="34">
        <v>380</v>
      </c>
      <c r="BO13" s="34">
        <v>219</v>
      </c>
      <c r="BP13" s="117">
        <f t="shared" si="22"/>
        <v>510.44395280235989</v>
      </c>
      <c r="BQ13" s="117">
        <f t="shared" si="23"/>
        <v>517.50199999999995</v>
      </c>
      <c r="BR13" s="117">
        <f t="shared" si="24"/>
        <v>-137.50199999999995</v>
      </c>
      <c r="BS13" s="23">
        <f t="shared" si="12"/>
        <v>-0.50328879446255093</v>
      </c>
      <c r="BT13" s="75">
        <f t="shared" si="36"/>
        <v>224.656384</v>
      </c>
      <c r="BU13" s="75">
        <f t="shared" si="25"/>
        <v>-5.6563840000000027</v>
      </c>
      <c r="BV13" s="117">
        <f t="shared" si="13"/>
        <v>-255.44395280235989</v>
      </c>
      <c r="BW13" s="23">
        <f t="shared" si="26"/>
        <v>-0.41693259077249062</v>
      </c>
      <c r="BX13" s="23">
        <f t="shared" si="27"/>
        <v>-0.36085605730627662</v>
      </c>
      <c r="BY13">
        <v>317</v>
      </c>
      <c r="BZ13">
        <f t="shared" si="14"/>
        <v>-139</v>
      </c>
      <c r="CA13">
        <f t="shared" si="15"/>
        <v>-138</v>
      </c>
      <c r="CB13" s="23">
        <v>-0.55700000000000005</v>
      </c>
      <c r="CC13" s="23">
        <f t="shared" si="16"/>
        <v>-0.55650565726248635</v>
      </c>
      <c r="CD13" s="34">
        <v>0</v>
      </c>
      <c r="CE13" s="202">
        <v>0</v>
      </c>
      <c r="CF13" s="117">
        <v>152295.82999999999</v>
      </c>
      <c r="CG13" s="34">
        <v>0</v>
      </c>
      <c r="CH13" s="34">
        <v>0</v>
      </c>
      <c r="CI13" s="34">
        <f t="shared" si="17"/>
        <v>48242.456489675511</v>
      </c>
      <c r="CJ13" s="34">
        <f t="shared" si="18"/>
        <v>105224.409</v>
      </c>
      <c r="CK13" s="34">
        <f t="shared" si="28"/>
        <v>-105224.409</v>
      </c>
      <c r="CL13" s="23">
        <f t="shared" si="19"/>
        <v>6.0406418073064988E-2</v>
      </c>
      <c r="CM13" s="34">
        <f t="shared" si="29"/>
        <v>-48242.456489675511</v>
      </c>
      <c r="CN13" s="36">
        <f t="shared" si="30"/>
        <v>-0.14633031342730732</v>
      </c>
      <c r="CO13" s="240">
        <f t="shared" si="31"/>
        <v>-0.27504575975468892</v>
      </c>
      <c r="CP13" s="117">
        <v>153942</v>
      </c>
      <c r="CQ13" s="117">
        <f t="shared" si="32"/>
        <v>-152295.82999999999</v>
      </c>
      <c r="CR13" s="117">
        <f t="shared" si="33"/>
        <v>-153942</v>
      </c>
      <c r="CS13" s="23">
        <v>-0.80313000000000001</v>
      </c>
      <c r="CT13" s="23">
        <f t="shared" si="34"/>
        <v>-0.81335898003583407</v>
      </c>
      <c r="CU13" s="23">
        <f t="shared" si="20"/>
        <v>-0.27781070944830455</v>
      </c>
      <c r="CV13" s="23">
        <f t="shared" si="35"/>
        <v>-0.30869167983441731</v>
      </c>
    </row>
    <row r="14" spans="1:100" x14ac:dyDescent="0.25">
      <c r="C14" s="1">
        <f>SUM(C3:C13)</f>
        <v>1314</v>
      </c>
      <c r="D14" s="1">
        <f>SUM(D3:D13)</f>
        <v>1314</v>
      </c>
      <c r="E14" s="119">
        <f>SUM(E3:E13)</f>
        <v>7107</v>
      </c>
      <c r="F14" s="89">
        <f>SUM(F3:F13)</f>
        <v>6126.5</v>
      </c>
      <c r="G14" s="120">
        <f t="shared" si="1"/>
        <v>5.4086757990867582</v>
      </c>
      <c r="H14" s="120">
        <f t="shared" si="2"/>
        <v>4.6624809741248097</v>
      </c>
      <c r="I14" s="120">
        <f>SUM(I3:I13)</f>
        <v>1</v>
      </c>
      <c r="J14" s="121">
        <f>SUM(J3:J13)</f>
        <v>1</v>
      </c>
      <c r="K14" s="54">
        <f>SUM(K3:K13)</f>
        <v>970457</v>
      </c>
      <c r="L14" s="54">
        <f>SUM(L3:L13)</f>
        <v>515034</v>
      </c>
      <c r="M14" s="54">
        <f t="shared" si="4"/>
        <v>738.55175038051755</v>
      </c>
      <c r="N14" s="54">
        <f t="shared" si="5"/>
        <v>391.95890410958901</v>
      </c>
      <c r="O14" s="56">
        <f>SUM(O3:O13)</f>
        <v>1</v>
      </c>
      <c r="P14" s="56">
        <f>SUM(P3:P13)</f>
        <v>1</v>
      </c>
      <c r="Q14" s="56">
        <f>SUM(Q3:Q13)</f>
        <v>1</v>
      </c>
      <c r="R14" s="80">
        <f>SUM(R3:R13)</f>
        <v>1</v>
      </c>
      <c r="S14" s="80"/>
      <c r="T14" s="56"/>
      <c r="U14" s="56"/>
      <c r="V14" s="153">
        <f>SUM(V3:V13)</f>
        <v>1356</v>
      </c>
      <c r="W14" s="153"/>
      <c r="X14" s="56"/>
      <c r="Y14" s="60">
        <f t="shared" ref="Y14:AQ14" si="37">SUM(Y3:Y13)</f>
        <v>2244684.0333812442</v>
      </c>
      <c r="Z14" s="60" t="e">
        <f t="shared" si="37"/>
        <v>#VALUE!</v>
      </c>
      <c r="AA14" s="60"/>
      <c r="AB14" s="60">
        <f>SUM(AB3:AB13)</f>
        <v>2244684.0333812442</v>
      </c>
      <c r="AC14" s="60"/>
      <c r="AD14" s="60">
        <f>SUM(AD3:AD13)</f>
        <v>250.38470910752361</v>
      </c>
      <c r="AE14" s="60">
        <f>SUM(AE3:AE13)</f>
        <v>246.956544017608</v>
      </c>
      <c r="AF14" s="68">
        <f>SUM(AF3:AF13)</f>
        <v>2209172.5627544736</v>
      </c>
      <c r="AG14" s="68" t="e">
        <f>SUM(AG3:AG13)</f>
        <v>#DIV/0!</v>
      </c>
      <c r="AH14" s="68"/>
      <c r="AI14" s="68" t="e">
        <f t="shared" ref="AI14:AN14" si="38">SUM(AI3:AI13)</f>
        <v>#DIV/0!</v>
      </c>
      <c r="AJ14" s="68" t="e">
        <f t="shared" si="38"/>
        <v>#DIV/0!</v>
      </c>
      <c r="AK14" s="68">
        <f t="shared" si="38"/>
        <v>2226928.2980678589</v>
      </c>
      <c r="AL14" s="68">
        <f t="shared" si="38"/>
        <v>2209172.5627544736</v>
      </c>
      <c r="AM14" s="68">
        <f t="shared" si="38"/>
        <v>235.47363548480928</v>
      </c>
      <c r="AN14" s="60" t="e">
        <f t="shared" si="38"/>
        <v>#DIV/0!</v>
      </c>
      <c r="AO14" s="60">
        <f>SUM(AO3:AO5)</f>
        <v>247.00208922574188</v>
      </c>
      <c r="AP14" s="68">
        <f>SUM(AP3:AP13)</f>
        <v>1</v>
      </c>
      <c r="AQ14" s="59" t="e">
        <f t="shared" si="37"/>
        <v>#VALUE!</v>
      </c>
      <c r="AR14" s="59"/>
      <c r="AS14" s="59" t="e">
        <f>SUM(AS3:AS13)</f>
        <v>#DIV/0!</v>
      </c>
      <c r="AT14" s="59" t="e">
        <f>SUM(AT3:AT13)</f>
        <v>#DIV/0!</v>
      </c>
      <c r="AU14" s="59"/>
      <c r="AV14" s="59"/>
      <c r="AW14" s="59"/>
      <c r="AX14" s="59"/>
      <c r="AY14" s="59"/>
      <c r="AZ14" s="138">
        <v>2209172.5627544736</v>
      </c>
      <c r="BA14" s="37"/>
      <c r="BB14" s="37"/>
      <c r="BC14" s="37"/>
      <c r="BD14" s="37"/>
      <c r="BE14" s="62">
        <f>AZ14/AM14</f>
        <v>9381.8255203223816</v>
      </c>
      <c r="BH14" s="25">
        <f>SUM(CV3,CV4,CV8)</f>
        <v>2.1867187378002653</v>
      </c>
      <c r="BI14" s="1">
        <f>SUM(BI3:BI13)</f>
        <v>14214</v>
      </c>
      <c r="BJ14" s="1">
        <f>SUM(BJ3:BJ13)</f>
        <v>14086</v>
      </c>
      <c r="BK14" s="1"/>
      <c r="BM14" s="54">
        <f>SUM(BM3:BM13)</f>
        <v>16882</v>
      </c>
      <c r="BN14" s="54">
        <f>SUM(BN3:BN13)</f>
        <v>23082</v>
      </c>
      <c r="BO14" s="54">
        <f>SUM(BO3:BO13)</f>
        <v>9557</v>
      </c>
      <c r="BP14" s="1"/>
      <c r="BQ14" s="1"/>
      <c r="BR14" s="1"/>
      <c r="BS14" s="1"/>
      <c r="BT14" s="61"/>
      <c r="BU14" s="61"/>
      <c r="BV14" s="1"/>
      <c r="BW14" s="1"/>
      <c r="BX14" s="1"/>
      <c r="CD14" s="54">
        <f>SUM(CD3:CD13)</f>
        <v>970457</v>
      </c>
      <c r="CE14" s="54">
        <f>SUM(CE3:CE13)</f>
        <v>980456.7699999999</v>
      </c>
      <c r="CG14" s="54">
        <f>SUM(CG3:CG13)</f>
        <v>1595531</v>
      </c>
      <c r="CH14" s="54">
        <f>SUM(CH3:CH13)</f>
        <v>1984718</v>
      </c>
      <c r="CI14" s="54"/>
      <c r="CJ14" s="54"/>
      <c r="CK14" s="54"/>
      <c r="CL14" s="54"/>
      <c r="CM14" s="54"/>
      <c r="CN14" s="54"/>
      <c r="CO14" s="114"/>
    </row>
    <row r="15" spans="1:100" ht="15.75" thickBot="1" x14ac:dyDescent="0.3">
      <c r="C15" s="1">
        <v>743</v>
      </c>
      <c r="E15" s="122"/>
      <c r="F15" s="123"/>
      <c r="G15" s="111">
        <f>SUM(G3:G13)</f>
        <v>42.594967630071068</v>
      </c>
      <c r="H15" s="111">
        <f>SUM(H3:H13)</f>
        <v>39.165981771634918</v>
      </c>
      <c r="I15" s="111"/>
      <c r="J15" s="124"/>
      <c r="M15" s="54">
        <f>SUM(M3:M13)</f>
        <v>16513.167234274883</v>
      </c>
      <c r="N15" s="54">
        <f>SUM(N3:N13)</f>
        <v>9619.32608598146</v>
      </c>
      <c r="AA15" s="201" t="s">
        <v>277</v>
      </c>
      <c r="AB15" s="201"/>
      <c r="AC15" s="201"/>
      <c r="AD15" s="201" t="s">
        <v>278</v>
      </c>
      <c r="AK15" s="67">
        <f>AK14-AF14</f>
        <v>17755.735313385259</v>
      </c>
      <c r="BJ15" s="155">
        <f>(BJ14/BI14)*100</f>
        <v>99.099479386520329</v>
      </c>
      <c r="CQ15" s="1" t="s">
        <v>270</v>
      </c>
      <c r="CR15" s="117">
        <f>AVERAGE(CR3:CR13)</f>
        <v>-17900.11181818182</v>
      </c>
    </row>
    <row r="16" spans="1:100" ht="18.75" x14ac:dyDescent="0.3">
      <c r="A16" s="14"/>
      <c r="C16" s="1">
        <f>C15/C14</f>
        <v>0.56544901065449016</v>
      </c>
      <c r="Y16" s="201" t="s">
        <v>276</v>
      </c>
      <c r="AA16" s="37">
        <f>Y3-AA3</f>
        <v>-33362.926536917919</v>
      </c>
      <c r="AB16" s="37"/>
      <c r="AC16" s="37"/>
      <c r="AD16" s="40">
        <f>ABS(AA16)/Y3</f>
        <v>4.324203557505775E-2</v>
      </c>
      <c r="BM16" s="23"/>
      <c r="BN16" s="23"/>
      <c r="BO16" s="23"/>
      <c r="BP16" s="23"/>
      <c r="BQ16" s="23"/>
      <c r="BR16" s="23">
        <f>AVERAGE(BR3:BR13)</f>
        <v>542.41527272727285</v>
      </c>
      <c r="BS16" s="23"/>
      <c r="BT16" s="26"/>
      <c r="BU16" s="23">
        <f>AVERAGE(BU3:BU13)</f>
        <v>193.35464145454551</v>
      </c>
      <c r="BV16" s="23">
        <f>AVERAGE(BV3:BV13)</f>
        <v>5.6843418860808015E-14</v>
      </c>
      <c r="BW16" s="23"/>
      <c r="BY16" s="1" t="s">
        <v>271</v>
      </c>
      <c r="BZ16">
        <f>AVERAGE(BZ3:BZ13)</f>
        <v>365.81818181818181</v>
      </c>
      <c r="CA16">
        <f>AVERAGE(CA3:CA13)</f>
        <v>358.09090909090907</v>
      </c>
      <c r="CK16" s="23">
        <f>AVERAGE(CK3:CK13)</f>
        <v>-135944.25854545456</v>
      </c>
      <c r="CM16" s="23">
        <f>AVERAGE(CM3:CM13)</f>
        <v>8.5988589985804129E-12</v>
      </c>
      <c r="CQ16" s="1" t="s">
        <v>267</v>
      </c>
      <c r="CR16">
        <f>STDEV(CR3:CR13)</f>
        <v>167259.34245642016</v>
      </c>
    </row>
    <row r="17" spans="1:91" ht="18.75" x14ac:dyDescent="0.3">
      <c r="A17" s="14"/>
      <c r="AA17" s="37">
        <f>Y4-AA4</f>
        <v>38909.16160773579</v>
      </c>
      <c r="AB17" s="37"/>
      <c r="AC17" s="37"/>
      <c r="AD17" s="40">
        <f>AA17/Y4</f>
        <v>3.1208282754471073E-2</v>
      </c>
      <c r="BH17" s="277" t="s">
        <v>400</v>
      </c>
      <c r="BJ17" s="230" t="s">
        <v>343</v>
      </c>
      <c r="BM17" s="23">
        <f>BM14/V14</f>
        <v>12.449852507374631</v>
      </c>
      <c r="BN17" s="23">
        <f>BN14/V14</f>
        <v>17.022123893805311</v>
      </c>
      <c r="BO17" s="23">
        <f>BO14/V14</f>
        <v>7.0479351032448374</v>
      </c>
      <c r="BP17" s="23"/>
      <c r="BQ17" s="23"/>
      <c r="BR17" s="23">
        <f>STDEV(BR3:BR13)</f>
        <v>1350.9485611602754</v>
      </c>
      <c r="BS17" s="23"/>
      <c r="BT17" s="26"/>
      <c r="BU17" s="23">
        <f>STDEV(BU3:BU13)</f>
        <v>477.32182577960356</v>
      </c>
      <c r="BV17" s="23">
        <f>STDEV(BV3:BV13)</f>
        <v>707.88323385563081</v>
      </c>
      <c r="BW17" s="23"/>
      <c r="BX17" s="277" t="s">
        <v>400</v>
      </c>
      <c r="BY17" s="1" t="s">
        <v>267</v>
      </c>
      <c r="BZ17">
        <f>STDEV(BZ3:BZ13)</f>
        <v>906.21584825932268</v>
      </c>
      <c r="CA17">
        <f>STDEV(CA3:CA13)</f>
        <v>891.43911228366619</v>
      </c>
      <c r="CE17" s="230" t="s">
        <v>343</v>
      </c>
      <c r="CG17">
        <f>CG14/V14</f>
        <v>1176.6452802359881</v>
      </c>
      <c r="CH17">
        <f>CH14/V14</f>
        <v>1463.656342182891</v>
      </c>
      <c r="CK17" s="23">
        <f>STDEV(CK3:CK13)</f>
        <v>508552.74199998355</v>
      </c>
      <c r="CM17" s="23">
        <f>STDEV(CM3:CM13)</f>
        <v>329681.9049980439</v>
      </c>
    </row>
    <row r="18" spans="1:91" ht="18.75" x14ac:dyDescent="0.3">
      <c r="A18" s="14"/>
      <c r="AA18" s="37">
        <f>Y5-AA5</f>
        <v>-5546.2350708176091</v>
      </c>
      <c r="AB18" s="37"/>
      <c r="AC18" s="37"/>
      <c r="AD18" s="40">
        <f>ABS(AA18)/Y5</f>
        <v>2.4498881443969694E-2</v>
      </c>
      <c r="BH18" s="277" t="s">
        <v>432</v>
      </c>
      <c r="BJ18" s="230" t="s">
        <v>344</v>
      </c>
      <c r="BM18">
        <v>9.0611859999999993</v>
      </c>
      <c r="BN18">
        <v>12.622</v>
      </c>
      <c r="BO18">
        <v>5.4794239999999999</v>
      </c>
      <c r="BX18" s="277" t="s">
        <v>432</v>
      </c>
      <c r="CE18" s="230" t="s">
        <v>344</v>
      </c>
      <c r="CG18">
        <v>2041.6220000000001</v>
      </c>
      <c r="CH18">
        <v>2566.4490000000001</v>
      </c>
    </row>
    <row r="19" spans="1:91" ht="18.75" x14ac:dyDescent="0.3">
      <c r="A19" s="14"/>
      <c r="BJ19" s="273" t="s">
        <v>395</v>
      </c>
      <c r="CE19" s="273" t="s">
        <v>396</v>
      </c>
    </row>
    <row r="20" spans="1:91" ht="18.75" x14ac:dyDescent="0.3">
      <c r="A20" s="14"/>
    </row>
    <row r="21" spans="1:91" ht="18.75" x14ac:dyDescent="0.3">
      <c r="A21" s="14"/>
    </row>
    <row r="22" spans="1:91" ht="18.75" x14ac:dyDescent="0.3">
      <c r="A22" s="14"/>
    </row>
    <row r="23" spans="1:91" ht="18.75" x14ac:dyDescent="0.3">
      <c r="A23" s="14"/>
    </row>
    <row r="24" spans="1:91" ht="18.75" x14ac:dyDescent="0.3">
      <c r="A24" s="14"/>
    </row>
    <row r="25" spans="1:91" ht="18.75" x14ac:dyDescent="0.3">
      <c r="A25" s="14"/>
    </row>
    <row r="26" spans="1:91" ht="18.75" x14ac:dyDescent="0.3">
      <c r="A26" s="14"/>
    </row>
    <row r="27" spans="1:91" ht="18.75" x14ac:dyDescent="0.3">
      <c r="A27" s="14"/>
    </row>
    <row r="28" spans="1:91" ht="18.75" x14ac:dyDescent="0.3">
      <c r="A28" s="14"/>
    </row>
    <row r="29" spans="1:91" ht="18.75" x14ac:dyDescent="0.3">
      <c r="A29" s="14"/>
    </row>
    <row r="30" spans="1:91" ht="18.75" x14ac:dyDescent="0.3">
      <c r="A30" s="14"/>
    </row>
    <row r="31" spans="1:91" ht="18.75" x14ac:dyDescent="0.3">
      <c r="A31" s="14"/>
    </row>
    <row r="32" spans="1:91" ht="18.75" x14ac:dyDescent="0.3">
      <c r="A32" s="14"/>
    </row>
    <row r="33" spans="1:1" ht="18.75" x14ac:dyDescent="0.3">
      <c r="A33" s="14"/>
    </row>
    <row r="34" spans="1:1" ht="18.75" x14ac:dyDescent="0.3">
      <c r="A34" s="14"/>
    </row>
    <row r="35" spans="1:1" ht="18.75" x14ac:dyDescent="0.3">
      <c r="A35" s="14"/>
    </row>
    <row r="36" spans="1:1" ht="18.75" x14ac:dyDescent="0.3">
      <c r="A36" s="14"/>
    </row>
    <row r="37" spans="1:1" ht="18.75" x14ac:dyDescent="0.3">
      <c r="A37" s="14"/>
    </row>
    <row r="38" spans="1:1" ht="18.75" x14ac:dyDescent="0.3">
      <c r="A38" s="14"/>
    </row>
    <row r="39" spans="1:1" ht="18.75" x14ac:dyDescent="0.3">
      <c r="A39" s="14"/>
    </row>
    <row r="40" spans="1:1" ht="18.75" x14ac:dyDescent="0.3">
      <c r="A40" s="14"/>
    </row>
  </sheetData>
  <dataValidations count="1">
    <dataValidation type="list" showInputMessage="1" showErrorMessage="1" sqref="D1">
      <formula1>$A$16:$A$40</formula1>
    </dataValidation>
  </dataValidations>
  <pageMargins left="0.75" right="0.75" top="1" bottom="1" header="0.5" footer="0.5"/>
  <pageSetup orientation="portrait" r:id="rId1"/>
  <ignoredErrors>
    <ignoredError sqref="N14 AD17 AO14 BV3:BV13 CM3:CM13" formula="1"/>
    <ignoredError sqref="H15 V14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39"/>
  <sheetViews>
    <sheetView topLeftCell="B1" workbookViewId="0">
      <pane ySplit="2" topLeftCell="A3" activePane="bottomLeft" state="frozen"/>
      <selection pane="bottomLeft" activeCell="V10" sqref="V10"/>
    </sheetView>
  </sheetViews>
  <sheetFormatPr defaultColWidth="8.7109375" defaultRowHeight="15" x14ac:dyDescent="0.25"/>
  <cols>
    <col min="1" max="1" width="48" bestFit="1" customWidth="1"/>
    <col min="2" max="2" width="60.5703125" customWidth="1"/>
    <col min="3" max="3" width="9" style="1" customWidth="1"/>
    <col min="4" max="4" width="16.42578125" hidden="1" customWidth="1"/>
    <col min="5" max="5" width="12.140625" hidden="1" customWidth="1"/>
    <col min="6" max="6" width="13.28515625" style="16" hidden="1" customWidth="1"/>
    <col min="7" max="7" width="13.28515625" hidden="1" customWidth="1"/>
    <col min="8" max="9" width="16.28515625" hidden="1" customWidth="1"/>
    <col min="10" max="11" width="13.85546875" hidden="1" customWidth="1"/>
    <col min="12" max="12" width="20.140625" style="16" hidden="1" customWidth="1"/>
    <col min="13" max="13" width="20.140625" hidden="1" customWidth="1"/>
    <col min="14" max="16" width="14.7109375" hidden="1" customWidth="1"/>
    <col min="17" max="17" width="13.85546875" hidden="1" customWidth="1"/>
    <col min="18" max="19" width="14" hidden="1" customWidth="1"/>
    <col min="20" max="20" width="15.28515625" hidden="1" customWidth="1"/>
    <col min="21" max="21" width="14.140625" hidden="1" customWidth="1"/>
    <col min="22" max="22" width="8.140625" style="16" bestFit="1" customWidth="1"/>
    <col min="23" max="23" width="6.42578125" style="16" hidden="1" customWidth="1"/>
    <col min="24" max="24" width="22" style="16" hidden="1" customWidth="1"/>
    <col min="25" max="25" width="11.7109375" hidden="1" customWidth="1"/>
    <col min="26" max="27" width="11.140625" hidden="1" customWidth="1"/>
    <col min="28" max="28" width="12.140625" hidden="1" customWidth="1"/>
    <col min="29" max="29" width="12.85546875" hidden="1" customWidth="1"/>
    <col min="30" max="30" width="11.140625" hidden="1" customWidth="1"/>
    <col min="31" max="32" width="11.7109375" hidden="1" customWidth="1"/>
    <col min="33" max="33" width="14.42578125" hidden="1" customWidth="1"/>
    <col min="34" max="34" width="13.7109375" hidden="1" customWidth="1"/>
    <col min="35" max="35" width="11.140625" hidden="1" customWidth="1"/>
    <col min="36" max="36" width="18.140625" hidden="1" customWidth="1"/>
    <col min="37" max="37" width="12.7109375" hidden="1" customWidth="1"/>
    <col min="38" max="38" width="9.5703125" bestFit="1" customWidth="1"/>
    <col min="39" max="39" width="11.140625" bestFit="1" customWidth="1"/>
    <col min="40" max="40" width="11.140625" customWidth="1"/>
    <col min="41" max="41" width="11.140625" bestFit="1" customWidth="1"/>
    <col min="42" max="42" width="13.42578125" bestFit="1" customWidth="1"/>
    <col min="43" max="46" width="15" hidden="1" customWidth="1"/>
    <col min="47" max="47" width="13.85546875" bestFit="1" customWidth="1"/>
    <col min="48" max="48" width="11.5703125" hidden="1" customWidth="1"/>
    <col min="49" max="49" width="18.5703125" hidden="1" customWidth="1"/>
    <col min="50" max="50" width="11.140625" bestFit="1" customWidth="1"/>
    <col min="51" max="51" width="0" hidden="1" customWidth="1"/>
    <col min="52" max="53" width="12.140625" hidden="1" customWidth="1"/>
    <col min="54" max="54" width="19.5703125" bestFit="1" customWidth="1"/>
    <col min="55" max="55" width="12.28515625" hidden="1" customWidth="1"/>
    <col min="56" max="56" width="18.140625" bestFit="1" customWidth="1"/>
    <col min="57" max="57" width="10" hidden="1" customWidth="1"/>
    <col min="58" max="58" width="16" hidden="1" customWidth="1"/>
    <col min="59" max="59" width="7.140625" hidden="1" customWidth="1"/>
    <col min="60" max="60" width="0" hidden="1" customWidth="1"/>
    <col min="61" max="61" width="7.28515625" bestFit="1" customWidth="1"/>
    <col min="62" max="62" width="10" hidden="1" customWidth="1"/>
    <col min="63" max="63" width="10" customWidth="1"/>
    <col min="64" max="64" width="12.28515625" bestFit="1" customWidth="1"/>
    <col min="65" max="65" width="10.140625" hidden="1" customWidth="1"/>
    <col min="66" max="66" width="12.85546875" hidden="1" customWidth="1"/>
    <col min="67" max="67" width="13.140625" bestFit="1" customWidth="1"/>
    <col min="68" max="68" width="11.140625" hidden="1" customWidth="1"/>
    <col min="69" max="69" width="13.5703125" hidden="1" customWidth="1"/>
    <col min="70" max="70" width="11.7109375" hidden="1" customWidth="1"/>
    <col min="71" max="71" width="11.7109375" customWidth="1"/>
    <col min="72" max="72" width="9" hidden="1" customWidth="1"/>
    <col min="73" max="73" width="15" hidden="1" customWidth="1"/>
    <col min="74" max="74" width="11.7109375" hidden="1" customWidth="1"/>
    <col min="75" max="75" width="15.7109375" hidden="1" customWidth="1"/>
    <col min="76" max="76" width="12.28515625" hidden="1" customWidth="1"/>
    <col min="77" max="77" width="18.28515625" hidden="1" customWidth="1"/>
    <col min="78" max="78" width="9.5703125" hidden="1" customWidth="1"/>
    <col min="79" max="79" width="15.85546875" hidden="1" customWidth="1"/>
    <col min="80" max="80" width="0" hidden="1" customWidth="1"/>
    <col min="82" max="82" width="10.7109375" hidden="1" customWidth="1"/>
    <col min="83" max="83" width="10.85546875" bestFit="1" customWidth="1"/>
    <col min="84" max="84" width="13.5703125" hidden="1" customWidth="1"/>
    <col min="85" max="85" width="11.5703125" bestFit="1" customWidth="1"/>
    <col min="86" max="86" width="14.42578125" hidden="1" customWidth="1"/>
    <col min="87" max="87" width="9.85546875" bestFit="1" customWidth="1"/>
    <col min="88" max="88" width="12.5703125" style="16" hidden="1" customWidth="1"/>
    <col min="89" max="89" width="11.5703125" style="16" hidden="1" customWidth="1"/>
    <col min="90" max="90" width="14.85546875" hidden="1" customWidth="1"/>
    <col min="91" max="91" width="11.7109375" hidden="1" customWidth="1"/>
    <col min="92" max="92" width="15.5703125" hidden="1" customWidth="1"/>
    <col min="93" max="93" width="0" hidden="1" customWidth="1"/>
    <col min="94" max="94" width="13.85546875" hidden="1" customWidth="1"/>
    <col min="95" max="95" width="10.85546875" hidden="1" customWidth="1"/>
    <col min="96" max="96" width="10.42578125" bestFit="1" customWidth="1"/>
  </cols>
  <sheetData>
    <row r="1" spans="1:96" ht="30" x14ac:dyDescent="0.25">
      <c r="C1" s="2" t="s">
        <v>142</v>
      </c>
      <c r="D1" s="4" t="s">
        <v>24</v>
      </c>
      <c r="E1" s="4" t="s">
        <v>25</v>
      </c>
      <c r="F1" s="83" t="s">
        <v>156</v>
      </c>
      <c r="G1" s="84" t="s">
        <v>156</v>
      </c>
      <c r="H1" s="85" t="s">
        <v>150</v>
      </c>
      <c r="I1" s="85" t="s">
        <v>150</v>
      </c>
      <c r="J1" s="85"/>
      <c r="K1" s="87"/>
      <c r="L1" s="19"/>
      <c r="M1" s="21" t="s">
        <v>151</v>
      </c>
      <c r="N1" s="21"/>
      <c r="O1" s="21"/>
      <c r="P1" s="21"/>
      <c r="Q1" s="21"/>
      <c r="AX1" s="64"/>
      <c r="BC1" t="s">
        <v>176</v>
      </c>
      <c r="BD1" s="306"/>
    </row>
    <row r="2" spans="1:96" x14ac:dyDescent="0.25">
      <c r="A2" s="5" t="s">
        <v>0</v>
      </c>
      <c r="B2" s="5" t="s">
        <v>1</v>
      </c>
      <c r="C2" s="6" t="s">
        <v>330</v>
      </c>
      <c r="F2" s="88" t="s">
        <v>180</v>
      </c>
      <c r="G2" s="89" t="s">
        <v>188</v>
      </c>
      <c r="H2" s="89" t="s">
        <v>183</v>
      </c>
      <c r="I2" s="89" t="s">
        <v>182</v>
      </c>
      <c r="J2" s="90" t="s">
        <v>185</v>
      </c>
      <c r="K2" s="91" t="s">
        <v>184</v>
      </c>
      <c r="L2" s="1" t="s">
        <v>167</v>
      </c>
      <c r="M2" s="1" t="s">
        <v>166</v>
      </c>
      <c r="N2" s="1" t="s">
        <v>186</v>
      </c>
      <c r="O2" s="1" t="s">
        <v>187</v>
      </c>
      <c r="P2" s="1" t="s">
        <v>185</v>
      </c>
      <c r="Q2" s="1" t="s">
        <v>184</v>
      </c>
      <c r="R2" s="1" t="s">
        <v>171</v>
      </c>
      <c r="S2" s="1" t="s">
        <v>172</v>
      </c>
      <c r="T2" s="1" t="s">
        <v>170</v>
      </c>
      <c r="U2" s="1" t="s">
        <v>169</v>
      </c>
      <c r="V2" s="61" t="s">
        <v>329</v>
      </c>
      <c r="W2" s="61" t="s">
        <v>353</v>
      </c>
      <c r="X2" s="61" t="s">
        <v>299</v>
      </c>
      <c r="Y2" s="1" t="s">
        <v>393</v>
      </c>
      <c r="Z2" s="1" t="s">
        <v>173</v>
      </c>
      <c r="AA2" s="1" t="s">
        <v>429</v>
      </c>
      <c r="AB2" s="1" t="s">
        <v>244</v>
      </c>
      <c r="AC2" s="211" t="s">
        <v>292</v>
      </c>
      <c r="AD2" s="1" t="s">
        <v>177</v>
      </c>
      <c r="AE2" s="1" t="s">
        <v>174</v>
      </c>
      <c r="AF2" s="1" t="s">
        <v>430</v>
      </c>
      <c r="AG2" s="1" t="s">
        <v>442</v>
      </c>
      <c r="AH2" s="1" t="s">
        <v>445</v>
      </c>
      <c r="AI2" s="1" t="s">
        <v>391</v>
      </c>
      <c r="AJ2" s="1" t="s">
        <v>274</v>
      </c>
      <c r="AK2" s="1" t="s">
        <v>194</v>
      </c>
      <c r="AL2" s="1" t="s">
        <v>431</v>
      </c>
      <c r="AM2" s="1" t="s">
        <v>393</v>
      </c>
      <c r="AN2" s="1" t="s">
        <v>470</v>
      </c>
      <c r="AO2" s="1" t="s">
        <v>469</v>
      </c>
      <c r="AP2" s="1" t="s">
        <v>466</v>
      </c>
      <c r="AQ2" s="1" t="s">
        <v>440</v>
      </c>
      <c r="AR2" s="1" t="s">
        <v>441</v>
      </c>
      <c r="AS2" s="1" t="s">
        <v>443</v>
      </c>
      <c r="AT2" s="1" t="s">
        <v>444</v>
      </c>
      <c r="AU2" s="1" t="s">
        <v>465</v>
      </c>
      <c r="AV2" s="1" t="s">
        <v>390</v>
      </c>
      <c r="AW2" s="1" t="s">
        <v>272</v>
      </c>
      <c r="AX2" s="1"/>
      <c r="AY2" s="1" t="s">
        <v>2</v>
      </c>
      <c r="AZ2" s="16"/>
      <c r="BA2" s="39" t="s">
        <v>179</v>
      </c>
      <c r="BB2" s="39"/>
      <c r="BC2" s="76">
        <v>1.845</v>
      </c>
      <c r="BD2" s="26"/>
      <c r="BE2" s="1" t="s">
        <v>225</v>
      </c>
      <c r="BF2" s="1" t="s">
        <v>245</v>
      </c>
      <c r="BG2" s="1" t="s">
        <v>238</v>
      </c>
      <c r="BH2" s="1" t="s">
        <v>226</v>
      </c>
      <c r="BI2" s="1" t="s">
        <v>354</v>
      </c>
      <c r="BJ2" s="1" t="s">
        <v>409</v>
      </c>
      <c r="BK2" s="1" t="s">
        <v>455</v>
      </c>
      <c r="BL2" s="1" t="s">
        <v>456</v>
      </c>
      <c r="BM2" s="1" t="s">
        <v>347</v>
      </c>
      <c r="BN2" s="1" t="s">
        <v>413</v>
      </c>
      <c r="BO2" s="1" t="s">
        <v>462</v>
      </c>
      <c r="BP2" s="1" t="s">
        <v>348</v>
      </c>
      <c r="BQ2" s="1" t="s">
        <v>415</v>
      </c>
      <c r="BR2" s="1" t="s">
        <v>414</v>
      </c>
      <c r="BS2" s="1" t="s">
        <v>463</v>
      </c>
      <c r="BT2" s="1" t="s">
        <v>349</v>
      </c>
      <c r="BU2" s="1" t="s">
        <v>239</v>
      </c>
      <c r="BV2" s="1" t="s">
        <v>227</v>
      </c>
      <c r="BW2" s="1" t="s">
        <v>240</v>
      </c>
      <c r="BX2" s="1" t="s">
        <v>228</v>
      </c>
      <c r="BY2" s="1" t="s">
        <v>241</v>
      </c>
      <c r="BZ2" s="1" t="s">
        <v>229</v>
      </c>
      <c r="CA2" s="1" t="s">
        <v>279</v>
      </c>
      <c r="CB2" s="1" t="s">
        <v>230</v>
      </c>
      <c r="CC2" s="1" t="s">
        <v>350</v>
      </c>
      <c r="CD2" s="1" t="s">
        <v>410</v>
      </c>
      <c r="CE2" s="1" t="s">
        <v>351</v>
      </c>
      <c r="CF2" s="1" t="s">
        <v>419</v>
      </c>
      <c r="CG2" s="1" t="s">
        <v>352</v>
      </c>
      <c r="CH2" s="1" t="s">
        <v>420</v>
      </c>
      <c r="CI2" s="1" t="s">
        <v>346</v>
      </c>
      <c r="CJ2" s="61" t="s">
        <v>421</v>
      </c>
      <c r="CK2" s="61" t="s">
        <v>327</v>
      </c>
      <c r="CL2" s="1" t="s">
        <v>286</v>
      </c>
      <c r="CM2" s="1" t="s">
        <v>231</v>
      </c>
      <c r="CN2" s="1" t="s">
        <v>287</v>
      </c>
      <c r="CO2" s="1" t="s">
        <v>232</v>
      </c>
      <c r="CP2" s="1" t="s">
        <v>288</v>
      </c>
      <c r="CQ2" s="1" t="s">
        <v>446</v>
      </c>
      <c r="CR2" s="1" t="s">
        <v>473</v>
      </c>
    </row>
    <row r="3" spans="1:96" x14ac:dyDescent="0.25">
      <c r="A3" s="7" t="s">
        <v>60</v>
      </c>
      <c r="B3" s="229" t="s">
        <v>61</v>
      </c>
      <c r="C3" s="6">
        <v>0</v>
      </c>
      <c r="F3" s="88"/>
      <c r="G3" s="89"/>
      <c r="H3" s="89"/>
      <c r="I3" s="89"/>
      <c r="J3" s="90"/>
      <c r="K3" s="91"/>
      <c r="L3" s="1"/>
      <c r="M3" s="1"/>
      <c r="N3" s="1"/>
      <c r="O3" s="1"/>
      <c r="P3" s="1"/>
      <c r="Q3" s="1"/>
      <c r="R3" s="1"/>
      <c r="S3" s="1"/>
      <c r="T3" s="1"/>
      <c r="U3" s="1"/>
      <c r="V3" s="218">
        <v>29</v>
      </c>
      <c r="W3" s="237">
        <v>0.24647935772707735</v>
      </c>
      <c r="X3" s="61"/>
      <c r="Y3" s="1"/>
      <c r="Z3" s="1"/>
      <c r="AA3" s="1"/>
      <c r="AB3" s="1"/>
      <c r="AC3" s="211"/>
      <c r="AD3" s="1"/>
      <c r="AE3" s="1"/>
      <c r="AF3" s="65" t="e">
        <f>SUM(AG3:AH3)</f>
        <v>#DIV/0!</v>
      </c>
      <c r="AG3" s="1"/>
      <c r="AH3" s="65" t="e">
        <f>AT3*BB11</f>
        <v>#DIV/0!</v>
      </c>
      <c r="AI3" s="59"/>
      <c r="AJ3" s="1"/>
      <c r="AK3" s="1"/>
      <c r="AL3" s="60"/>
      <c r="AM3" s="60"/>
      <c r="AN3" s="1"/>
      <c r="AO3" s="1"/>
      <c r="AP3" s="1"/>
      <c r="AQ3" s="1"/>
      <c r="AR3" s="1"/>
      <c r="AS3" s="286" t="e">
        <f>CJ3/BD12</f>
        <v>#DIV/0!</v>
      </c>
      <c r="AT3" s="286" t="e">
        <f>V3*AS3</f>
        <v>#DIV/0!</v>
      </c>
      <c r="AU3" s="286"/>
      <c r="AV3" s="1"/>
      <c r="AW3" s="1"/>
      <c r="AX3" s="1"/>
      <c r="AY3" s="1"/>
      <c r="AZ3" s="16"/>
      <c r="BA3" s="39"/>
      <c r="BB3" s="39"/>
      <c r="BC3" s="76"/>
      <c r="BD3" s="26"/>
      <c r="BE3" s="1"/>
      <c r="BF3" s="1"/>
      <c r="BG3" s="1"/>
      <c r="BH3" s="1"/>
      <c r="BI3" s="233">
        <v>245</v>
      </c>
      <c r="BJ3" s="233">
        <v>276</v>
      </c>
      <c r="BK3" s="233">
        <v>191</v>
      </c>
      <c r="BL3" s="233">
        <f>V3*BK$17</f>
        <v>276.99399299999999</v>
      </c>
      <c r="BM3" s="233">
        <f>V3*BI$16</f>
        <v>477.83840304182507</v>
      </c>
      <c r="BN3" s="233">
        <f>V3*BJ$17</f>
        <v>587.74299999999994</v>
      </c>
      <c r="BO3" s="233">
        <f>BK3-BL3</f>
        <v>-85.993992999999989</v>
      </c>
      <c r="BP3" s="233">
        <f>BI3-BM3</f>
        <v>-232.83840304182507</v>
      </c>
      <c r="BQ3" s="233">
        <f>BJ3-BN3</f>
        <v>-311.74299999999994</v>
      </c>
      <c r="BR3" s="231">
        <f>(BQ3-BQ$13)/BQ$14</f>
        <v>-0.48091901561405664</v>
      </c>
      <c r="BS3" s="231">
        <f>(BO3-BO$13)/BO$14</f>
        <v>-0.22977507485122253</v>
      </c>
      <c r="BT3" s="231">
        <f>(BP3-BP$13)/BP$14</f>
        <v>-0.45843417689707222</v>
      </c>
      <c r="BU3" s="1"/>
      <c r="BV3" s="1"/>
      <c r="BW3" s="1"/>
      <c r="BX3" s="1"/>
      <c r="BY3" s="1"/>
      <c r="BZ3" s="1"/>
      <c r="CA3" s="1"/>
      <c r="CB3" s="1"/>
      <c r="CC3" s="233">
        <v>151831</v>
      </c>
      <c r="CD3" s="233">
        <v>151831</v>
      </c>
      <c r="CE3" s="233">
        <f>V3*CC$16</f>
        <v>33385.340304182508</v>
      </c>
      <c r="CF3" s="233">
        <f>V3*CD$17</f>
        <v>40106.594000000005</v>
      </c>
      <c r="CG3" s="233">
        <f>CC3-CE3</f>
        <v>118445.65969581749</v>
      </c>
      <c r="CH3" s="233">
        <f>CD3-CF3</f>
        <v>111724.40599999999</v>
      </c>
      <c r="CI3" s="235">
        <f t="shared" ref="CI3:CJ7" si="0">(CG3-CG$13)/CG$14</f>
        <v>1.3038496596633016</v>
      </c>
      <c r="CJ3" s="235">
        <f t="shared" si="0"/>
        <v>1.1155570137493918</v>
      </c>
      <c r="CK3" s="236">
        <f>(0.6*BT3)+(0.4*CI3)</f>
        <v>0.24647935772707735</v>
      </c>
      <c r="CL3" s="1"/>
      <c r="CM3" s="1"/>
      <c r="CN3" s="1"/>
      <c r="CO3" s="1"/>
      <c r="CP3" s="1"/>
      <c r="CQ3" s="23">
        <f>(0.6*BR3)+(0.4*CJ3)</f>
        <v>0.15767139613132275</v>
      </c>
      <c r="CR3" s="23">
        <f>(0.6*BS3)+(0.4*CI3)</f>
        <v>0.38367481895458722</v>
      </c>
    </row>
    <row r="4" spans="1:96" x14ac:dyDescent="0.25">
      <c r="A4" s="7" t="s">
        <v>60</v>
      </c>
      <c r="B4" s="7" t="s">
        <v>63</v>
      </c>
      <c r="C4" s="10">
        <f t="shared" ref="C4:C12" si="1">SUM(D4:E4)</f>
        <v>41</v>
      </c>
      <c r="D4" s="8">
        <v>41</v>
      </c>
      <c r="E4">
        <v>0</v>
      </c>
      <c r="F4" s="104">
        <v>485.5</v>
      </c>
      <c r="G4" s="69">
        <v>299</v>
      </c>
      <c r="H4" s="105">
        <f>F4/C4</f>
        <v>11.841463414634147</v>
      </c>
      <c r="I4" s="126">
        <f>G4/C4</f>
        <v>7.2926829268292686</v>
      </c>
      <c r="J4" s="126">
        <f>H4/H$15</f>
        <v>0.26855711961887407</v>
      </c>
      <c r="K4" s="106">
        <f>I4/I15</f>
        <v>0.28933640284874024</v>
      </c>
      <c r="L4" s="75">
        <v>53270</v>
      </c>
      <c r="M4" s="34">
        <v>0</v>
      </c>
      <c r="N4" s="34">
        <f>L4/C4</f>
        <v>1299.2682926829268</v>
      </c>
      <c r="O4" s="34"/>
      <c r="P4" s="40">
        <f>N4/N$14</f>
        <v>0.20931699390894795</v>
      </c>
      <c r="Q4" s="47"/>
      <c r="R4" s="47">
        <f t="shared" ref="R4:R12" si="2">(0.6*K4)+(0.4*Q4)</f>
        <v>0.17360184170924414</v>
      </c>
      <c r="S4" s="47">
        <f t="shared" ref="S4:S12" si="3">(0.6*J4)+(0.4*P4)</f>
        <v>0.24486106933490365</v>
      </c>
      <c r="T4" s="26">
        <v>-7.2999999999999995E-2</v>
      </c>
      <c r="U4">
        <v>0.38</v>
      </c>
      <c r="V4" s="218">
        <v>41</v>
      </c>
      <c r="W4" s="237">
        <v>0.32747375497885034</v>
      </c>
      <c r="X4" s="26">
        <f>(0.6*BY4)+(0.4*CP4)</f>
        <v>9.1132766323651221E-2</v>
      </c>
      <c r="AA4" s="65" t="e">
        <f>AI4*BB$9</f>
        <v>#DIV/0!</v>
      </c>
      <c r="AF4" s="65" t="e">
        <f>SUM(AG4:AH4)</f>
        <v>#DIV/0!</v>
      </c>
      <c r="AG4" s="65" t="e">
        <f>AR4*BB7</f>
        <v>#DIV/0!</v>
      </c>
      <c r="AH4" s="37"/>
      <c r="AI4" s="58" t="e">
        <f>AV5*V4</f>
        <v>#DIV/0!</v>
      </c>
      <c r="AM4" s="37"/>
      <c r="AQ4" s="58" t="e">
        <f>BR4/BD10</f>
        <v>#DIV/0!</v>
      </c>
      <c r="AR4" s="58" t="e">
        <f>V4*AQ4</f>
        <v>#DIV/0!</v>
      </c>
      <c r="AS4" s="58"/>
      <c r="AT4" s="58"/>
      <c r="AU4" s="58"/>
      <c r="AV4" s="23" t="e">
        <f>CQ4/BD6</f>
        <v>#DIV/0!</v>
      </c>
      <c r="AX4" s="67"/>
      <c r="AY4" s="16"/>
      <c r="AZ4" s="81"/>
      <c r="BA4" s="68"/>
      <c r="BB4" s="134"/>
      <c r="BD4" s="16"/>
      <c r="BE4">
        <v>971</v>
      </c>
      <c r="BF4">
        <v>971</v>
      </c>
      <c r="BG4">
        <f>BE4-BF4</f>
        <v>0</v>
      </c>
      <c r="BH4">
        <v>139</v>
      </c>
      <c r="BI4" s="233">
        <v>872</v>
      </c>
      <c r="BJ4" s="233">
        <v>1230</v>
      </c>
      <c r="BK4" s="233">
        <v>410</v>
      </c>
      <c r="BL4" s="233">
        <f t="shared" ref="BL4:BL12" si="4">V4*BK$17</f>
        <v>391.61219700000004</v>
      </c>
      <c r="BM4" s="233">
        <f>V4*BI$16</f>
        <v>675.56463878326997</v>
      </c>
      <c r="BN4" s="233">
        <f t="shared" ref="BN4:BN12" si="5">V4*BJ$17</f>
        <v>830.947</v>
      </c>
      <c r="BO4" s="233">
        <f t="shared" ref="BO4:BO12" si="6">BK4-BL4</f>
        <v>18.387802999999963</v>
      </c>
      <c r="BP4" s="233">
        <f t="shared" ref="BP4:BP7" si="7">BI4-BM4</f>
        <v>196.43536121673003</v>
      </c>
      <c r="BQ4" s="233">
        <f t="shared" ref="BQ4:BQ12" si="8">BJ4-BN4</f>
        <v>399.053</v>
      </c>
      <c r="BR4" s="232">
        <f>(BQ4-BQ$13)/BQ$14</f>
        <v>0.58047449426067732</v>
      </c>
      <c r="BS4" s="231">
        <f t="shared" ref="BS4:BS12" si="9">(BO4-BO$13)/BO$14</f>
        <v>-1.7019263504232121E-2</v>
      </c>
      <c r="BT4" s="232">
        <f>(BP4-BP$13)/BP$14</f>
        <v>0.38676043967151924</v>
      </c>
      <c r="BU4">
        <v>151</v>
      </c>
      <c r="BV4">
        <f>BE4-BH4</f>
        <v>832</v>
      </c>
      <c r="BW4">
        <f>BF4-BU4</f>
        <v>820</v>
      </c>
      <c r="BX4">
        <v>0.187</v>
      </c>
      <c r="BY4" s="23">
        <f>(BW4-BW$14)/BW$15</f>
        <v>0.19024164020366996</v>
      </c>
      <c r="BZ4" s="34">
        <v>53270</v>
      </c>
      <c r="CA4" s="203">
        <v>19870.25</v>
      </c>
      <c r="CB4">
        <v>74227</v>
      </c>
      <c r="CC4" s="233">
        <v>68870</v>
      </c>
      <c r="CD4" s="233">
        <v>103871</v>
      </c>
      <c r="CE4" s="233">
        <f>V4*CC$16</f>
        <v>47199.963878326998</v>
      </c>
      <c r="CF4" s="233">
        <f>V4*CD$17</f>
        <v>56702.426000000007</v>
      </c>
      <c r="CG4" s="233">
        <f>CC4-CE4</f>
        <v>21670.036121673002</v>
      </c>
      <c r="CH4" s="233">
        <f t="shared" ref="CH4:CH12" si="10">CD4-CF4</f>
        <v>47168.573999999993</v>
      </c>
      <c r="CI4" s="234">
        <f t="shared" si="0"/>
        <v>0.23854372793984707</v>
      </c>
      <c r="CJ4" s="236">
        <f t="shared" si="0"/>
        <v>0.47438641646241075</v>
      </c>
      <c r="CK4" s="236">
        <f>(0.6*BT4)+(0.4*CI4)</f>
        <v>0.32747375497885034</v>
      </c>
      <c r="CL4">
        <v>22333</v>
      </c>
      <c r="CM4">
        <f>BZ4-CB4</f>
        <v>-20957</v>
      </c>
      <c r="CN4" s="34">
        <f>CA4-CL4</f>
        <v>-2462.75</v>
      </c>
      <c r="CO4">
        <v>-0.46300000000000002</v>
      </c>
      <c r="CP4" s="23">
        <f>(CN4-CN$14)/CN$15</f>
        <v>-5.7530544496376894E-2</v>
      </c>
      <c r="CQ4" s="25">
        <f>(0.6*BR4)+(0.4*CJ4)</f>
        <v>0.53803926314137063</v>
      </c>
      <c r="CR4" s="23">
        <f t="shared" ref="CR4:CR12" si="11">(0.6*BS4)+(0.4*CI4)</f>
        <v>8.5205933073399562E-2</v>
      </c>
    </row>
    <row r="5" spans="1:96" x14ac:dyDescent="0.25">
      <c r="A5" s="9" t="s">
        <v>60</v>
      </c>
      <c r="B5" s="9" t="s">
        <v>65</v>
      </c>
      <c r="C5" s="10">
        <f t="shared" si="1"/>
        <v>94</v>
      </c>
      <c r="D5" s="8">
        <v>94</v>
      </c>
      <c r="E5">
        <v>0</v>
      </c>
      <c r="F5" s="104">
        <v>831.5</v>
      </c>
      <c r="G5" s="69">
        <v>502.5</v>
      </c>
      <c r="H5" s="105">
        <f>F5/C5</f>
        <v>8.8457446808510642</v>
      </c>
      <c r="I5" s="126">
        <f>G5/C5</f>
        <v>5.3457446808510642</v>
      </c>
      <c r="J5" s="126">
        <f>H5/H$15</f>
        <v>0.20061605809949923</v>
      </c>
      <c r="K5" s="106">
        <f>I5/I15</f>
        <v>0.21209183945389493</v>
      </c>
      <c r="L5" s="75">
        <v>95610</v>
      </c>
      <c r="M5" s="34">
        <v>206835</v>
      </c>
      <c r="N5" s="34">
        <f>L5/C5</f>
        <v>1017.1276595744681</v>
      </c>
      <c r="O5" s="34">
        <f>M5/C5</f>
        <v>2200.372340425532</v>
      </c>
      <c r="P5" s="40">
        <f>N5/N$14</f>
        <v>0.16386307995259297</v>
      </c>
      <c r="Q5" s="47">
        <f>O5/O14</f>
        <v>0.5199270859060815</v>
      </c>
      <c r="R5" s="47">
        <f t="shared" si="2"/>
        <v>0.33522593803476952</v>
      </c>
      <c r="S5" s="47">
        <f t="shared" si="3"/>
        <v>0.18591486684073671</v>
      </c>
      <c r="T5" s="25">
        <v>1.2450000000000001</v>
      </c>
      <c r="U5" s="71">
        <v>1.1499999999999999</v>
      </c>
      <c r="V5" s="218">
        <v>91</v>
      </c>
      <c r="W5" s="232">
        <v>0.8574343023159241</v>
      </c>
      <c r="X5" s="25">
        <f>(0.6*BY5)+(0.4*CP5)</f>
        <v>1.2824316499498281</v>
      </c>
      <c r="Y5" s="65">
        <f>AD5*BA4</f>
        <v>0</v>
      </c>
      <c r="Z5" s="65" t="e">
        <f>AE5*C5</f>
        <v>#VALUE!</v>
      </c>
      <c r="AA5" s="65" t="e">
        <f>AI5*BB$9</f>
        <v>#DIV/0!</v>
      </c>
      <c r="AB5" s="65" t="e">
        <f>AJ5*BB$4</f>
        <v>#DIV/0!</v>
      </c>
      <c r="AC5" s="68" t="e">
        <f>AB5-Y5</f>
        <v>#DIV/0!</v>
      </c>
      <c r="AD5" s="68">
        <f>AK5*C5</f>
        <v>63.430894308943103</v>
      </c>
      <c r="AE5" s="58" t="e">
        <f>U5/BA2</f>
        <v>#VALUE!</v>
      </c>
      <c r="AF5" s="65" t="e">
        <f>SUM(AG5:AH5)</f>
        <v>#DIV/0!</v>
      </c>
      <c r="AG5" s="65" t="e">
        <f>AR5*BB7</f>
        <v>#DIV/0!</v>
      </c>
      <c r="AH5" s="37"/>
      <c r="AI5" s="58" t="e">
        <f>AV5*V5</f>
        <v>#DIV/0!</v>
      </c>
      <c r="AJ5" s="59" t="e">
        <f>AW5*C5</f>
        <v>#DIV/0!</v>
      </c>
      <c r="AK5" s="58">
        <f>T5/BC$2</f>
        <v>0.67479674796747979</v>
      </c>
      <c r="AL5" s="66">
        <v>619562.86625499919</v>
      </c>
      <c r="AM5" s="66">
        <f>AP5*BB14</f>
        <v>792466.67290348036</v>
      </c>
      <c r="AN5" s="66">
        <f>AVERAGE(AL5,AM5)</f>
        <v>706014.76957923977</v>
      </c>
      <c r="AO5" s="65">
        <f>AN5+(AN15*AU5)</f>
        <v>785531.05665957252</v>
      </c>
      <c r="AP5" s="58">
        <f>V5*AU5</f>
        <v>60.980522554903892</v>
      </c>
      <c r="AQ5" s="58" t="e">
        <f>BR5/BD10</f>
        <v>#DIV/0!</v>
      </c>
      <c r="AR5" s="58" t="e">
        <f>V5*AQ5</f>
        <v>#DIV/0!</v>
      </c>
      <c r="AS5" s="58"/>
      <c r="AT5" s="58"/>
      <c r="AU5" s="58">
        <f>CR5/BD$15</f>
        <v>0.67011563247147132</v>
      </c>
      <c r="AV5" s="23" t="e">
        <f>CQ5/BD6</f>
        <v>#DIV/0!</v>
      </c>
      <c r="AW5" s="58" t="e">
        <f>X5/BD$2</f>
        <v>#DIV/0!</v>
      </c>
      <c r="AX5" s="16"/>
      <c r="AY5" s="47"/>
      <c r="AZ5" s="61"/>
      <c r="BA5" s="16"/>
      <c r="BB5" s="16"/>
      <c r="BD5" s="270"/>
      <c r="BE5">
        <v>1663</v>
      </c>
      <c r="BF5">
        <v>1662</v>
      </c>
      <c r="BG5">
        <f>BE5-BF5</f>
        <v>1</v>
      </c>
      <c r="BH5">
        <v>318</v>
      </c>
      <c r="BI5" s="233">
        <v>2437</v>
      </c>
      <c r="BJ5" s="233">
        <v>3030</v>
      </c>
      <c r="BK5" s="233">
        <v>1899</v>
      </c>
      <c r="BL5" s="233">
        <f t="shared" si="4"/>
        <v>869.1880470000001</v>
      </c>
      <c r="BM5" s="233">
        <f>V5*BI$16</f>
        <v>1499.4239543726235</v>
      </c>
      <c r="BN5" s="233">
        <f t="shared" si="5"/>
        <v>1844.297</v>
      </c>
      <c r="BO5" s="233">
        <f t="shared" si="6"/>
        <v>1029.8119529999999</v>
      </c>
      <c r="BP5" s="233">
        <f t="shared" si="7"/>
        <v>937.57604562737652</v>
      </c>
      <c r="BQ5" s="233">
        <f t="shared" si="8"/>
        <v>1185.703</v>
      </c>
      <c r="BR5" s="232">
        <f>(BQ5-BQ$13)/BQ$14</f>
        <v>1.7551367103437159</v>
      </c>
      <c r="BS5" s="232">
        <f t="shared" si="9"/>
        <v>2.0445122860122202</v>
      </c>
      <c r="BT5" s="232">
        <f>(BP5-BP$13)/BP$14</f>
        <v>1.8459880206204196</v>
      </c>
      <c r="BU5">
        <v>345</v>
      </c>
      <c r="BV5">
        <f>BE5-BH5</f>
        <v>1345</v>
      </c>
      <c r="BW5">
        <f>BF5-BU5</f>
        <v>1317</v>
      </c>
      <c r="BX5">
        <v>1.343</v>
      </c>
      <c r="BY5" s="23">
        <f>(BW5-BW$14)/BW$15</f>
        <v>1.3271165321622753</v>
      </c>
      <c r="BZ5" s="34">
        <v>95610</v>
      </c>
      <c r="CA5" s="203">
        <v>95610.05</v>
      </c>
      <c r="CB5">
        <v>46062</v>
      </c>
      <c r="CC5" s="233">
        <v>47948</v>
      </c>
      <c r="CD5" s="233">
        <v>95610</v>
      </c>
      <c r="CE5" s="233">
        <f>V5*CC$16</f>
        <v>104760.89543726236</v>
      </c>
      <c r="CF5" s="233">
        <f>V5*CD$17</f>
        <v>125851.72600000001</v>
      </c>
      <c r="CG5" s="233">
        <f>CC5-CE5</f>
        <v>-56812.895437262356</v>
      </c>
      <c r="CH5" s="233">
        <f t="shared" si="10"/>
        <v>-30241.72600000001</v>
      </c>
      <c r="CI5" s="234">
        <f t="shared" si="0"/>
        <v>-0.62539627514081875</v>
      </c>
      <c r="CJ5" s="236">
        <f t="shared" si="0"/>
        <v>-0.29445516995172444</v>
      </c>
      <c r="CK5" s="235">
        <f>(0.6*BT5)+(0.4*CI5)</f>
        <v>0.8574343023159241</v>
      </c>
      <c r="CL5">
        <v>47386</v>
      </c>
      <c r="CM5">
        <f t="shared" ref="CM5:CM12" si="12">BZ5-CB5</f>
        <v>49548</v>
      </c>
      <c r="CN5" s="34">
        <f>CA5-CL5</f>
        <v>48224.05</v>
      </c>
      <c r="CO5">
        <v>1.0980000000000001</v>
      </c>
      <c r="CP5" s="23">
        <f>(CN5-CN$14)/CN$15</f>
        <v>1.2154043266311574</v>
      </c>
      <c r="CQ5" s="25">
        <f>(0.6*BR5)+(0.4*CJ5)</f>
        <v>0.93529995822553968</v>
      </c>
      <c r="CR5" s="25">
        <f t="shared" si="11"/>
        <v>0.97654886155100451</v>
      </c>
    </row>
    <row r="6" spans="1:96" x14ac:dyDescent="0.25">
      <c r="A6" s="7" t="s">
        <v>60</v>
      </c>
      <c r="B6" s="7" t="s">
        <v>66</v>
      </c>
      <c r="C6" s="10">
        <f t="shared" si="1"/>
        <v>46</v>
      </c>
      <c r="D6" s="8">
        <v>46</v>
      </c>
      <c r="E6">
        <v>0</v>
      </c>
      <c r="F6" s="104">
        <v>296.5</v>
      </c>
      <c r="G6" s="69">
        <v>75</v>
      </c>
      <c r="H6" s="105">
        <f>F6/C6</f>
        <v>6.4456521739130439</v>
      </c>
      <c r="I6" s="126">
        <f>G6/C6</f>
        <v>1.6304347826086956</v>
      </c>
      <c r="J6" s="126">
        <f>H6/H$15</f>
        <v>0.14618343369215256</v>
      </c>
      <c r="K6" s="106">
        <f>I6/I15</f>
        <v>6.4687322870428679E-2</v>
      </c>
      <c r="L6" s="75">
        <v>107767</v>
      </c>
      <c r="M6" s="34">
        <v>15893</v>
      </c>
      <c r="N6" s="34">
        <f>L6/C6</f>
        <v>2342.7608695652175</v>
      </c>
      <c r="O6" s="34">
        <f>M6/C6</f>
        <v>345.5</v>
      </c>
      <c r="P6" s="40">
        <f>N6/N$14</f>
        <v>0.37742756090221652</v>
      </c>
      <c r="Q6" s="47">
        <f>O6/O14</f>
        <v>8.1638368598021649E-2</v>
      </c>
      <c r="R6" s="47">
        <f t="shared" si="2"/>
        <v>7.146774116146587E-2</v>
      </c>
      <c r="S6" s="47">
        <f t="shared" si="3"/>
        <v>0.23868108457617815</v>
      </c>
      <c r="T6" s="26">
        <v>-8.2000000000000003E-2</v>
      </c>
      <c r="U6">
        <v>-0.56999999999999995</v>
      </c>
      <c r="V6" s="218">
        <v>40</v>
      </c>
      <c r="W6" s="232">
        <v>0.47100078012510938</v>
      </c>
      <c r="X6" s="26">
        <f>(0.6*BY6)+(0.4*CP6)</f>
        <v>-0.52741220674062139</v>
      </c>
      <c r="Y6" s="60"/>
      <c r="Z6" s="37"/>
      <c r="AA6" s="68"/>
      <c r="AB6" s="37"/>
      <c r="AC6" s="67"/>
      <c r="AD6" s="67"/>
      <c r="AE6" s="58"/>
      <c r="AF6" s="65" t="e">
        <f>SUM(AG6:AH6)</f>
        <v>#DIV/0!</v>
      </c>
      <c r="AG6" s="37"/>
      <c r="AH6" s="65" t="e">
        <f>AT6*BB11</f>
        <v>#DIV/0!</v>
      </c>
      <c r="AI6" s="58"/>
      <c r="AJ6" s="58"/>
      <c r="AK6" s="58"/>
      <c r="AL6" s="37"/>
      <c r="AM6" s="37"/>
      <c r="AN6" s="37"/>
      <c r="AO6" s="37"/>
      <c r="AP6" s="58"/>
      <c r="AQ6" s="58"/>
      <c r="AR6" s="58"/>
      <c r="AS6" s="58" t="e">
        <f>CJ6/BD12</f>
        <v>#DIV/0!</v>
      </c>
      <c r="AT6" s="286" t="e">
        <f>V6*AS6</f>
        <v>#DIV/0!</v>
      </c>
      <c r="AU6" s="286"/>
      <c r="AV6" s="23"/>
      <c r="AW6" s="58"/>
      <c r="AX6" s="270"/>
      <c r="AY6" s="16"/>
      <c r="AZ6" s="16"/>
      <c r="BA6" s="16"/>
      <c r="BB6" s="278"/>
      <c r="BD6" s="26"/>
      <c r="BE6">
        <v>593</v>
      </c>
      <c r="BF6">
        <v>598</v>
      </c>
      <c r="BG6">
        <f>BE6-BF6</f>
        <v>-5</v>
      </c>
      <c r="BH6">
        <v>156</v>
      </c>
      <c r="BI6" s="233">
        <v>821</v>
      </c>
      <c r="BJ6" s="233">
        <v>904</v>
      </c>
      <c r="BK6" s="233">
        <v>455</v>
      </c>
      <c r="BL6" s="233">
        <f t="shared" si="4"/>
        <v>382.06068000000005</v>
      </c>
      <c r="BM6" s="233">
        <f>V6*BI$16</f>
        <v>659.08745247148295</v>
      </c>
      <c r="BN6" s="233">
        <f t="shared" si="5"/>
        <v>810.68</v>
      </c>
      <c r="BO6" s="233">
        <f t="shared" si="6"/>
        <v>72.939319999999952</v>
      </c>
      <c r="BP6" s="233">
        <f t="shared" si="7"/>
        <v>161.91254752851705</v>
      </c>
      <c r="BQ6" s="233">
        <f t="shared" si="8"/>
        <v>93.32000000000005</v>
      </c>
      <c r="BR6" s="231">
        <f>(BQ6-BQ$13)/BQ$14</f>
        <v>0.12393981770856953</v>
      </c>
      <c r="BS6" s="231">
        <f t="shared" si="9"/>
        <v>9.4170165153846769E-2</v>
      </c>
      <c r="BT6" s="231">
        <f>(BP6-BP$13)/BP$14</f>
        <v>0.31878867268390609</v>
      </c>
      <c r="BU6">
        <v>169</v>
      </c>
      <c r="BV6">
        <f>BE6-BH6</f>
        <v>437</v>
      </c>
      <c r="BW6">
        <f>BF6-BU6</f>
        <v>429</v>
      </c>
      <c r="BX6">
        <v>-0.70299999999999996</v>
      </c>
      <c r="BY6" s="23">
        <f>(BW6-BW$14)/BW$15</f>
        <v>-0.70416094079394509</v>
      </c>
      <c r="BZ6" s="34">
        <v>107767</v>
      </c>
      <c r="CA6" s="203">
        <v>14172</v>
      </c>
      <c r="CB6">
        <v>69474</v>
      </c>
      <c r="CC6" s="233">
        <v>109577</v>
      </c>
      <c r="CD6" s="279">
        <v>117039</v>
      </c>
      <c r="CE6" s="233">
        <f>V6*CC$16</f>
        <v>46048.74524714829</v>
      </c>
      <c r="CF6" s="233">
        <f>V6*CD$17</f>
        <v>55319.44</v>
      </c>
      <c r="CG6" s="233">
        <f>CC6-CE6</f>
        <v>63528.25475285171</v>
      </c>
      <c r="CH6" s="233">
        <f t="shared" si="10"/>
        <v>61719.56</v>
      </c>
      <c r="CI6" s="235">
        <f t="shared" si="0"/>
        <v>0.6993189412869143</v>
      </c>
      <c r="CJ6" s="235">
        <f t="shared" si="0"/>
        <v>0.61890727686638636</v>
      </c>
      <c r="CK6" s="235">
        <f>(0.6*BT6)+(0.4*CI6)</f>
        <v>0.47100078012510938</v>
      </c>
      <c r="CL6">
        <v>24788</v>
      </c>
      <c r="CM6">
        <f t="shared" si="12"/>
        <v>38293</v>
      </c>
      <c r="CN6" s="34">
        <f>CA6-CL6</f>
        <v>-10616</v>
      </c>
      <c r="CO6">
        <v>0.84899999999999998</v>
      </c>
      <c r="CP6" s="23">
        <f>(CN6-CN$14)/CN$15</f>
        <v>-0.26228910566063601</v>
      </c>
      <c r="CQ6" s="23">
        <f>(0.6*BR6)+(0.4*CJ6)</f>
        <v>0.32192680137169627</v>
      </c>
      <c r="CR6" s="23">
        <f t="shared" si="11"/>
        <v>0.33622967560707379</v>
      </c>
    </row>
    <row r="7" spans="1:96" x14ac:dyDescent="0.25">
      <c r="A7" s="9" t="s">
        <v>60</v>
      </c>
      <c r="B7" s="9" t="s">
        <v>67</v>
      </c>
      <c r="C7" s="32">
        <f t="shared" si="1"/>
        <v>2</v>
      </c>
      <c r="D7" s="8">
        <v>2</v>
      </c>
      <c r="E7">
        <v>0</v>
      </c>
      <c r="F7" s="104"/>
      <c r="G7" s="69"/>
      <c r="H7" s="105"/>
      <c r="I7" s="126"/>
      <c r="J7" s="126"/>
      <c r="K7" s="106"/>
      <c r="L7" s="75"/>
      <c r="M7" s="34"/>
      <c r="N7" s="34"/>
      <c r="O7" s="34"/>
      <c r="P7" s="40"/>
      <c r="Q7" s="47"/>
      <c r="R7" s="47">
        <f t="shared" si="2"/>
        <v>0</v>
      </c>
      <c r="S7" s="47">
        <f t="shared" si="3"/>
        <v>0</v>
      </c>
      <c r="T7" s="23"/>
      <c r="U7" s="40"/>
      <c r="V7" s="218">
        <v>15</v>
      </c>
      <c r="W7" s="237">
        <v>8.7215995020760453E-2</v>
      </c>
      <c r="X7" s="26"/>
      <c r="Y7" s="60"/>
      <c r="Z7" s="37"/>
      <c r="AA7" s="37"/>
      <c r="AB7" s="37"/>
      <c r="AC7" s="67"/>
      <c r="AD7" s="67"/>
      <c r="AE7" s="58"/>
      <c r="AF7" s="37"/>
      <c r="AG7" s="37"/>
      <c r="AH7" s="37"/>
      <c r="AI7" s="58"/>
      <c r="AJ7" s="58"/>
      <c r="AK7" s="58"/>
      <c r="AL7" s="37"/>
      <c r="AM7" s="37"/>
      <c r="AN7" s="37"/>
      <c r="AO7" s="37"/>
      <c r="AP7" s="58"/>
      <c r="AQ7" s="58"/>
      <c r="AR7" s="58"/>
      <c r="AS7" s="58"/>
      <c r="AT7" s="58"/>
      <c r="AU7" s="58"/>
      <c r="AV7" s="58"/>
      <c r="AW7" s="58"/>
      <c r="AX7" s="67"/>
      <c r="AY7" s="16"/>
      <c r="AZ7" s="16"/>
      <c r="BA7" s="16"/>
      <c r="BB7" s="134"/>
      <c r="BD7" s="278"/>
      <c r="BI7" s="233">
        <v>223</v>
      </c>
      <c r="BJ7" s="233">
        <v>248</v>
      </c>
      <c r="BK7" s="233">
        <v>73</v>
      </c>
      <c r="BL7" s="233">
        <f t="shared" si="4"/>
        <v>143.27275500000002</v>
      </c>
      <c r="BM7" s="233">
        <f>V7*BI$16</f>
        <v>247.15779467680608</v>
      </c>
      <c r="BN7" s="233">
        <f t="shared" si="5"/>
        <v>304.005</v>
      </c>
      <c r="BO7" s="233">
        <f t="shared" si="6"/>
        <v>-70.272755000000018</v>
      </c>
      <c r="BP7" s="233">
        <f t="shared" si="7"/>
        <v>-24.157794676806077</v>
      </c>
      <c r="BQ7" s="233">
        <f t="shared" si="8"/>
        <v>-56.004999999999995</v>
      </c>
      <c r="BR7" s="231">
        <f>(BQ7-BQ$13)/BQ$14</f>
        <v>-9.9039188732159888E-2</v>
      </c>
      <c r="BS7" s="231">
        <f t="shared" si="9"/>
        <v>-0.19773131938576635</v>
      </c>
      <c r="BT7" s="231">
        <f>(BP7-BP$13)/BP$14</f>
        <v>-4.7564141368555551E-2</v>
      </c>
      <c r="BY7" s="23"/>
      <c r="BZ7" s="34"/>
      <c r="CA7" s="203">
        <v>0</v>
      </c>
      <c r="CC7" s="233">
        <v>43557</v>
      </c>
      <c r="CD7" s="233">
        <v>43557</v>
      </c>
      <c r="CE7" s="233">
        <f>V7*CC$16</f>
        <v>17268.279467680608</v>
      </c>
      <c r="CF7" s="233">
        <f>V7*CD$17</f>
        <v>20744.79</v>
      </c>
      <c r="CG7" s="233">
        <f>CC7-CE7</f>
        <v>26288.720532319392</v>
      </c>
      <c r="CH7" s="233">
        <f t="shared" si="10"/>
        <v>22812.21</v>
      </c>
      <c r="CI7" s="234">
        <f t="shared" si="0"/>
        <v>0.28938619960473444</v>
      </c>
      <c r="CJ7" s="236">
        <f t="shared" si="0"/>
        <v>0.23247822676362226</v>
      </c>
      <c r="CK7" s="236">
        <f>(0.6*BT7)+(0.4*CI7)</f>
        <v>8.7215995020760453E-2</v>
      </c>
      <c r="CP7" s="23"/>
      <c r="CQ7" s="23">
        <f>(0.6*BR7)+(0.4*CJ7)</f>
        <v>3.3567777466152984E-2</v>
      </c>
      <c r="CR7" s="23">
        <f t="shared" si="11"/>
        <v>-2.8843117895660242E-3</v>
      </c>
    </row>
    <row r="8" spans="1:96" hidden="1" x14ac:dyDescent="0.25">
      <c r="A8" s="7" t="s">
        <v>68</v>
      </c>
      <c r="B8" s="7" t="s">
        <v>69</v>
      </c>
      <c r="C8" s="32">
        <f t="shared" si="1"/>
        <v>2</v>
      </c>
      <c r="D8" s="8">
        <v>2</v>
      </c>
      <c r="E8" s="8">
        <v>0</v>
      </c>
      <c r="F8" s="92"/>
      <c r="G8" s="69"/>
      <c r="H8" s="105"/>
      <c r="I8" s="126"/>
      <c r="J8" s="126"/>
      <c r="K8" s="106"/>
      <c r="L8" s="75"/>
      <c r="M8" s="34"/>
      <c r="N8" s="34"/>
      <c r="O8" s="34"/>
      <c r="P8" s="40"/>
      <c r="Q8" s="47"/>
      <c r="R8" s="47">
        <f t="shared" si="2"/>
        <v>0</v>
      </c>
      <c r="S8" s="47">
        <f t="shared" si="3"/>
        <v>0</v>
      </c>
      <c r="T8" s="23"/>
      <c r="U8" s="40"/>
      <c r="V8" s="220">
        <v>0</v>
      </c>
      <c r="W8" s="237"/>
      <c r="X8" s="26"/>
      <c r="Y8" s="60"/>
      <c r="Z8" s="37"/>
      <c r="AA8" s="37"/>
      <c r="AB8" s="37"/>
      <c r="AC8" s="67"/>
      <c r="AD8" s="67"/>
      <c r="AE8" s="58"/>
      <c r="AF8" s="37"/>
      <c r="AG8" s="37"/>
      <c r="AH8" s="37"/>
      <c r="AI8" s="58"/>
      <c r="AJ8" s="58"/>
      <c r="AK8" s="58"/>
      <c r="AL8" s="37"/>
      <c r="AM8" s="37"/>
      <c r="AN8" s="37"/>
      <c r="AO8" s="37"/>
      <c r="AP8" s="58"/>
      <c r="AQ8" s="58"/>
      <c r="AR8" s="58"/>
      <c r="AS8" s="58"/>
      <c r="AT8" s="58"/>
      <c r="AU8" s="58"/>
      <c r="AV8" s="58"/>
      <c r="AW8" s="58"/>
      <c r="AX8" s="16"/>
      <c r="AY8" s="16"/>
      <c r="AZ8" s="16"/>
      <c r="BA8" s="16"/>
      <c r="BB8" s="270"/>
      <c r="BD8" s="16"/>
      <c r="BI8" s="233"/>
      <c r="BJ8" s="233"/>
      <c r="BK8" s="233"/>
      <c r="BL8" s="233">
        <f t="shared" si="4"/>
        <v>0</v>
      </c>
      <c r="BM8" s="233"/>
      <c r="BN8" s="233">
        <f t="shared" si="5"/>
        <v>0</v>
      </c>
      <c r="BO8" s="233">
        <f t="shared" si="6"/>
        <v>0</v>
      </c>
      <c r="BP8" s="233"/>
      <c r="BQ8" s="233">
        <f t="shared" si="8"/>
        <v>0</v>
      </c>
      <c r="BR8" s="231"/>
      <c r="BS8" s="231">
        <f t="shared" si="9"/>
        <v>-5.449813526223117E-2</v>
      </c>
      <c r="BT8" s="231"/>
      <c r="BY8" s="23"/>
      <c r="BZ8" s="34"/>
      <c r="CA8" s="203">
        <v>0</v>
      </c>
      <c r="CC8" s="233"/>
      <c r="CD8" s="233"/>
      <c r="CE8" s="233"/>
      <c r="CF8" s="233"/>
      <c r="CG8" s="233"/>
      <c r="CH8" s="233">
        <f t="shared" si="10"/>
        <v>0</v>
      </c>
      <c r="CI8" s="234"/>
      <c r="CJ8" s="236"/>
      <c r="CK8" s="236"/>
      <c r="CP8" s="23"/>
      <c r="CQ8" s="23"/>
      <c r="CR8" s="23">
        <f t="shared" si="11"/>
        <v>-3.2698881157338704E-2</v>
      </c>
    </row>
    <row r="9" spans="1:96" hidden="1" x14ac:dyDescent="0.25">
      <c r="A9" s="7" t="s">
        <v>68</v>
      </c>
      <c r="B9" s="7" t="s">
        <v>71</v>
      </c>
      <c r="C9" s="32">
        <f t="shared" si="1"/>
        <v>4</v>
      </c>
      <c r="D9" s="8">
        <v>4</v>
      </c>
      <c r="E9" s="8">
        <v>0</v>
      </c>
      <c r="F9" s="92"/>
      <c r="G9" s="69"/>
      <c r="H9" s="105"/>
      <c r="I9" s="126"/>
      <c r="J9" s="126"/>
      <c r="K9" s="106"/>
      <c r="L9" s="75"/>
      <c r="M9" s="34"/>
      <c r="N9" s="34"/>
      <c r="O9" s="34"/>
      <c r="P9" s="40"/>
      <c r="Q9" s="47"/>
      <c r="R9" s="47">
        <f t="shared" si="2"/>
        <v>0</v>
      </c>
      <c r="S9" s="47">
        <f t="shared" si="3"/>
        <v>0</v>
      </c>
      <c r="T9" s="23"/>
      <c r="U9" s="40"/>
      <c r="V9" s="220">
        <v>4</v>
      </c>
      <c r="W9" s="237"/>
      <c r="X9" s="26"/>
      <c r="Y9" s="60"/>
      <c r="Z9" s="37"/>
      <c r="AA9" s="37"/>
      <c r="AB9" s="37"/>
      <c r="AC9" s="67"/>
      <c r="AD9" s="67"/>
      <c r="AE9" s="58"/>
      <c r="AF9" s="37"/>
      <c r="AG9" s="37"/>
      <c r="AH9" s="37"/>
      <c r="AI9" s="58"/>
      <c r="AJ9" s="58"/>
      <c r="AK9" s="58"/>
      <c r="AL9" s="37"/>
      <c r="AM9" s="37"/>
      <c r="AN9" s="37"/>
      <c r="AO9" s="37"/>
      <c r="AP9" s="58"/>
      <c r="AQ9" s="58"/>
      <c r="AR9" s="58"/>
      <c r="AS9" s="58"/>
      <c r="AT9" s="58"/>
      <c r="AU9" s="58"/>
      <c r="AV9" s="58"/>
      <c r="AW9" s="58"/>
      <c r="AX9" s="16"/>
      <c r="AY9" s="16"/>
      <c r="AZ9" s="16"/>
      <c r="BA9" s="16"/>
      <c r="BB9" s="134"/>
      <c r="BD9" s="16"/>
      <c r="BI9" s="233"/>
      <c r="BJ9" s="233"/>
      <c r="BK9" s="233"/>
      <c r="BL9" s="233">
        <f t="shared" si="4"/>
        <v>38.206068000000002</v>
      </c>
      <c r="BM9" s="233"/>
      <c r="BN9" s="233">
        <f t="shared" si="5"/>
        <v>81.067999999999998</v>
      </c>
      <c r="BO9" s="233">
        <f t="shared" si="6"/>
        <v>-38.206068000000002</v>
      </c>
      <c r="BP9" s="233"/>
      <c r="BQ9" s="233">
        <f t="shared" si="8"/>
        <v>-81.067999999999998</v>
      </c>
      <c r="BR9" s="231"/>
      <c r="BS9" s="231">
        <f t="shared" si="9"/>
        <v>-0.13237151268254585</v>
      </c>
      <c r="BT9" s="231"/>
      <c r="BY9" s="23"/>
      <c r="BZ9" s="34"/>
      <c r="CA9" s="203">
        <v>0</v>
      </c>
      <c r="CC9" s="233"/>
      <c r="CD9" s="233"/>
      <c r="CE9" s="233"/>
      <c r="CF9" s="233"/>
      <c r="CG9" s="233"/>
      <c r="CH9" s="233">
        <f t="shared" si="10"/>
        <v>0</v>
      </c>
      <c r="CI9" s="234"/>
      <c r="CJ9" s="236"/>
      <c r="CK9" s="236"/>
      <c r="CP9" s="23"/>
      <c r="CQ9" s="23"/>
      <c r="CR9" s="23">
        <f t="shared" si="11"/>
        <v>-7.9422907609527513E-2</v>
      </c>
    </row>
    <row r="10" spans="1:96" x14ac:dyDescent="0.25">
      <c r="A10" s="9" t="s">
        <v>68</v>
      </c>
      <c r="B10" s="9" t="s">
        <v>73</v>
      </c>
      <c r="C10" s="10">
        <f t="shared" si="1"/>
        <v>63</v>
      </c>
      <c r="D10" s="8">
        <v>63</v>
      </c>
      <c r="E10" s="8">
        <v>0</v>
      </c>
      <c r="F10" s="92">
        <v>603.5</v>
      </c>
      <c r="G10" s="69">
        <v>402.5</v>
      </c>
      <c r="H10" s="105">
        <f>F10/C10</f>
        <v>9.5793650793650791</v>
      </c>
      <c r="I10" s="126">
        <f>G10/C10</f>
        <v>6.3888888888888893</v>
      </c>
      <c r="J10" s="126">
        <f>H10/H$15</f>
        <v>0.21725411829694835</v>
      </c>
      <c r="K10" s="106">
        <f>I10/I15</f>
        <v>0.2534784725811613</v>
      </c>
      <c r="L10" s="75">
        <v>88262</v>
      </c>
      <c r="M10" s="34">
        <v>106231</v>
      </c>
      <c r="N10" s="34">
        <f>L10/C10</f>
        <v>1400.984126984127</v>
      </c>
      <c r="O10" s="34">
        <f>M10/C10</f>
        <v>1686.2063492063492</v>
      </c>
      <c r="P10" s="40">
        <f>N10/N$14</f>
        <v>0.22570379622589148</v>
      </c>
      <c r="Q10" s="47">
        <f>O10/O14</f>
        <v>0.3984345454958968</v>
      </c>
      <c r="R10" s="47">
        <f t="shared" si="2"/>
        <v>0.31146090174705549</v>
      </c>
      <c r="S10" s="47">
        <f t="shared" si="3"/>
        <v>0.22063398946852561</v>
      </c>
      <c r="T10" s="25">
        <v>0.6</v>
      </c>
      <c r="U10" s="71">
        <v>0.87</v>
      </c>
      <c r="V10" s="218">
        <v>75</v>
      </c>
      <c r="W10" s="237">
        <v>0.41168984367967182</v>
      </c>
      <c r="X10" s="25">
        <f>(0.6*BY10)+(0.4*CP10)</f>
        <v>0.79405192800653546</v>
      </c>
      <c r="Y10" s="65">
        <f>AD10*BA4</f>
        <v>0</v>
      </c>
      <c r="Z10" s="65" t="e">
        <f>AE10*C10</f>
        <v>#VALUE!</v>
      </c>
      <c r="AA10" s="68"/>
      <c r="AB10" s="65" t="e">
        <f>AJ10*BB$4</f>
        <v>#DIV/0!</v>
      </c>
      <c r="AC10" s="68" t="e">
        <f>AB10-Y10</f>
        <v>#DIV/0!</v>
      </c>
      <c r="AD10" s="68">
        <f>AK10*C10</f>
        <v>20.487804878048781</v>
      </c>
      <c r="AE10" s="58" t="e">
        <f>U10/BA2</f>
        <v>#VALUE!</v>
      </c>
      <c r="AF10" s="37"/>
      <c r="AG10" s="37"/>
      <c r="AH10" s="37"/>
      <c r="AI10" s="58"/>
      <c r="AJ10" s="59" t="e">
        <f>AW10*C10</f>
        <v>#DIV/0!</v>
      </c>
      <c r="AK10" s="58">
        <f>T10/BC$2</f>
        <v>0.32520325203252032</v>
      </c>
      <c r="AL10" s="66">
        <v>257106.32041214322</v>
      </c>
      <c r="AM10" s="66">
        <f>AP10*BB14</f>
        <v>321523.60650422849</v>
      </c>
      <c r="AN10" s="66">
        <f>AVERAGE(AL10,AM10)</f>
        <v>289314.96345818584</v>
      </c>
      <c r="AO10" s="65">
        <f>AN10+(AN15*AU10)</f>
        <v>328459.22274813638</v>
      </c>
      <c r="AP10" s="58">
        <f>V10*AU10</f>
        <v>24.741327564639647</v>
      </c>
      <c r="AQ10" s="58"/>
      <c r="AR10" s="58"/>
      <c r="AS10" s="58"/>
      <c r="AT10" s="58"/>
      <c r="AU10" s="58">
        <f>CR10/BD$15</f>
        <v>0.32988436752852862</v>
      </c>
      <c r="AV10" s="287" t="s">
        <v>438</v>
      </c>
      <c r="AW10" s="58" t="e">
        <f>X10/BD$2</f>
        <v>#DIV/0!</v>
      </c>
      <c r="AX10" s="67"/>
      <c r="AY10" s="16"/>
      <c r="AZ10" s="16"/>
      <c r="BA10" s="16"/>
      <c r="BB10" s="278"/>
      <c r="BD10" s="26"/>
      <c r="BE10">
        <v>1207</v>
      </c>
      <c r="BF10">
        <v>1223</v>
      </c>
      <c r="BG10">
        <f>BE10-BF10</f>
        <v>-16</v>
      </c>
      <c r="BH10">
        <v>213</v>
      </c>
      <c r="BI10" s="233">
        <v>1376</v>
      </c>
      <c r="BJ10" s="233">
        <v>1827</v>
      </c>
      <c r="BK10" s="233">
        <v>935</v>
      </c>
      <c r="BL10" s="233">
        <f t="shared" si="4"/>
        <v>716.36377500000003</v>
      </c>
      <c r="BM10" s="233">
        <f t="shared" ref="BM10:BM12" si="13">V10*BI$16</f>
        <v>1235.7889733840304</v>
      </c>
      <c r="BN10" s="233">
        <f t="shared" si="5"/>
        <v>1520.0249999999999</v>
      </c>
      <c r="BO10" s="233">
        <f t="shared" si="6"/>
        <v>218.63622499999997</v>
      </c>
      <c r="BP10" s="233">
        <f t="shared" ref="BP10:BP12" si="14">BI10-BM10</f>
        <v>140.21102661596956</v>
      </c>
      <c r="BQ10" s="233">
        <f t="shared" si="8"/>
        <v>306.97500000000014</v>
      </c>
      <c r="BR10" s="231">
        <f>(BQ10-BQ$13)/BQ$14</f>
        <v>0.44297935978855646</v>
      </c>
      <c r="BS10" s="232">
        <f t="shared" si="9"/>
        <v>0.39113634529142943</v>
      </c>
      <c r="BT10" s="231">
        <f>(BP10-BP$13)/BP$14</f>
        <v>0.27606067443710824</v>
      </c>
      <c r="BU10">
        <v>231</v>
      </c>
      <c r="BV10">
        <f>BE10-BH10</f>
        <v>994</v>
      </c>
      <c r="BW10">
        <f>BF10-BU10</f>
        <v>992</v>
      </c>
      <c r="BX10" s="23">
        <v>0.55200000000000005</v>
      </c>
      <c r="BY10" s="23">
        <f>(BW10-BW$14)/BW$15</f>
        <v>0.58368727685735233</v>
      </c>
      <c r="BZ10" s="34">
        <v>88262</v>
      </c>
      <c r="CA10" s="203">
        <v>76978</v>
      </c>
      <c r="CB10">
        <v>57980</v>
      </c>
      <c r="CC10" s="233">
        <v>142222</v>
      </c>
      <c r="CD10" s="233">
        <v>163337</v>
      </c>
      <c r="CE10" s="233">
        <f>V10*CC$16</f>
        <v>86341.39733840304</v>
      </c>
      <c r="CF10" s="233">
        <f>V10*CD$17</f>
        <v>103723.95000000001</v>
      </c>
      <c r="CG10" s="233">
        <f>CC10-CE10</f>
        <v>55880.60266159696</v>
      </c>
      <c r="CH10" s="233">
        <f t="shared" si="10"/>
        <v>59613.049999999988</v>
      </c>
      <c r="CI10" s="234">
        <f t="shared" ref="CI10:CJ12" si="15">(CG10-CG$13)/CG$14</f>
        <v>0.61513359754351715</v>
      </c>
      <c r="CJ10" s="236">
        <f t="shared" si="15"/>
        <v>0.59798535187452806</v>
      </c>
      <c r="CK10" s="236">
        <f>(0.6*BT10)+(0.4*CI10)</f>
        <v>0.41168984367967182</v>
      </c>
      <c r="CL10">
        <v>32967</v>
      </c>
      <c r="CM10">
        <f t="shared" si="12"/>
        <v>30282</v>
      </c>
      <c r="CN10" s="34">
        <f>CA10-CL10</f>
        <v>44011</v>
      </c>
      <c r="CO10">
        <v>0.67200000000000004</v>
      </c>
      <c r="CP10" s="23">
        <f>(CN10-CN$14)/CN$15</f>
        <v>1.1095989047303103</v>
      </c>
      <c r="CQ10" s="23">
        <f>(0.6*BR10)+(0.4*CJ10)</f>
        <v>0.50498175662294509</v>
      </c>
      <c r="CR10" s="25">
        <f t="shared" si="11"/>
        <v>0.48073524619226449</v>
      </c>
    </row>
    <row r="11" spans="1:96" x14ac:dyDescent="0.25">
      <c r="A11" s="9" t="s">
        <v>80</v>
      </c>
      <c r="B11" s="9" t="s">
        <v>81</v>
      </c>
      <c r="C11" s="10">
        <f t="shared" si="1"/>
        <v>123</v>
      </c>
      <c r="D11">
        <v>0</v>
      </c>
      <c r="E11">
        <v>123</v>
      </c>
      <c r="F11" s="104">
        <v>616</v>
      </c>
      <c r="G11" s="69">
        <v>335</v>
      </c>
      <c r="H11" s="126">
        <f>F11/C11</f>
        <v>5.0081300813008127</v>
      </c>
      <c r="I11" s="126">
        <f>G11/C11</f>
        <v>2.7235772357723578</v>
      </c>
      <c r="J11" s="126">
        <f>H11/H$15</f>
        <v>0.11358131526620421</v>
      </c>
      <c r="K11" s="127">
        <f>I11/I15</f>
        <v>0.10805763094127979</v>
      </c>
      <c r="L11" s="75"/>
      <c r="M11" s="34">
        <v>0</v>
      </c>
      <c r="N11" s="34">
        <f>L11/C11</f>
        <v>0</v>
      </c>
      <c r="O11" s="34"/>
      <c r="P11" s="40"/>
      <c r="Q11" s="47"/>
      <c r="R11" s="47">
        <f t="shared" si="2"/>
        <v>6.4834578564767875E-2</v>
      </c>
      <c r="S11" s="47">
        <f t="shared" si="3"/>
        <v>6.8148789159722528E-2</v>
      </c>
      <c r="T11" s="26">
        <v>-0.25900000000000001</v>
      </c>
      <c r="U11">
        <v>-1.1499999999999999</v>
      </c>
      <c r="V11" s="218">
        <v>183</v>
      </c>
      <c r="W11" s="237">
        <v>-1.6949225872156846</v>
      </c>
      <c r="X11" s="26">
        <f>(0.6*BY11)+(0.4*CP11)</f>
        <v>-0.44916710287095163</v>
      </c>
      <c r="Y11" s="60"/>
      <c r="Z11" s="37"/>
      <c r="AA11" s="37"/>
      <c r="AB11" s="37"/>
      <c r="AC11" s="37"/>
      <c r="AD11" s="37"/>
      <c r="AE11" s="58"/>
      <c r="AF11" s="37"/>
      <c r="AG11" s="37"/>
      <c r="AH11" s="37"/>
      <c r="AI11" s="58"/>
      <c r="AJ11" s="58"/>
      <c r="AK11" s="58"/>
      <c r="AM11" s="37"/>
      <c r="AN11" s="37"/>
      <c r="AO11" s="37"/>
      <c r="AP11" s="58"/>
      <c r="AQ11" s="58"/>
      <c r="AR11" s="58"/>
      <c r="AS11" s="58"/>
      <c r="AT11" s="58"/>
      <c r="AU11" s="58"/>
      <c r="AV11" s="287" t="s">
        <v>439</v>
      </c>
      <c r="AW11" s="58"/>
      <c r="AX11" s="67"/>
      <c r="AY11" s="16"/>
      <c r="AZ11" s="16"/>
      <c r="BA11" s="16"/>
      <c r="BB11" s="134"/>
      <c r="BD11" s="278"/>
      <c r="BE11">
        <v>1232</v>
      </c>
      <c r="BF11">
        <v>1248</v>
      </c>
      <c r="BG11">
        <f>BE11-BF11</f>
        <v>-16</v>
      </c>
      <c r="BH11">
        <v>416</v>
      </c>
      <c r="BI11" s="233">
        <v>2211</v>
      </c>
      <c r="BJ11" s="233">
        <v>2630</v>
      </c>
      <c r="BK11" s="233">
        <v>1046</v>
      </c>
      <c r="BL11" s="233">
        <f t="shared" si="4"/>
        <v>1747.9276110000001</v>
      </c>
      <c r="BM11" s="233">
        <f t="shared" si="13"/>
        <v>3015.3250950570341</v>
      </c>
      <c r="BN11" s="233">
        <f t="shared" si="5"/>
        <v>3708.8609999999999</v>
      </c>
      <c r="BO11" s="233">
        <f t="shared" si="6"/>
        <v>-701.92761100000007</v>
      </c>
      <c r="BP11" s="233">
        <f t="shared" si="14"/>
        <v>-804.3250950570341</v>
      </c>
      <c r="BQ11" s="233">
        <f t="shared" si="8"/>
        <v>-1078.8609999999999</v>
      </c>
      <c r="BR11" s="231">
        <f>(BQ11-BQ$13)/BQ$14</f>
        <v>-1.6264151446132156</v>
      </c>
      <c r="BS11" s="231">
        <f t="shared" si="9"/>
        <v>-1.4851995037763326</v>
      </c>
      <c r="BT11" s="231">
        <f>(BP11-BP$13)/BP$14</f>
        <v>-1.5836309994099009</v>
      </c>
      <c r="BU11">
        <v>452</v>
      </c>
      <c r="BV11">
        <f>BE11-BH11</f>
        <v>816</v>
      </c>
      <c r="BW11">
        <f>BF11-BU11</f>
        <v>796</v>
      </c>
      <c r="BX11" s="23">
        <v>0.151</v>
      </c>
      <c r="BY11" s="23">
        <f>(BW11-BW$14)/BW$15</f>
        <v>0.13534224904269102</v>
      </c>
      <c r="BZ11" s="34">
        <v>0</v>
      </c>
      <c r="CA11" s="203">
        <v>7499</v>
      </c>
      <c r="CB11">
        <v>39462</v>
      </c>
      <c r="CC11" s="233">
        <v>41536</v>
      </c>
      <c r="CD11" s="233">
        <v>47448</v>
      </c>
      <c r="CE11" s="233">
        <f>V11*CC$16</f>
        <v>210673.00950570343</v>
      </c>
      <c r="CF11" s="233">
        <f>V11*CD$17</f>
        <v>253086.43800000002</v>
      </c>
      <c r="CG11" s="233">
        <f>CC11-CE11</f>
        <v>-169137.00950570343</v>
      </c>
      <c r="CH11" s="233">
        <f t="shared" si="10"/>
        <v>-205638.43800000002</v>
      </c>
      <c r="CI11" s="234">
        <f t="shared" si="15"/>
        <v>-1.8618599689243598</v>
      </c>
      <c r="CJ11" s="236">
        <f t="shared" si="15"/>
        <v>-2.036500948173785</v>
      </c>
      <c r="CK11" s="236">
        <f>(0.6*BT11)+(0.4*CI11)</f>
        <v>-1.6949225872156846</v>
      </c>
      <c r="CL11">
        <v>60468</v>
      </c>
      <c r="CM11">
        <f t="shared" si="12"/>
        <v>-39462</v>
      </c>
      <c r="CN11" s="34">
        <f>CA11-CL11</f>
        <v>-52969</v>
      </c>
      <c r="CO11">
        <v>-0.873</v>
      </c>
      <c r="CP11" s="23">
        <f>(CN11-CN$14)/CN$15</f>
        <v>-1.3259311307414157</v>
      </c>
      <c r="CQ11" s="23">
        <f>(0.6*BR11)+(0.4*CJ11)</f>
        <v>-1.7904494660374433</v>
      </c>
      <c r="CR11" s="23">
        <f t="shared" si="11"/>
        <v>-1.6358636898355434</v>
      </c>
    </row>
    <row r="12" spans="1:96" x14ac:dyDescent="0.25">
      <c r="A12" s="9" t="s">
        <v>80</v>
      </c>
      <c r="B12" s="9" t="s">
        <v>82</v>
      </c>
      <c r="C12" s="10">
        <f t="shared" si="1"/>
        <v>51</v>
      </c>
      <c r="D12">
        <v>0</v>
      </c>
      <c r="E12">
        <v>51</v>
      </c>
      <c r="F12" s="104">
        <v>121</v>
      </c>
      <c r="G12" s="69">
        <v>93</v>
      </c>
      <c r="H12" s="126">
        <f>F12/C12</f>
        <v>2.3725490196078431</v>
      </c>
      <c r="I12" s="126">
        <f>G12/C12</f>
        <v>1.8235294117647058</v>
      </c>
      <c r="J12" s="126">
        <f>H12/H$15</f>
        <v>5.3807955026321533E-2</v>
      </c>
      <c r="K12" s="127">
        <f>I12/I15</f>
        <v>7.2348331304495139E-2</v>
      </c>
      <c r="L12" s="75">
        <v>7499</v>
      </c>
      <c r="M12" s="34">
        <v>0</v>
      </c>
      <c r="N12" s="34">
        <f>L12/C12</f>
        <v>147.0392156862745</v>
      </c>
      <c r="O12" s="34"/>
      <c r="P12" s="40">
        <f>N12/N$14</f>
        <v>2.3688569010350977E-2</v>
      </c>
      <c r="Q12" s="40"/>
      <c r="R12" s="47">
        <f t="shared" si="2"/>
        <v>4.3408998782697085E-2</v>
      </c>
      <c r="S12" s="47">
        <f t="shared" si="3"/>
        <v>4.176020061993331E-2</v>
      </c>
      <c r="T12" s="26">
        <v>-1.431</v>
      </c>
      <c r="U12">
        <v>-0.68</v>
      </c>
      <c r="V12" s="218">
        <v>52</v>
      </c>
      <c r="W12" s="237">
        <v>-0.70637144663170925</v>
      </c>
      <c r="X12" s="26">
        <f>(0.6*BY12)+(0.4*CP12)</f>
        <v>-1.191037034668442</v>
      </c>
      <c r="Y12" s="60"/>
      <c r="Z12" s="37"/>
      <c r="AA12" s="37"/>
      <c r="AB12" s="37"/>
      <c r="AC12" s="37"/>
      <c r="AD12" s="37"/>
      <c r="AE12" s="58"/>
      <c r="AF12" s="37"/>
      <c r="AG12" s="37"/>
      <c r="AH12" s="37"/>
      <c r="AI12" s="58"/>
      <c r="AJ12" s="58"/>
      <c r="AK12" s="58"/>
      <c r="AL12" s="37"/>
      <c r="AM12" s="37"/>
      <c r="AN12" s="37"/>
      <c r="AO12" s="37"/>
      <c r="AP12" s="58"/>
      <c r="AQ12" s="58"/>
      <c r="AR12" s="58"/>
      <c r="AS12" s="58"/>
      <c r="AT12" s="58"/>
      <c r="AU12" s="58"/>
      <c r="AV12" s="58"/>
      <c r="AW12" s="58"/>
      <c r="BD12" s="240"/>
      <c r="BE12">
        <v>242</v>
      </c>
      <c r="BF12">
        <v>254</v>
      </c>
      <c r="BG12">
        <f>BE12-BF12</f>
        <v>-12</v>
      </c>
      <c r="BH12">
        <v>172</v>
      </c>
      <c r="BI12" s="233">
        <v>482</v>
      </c>
      <c r="BJ12" s="233">
        <v>598</v>
      </c>
      <c r="BK12" s="233">
        <v>229</v>
      </c>
      <c r="BL12" s="233">
        <f t="shared" si="4"/>
        <v>496.67888400000004</v>
      </c>
      <c r="BM12" s="233">
        <f t="shared" si="13"/>
        <v>856.81368821292779</v>
      </c>
      <c r="BN12" s="233">
        <f t="shared" si="5"/>
        <v>1053.884</v>
      </c>
      <c r="BO12" s="233">
        <f t="shared" si="6"/>
        <v>-267.67888400000004</v>
      </c>
      <c r="BP12" s="233">
        <f t="shared" si="14"/>
        <v>-374.81368821292779</v>
      </c>
      <c r="BQ12" s="233">
        <f t="shared" si="8"/>
        <v>-455.88400000000001</v>
      </c>
      <c r="BR12" s="231">
        <f>(BQ12-BQ$13)/BQ$14</f>
        <v>-0.69615703314208732</v>
      </c>
      <c r="BS12" s="231">
        <f t="shared" si="9"/>
        <v>-0.60009363493994283</v>
      </c>
      <c r="BT12" s="231">
        <f>(BP12-BP$13)/BP$14</f>
        <v>-0.73796848973742457</v>
      </c>
      <c r="BU12">
        <v>187</v>
      </c>
      <c r="BV12">
        <f>BE12-BH12</f>
        <v>70</v>
      </c>
      <c r="BW12">
        <f>BF12-BU12</f>
        <v>67</v>
      </c>
      <c r="BX12" s="23">
        <v>-1.53</v>
      </c>
      <c r="BY12" s="23">
        <f>(BW12-BW$14)/BW$15</f>
        <v>-1.5322267574720441</v>
      </c>
      <c r="BZ12" s="34">
        <v>7499</v>
      </c>
      <c r="CA12" s="203">
        <v>0</v>
      </c>
      <c r="CB12">
        <v>65472</v>
      </c>
      <c r="CC12" s="233">
        <v>0</v>
      </c>
      <c r="CD12" s="233">
        <v>0</v>
      </c>
      <c r="CE12" s="233">
        <f>V12*CC$16</f>
        <v>59863.368821292781</v>
      </c>
      <c r="CF12" s="233">
        <f>V12*CD$17</f>
        <v>71915.272000000012</v>
      </c>
      <c r="CG12" s="233">
        <f>CC12-CE12</f>
        <v>-59863.368821292781</v>
      </c>
      <c r="CH12" s="233">
        <f t="shared" si="10"/>
        <v>-71915.272000000012</v>
      </c>
      <c r="CI12" s="234">
        <f t="shared" si="15"/>
        <v>-0.65897588197313628</v>
      </c>
      <c r="CJ12" s="236">
        <f t="shared" si="15"/>
        <v>-0.70835816759082981</v>
      </c>
      <c r="CK12" s="236">
        <f>(0.6*BT12)+(0.4*CI12)</f>
        <v>-0.70637144663170925</v>
      </c>
      <c r="CL12">
        <v>27219</v>
      </c>
      <c r="CM12">
        <f t="shared" si="12"/>
        <v>-57973</v>
      </c>
      <c r="CN12" s="34">
        <f>CA12-CL12</f>
        <v>-27219</v>
      </c>
      <c r="CO12">
        <v>-1.2829999999999999</v>
      </c>
      <c r="CP12" s="23">
        <f>(CN12-CN$14)/CN$15</f>
        <v>-0.67925245046303917</v>
      </c>
      <c r="CQ12" s="23">
        <f>(0.6*BR12)+(0.4*CJ12)</f>
        <v>-0.7010374869215843</v>
      </c>
      <c r="CR12" s="23">
        <f t="shared" si="11"/>
        <v>-0.62364653375322021</v>
      </c>
    </row>
    <row r="13" spans="1:96" x14ac:dyDescent="0.25">
      <c r="C13" s="1">
        <f>SUM(C4:C12)</f>
        <v>426</v>
      </c>
      <c r="D13" s="1">
        <f>SUM(D4:D12)</f>
        <v>252</v>
      </c>
      <c r="E13" s="1">
        <f>SUM(E4:E12)</f>
        <v>174</v>
      </c>
      <c r="F13" s="119">
        <f>SUM(F4:F12)</f>
        <v>2954</v>
      </c>
      <c r="G13" s="89">
        <f>SUM(G4:G12)</f>
        <v>1707</v>
      </c>
      <c r="H13" s="128">
        <f>F13/C13</f>
        <v>6.934272300469484</v>
      </c>
      <c r="I13" s="128">
        <f>G13/C13</f>
        <v>4.007042253521127</v>
      </c>
      <c r="J13" s="128">
        <f>SUM(J4:J12)</f>
        <v>1</v>
      </c>
      <c r="K13" s="129">
        <f>SUM(K4:K12)</f>
        <v>1</v>
      </c>
      <c r="L13" s="114">
        <f>SUM(L4:L12)</f>
        <v>352408</v>
      </c>
      <c r="M13" s="54">
        <f>SUM(M4:M12)</f>
        <v>328959</v>
      </c>
      <c r="N13" s="54">
        <f>L13/C13</f>
        <v>827.24882629107981</v>
      </c>
      <c r="O13" s="54">
        <f>M13/C13</f>
        <v>772.20422535211264</v>
      </c>
      <c r="P13" s="34"/>
      <c r="Q13" s="56">
        <f>SUM(Q4:Q12)</f>
        <v>1</v>
      </c>
      <c r="R13" s="80">
        <f>SUM(R4:R12)</f>
        <v>1.0000000000000002</v>
      </c>
      <c r="S13" s="80"/>
      <c r="T13" s="80"/>
      <c r="U13" s="56"/>
      <c r="V13" s="218">
        <f>SUM(V3:V7,V10:V12)</f>
        <v>526</v>
      </c>
      <c r="W13" s="218"/>
      <c r="X13" s="80"/>
      <c r="Y13" s="65">
        <f>SUM(Y4:Y12)</f>
        <v>0</v>
      </c>
      <c r="Z13" s="60" t="e">
        <f>SUM(Z4:Z12)</f>
        <v>#VALUE!</v>
      </c>
      <c r="AA13" s="60" t="e">
        <f>SUM(AA3:AA12)</f>
        <v>#DIV/0!</v>
      </c>
      <c r="AB13" s="60"/>
      <c r="AC13" s="60"/>
      <c r="AD13" s="60">
        <f>SUM(AD5:AD12)</f>
        <v>83.918699186991887</v>
      </c>
      <c r="AE13" s="63"/>
      <c r="AF13" s="60" t="e">
        <f>SUM(AF3:AF12)</f>
        <v>#DIV/0!</v>
      </c>
      <c r="AG13" s="57" t="e">
        <f>SUM(AG3:AG12)</f>
        <v>#DIV/0!</v>
      </c>
      <c r="AH13" s="57" t="e">
        <f>SUM(AH3:AH12)</f>
        <v>#DIV/0!</v>
      </c>
      <c r="AI13" s="59" t="e">
        <f>SUM(AI3:AI12)</f>
        <v>#DIV/0!</v>
      </c>
      <c r="AJ13" s="59" t="e">
        <f>SUM(AJ4:AJ12)</f>
        <v>#DIV/0!</v>
      </c>
      <c r="AK13" s="63"/>
      <c r="AL13" s="57"/>
      <c r="AM13" s="57"/>
      <c r="AN13" s="57"/>
      <c r="AO13" s="57"/>
      <c r="AP13" s="59">
        <f>SUM(AP3:AP12)</f>
        <v>85.721850119543546</v>
      </c>
      <c r="AQ13" s="63"/>
      <c r="AR13" s="63" t="e">
        <f>SUM(AR3:AR12)</f>
        <v>#DIV/0!</v>
      </c>
      <c r="AS13" s="63"/>
      <c r="AT13" s="63" t="e">
        <f>SUM(AT3:AT12)</f>
        <v>#DIV/0!</v>
      </c>
      <c r="AU13" s="63"/>
      <c r="AV13" s="63"/>
      <c r="AW13" s="63"/>
      <c r="AX13" s="290" t="s">
        <v>467</v>
      </c>
      <c r="BB13" s="290" t="s">
        <v>468</v>
      </c>
      <c r="BE13" s="1">
        <f>SUM(BE4:BE12)</f>
        <v>5908</v>
      </c>
      <c r="BF13" s="1">
        <f>SUM(BF4:BF12)</f>
        <v>5956</v>
      </c>
      <c r="BG13" s="1"/>
      <c r="BI13" s="54">
        <f>SUM(BI10:BI12,BI3:BI7)</f>
        <v>8667</v>
      </c>
      <c r="BJ13" s="54">
        <f>SUM(BJ3:BJ12)</f>
        <v>10743</v>
      </c>
      <c r="BK13" s="54">
        <f>SUM(BK3:BK12)</f>
        <v>5238</v>
      </c>
      <c r="BL13" s="54"/>
      <c r="BM13" s="1"/>
      <c r="BN13" s="1"/>
      <c r="BO13" s="53">
        <f>AVERAGE(BO10:BO12,BO3:BO7)</f>
        <v>26.737757249999966</v>
      </c>
      <c r="BP13" s="53">
        <f>AVERAGE(BP10:BP12,BP3:BP7)</f>
        <v>3.5527136788005009E-14</v>
      </c>
      <c r="BQ13" s="53">
        <f>AVERAGE(BQ10:BQ12,BQ3:BQ7)</f>
        <v>10.319750000000056</v>
      </c>
      <c r="BR13" s="53"/>
      <c r="BS13" s="53"/>
      <c r="BT13" s="1"/>
      <c r="BZ13" s="54">
        <f>SUM(BZ4:BZ12)</f>
        <v>352408</v>
      </c>
      <c r="CA13" s="54">
        <f>SUM(CA4:CA12)</f>
        <v>214129.3</v>
      </c>
      <c r="CC13" s="54">
        <f>SUM(CC3:CC7,CC10:CC12)</f>
        <v>605541</v>
      </c>
      <c r="CD13" s="54">
        <f>SUM(CD3:CD12)</f>
        <v>722693</v>
      </c>
      <c r="CE13" s="54"/>
      <c r="CF13" s="54"/>
      <c r="CG13" s="54">
        <f>AVERAGE(CG10:CG12,CG3:CG7)</f>
        <v>0</v>
      </c>
      <c r="CH13" s="54">
        <f>AVERAGE(CH10:CH12,CH3:CH7)</f>
        <v>-594.70450000000801</v>
      </c>
      <c r="CI13" s="54"/>
      <c r="CJ13" s="114"/>
      <c r="CK13" s="114"/>
    </row>
    <row r="14" spans="1:96" x14ac:dyDescent="0.25">
      <c r="C14" s="1">
        <v>157</v>
      </c>
      <c r="F14" s="104"/>
      <c r="G14" s="69"/>
      <c r="H14" s="89" t="s">
        <v>158</v>
      </c>
      <c r="I14" s="89" t="s">
        <v>158</v>
      </c>
      <c r="J14" s="89"/>
      <c r="K14" s="130"/>
      <c r="N14" s="55">
        <f>SUM(N4:N12)</f>
        <v>6207.1801644930147</v>
      </c>
      <c r="O14" s="55">
        <f>SUM(O4:O12)</f>
        <v>4232.0786896318814</v>
      </c>
      <c r="P14" s="55"/>
      <c r="Q14" s="40"/>
      <c r="V14" s="217"/>
      <c r="W14" s="217"/>
      <c r="AL14" s="37">
        <f>SUM(AL3:AL13)</f>
        <v>876669.18666714244</v>
      </c>
      <c r="AM14" s="37">
        <f>SUM(AM3:AM13)</f>
        <v>1113990.2794077089</v>
      </c>
      <c r="AN14" s="37">
        <f>SUM(AN3:AN13)</f>
        <v>995329.73303742567</v>
      </c>
      <c r="AO14" s="60">
        <f>SUM(AO3:AO13)</f>
        <v>1113990.2794077089</v>
      </c>
      <c r="AX14" s="138">
        <v>1113990.2794077089</v>
      </c>
      <c r="AY14" s="138"/>
      <c r="AZ14" s="138"/>
      <c r="BA14" s="138"/>
      <c r="BB14" s="78">
        <f>AX14/AP13</f>
        <v>12995.406397017703</v>
      </c>
      <c r="BD14" s="290" t="s">
        <v>471</v>
      </c>
      <c r="BF14" s="155">
        <f>(BE13/BF13)*100</f>
        <v>99.194089993284081</v>
      </c>
      <c r="BO14" s="23">
        <f>STDEV(BO3:BO7,BO10:BO12)</f>
        <v>490.61783713047566</v>
      </c>
      <c r="BP14" s="23">
        <f>STDEV(BP3:BP7,BP10:BP12)</f>
        <v>507.89931199676249</v>
      </c>
      <c r="BQ14" s="23">
        <f>STDEV(BQ3:BQ7,BQ10:BQ12)</f>
        <v>669.68187895165136</v>
      </c>
      <c r="BR14" s="23"/>
      <c r="BS14" s="23"/>
      <c r="BV14" s="1" t="s">
        <v>300</v>
      </c>
      <c r="BW14">
        <f>AVERAGE(BW4:BW6,BW10:BW12)</f>
        <v>736.83333333333337</v>
      </c>
      <c r="CG14">
        <f>STDEV(CG3:CG7,CG10:CG12)</f>
        <v>90843.034561518536</v>
      </c>
      <c r="CH14">
        <f>STDEV(CH3:CH7,CH10:CH12)</f>
        <v>100684.32999447962</v>
      </c>
      <c r="CM14" s="1" t="s">
        <v>270</v>
      </c>
      <c r="CN14" s="34">
        <f>AVERAGE(CN4:CN6,CN10:CN12)</f>
        <v>-171.94999999999951</v>
      </c>
    </row>
    <row r="15" spans="1:96" ht="14.85" customHeight="1" thickBot="1" x14ac:dyDescent="0.35">
      <c r="A15" s="14"/>
      <c r="C15" s="1">
        <f>C14/C13</f>
        <v>0.36854460093896713</v>
      </c>
      <c r="F15" s="122"/>
      <c r="G15" s="123"/>
      <c r="H15" s="131">
        <f>SUM(H4:H12)</f>
        <v>44.092904449671991</v>
      </c>
      <c r="I15" s="131">
        <f>SUM(I4:I12)</f>
        <v>25.204857926714979</v>
      </c>
      <c r="J15" s="131"/>
      <c r="K15" s="132"/>
      <c r="AL15" s="37"/>
      <c r="AN15" s="37">
        <f>AM14-AN14</f>
        <v>118660.54637028323</v>
      </c>
      <c r="AO15" s="37"/>
      <c r="BD15" s="25">
        <f>SUM(CR5,CR10)</f>
        <v>1.457284107743269</v>
      </c>
      <c r="BV15" s="1" t="s">
        <v>267</v>
      </c>
      <c r="BW15">
        <f>STDEV(BW4:BW6,BW10:BW12)</f>
        <v>437.16331807079456</v>
      </c>
      <c r="CM15" s="1" t="s">
        <v>267</v>
      </c>
      <c r="CN15">
        <f>STDEV(CN4:CN6,CN10:CN12)</f>
        <v>39818.847884262046</v>
      </c>
    </row>
    <row r="16" spans="1:96" ht="18.75" x14ac:dyDescent="0.3">
      <c r="A16" s="14"/>
      <c r="BD16" s="277" t="s">
        <v>400</v>
      </c>
      <c r="BF16" s="230" t="s">
        <v>343</v>
      </c>
      <c r="BI16" s="23">
        <f>BI13/V13</f>
        <v>16.477186311787072</v>
      </c>
      <c r="BJ16" s="23">
        <f>BJ13/V13</f>
        <v>20.423954372623573</v>
      </c>
      <c r="BK16" s="23">
        <f>BK13/V13</f>
        <v>9.9581749049429664</v>
      </c>
      <c r="BL16" s="23"/>
      <c r="BS16" s="290" t="s">
        <v>400</v>
      </c>
      <c r="BT16" s="277" t="s">
        <v>400</v>
      </c>
      <c r="CA16" s="230" t="s">
        <v>343</v>
      </c>
      <c r="CC16">
        <f>CC13/V13</f>
        <v>1151.2186311787073</v>
      </c>
      <c r="CD16" s="36">
        <f>CD13/V13</f>
        <v>1373.9410646387832</v>
      </c>
    </row>
    <row r="17" spans="1:82" ht="18.75" x14ac:dyDescent="0.3">
      <c r="A17" s="14"/>
      <c r="BD17" s="277" t="s">
        <v>432</v>
      </c>
      <c r="BF17" s="230" t="s">
        <v>344</v>
      </c>
      <c r="BI17" s="23">
        <v>16.451229999999999</v>
      </c>
      <c r="BJ17" s="23">
        <v>20.266999999999999</v>
      </c>
      <c r="BK17" s="23">
        <v>9.5515170000000005</v>
      </c>
      <c r="BL17" s="23"/>
      <c r="BS17" s="290" t="s">
        <v>432</v>
      </c>
      <c r="BT17" s="277" t="s">
        <v>432</v>
      </c>
      <c r="CA17" s="230" t="s">
        <v>344</v>
      </c>
      <c r="CC17">
        <v>1172.625</v>
      </c>
      <c r="CD17" s="36">
        <v>1382.9860000000001</v>
      </c>
    </row>
    <row r="18" spans="1:82" ht="18.75" x14ac:dyDescent="0.3">
      <c r="A18" s="14"/>
      <c r="BF18" t="s">
        <v>395</v>
      </c>
      <c r="CA18" t="s">
        <v>396</v>
      </c>
    </row>
    <row r="19" spans="1:82" ht="18.75" x14ac:dyDescent="0.3">
      <c r="A19" s="14"/>
    </row>
    <row r="20" spans="1:82" ht="18.75" x14ac:dyDescent="0.3">
      <c r="A20" s="14"/>
    </row>
    <row r="21" spans="1:82" ht="18.75" x14ac:dyDescent="0.3">
      <c r="A21" s="14"/>
    </row>
    <row r="22" spans="1:82" ht="18.75" x14ac:dyDescent="0.3">
      <c r="A22" s="14"/>
    </row>
    <row r="23" spans="1:82" ht="18.75" x14ac:dyDescent="0.3">
      <c r="A23" s="14"/>
    </row>
    <row r="24" spans="1:82" ht="18.75" x14ac:dyDescent="0.3">
      <c r="A24" s="14"/>
    </row>
    <row r="25" spans="1:82" ht="18.75" x14ac:dyDescent="0.3">
      <c r="A25" s="14"/>
    </row>
    <row r="26" spans="1:82" ht="18.75" x14ac:dyDescent="0.3">
      <c r="A26" s="14"/>
    </row>
    <row r="27" spans="1:82" ht="18.75" x14ac:dyDescent="0.3">
      <c r="A27" s="14"/>
    </row>
    <row r="28" spans="1:82" ht="18.75" x14ac:dyDescent="0.3">
      <c r="A28" s="14"/>
    </row>
    <row r="29" spans="1:82" ht="18.75" x14ac:dyDescent="0.3">
      <c r="A29" s="14"/>
    </row>
    <row r="30" spans="1:82" ht="18.75" x14ac:dyDescent="0.3">
      <c r="A30" s="14"/>
    </row>
    <row r="31" spans="1:82" ht="18.75" x14ac:dyDescent="0.3">
      <c r="A31" s="14"/>
    </row>
    <row r="32" spans="1:82" ht="18.75" x14ac:dyDescent="0.3">
      <c r="A32" s="14"/>
    </row>
    <row r="33" spans="1:1" ht="18.75" x14ac:dyDescent="0.3">
      <c r="A33" s="14"/>
    </row>
    <row r="34" spans="1:1" ht="18.75" x14ac:dyDescent="0.3">
      <c r="A34" s="14"/>
    </row>
    <row r="35" spans="1:1" ht="18.75" x14ac:dyDescent="0.3">
      <c r="A35" s="14"/>
    </row>
    <row r="36" spans="1:1" ht="18.75" x14ac:dyDescent="0.3">
      <c r="A36" s="14"/>
    </row>
    <row r="37" spans="1:1" ht="18.75" x14ac:dyDescent="0.3">
      <c r="A37" s="14"/>
    </row>
    <row r="38" spans="1:1" ht="18.75" x14ac:dyDescent="0.3">
      <c r="A38" s="14"/>
    </row>
    <row r="39" spans="1:1" ht="18.75" x14ac:dyDescent="0.3">
      <c r="A39" s="14"/>
    </row>
  </sheetData>
  <dataValidations count="1">
    <dataValidation type="list" showInputMessage="1" showErrorMessage="1" sqref="D1:E1">
      <formula1>$A$15:$A$39</formula1>
    </dataValidation>
  </dataValidations>
  <pageMargins left="0.75" right="0.75" top="1" bottom="1" header="0.5" footer="0.5"/>
  <pageSetup paperSize="9" orientation="portrait" r:id="rId1"/>
  <ignoredErrors>
    <ignoredError sqref="I15 C4:C1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9"/>
  <sheetViews>
    <sheetView zoomScaleNormal="100" workbookViewId="0">
      <pane ySplit="2" topLeftCell="A56" activePane="bottomLeft" state="frozen"/>
      <selection pane="bottomLeft" activeCell="AB72" sqref="AB72"/>
    </sheetView>
  </sheetViews>
  <sheetFormatPr defaultColWidth="8.7109375" defaultRowHeight="15" x14ac:dyDescent="0.25"/>
  <cols>
    <col min="1" max="1" width="43.7109375" customWidth="1"/>
    <col min="2" max="2" width="60.5703125" customWidth="1"/>
    <col min="3" max="3" width="11.7109375" style="1" customWidth="1"/>
    <col min="4" max="4" width="15.7109375" hidden="1" customWidth="1"/>
    <col min="5" max="5" width="17.5703125" hidden="1" customWidth="1"/>
    <col min="6" max="6" width="13.85546875" hidden="1" customWidth="1"/>
    <col min="7" max="7" width="12.85546875" hidden="1" customWidth="1"/>
    <col min="8" max="9" width="8.7109375" hidden="1" customWidth="1"/>
    <col min="10" max="10" width="12.7109375" hidden="1" customWidth="1"/>
    <col min="11" max="11" width="13.28515625" style="16" hidden="1" customWidth="1"/>
    <col min="12" max="12" width="16.42578125" hidden="1" customWidth="1"/>
    <col min="13" max="13" width="16.7109375" hidden="1" customWidth="1"/>
    <col min="14" max="14" width="19.7109375" hidden="1" customWidth="1"/>
    <col min="15" max="15" width="16.42578125" hidden="1" customWidth="1"/>
    <col min="16" max="16" width="11.42578125" hidden="1" customWidth="1"/>
    <col min="17" max="17" width="8.5703125" hidden="1" customWidth="1"/>
    <col min="18" max="18" width="15.28515625" hidden="1" customWidth="1"/>
    <col min="19" max="19" width="7.42578125" hidden="1" customWidth="1"/>
    <col min="20" max="20" width="15.28515625" hidden="1" customWidth="1"/>
    <col min="21" max="21" width="17.140625" hidden="1" customWidth="1"/>
    <col min="22" max="23" width="9.5703125" hidden="1" customWidth="1"/>
    <col min="24" max="24" width="8.7109375" hidden="1" customWidth="1"/>
    <col min="25" max="26" width="10.7109375" style="16" hidden="1" customWidth="1"/>
    <col min="27" max="27" width="15.140625" hidden="1" customWidth="1"/>
    <col min="28" max="28" width="8.5703125" style="218" bestFit="1" customWidth="1"/>
    <col min="29" max="29" width="8.28515625" style="218" hidden="1" customWidth="1"/>
    <col min="30" max="30" width="21" hidden="1" customWidth="1"/>
    <col min="31" max="31" width="11.140625" style="16" bestFit="1" customWidth="1"/>
    <col min="32" max="32" width="11.140625" style="16" customWidth="1"/>
    <col min="33" max="33" width="11.140625" hidden="1" customWidth="1"/>
    <col min="34" max="35" width="11.42578125" hidden="1" customWidth="1"/>
    <col min="36" max="36" width="11.7109375" style="16" hidden="1" customWidth="1"/>
    <col min="37" max="37" width="15.28515625" style="16" hidden="1" customWidth="1"/>
    <col min="38" max="38" width="14.5703125" style="16" hidden="1" customWidth="1"/>
    <col min="39" max="39" width="14.5703125" style="16" customWidth="1"/>
    <col min="40" max="40" width="11.140625" style="61" bestFit="1" customWidth="1"/>
    <col min="41" max="41" width="14.5703125" style="16" customWidth="1"/>
    <col min="42" max="42" width="11.140625" hidden="1" customWidth="1"/>
    <col min="43" max="45" width="14.7109375" hidden="1" customWidth="1"/>
    <col min="46" max="46" width="13.28515625" customWidth="1"/>
    <col min="47" max="47" width="8.7109375" hidden="1" customWidth="1"/>
    <col min="48" max="48" width="13.5703125" hidden="1" customWidth="1"/>
    <col min="49" max="51" width="15.7109375" style="16" hidden="1" customWidth="1"/>
    <col min="52" max="52" width="13.85546875" style="16" bestFit="1" customWidth="1"/>
    <col min="53" max="53" width="12.7109375" style="16" hidden="1" customWidth="1"/>
    <col min="54" max="54" width="10" hidden="1" customWidth="1"/>
    <col min="55" max="55" width="11.140625" hidden="1" customWidth="1"/>
    <col min="56" max="56" width="8.7109375" hidden="1" customWidth="1"/>
    <col min="57" max="57" width="16" customWidth="1"/>
    <col min="58" max="58" width="10" hidden="1" customWidth="1"/>
    <col min="59" max="59" width="17.42578125" hidden="1" customWidth="1"/>
    <col min="60" max="60" width="6.42578125" hidden="1" customWidth="1"/>
    <col min="61" max="61" width="8.7109375" hidden="1" customWidth="1"/>
    <col min="62" max="62" width="11.5703125" bestFit="1" customWidth="1"/>
    <col min="63" max="63" width="16.28515625" hidden="1" customWidth="1"/>
    <col min="64" max="65" width="11.85546875" hidden="1" customWidth="1"/>
    <col min="66" max="66" width="9.5703125" bestFit="1" customWidth="1"/>
    <col min="67" max="67" width="12.28515625" bestFit="1" customWidth="1"/>
    <col min="68" max="68" width="14" hidden="1" customWidth="1"/>
    <col min="69" max="69" width="12" hidden="1" customWidth="1"/>
    <col min="70" max="70" width="18" hidden="1" customWidth="1"/>
    <col min="71" max="71" width="12.7109375" hidden="1" customWidth="1"/>
    <col min="72" max="72" width="18.7109375" hidden="1" customWidth="1"/>
    <col min="73" max="73" width="15.7109375" hidden="1" customWidth="1"/>
    <col min="74" max="74" width="12.28515625" hidden="1" customWidth="1"/>
    <col min="75" max="75" width="13.140625" bestFit="1" customWidth="1"/>
    <col min="76" max="76" width="11.28515625" bestFit="1" customWidth="1"/>
    <col min="77" max="77" width="13.5703125" hidden="1" customWidth="1"/>
    <col min="78" max="78" width="12.7109375" hidden="1" customWidth="1"/>
    <col min="79" max="79" width="10" hidden="1" customWidth="1"/>
    <col min="80" max="80" width="21.42578125" hidden="1" customWidth="1"/>
    <col min="81" max="81" width="18.28515625" hidden="1" customWidth="1"/>
    <col min="82" max="82" width="8.42578125" hidden="1" customWidth="1"/>
    <col min="83" max="83" width="11.140625" hidden="1" customWidth="1"/>
    <col min="84" max="84" width="11.85546875" hidden="1" customWidth="1"/>
    <col min="85" max="85" width="10.140625" hidden="1" customWidth="1"/>
    <col min="86" max="86" width="11.5703125" style="16" hidden="1" customWidth="1"/>
    <col min="87" max="87" width="9.85546875" style="16" hidden="1" customWidth="1"/>
    <col min="88" max="88" width="10.42578125" bestFit="1" customWidth="1"/>
    <col min="89" max="89" width="10.42578125" hidden="1" customWidth="1"/>
    <col min="90" max="90" width="12.85546875" hidden="1" customWidth="1"/>
    <col min="91" max="91" width="10.42578125" customWidth="1"/>
    <col min="92" max="92" width="13.7109375" hidden="1" customWidth="1"/>
    <col min="93" max="93" width="10.42578125" customWidth="1"/>
    <col min="94" max="94" width="11.7109375" hidden="1" customWidth="1"/>
    <col min="95" max="95" width="8.28515625" bestFit="1" customWidth="1"/>
    <col min="96" max="96" width="11.140625" hidden="1" customWidth="1"/>
    <col min="97" max="97" width="9.85546875" bestFit="1" customWidth="1"/>
    <col min="98" max="98" width="7.7109375" style="16" hidden="1" customWidth="1"/>
    <col min="99" max="99" width="7.28515625" hidden="1" customWidth="1"/>
    <col min="100" max="100" width="8" hidden="1" customWidth="1"/>
    <col min="101" max="101" width="10.5703125" hidden="1" customWidth="1"/>
    <col min="102" max="102" width="6.28515625" hidden="1" customWidth="1"/>
    <col min="103" max="103" width="12.5703125" hidden="1" customWidth="1"/>
    <col min="104" max="104" width="9.5703125" hidden="1" customWidth="1"/>
    <col min="105" max="105" width="15.85546875" hidden="1" customWidth="1"/>
    <col min="106" max="106" width="0" hidden="1" customWidth="1"/>
    <col min="107" max="107" width="8.5703125" bestFit="1" customWidth="1"/>
    <col min="108" max="108" width="11.5703125" hidden="1" customWidth="1"/>
    <col min="109" max="109" width="13.5703125" hidden="1" customWidth="1"/>
    <col min="110" max="110" width="9.85546875" bestFit="1" customWidth="1"/>
    <col min="111" max="111" width="14.28515625" hidden="1" customWidth="1"/>
    <col min="112" max="112" width="11" customWidth="1"/>
    <col min="113" max="113" width="8.85546875" bestFit="1" customWidth="1"/>
    <col min="114" max="114" width="12.28515625" hidden="1" customWidth="1"/>
    <col min="115" max="115" width="8.140625" hidden="1" customWidth="1"/>
    <col min="116" max="116" width="14.85546875" hidden="1" customWidth="1"/>
    <col min="117" max="117" width="11.85546875" hidden="1" customWidth="1"/>
    <col min="118" max="118" width="15.5703125" hidden="1" customWidth="1"/>
    <col min="119" max="119" width="6.85546875" hidden="1" customWidth="1"/>
    <col min="120" max="120" width="13.85546875" hidden="1" customWidth="1"/>
    <col min="121" max="121" width="11.7109375" hidden="1" customWidth="1"/>
    <col min="122" max="122" width="10.42578125" bestFit="1" customWidth="1"/>
  </cols>
  <sheetData>
    <row r="1" spans="1:122" ht="45" x14ac:dyDescent="0.25">
      <c r="C1" s="2" t="s">
        <v>142</v>
      </c>
      <c r="D1" s="3" t="s">
        <v>5</v>
      </c>
      <c r="E1" s="4" t="s">
        <v>10</v>
      </c>
      <c r="F1" s="4" t="s">
        <v>11</v>
      </c>
      <c r="G1" s="4" t="s">
        <v>12</v>
      </c>
      <c r="H1" s="4" t="s">
        <v>26</v>
      </c>
      <c r="I1" s="4" t="s">
        <v>27</v>
      </c>
      <c r="J1" s="4" t="s">
        <v>28</v>
      </c>
      <c r="K1" s="22" t="s">
        <v>148</v>
      </c>
      <c r="L1" s="22" t="s">
        <v>148</v>
      </c>
      <c r="M1" s="22"/>
      <c r="N1" s="22"/>
      <c r="O1" s="21" t="s">
        <v>149</v>
      </c>
      <c r="P1" s="21"/>
      <c r="Q1" s="21"/>
      <c r="R1" s="21" t="s">
        <v>150</v>
      </c>
      <c r="S1" s="19"/>
      <c r="T1" s="43" t="s">
        <v>150</v>
      </c>
      <c r="U1" s="21" t="s">
        <v>151</v>
      </c>
      <c r="V1" s="21"/>
      <c r="W1" s="21"/>
      <c r="X1" s="21"/>
      <c r="AA1" s="117"/>
      <c r="AD1" s="117"/>
      <c r="AT1" s="16"/>
      <c r="AU1" s="64">
        <v>0.1467</v>
      </c>
      <c r="BB1" s="213" t="s">
        <v>301</v>
      </c>
      <c r="BE1" s="213"/>
    </row>
    <row r="2" spans="1:122" x14ac:dyDescent="0.25">
      <c r="A2" s="5" t="s">
        <v>0</v>
      </c>
      <c r="B2" s="5" t="s">
        <v>1</v>
      </c>
      <c r="C2" s="6" t="s">
        <v>330</v>
      </c>
      <c r="K2" s="89" t="s">
        <v>188</v>
      </c>
      <c r="L2" s="89" t="s">
        <v>188</v>
      </c>
      <c r="M2" s="89" t="s">
        <v>196</v>
      </c>
      <c r="N2" s="91" t="s">
        <v>197</v>
      </c>
      <c r="O2" s="1" t="s">
        <v>195</v>
      </c>
      <c r="P2" s="17" t="s">
        <v>153</v>
      </c>
      <c r="Q2" s="17" t="s">
        <v>157</v>
      </c>
      <c r="R2" s="17" t="s">
        <v>147</v>
      </c>
      <c r="S2" s="18" t="s">
        <v>154</v>
      </c>
      <c r="T2" s="18" t="s">
        <v>147</v>
      </c>
      <c r="U2" s="17" t="s">
        <v>146</v>
      </c>
      <c r="V2" s="17" t="s">
        <v>153</v>
      </c>
      <c r="W2" s="17"/>
      <c r="X2" s="17" t="s">
        <v>154</v>
      </c>
      <c r="Y2" s="18" t="s">
        <v>152</v>
      </c>
      <c r="Z2" s="61" t="s">
        <v>165</v>
      </c>
      <c r="AA2" s="1" t="s">
        <v>170</v>
      </c>
      <c r="AB2" s="218" t="s">
        <v>329</v>
      </c>
      <c r="AC2" s="218" t="s">
        <v>328</v>
      </c>
      <c r="AD2" s="1" t="s">
        <v>243</v>
      </c>
      <c r="AE2" s="301" t="s">
        <v>431</v>
      </c>
      <c r="AF2" s="301" t="s">
        <v>393</v>
      </c>
      <c r="AG2" s="1" t="s">
        <v>177</v>
      </c>
      <c r="AH2" s="1" t="s">
        <v>393</v>
      </c>
      <c r="AI2" s="1" t="s">
        <v>429</v>
      </c>
      <c r="AJ2" s="61" t="s">
        <v>430</v>
      </c>
      <c r="AK2" s="61" t="s">
        <v>442</v>
      </c>
      <c r="AL2" s="61" t="s">
        <v>445</v>
      </c>
      <c r="AM2" s="61" t="s">
        <v>470</v>
      </c>
      <c r="AN2" s="61" t="s">
        <v>469</v>
      </c>
      <c r="AO2" s="61" t="s">
        <v>466</v>
      </c>
      <c r="AP2" s="1" t="s">
        <v>391</v>
      </c>
      <c r="AQ2" s="1" t="s">
        <v>427</v>
      </c>
      <c r="AR2" s="1" t="s">
        <v>441</v>
      </c>
      <c r="AS2" s="1" t="s">
        <v>444</v>
      </c>
      <c r="AT2" s="67"/>
      <c r="AU2" s="16">
        <v>0.62980000000000003</v>
      </c>
      <c r="AV2" s="39" t="s">
        <v>179</v>
      </c>
      <c r="AW2" s="61" t="s">
        <v>426</v>
      </c>
      <c r="AX2" s="61" t="s">
        <v>440</v>
      </c>
      <c r="AY2" s="61" t="s">
        <v>443</v>
      </c>
      <c r="AZ2" s="61" t="s">
        <v>465</v>
      </c>
      <c r="BA2" s="61" t="s">
        <v>390</v>
      </c>
      <c r="BB2">
        <v>14.042999999999999</v>
      </c>
      <c r="BE2" s="26"/>
      <c r="BF2" s="1" t="s">
        <v>225</v>
      </c>
      <c r="BG2" s="1" t="s">
        <v>245</v>
      </c>
      <c r="BH2" s="1" t="s">
        <v>238</v>
      </c>
      <c r="BI2" s="1" t="s">
        <v>226</v>
      </c>
      <c r="BJ2" s="1" t="s">
        <v>474</v>
      </c>
      <c r="BK2" s="1" t="s">
        <v>239</v>
      </c>
      <c r="BL2" s="1" t="s">
        <v>227</v>
      </c>
      <c r="BM2" s="1" t="s">
        <v>409</v>
      </c>
      <c r="BN2" s="1" t="s">
        <v>455</v>
      </c>
      <c r="BO2" s="1" t="s">
        <v>456</v>
      </c>
      <c r="BP2" s="1" t="s">
        <v>413</v>
      </c>
      <c r="BQ2" s="1" t="s">
        <v>401</v>
      </c>
      <c r="BR2" s="1" t="s">
        <v>316</v>
      </c>
      <c r="BS2" s="1" t="s">
        <v>402</v>
      </c>
      <c r="BT2" s="1" t="s">
        <v>318</v>
      </c>
      <c r="BU2" s="1" t="s">
        <v>240</v>
      </c>
      <c r="BV2" s="1" t="s">
        <v>228</v>
      </c>
      <c r="BW2" s="1" t="s">
        <v>462</v>
      </c>
      <c r="BX2" s="1" t="s">
        <v>463</v>
      </c>
      <c r="BY2" s="1" t="s">
        <v>415</v>
      </c>
      <c r="BZ2" s="1" t="s">
        <v>414</v>
      </c>
      <c r="CA2" s="1" t="s">
        <v>403</v>
      </c>
      <c r="CB2" s="1" t="s">
        <v>319</v>
      </c>
      <c r="CC2" s="1" t="s">
        <v>241</v>
      </c>
      <c r="CD2" s="1" t="s">
        <v>233</v>
      </c>
      <c r="CE2" s="1" t="s">
        <v>404</v>
      </c>
      <c r="CF2" s="1" t="s">
        <v>405</v>
      </c>
      <c r="CG2" s="1" t="s">
        <v>406</v>
      </c>
      <c r="CH2" s="61" t="s">
        <v>407</v>
      </c>
      <c r="CI2" s="61" t="s">
        <v>408</v>
      </c>
      <c r="CJ2" s="1" t="s">
        <v>320</v>
      </c>
      <c r="CK2" s="1" t="s">
        <v>433</v>
      </c>
      <c r="CL2" s="1" t="s">
        <v>447</v>
      </c>
      <c r="CM2" s="1" t="s">
        <v>322</v>
      </c>
      <c r="CN2" s="1" t="s">
        <v>448</v>
      </c>
      <c r="CO2" s="1" t="s">
        <v>321</v>
      </c>
      <c r="CP2" s="1" t="s">
        <v>449</v>
      </c>
      <c r="CQ2" s="1" t="s">
        <v>475</v>
      </c>
      <c r="CR2" s="1" t="s">
        <v>450</v>
      </c>
      <c r="CS2" s="1" t="s">
        <v>476</v>
      </c>
      <c r="CT2" s="61" t="s">
        <v>323</v>
      </c>
      <c r="CU2" s="1" t="s">
        <v>234</v>
      </c>
      <c r="CV2" s="1" t="s">
        <v>236</v>
      </c>
      <c r="CW2" s="1" t="s">
        <v>235</v>
      </c>
      <c r="CX2" s="1" t="s">
        <v>237</v>
      </c>
      <c r="CY2" s="1" t="s">
        <v>285</v>
      </c>
      <c r="CZ2" s="1" t="s">
        <v>229</v>
      </c>
      <c r="DA2" s="1" t="s">
        <v>279</v>
      </c>
      <c r="DB2" s="1" t="s">
        <v>230</v>
      </c>
      <c r="DC2" s="1" t="s">
        <v>342</v>
      </c>
      <c r="DD2" s="1" t="s">
        <v>410</v>
      </c>
      <c r="DE2" s="1" t="s">
        <v>451</v>
      </c>
      <c r="DF2" s="1" t="s">
        <v>324</v>
      </c>
      <c r="DG2" s="1" t="s">
        <v>452</v>
      </c>
      <c r="DH2" s="1" t="s">
        <v>325</v>
      </c>
      <c r="DI2" s="1" t="s">
        <v>326</v>
      </c>
      <c r="DJ2" s="1" t="s">
        <v>453</v>
      </c>
      <c r="DK2" s="1" t="s">
        <v>327</v>
      </c>
      <c r="DL2" s="1" t="s">
        <v>286</v>
      </c>
      <c r="DM2" s="1" t="s">
        <v>231</v>
      </c>
      <c r="DN2" s="1" t="s">
        <v>287</v>
      </c>
      <c r="DO2" s="1" t="s">
        <v>232</v>
      </c>
      <c r="DP2" s="1" t="s">
        <v>288</v>
      </c>
      <c r="DQ2" s="1" t="s">
        <v>446</v>
      </c>
      <c r="DR2" s="1" t="s">
        <v>473</v>
      </c>
    </row>
    <row r="3" spans="1:122" x14ac:dyDescent="0.25">
      <c r="A3" s="7" t="s">
        <v>3</v>
      </c>
      <c r="B3" s="7" t="s">
        <v>4</v>
      </c>
      <c r="C3" s="1">
        <f t="shared" ref="C3:C32" si="0">SUM(D3:J3)</f>
        <v>124</v>
      </c>
      <c r="D3" s="8">
        <v>10</v>
      </c>
      <c r="E3" s="8">
        <v>0</v>
      </c>
      <c r="F3" s="8">
        <v>105</v>
      </c>
      <c r="G3" s="8">
        <v>6</v>
      </c>
      <c r="H3" s="8">
        <v>3</v>
      </c>
      <c r="I3">
        <v>0</v>
      </c>
      <c r="J3">
        <v>0</v>
      </c>
      <c r="L3">
        <v>22</v>
      </c>
      <c r="M3" s="23">
        <f t="shared" ref="M3:M32" si="1">L3/C3</f>
        <v>0.17741935483870969</v>
      </c>
      <c r="N3" s="23">
        <f>M3/M75</f>
        <v>2.7532145006386932E-3</v>
      </c>
      <c r="O3">
        <v>100</v>
      </c>
      <c r="P3" s="23">
        <f t="shared" ref="P3:P32" si="2">O3/C3</f>
        <v>0.80645161290322576</v>
      </c>
      <c r="Q3" s="40">
        <f>P3/P75</f>
        <v>5.3968767463385692E-2</v>
      </c>
      <c r="R3" s="23">
        <f t="shared" ref="R3:R32" si="3">(0.75*M3)+(0.25*P3)</f>
        <v>0.33467741935483869</v>
      </c>
      <c r="S3" s="40">
        <f>R3/R75</f>
        <v>6.4279042350662069E-3</v>
      </c>
      <c r="T3" s="40">
        <f t="shared" ref="T3:T32" si="4">(0.75*N3)+(0.25*Q3)</f>
        <v>1.5557102741325442E-2</v>
      </c>
      <c r="U3" s="34">
        <v>42000</v>
      </c>
      <c r="V3" s="34">
        <f t="shared" ref="V3:V31" si="5">U3/C3</f>
        <v>338.70967741935482</v>
      </c>
      <c r="W3" s="34"/>
      <c r="X3" s="40">
        <f>V3/V75</f>
        <v>4.3495078379074889E-3</v>
      </c>
      <c r="Y3" s="47">
        <f t="shared" ref="Y3:Y32" si="6">(0.6*T3)+(0.4*X3)</f>
        <v>1.1074064779958259E-2</v>
      </c>
      <c r="Z3" s="47">
        <v>-0.94</v>
      </c>
      <c r="AA3" s="135">
        <v>-1.0999999999999999E-2</v>
      </c>
      <c r="AB3" s="218">
        <v>137</v>
      </c>
      <c r="AC3" s="226">
        <v>-0.51871188406016011</v>
      </c>
      <c r="AD3" s="135">
        <f t="shared" ref="AD3:AD14" si="7">(0.6*CY3)+(0.4*DP3)</f>
        <v>-1.3409533543400437E-2</v>
      </c>
      <c r="AE3" s="298"/>
      <c r="AF3" s="298"/>
      <c r="AG3" s="40"/>
      <c r="AH3" s="67"/>
      <c r="AI3" s="68"/>
      <c r="AJ3" s="68"/>
      <c r="AK3" s="68"/>
      <c r="AL3" s="68"/>
      <c r="AM3" s="298"/>
      <c r="AN3" s="68"/>
      <c r="AO3" s="68"/>
      <c r="AP3" s="23"/>
      <c r="AQ3" s="23"/>
      <c r="AR3" s="23"/>
      <c r="AS3" s="23"/>
      <c r="AT3" s="16"/>
      <c r="AU3" s="16"/>
      <c r="AV3" s="78">
        <f>AT2/AG73</f>
        <v>0</v>
      </c>
      <c r="AW3" s="134"/>
      <c r="AX3" s="134"/>
      <c r="AY3" s="134"/>
      <c r="AZ3" s="134"/>
      <c r="BA3" s="236"/>
      <c r="BF3">
        <v>109</v>
      </c>
      <c r="BG3">
        <v>109</v>
      </c>
      <c r="BH3">
        <f t="shared" ref="BH3:BH14" si="8">BF3-BG3</f>
        <v>0</v>
      </c>
      <c r="BI3">
        <v>281</v>
      </c>
      <c r="BJ3">
        <v>156</v>
      </c>
      <c r="BK3" s="117">
        <v>282.68986000000001</v>
      </c>
      <c r="BL3">
        <f>BF3-BI3</f>
        <v>-172</v>
      </c>
      <c r="BM3">
        <v>170</v>
      </c>
      <c r="BN3">
        <v>113</v>
      </c>
      <c r="BO3" s="117">
        <f>AB3*BN$77</f>
        <v>298.05583000000001</v>
      </c>
      <c r="BP3" s="34">
        <f t="shared" ref="BP3:BP34" si="9">AB3*BM$77</f>
        <v>584.04675499999996</v>
      </c>
      <c r="BQ3" s="117">
        <f t="shared" ref="BQ3:BQ34" si="10">AB3*BJ$74</f>
        <v>448.37264833574534</v>
      </c>
      <c r="BR3" s="117">
        <v>429.64497</v>
      </c>
      <c r="BS3" s="117">
        <f>BJ3-BQ3</f>
        <v>-292.37264833574534</v>
      </c>
      <c r="BT3" s="117">
        <f>BJ3-BR3</f>
        <v>-273.64497</v>
      </c>
      <c r="BU3" s="117">
        <f>BG3-BK3</f>
        <v>-173.68986000000001</v>
      </c>
      <c r="BV3" s="23">
        <v>-1.6080000000000001</v>
      </c>
      <c r="BW3" s="117">
        <f>BN3-BO3</f>
        <v>-185.05583000000001</v>
      </c>
      <c r="BX3" s="23">
        <f>(BW3-BW$73)/BW$74</f>
        <v>-1.7868093963823426</v>
      </c>
      <c r="BY3" s="34">
        <f>BM3-BP3</f>
        <v>-414.04675499999996</v>
      </c>
      <c r="BZ3" s="23">
        <f t="shared" ref="BZ3:BZ11" si="11">(BY3-BY$73)/BY$74</f>
        <v>-2.2396365263795595</v>
      </c>
      <c r="CA3" s="23">
        <f t="shared" ref="CA3:CA34" si="12">(BS3-BS$73)/BS$74</f>
        <v>-2.0017873912450064</v>
      </c>
      <c r="CB3" s="23">
        <f t="shared" ref="CB3:CB25" si="13">(BU3-BT$73)/BT$74</f>
        <v>-1.2309558571402348</v>
      </c>
      <c r="CC3" s="23">
        <f>(BU3-BU$74)/BU$75</f>
        <v>-1.613457100286259</v>
      </c>
      <c r="CD3" s="117">
        <v>204</v>
      </c>
      <c r="CE3" s="117">
        <f t="shared" ref="CE3:CE34" si="14">AB3*BJ$77</f>
        <v>429.65433099999996</v>
      </c>
      <c r="CF3" s="117">
        <f>BJ3-CE3</f>
        <v>-273.65433099999996</v>
      </c>
      <c r="CG3" s="23">
        <f t="shared" ref="CG3:CG25" si="15">(CF3-CF$73)/CF$74</f>
        <v>-1.918106818146271</v>
      </c>
      <c r="CH3" s="26">
        <f t="shared" ref="CH3:CH34" si="16">CF3/AB3</f>
        <v>-1.9974768686131383</v>
      </c>
      <c r="CI3" s="23">
        <f t="shared" ref="CI3:CI34" si="17">(CH3-CH$73)/CH$74</f>
        <v>-0.71432505585345574</v>
      </c>
      <c r="CJ3" s="117">
        <v>145</v>
      </c>
      <c r="CK3" s="117">
        <v>259</v>
      </c>
      <c r="CL3" s="117">
        <f t="shared" ref="CL3:CL34" si="18">AB3*CK$76</f>
        <v>79.645128100000008</v>
      </c>
      <c r="CM3" s="117">
        <f t="shared" ref="CM3:CM34" si="19">AB3*CJ$74</f>
        <v>59.280752532561507</v>
      </c>
      <c r="CN3" s="117">
        <f>CK3-CL3</f>
        <v>179.35487189999998</v>
      </c>
      <c r="CO3" s="117">
        <f t="shared" ref="CO3:CO34" si="20">CJ3-CM3</f>
        <v>85.719247467438493</v>
      </c>
      <c r="CP3" s="23">
        <f>(CN3-CN$73)/CN$74</f>
        <v>5.5779000737463384</v>
      </c>
      <c r="CQ3" s="23">
        <f t="shared" ref="CQ3:CQ25" si="21">(CO3-CO$73)/CO$74</f>
        <v>4.4682614819384323</v>
      </c>
      <c r="CR3" s="23">
        <f>(0.75*BZ3)+(0.25*CP3)</f>
        <v>-0.28525237634808498</v>
      </c>
      <c r="CS3" s="23">
        <f>(0.75*BX3)+(0.25*CQ3)</f>
        <v>-0.22304167680214881</v>
      </c>
      <c r="CT3" s="26">
        <f t="shared" ref="CT3:CT34" si="22">(0.75*CA3)+(0.25*CQ3)</f>
        <v>-0.3842751729491467</v>
      </c>
      <c r="CU3" s="117">
        <v>40</v>
      </c>
      <c r="CV3" s="117">
        <f>CD3-CU3</f>
        <v>164</v>
      </c>
      <c r="CW3" s="23">
        <v>6.37</v>
      </c>
      <c r="CX3" s="23">
        <v>0.38600000000000001</v>
      </c>
      <c r="CY3" s="23">
        <f>(0.75*CC3)+(0.25*CW3)</f>
        <v>0.38240717478530573</v>
      </c>
      <c r="CZ3" s="34">
        <v>126764</v>
      </c>
      <c r="DA3" s="75">
        <v>126764.36</v>
      </c>
      <c r="DB3" s="34">
        <v>241033</v>
      </c>
      <c r="DC3" s="34">
        <v>102764</v>
      </c>
      <c r="DD3" s="34">
        <v>144765</v>
      </c>
      <c r="DE3" s="34">
        <f t="shared" ref="DE3:DE34" si="23">AB3*DD$76</f>
        <v>338060.78900000005</v>
      </c>
      <c r="DF3" s="34">
        <f t="shared" ref="DF3:DF34" si="24">AB3*DC$74</f>
        <v>257933.72648335746</v>
      </c>
      <c r="DG3" s="34">
        <f>DD3-DE3</f>
        <v>-193295.78900000005</v>
      </c>
      <c r="DH3" s="34">
        <f>DC3-DF3</f>
        <v>-155169.72648335746</v>
      </c>
      <c r="DI3" s="36">
        <f t="shared" ref="DI3:DI25" si="25">(DH3-DH$73)/DH$74</f>
        <v>-0.73056675756447509</v>
      </c>
      <c r="DJ3" s="36">
        <f>(DG3-DG$73)/DG$74</f>
        <v>-0.80387634249615447</v>
      </c>
      <c r="DK3" s="240">
        <f>(0.6*CT3)+(0.4*DI3)</f>
        <v>-0.52279180679527815</v>
      </c>
      <c r="DL3" s="34">
        <v>228564.07</v>
      </c>
      <c r="DM3">
        <f>CZ3-DB3</f>
        <v>-114269</v>
      </c>
      <c r="DN3" s="34">
        <f>DA3-DL3</f>
        <v>-101799.71</v>
      </c>
      <c r="DO3" s="23">
        <v>-0.60799999999999998</v>
      </c>
      <c r="DP3" s="23">
        <f>(DN3-DN$74)/DN$75</f>
        <v>-0.60713459603645958</v>
      </c>
      <c r="DQ3" s="23">
        <f>(0.6*CR3)+(0.4*DJ3)</f>
        <v>-0.49270196280731282</v>
      </c>
      <c r="DR3" s="23">
        <f>(0.6*CS3)+(0.4*DI3)</f>
        <v>-0.42605170910707935</v>
      </c>
    </row>
    <row r="4" spans="1:122" x14ac:dyDescent="0.25">
      <c r="A4" s="9" t="s">
        <v>3</v>
      </c>
      <c r="B4" s="9" t="s">
        <v>30</v>
      </c>
      <c r="C4" s="1">
        <f t="shared" si="0"/>
        <v>143</v>
      </c>
      <c r="D4" s="8">
        <v>131</v>
      </c>
      <c r="E4" s="8">
        <v>12</v>
      </c>
      <c r="F4" s="8">
        <v>0</v>
      </c>
      <c r="G4" s="8">
        <v>0</v>
      </c>
      <c r="H4" s="8">
        <v>0</v>
      </c>
      <c r="I4">
        <v>0</v>
      </c>
      <c r="J4">
        <v>0</v>
      </c>
      <c r="L4">
        <v>45.5</v>
      </c>
      <c r="M4" s="23">
        <f t="shared" si="1"/>
        <v>0.31818181818181818</v>
      </c>
      <c r="N4" s="23">
        <f>M4/M75</f>
        <v>4.9375830300710443E-3</v>
      </c>
      <c r="O4">
        <v>21.5</v>
      </c>
      <c r="P4" s="23">
        <f t="shared" si="2"/>
        <v>0.15034965034965034</v>
      </c>
      <c r="Q4" s="40">
        <f>P4/P75</f>
        <v>1.0061589794222815E-2</v>
      </c>
      <c r="R4" s="23">
        <f t="shared" si="3"/>
        <v>0.27622377622377625</v>
      </c>
      <c r="S4" s="40">
        <f>R4/R75</f>
        <v>5.3052278950803415E-3</v>
      </c>
      <c r="T4" s="40">
        <f t="shared" si="4"/>
        <v>6.2185847211089868E-3</v>
      </c>
      <c r="U4" s="34">
        <v>0</v>
      </c>
      <c r="V4" s="34">
        <f t="shared" si="5"/>
        <v>0</v>
      </c>
      <c r="W4" s="34"/>
      <c r="X4" s="40">
        <f>V4/V75</f>
        <v>0</v>
      </c>
      <c r="Y4" s="47">
        <f t="shared" si="6"/>
        <v>3.7311508326653918E-3</v>
      </c>
      <c r="Z4" s="47">
        <v>-1.3959999999999999</v>
      </c>
      <c r="AA4" s="135">
        <v>-1.6930000000000001</v>
      </c>
      <c r="AB4" s="218">
        <v>131</v>
      </c>
      <c r="AC4" s="226">
        <v>-1.8900184001975542</v>
      </c>
      <c r="AD4" s="135">
        <f t="shared" si="7"/>
        <v>-1.731354042193753</v>
      </c>
      <c r="AE4" s="298"/>
      <c r="AF4" s="298"/>
      <c r="AG4" s="40"/>
      <c r="AH4" s="40"/>
      <c r="AI4" s="56"/>
      <c r="AJ4" s="80"/>
      <c r="AK4" s="80"/>
      <c r="AL4" s="68"/>
      <c r="AM4" s="298"/>
      <c r="AN4" s="68"/>
      <c r="AO4" s="68"/>
      <c r="AP4" s="23"/>
      <c r="AQ4" s="23"/>
      <c r="AR4" s="23"/>
      <c r="AS4" s="23"/>
      <c r="AT4" s="81"/>
      <c r="AU4">
        <v>872</v>
      </c>
      <c r="AV4" s="1" t="s">
        <v>178</v>
      </c>
      <c r="AW4" s="61"/>
      <c r="AX4" s="61"/>
      <c r="AY4" s="61"/>
      <c r="AZ4" s="61"/>
      <c r="BA4" s="61"/>
      <c r="BE4" s="270"/>
      <c r="BF4">
        <v>98</v>
      </c>
      <c r="BG4">
        <v>98</v>
      </c>
      <c r="BH4">
        <f t="shared" si="8"/>
        <v>0</v>
      </c>
      <c r="BI4">
        <v>324</v>
      </c>
      <c r="BJ4">
        <v>63</v>
      </c>
      <c r="BK4" s="117">
        <v>326.00524000000001</v>
      </c>
      <c r="BL4">
        <f>BF4-BI4</f>
        <v>-226</v>
      </c>
      <c r="BM4">
        <v>111</v>
      </c>
      <c r="BN4">
        <v>48</v>
      </c>
      <c r="BO4" s="117">
        <f t="shared" ref="BO4:BO67" si="26">AB4*BN$77</f>
        <v>285.00229000000002</v>
      </c>
      <c r="BP4" s="34">
        <f t="shared" si="9"/>
        <v>558.46806500000002</v>
      </c>
      <c r="BQ4" s="117">
        <f t="shared" si="10"/>
        <v>428.73589001447181</v>
      </c>
      <c r="BR4" s="117">
        <v>410.82839999999999</v>
      </c>
      <c r="BS4" s="117">
        <f t="shared" ref="BS4:BS13" si="27">BJ4-BQ4</f>
        <v>-365.73589001447181</v>
      </c>
      <c r="BT4" s="117">
        <f t="shared" ref="BT4:BT13" si="28">BJ4-BR4</f>
        <v>-347.82839999999999</v>
      </c>
      <c r="BU4" s="117">
        <f t="shared" ref="BU4:BU24" si="29">BG4-BK4</f>
        <v>-228.00524000000001</v>
      </c>
      <c r="BV4" s="23">
        <v>-2.0910000000000002</v>
      </c>
      <c r="BW4" s="117">
        <f t="shared" ref="BW4:BW67" si="30">BN4-BO4</f>
        <v>-237.00229000000002</v>
      </c>
      <c r="BX4" s="23">
        <f t="shared" ref="BX4:BX67" si="31">(BW4-BW$73)/BW$74</f>
        <v>-2.2800530062601316</v>
      </c>
      <c r="BY4" s="34">
        <f t="shared" ref="BY4:BY67" si="32">BM4-BP4</f>
        <v>-447.46806500000002</v>
      </c>
      <c r="BZ4" s="23">
        <f t="shared" si="11"/>
        <v>-2.419939586232088</v>
      </c>
      <c r="CA4" s="23">
        <f t="shared" si="12"/>
        <v>-2.5040833926298256</v>
      </c>
      <c r="CB4" s="23">
        <f t="shared" si="13"/>
        <v>-1.6043031064531068</v>
      </c>
      <c r="CC4" s="23">
        <f>(BU4-BU$74)/BU$75</f>
        <v>-2.1059931008856783</v>
      </c>
      <c r="CD4" s="117">
        <v>23</v>
      </c>
      <c r="CE4" s="117">
        <f t="shared" si="14"/>
        <v>410.83735299999995</v>
      </c>
      <c r="CF4" s="117">
        <f t="shared" ref="CF4:CF63" si="33">BJ4-CE4</f>
        <v>-347.83735299999995</v>
      </c>
      <c r="CG4" s="23">
        <f t="shared" si="15"/>
        <v>-2.4280202187347326</v>
      </c>
      <c r="CH4" s="26">
        <f t="shared" si="16"/>
        <v>-2.6552469694656486</v>
      </c>
      <c r="CI4" s="23">
        <f t="shared" si="17"/>
        <v>-0.93763239095392681</v>
      </c>
      <c r="CJ4" s="117">
        <v>18</v>
      </c>
      <c r="CK4" s="117">
        <v>32</v>
      </c>
      <c r="CL4" s="117">
        <f t="shared" si="18"/>
        <v>76.157020299999999</v>
      </c>
      <c r="CM4" s="117">
        <f t="shared" si="19"/>
        <v>56.68451519536903</v>
      </c>
      <c r="CN4" s="117">
        <f t="shared" ref="CN4:CN67" si="34">CK4-CL4</f>
        <v>-44.157020299999999</v>
      </c>
      <c r="CO4" s="117">
        <f t="shared" si="20"/>
        <v>-38.68451519536903</v>
      </c>
      <c r="CP4" s="23">
        <f t="shared" ref="CP4:CP67" si="35">(CN4-CN$73)/CN$74</f>
        <v>-1.4830251960979373</v>
      </c>
      <c r="CQ4" s="23">
        <f t="shared" si="21"/>
        <v>-2.0164961114548934</v>
      </c>
      <c r="CR4" s="23">
        <f t="shared" ref="CR4:CR67" si="36">(0.75*BZ4)+(0.25*CP4)</f>
        <v>-2.1857109886985504</v>
      </c>
      <c r="CS4" s="23">
        <f t="shared" ref="CS4:CS67" si="37">(0.75*BX4)+(0.25*CQ4)</f>
        <v>-2.2141637825588223</v>
      </c>
      <c r="CT4" s="26">
        <f t="shared" si="22"/>
        <v>-2.3821865723360927</v>
      </c>
      <c r="CU4" s="117">
        <v>46</v>
      </c>
      <c r="CV4" s="117">
        <f>CD4-CU4</f>
        <v>-23</v>
      </c>
      <c r="CW4" s="23">
        <v>-1.0780000000000001</v>
      </c>
      <c r="CX4" s="23">
        <v>-1.8380000000000001</v>
      </c>
      <c r="CY4" s="23">
        <f>(0.75*CC4)+(0.25*CW4)</f>
        <v>-1.8489948256642588</v>
      </c>
      <c r="CZ4" s="34">
        <v>0</v>
      </c>
      <c r="DA4" s="75">
        <v>0</v>
      </c>
      <c r="DB4" s="34">
        <v>273977</v>
      </c>
      <c r="DC4" s="34">
        <v>0</v>
      </c>
      <c r="DD4" s="34">
        <v>0</v>
      </c>
      <c r="DE4" s="34">
        <f t="shared" si="23"/>
        <v>323255.20700000005</v>
      </c>
      <c r="DF4" s="34">
        <f t="shared" si="24"/>
        <v>246637.35890014473</v>
      </c>
      <c r="DG4" s="34">
        <f t="shared" ref="DG4:DG67" si="38">DD4-DE4</f>
        <v>-323255.20700000005</v>
      </c>
      <c r="DH4" s="34">
        <f t="shared" ref="DH4:DH63" si="39">DC4-DF4</f>
        <v>-246637.35890014473</v>
      </c>
      <c r="DI4" s="36">
        <f t="shared" si="25"/>
        <v>-1.1612126905776945</v>
      </c>
      <c r="DJ4" s="36">
        <f t="shared" ref="DJ4:DJ67" si="40">(DG4-DG$73)/DG$74</f>
        <v>-1.3349961713695575</v>
      </c>
      <c r="DK4" s="36">
        <f t="shared" ref="DK4:DK13" si="41">(0.6*CT4)+(0.4*DI4)</f>
        <v>-1.8937970196327334</v>
      </c>
      <c r="DL4" s="34">
        <v>260754.72</v>
      </c>
      <c r="DM4">
        <f>CZ4-DB4</f>
        <v>-273977</v>
      </c>
      <c r="DN4" s="34">
        <f t="shared" ref="DN4:DN24" si="42">DA4-DL4</f>
        <v>-260754.72</v>
      </c>
      <c r="DO4" s="23">
        <v>-1.4750000000000001</v>
      </c>
      <c r="DP4" s="23">
        <f>(DN4-DN$74)/DN$75</f>
        <v>-1.5548928669879949</v>
      </c>
      <c r="DQ4" s="23">
        <f t="shared" ref="DQ4:DQ67" si="43">(0.6*CR4)+(0.4*DJ4)</f>
        <v>-1.8454250617669534</v>
      </c>
      <c r="DR4" s="23">
        <f t="shared" ref="DR4:DR67" si="44">(0.6*CS4)+(0.4*DI4)</f>
        <v>-1.7929833457663711</v>
      </c>
    </row>
    <row r="5" spans="1:122" x14ac:dyDescent="0.25">
      <c r="A5" s="9" t="s">
        <v>3</v>
      </c>
      <c r="B5" s="9" t="s">
        <v>31</v>
      </c>
      <c r="C5" s="1">
        <f t="shared" si="0"/>
        <v>88</v>
      </c>
      <c r="D5" s="8">
        <v>14</v>
      </c>
      <c r="E5" s="8">
        <v>74</v>
      </c>
      <c r="F5" s="8">
        <v>0</v>
      </c>
      <c r="G5" s="8">
        <v>0</v>
      </c>
      <c r="H5" s="8">
        <v>0</v>
      </c>
      <c r="I5">
        <v>0</v>
      </c>
      <c r="J5">
        <v>0</v>
      </c>
      <c r="L5">
        <v>41</v>
      </c>
      <c r="M5" s="23">
        <f t="shared" si="1"/>
        <v>0.46590909090909088</v>
      </c>
      <c r="N5" s="23">
        <f>M5/M75</f>
        <v>7.2300322940326003E-3</v>
      </c>
      <c r="O5">
        <v>8.5</v>
      </c>
      <c r="P5" s="23">
        <f t="shared" si="2"/>
        <v>9.6590909090909088E-2</v>
      </c>
      <c r="Q5" s="40">
        <f>P5/P75</f>
        <v>6.4639864666373318E-3</v>
      </c>
      <c r="R5" s="23">
        <f t="shared" si="3"/>
        <v>0.37357954545454547</v>
      </c>
      <c r="S5" s="40">
        <f>R5/R75</f>
        <v>7.1750688976581038E-3</v>
      </c>
      <c r="T5" s="40">
        <f t="shared" si="4"/>
        <v>7.0385208371837827E-3</v>
      </c>
      <c r="U5" s="34">
        <v>270290</v>
      </c>
      <c r="V5" s="70">
        <f t="shared" si="5"/>
        <v>3071.4772727272725</v>
      </c>
      <c r="W5" s="70"/>
      <c r="X5" s="40">
        <f>V5/V75</f>
        <v>3.9442080821156349E-2</v>
      </c>
      <c r="Y5" s="46">
        <f t="shared" si="6"/>
        <v>1.999994483077281E-2</v>
      </c>
      <c r="Z5" s="46">
        <v>0.36199999999999999</v>
      </c>
      <c r="AA5" s="137">
        <v>0.53400000000000003</v>
      </c>
      <c r="AB5" s="218">
        <v>71</v>
      </c>
      <c r="AC5" s="226">
        <v>-0.33443807131019843</v>
      </c>
      <c r="AD5" s="135">
        <f t="shared" si="7"/>
        <v>-0.31896485814647974</v>
      </c>
      <c r="AE5" s="298"/>
      <c r="AF5" s="298"/>
      <c r="AG5" s="23">
        <f>C5*AV5</f>
        <v>3.3462935270241401</v>
      </c>
      <c r="AH5" s="23"/>
      <c r="AI5" s="53"/>
      <c r="AJ5" s="65" t="e">
        <f>SUM(AK5:AL5)</f>
        <v>#DIV/0!</v>
      </c>
      <c r="AK5" s="79"/>
      <c r="AL5" s="65" t="e">
        <f>AS5*BE$27</f>
        <v>#DIV/0!</v>
      </c>
      <c r="AM5" s="298"/>
      <c r="AN5" s="68"/>
      <c r="AO5" s="68"/>
      <c r="AP5" s="23"/>
      <c r="AQ5" s="23"/>
      <c r="AR5" s="23"/>
      <c r="AS5" s="23" t="e">
        <f>AB5*AY5</f>
        <v>#DIV/0!</v>
      </c>
      <c r="AT5" s="26"/>
      <c r="AU5" s="23"/>
      <c r="AV5" s="23">
        <f>AA5/BB$2</f>
        <v>3.8026062807092503E-2</v>
      </c>
      <c r="AW5" s="26"/>
      <c r="AX5" s="26"/>
      <c r="AY5" s="26" t="e">
        <f>DJ5/BE$22</f>
        <v>#DIV/0!</v>
      </c>
      <c r="AZ5" s="26"/>
      <c r="BA5" s="26"/>
      <c r="BE5" s="26"/>
      <c r="BF5">
        <v>126</v>
      </c>
      <c r="BG5">
        <v>125</v>
      </c>
      <c r="BH5">
        <f t="shared" si="8"/>
        <v>1</v>
      </c>
      <c r="BI5">
        <v>199</v>
      </c>
      <c r="BJ5">
        <v>138</v>
      </c>
      <c r="BK5" s="117">
        <v>200.61860999999999</v>
      </c>
      <c r="BL5">
        <f>BF5-BI5</f>
        <v>-73</v>
      </c>
      <c r="BM5">
        <v>178</v>
      </c>
      <c r="BN5">
        <v>118</v>
      </c>
      <c r="BO5" s="117">
        <f t="shared" si="26"/>
        <v>154.46689000000001</v>
      </c>
      <c r="BP5" s="34">
        <f t="shared" si="9"/>
        <v>302.68116500000002</v>
      </c>
      <c r="BQ5" s="117">
        <f t="shared" si="10"/>
        <v>232.36830680173662</v>
      </c>
      <c r="BR5" s="117">
        <v>222.66272000000001</v>
      </c>
      <c r="BS5" s="117">
        <f t="shared" si="27"/>
        <v>-94.368306801736622</v>
      </c>
      <c r="BT5" s="117">
        <f t="shared" si="28"/>
        <v>-84.662720000000007</v>
      </c>
      <c r="BU5" s="117">
        <f t="shared" si="29"/>
        <v>-75.61860999999999</v>
      </c>
      <c r="BV5" s="23">
        <v>-0.72399999999999998</v>
      </c>
      <c r="BW5" s="117">
        <f t="shared" si="30"/>
        <v>-36.466890000000006</v>
      </c>
      <c r="BX5" s="23">
        <f t="shared" si="31"/>
        <v>-0.37592316556865063</v>
      </c>
      <c r="BY5" s="34">
        <f t="shared" si="32"/>
        <v>-124.68116500000002</v>
      </c>
      <c r="BZ5" s="23">
        <f t="shared" si="11"/>
        <v>-0.67855165887939028</v>
      </c>
      <c r="CA5" s="23">
        <f t="shared" si="12"/>
        <v>-0.64611135057998947</v>
      </c>
      <c r="CB5" s="23">
        <f t="shared" si="13"/>
        <v>-0.55684418887656784</v>
      </c>
      <c r="CC5" s="23">
        <f>(BU5-BU$74)/BU$75</f>
        <v>-0.72413953961033661</v>
      </c>
      <c r="CD5" s="117">
        <v>20</v>
      </c>
      <c r="CE5" s="117">
        <f t="shared" si="14"/>
        <v>222.66757299999998</v>
      </c>
      <c r="CF5" s="117">
        <f t="shared" si="33"/>
        <v>-84.667572999999976</v>
      </c>
      <c r="CG5" s="23">
        <f t="shared" si="15"/>
        <v>-0.61906455969030394</v>
      </c>
      <c r="CH5" s="26">
        <f t="shared" si="16"/>
        <v>-1.1925010281690138</v>
      </c>
      <c r="CI5" s="23">
        <f t="shared" si="17"/>
        <v>-0.44104262857854093</v>
      </c>
      <c r="CJ5" s="117">
        <v>7</v>
      </c>
      <c r="CK5" s="117">
        <v>22</v>
      </c>
      <c r="CL5" s="117">
        <f t="shared" si="18"/>
        <v>41.275942300000004</v>
      </c>
      <c r="CM5" s="117">
        <f t="shared" si="19"/>
        <v>30.722141823444282</v>
      </c>
      <c r="CN5" s="117">
        <f t="shared" si="34"/>
        <v>-19.275942300000004</v>
      </c>
      <c r="CO5" s="117">
        <f t="shared" si="20"/>
        <v>-23.722141823444282</v>
      </c>
      <c r="CP5" s="23">
        <f t="shared" si="35"/>
        <v>-0.69701139315467509</v>
      </c>
      <c r="CQ5" s="23">
        <f t="shared" si="21"/>
        <v>-1.2365569660307736</v>
      </c>
      <c r="CR5" s="23">
        <f t="shared" si="36"/>
        <v>-0.68316659244821154</v>
      </c>
      <c r="CS5" s="23">
        <f t="shared" si="37"/>
        <v>-0.59108161568418138</v>
      </c>
      <c r="CT5" s="26">
        <f t="shared" si="22"/>
        <v>-0.79372275444268547</v>
      </c>
      <c r="CU5" s="117">
        <v>28</v>
      </c>
      <c r="CV5" s="117">
        <f>CD5-CU5</f>
        <v>-8</v>
      </c>
      <c r="CW5" s="23">
        <v>-0.48099999999999998</v>
      </c>
      <c r="CX5" s="23">
        <v>-0.66300000000000003</v>
      </c>
      <c r="CY5" s="23">
        <f>(0.75*CC5)+(0.25*CW5)</f>
        <v>-0.66335465470775246</v>
      </c>
      <c r="CZ5" s="34">
        <v>603938</v>
      </c>
      <c r="DA5" s="75">
        <v>199647.05</v>
      </c>
      <c r="DB5" s="34">
        <v>177107</v>
      </c>
      <c r="DC5" s="34">
        <v>193790</v>
      </c>
      <c r="DD5" s="34">
        <v>193790</v>
      </c>
      <c r="DE5" s="34">
        <f t="shared" si="23"/>
        <v>175199.38700000002</v>
      </c>
      <c r="DF5" s="34">
        <f t="shared" si="24"/>
        <v>133673.68306801736</v>
      </c>
      <c r="DG5" s="34">
        <f t="shared" si="38"/>
        <v>18590.612999999983</v>
      </c>
      <c r="DH5" s="34">
        <f t="shared" si="39"/>
        <v>60116.316931982641</v>
      </c>
      <c r="DI5" s="36">
        <f t="shared" si="25"/>
        <v>0.28303834602961286</v>
      </c>
      <c r="DJ5" s="225">
        <f t="shared" si="40"/>
        <v>6.2063743283862723E-2</v>
      </c>
      <c r="DK5" s="36">
        <f t="shared" si="41"/>
        <v>-0.36301831425376607</v>
      </c>
      <c r="DL5" s="34">
        <v>166475.9</v>
      </c>
      <c r="DM5">
        <f>CZ5-DB5</f>
        <v>426831</v>
      </c>
      <c r="DN5" s="34">
        <f t="shared" si="42"/>
        <v>33171.149999999994</v>
      </c>
      <c r="DO5" s="23">
        <v>2.3290000000000002</v>
      </c>
      <c r="DP5" s="23">
        <f>(DN5-DN$74)/DN$75</f>
        <v>0.19761983669542932</v>
      </c>
      <c r="DQ5" s="23">
        <f t="shared" si="43"/>
        <v>-0.38507445815538183</v>
      </c>
      <c r="DR5" s="23">
        <f t="shared" si="44"/>
        <v>-0.24143363099866366</v>
      </c>
    </row>
    <row r="6" spans="1:122" x14ac:dyDescent="0.25">
      <c r="A6" s="9" t="s">
        <v>3</v>
      </c>
      <c r="B6" s="9" t="s">
        <v>33</v>
      </c>
      <c r="C6" s="1">
        <f t="shared" si="0"/>
        <v>76</v>
      </c>
      <c r="D6" s="8">
        <v>0</v>
      </c>
      <c r="E6" s="8">
        <v>2</v>
      </c>
      <c r="F6" s="8">
        <v>1</v>
      </c>
      <c r="G6" s="8">
        <v>73</v>
      </c>
      <c r="H6" s="8">
        <v>0</v>
      </c>
      <c r="I6">
        <v>0</v>
      </c>
      <c r="J6">
        <v>0</v>
      </c>
      <c r="L6">
        <v>101</v>
      </c>
      <c r="M6" s="25">
        <f t="shared" si="1"/>
        <v>1.3289473684210527</v>
      </c>
      <c r="N6" s="23">
        <f>M6/M75</f>
        <v>2.0622762204544853E-2</v>
      </c>
      <c r="O6">
        <v>18</v>
      </c>
      <c r="P6" s="23">
        <f t="shared" si="2"/>
        <v>0.23684210526315788</v>
      </c>
      <c r="Q6" s="40">
        <f>P6/P75</f>
        <v>1.5849774865562747E-2</v>
      </c>
      <c r="R6" s="23">
        <f t="shared" si="3"/>
        <v>1.055921052631579</v>
      </c>
      <c r="S6" s="42">
        <f>R6/R75</f>
        <v>2.0280302803786884E-2</v>
      </c>
      <c r="T6" s="42">
        <f t="shared" si="4"/>
        <v>1.9429515369799324E-2</v>
      </c>
      <c r="U6" s="34">
        <v>83924</v>
      </c>
      <c r="V6" s="70">
        <f t="shared" si="5"/>
        <v>1104.2631578947369</v>
      </c>
      <c r="W6" s="70"/>
      <c r="X6" s="40">
        <f>V6/V75</f>
        <v>1.4180289435394726E-2</v>
      </c>
      <c r="Y6" s="46">
        <f t="shared" si="6"/>
        <v>1.7329824996037486E-2</v>
      </c>
      <c r="Z6" s="46">
        <v>0.48799999999999999</v>
      </c>
      <c r="AA6" s="137">
        <v>1.7889999999999999</v>
      </c>
      <c r="AB6" s="218">
        <v>74</v>
      </c>
      <c r="AC6" s="227">
        <v>1.9912856127363732</v>
      </c>
      <c r="AD6" s="137">
        <f t="shared" si="7"/>
        <v>1.8840127754217308</v>
      </c>
      <c r="AE6" s="298">
        <v>587831.66009551694</v>
      </c>
      <c r="AF6" s="298">
        <f>AO6*BE$33</f>
        <v>806176.89917581924</v>
      </c>
      <c r="AG6" s="23">
        <f>C6*AV6</f>
        <v>9.6819767855871248</v>
      </c>
      <c r="AH6" s="66" t="e">
        <f>AP6*BE$9</f>
        <v>#DIV/0!</v>
      </c>
      <c r="AI6" s="65" t="e">
        <f>AQ6*BE$17</f>
        <v>#DIV/0!</v>
      </c>
      <c r="AJ6" s="65" t="e">
        <f>SUM(AK6:AL6)</f>
        <v>#DIV/0!</v>
      </c>
      <c r="AK6" s="65" t="e">
        <f>AR6*BE$25</f>
        <v>#DIV/0!</v>
      </c>
      <c r="AL6" s="65" t="e">
        <f>AS6*BE$27</f>
        <v>#DIV/0!</v>
      </c>
      <c r="AM6" s="298">
        <f>AVERAGE(AE6:AF6)</f>
        <v>697004.27963566803</v>
      </c>
      <c r="AN6" s="65">
        <f>AM6+(AM$74*AZ6)</f>
        <v>718916.63050867268</v>
      </c>
      <c r="AO6" s="68">
        <f>AB6*AZ6</f>
        <v>14.28783278653477</v>
      </c>
      <c r="AP6" s="23" t="e">
        <f>AB6*BA6</f>
        <v>#DIV/0!</v>
      </c>
      <c r="AQ6" s="23" t="e">
        <f>AB6*AW6</f>
        <v>#DIV/0!</v>
      </c>
      <c r="AR6" s="23" t="e">
        <f>AB6*AX6</f>
        <v>#DIV/0!</v>
      </c>
      <c r="AS6" s="23" t="e">
        <f>AB6*AY6</f>
        <v>#DIV/0!</v>
      </c>
      <c r="AT6" s="26"/>
      <c r="AU6" s="23"/>
      <c r="AV6" s="23">
        <f>AA6/BB$2</f>
        <v>0.12739443138930429</v>
      </c>
      <c r="AW6" s="26" t="e">
        <f>DQ6/BE$15</f>
        <v>#DIV/0!</v>
      </c>
      <c r="AX6" s="26" t="e">
        <f>CR6/BE$20</f>
        <v>#DIV/0!</v>
      </c>
      <c r="AY6" s="26" t="e">
        <f>DJ6/BE$22</f>
        <v>#DIV/0!</v>
      </c>
      <c r="AZ6" s="26">
        <f>DR6/BE$30</f>
        <v>0.19307882143965904</v>
      </c>
      <c r="BA6" s="236" t="e">
        <f>AC6/BE$5</f>
        <v>#DIV/0!</v>
      </c>
      <c r="BE6" s="16"/>
      <c r="BF6">
        <v>572</v>
      </c>
      <c r="BG6">
        <v>579</v>
      </c>
      <c r="BH6">
        <f t="shared" si="8"/>
        <v>-7</v>
      </c>
      <c r="BI6">
        <v>172</v>
      </c>
      <c r="BJ6">
        <v>891</v>
      </c>
      <c r="BK6" s="117">
        <v>173.26152999999999</v>
      </c>
      <c r="BL6">
        <f>BF6-BI6</f>
        <v>400</v>
      </c>
      <c r="BM6">
        <v>1057</v>
      </c>
      <c r="BN6">
        <v>717</v>
      </c>
      <c r="BO6" s="117">
        <f t="shared" si="26"/>
        <v>160.99366000000001</v>
      </c>
      <c r="BP6" s="34">
        <f t="shared" si="9"/>
        <v>315.47050999999999</v>
      </c>
      <c r="BQ6" s="117">
        <f t="shared" si="10"/>
        <v>242.18668596237339</v>
      </c>
      <c r="BR6" s="117">
        <v>232.071</v>
      </c>
      <c r="BS6" s="117">
        <f t="shared" si="27"/>
        <v>648.81331403762658</v>
      </c>
      <c r="BT6" s="117">
        <f t="shared" si="28"/>
        <v>658.92899999999997</v>
      </c>
      <c r="BU6" s="117">
        <f t="shared" si="29"/>
        <v>405.73847000000001</v>
      </c>
      <c r="BV6" s="23">
        <v>3.5019999999999998</v>
      </c>
      <c r="BW6" s="117">
        <f t="shared" si="30"/>
        <v>556.00634000000002</v>
      </c>
      <c r="BX6" s="25">
        <f t="shared" si="31"/>
        <v>5.2497467014666324</v>
      </c>
      <c r="BY6" s="34">
        <f t="shared" si="32"/>
        <v>741.52949000000001</v>
      </c>
      <c r="BZ6" s="25">
        <f t="shared" si="11"/>
        <v>3.9945276301539403</v>
      </c>
      <c r="CA6" s="25">
        <f t="shared" si="12"/>
        <v>4.4422291849302882</v>
      </c>
      <c r="CB6" s="25">
        <f t="shared" si="13"/>
        <v>2.7518566202731809</v>
      </c>
      <c r="CC6" s="23">
        <f>(BU6-BU$74)/BU$75</f>
        <v>3.6408431051472734</v>
      </c>
      <c r="CD6" s="117">
        <v>38</v>
      </c>
      <c r="CE6" s="117">
        <f t="shared" si="14"/>
        <v>232.07606199999998</v>
      </c>
      <c r="CF6" s="117">
        <f t="shared" si="33"/>
        <v>658.92393800000002</v>
      </c>
      <c r="CG6" s="25">
        <f t="shared" si="15"/>
        <v>4.4921760692331523</v>
      </c>
      <c r="CH6" s="26">
        <f t="shared" si="16"/>
        <v>8.9043775405405405</v>
      </c>
      <c r="CI6" s="25">
        <f t="shared" si="17"/>
        <v>2.9867614675476766</v>
      </c>
      <c r="CJ6" s="117">
        <v>26</v>
      </c>
      <c r="CK6" s="117">
        <v>55</v>
      </c>
      <c r="CL6" s="117">
        <f t="shared" si="18"/>
        <v>43.019996200000001</v>
      </c>
      <c r="CM6" s="117">
        <f t="shared" si="19"/>
        <v>32.020260492040521</v>
      </c>
      <c r="CN6" s="117">
        <f t="shared" si="34"/>
        <v>11.980003799999999</v>
      </c>
      <c r="CO6" s="117">
        <f t="shared" si="20"/>
        <v>-6.0202604920405207</v>
      </c>
      <c r="CP6" s="23">
        <f t="shared" si="35"/>
        <v>0.29038975797915562</v>
      </c>
      <c r="CQ6" s="23">
        <f t="shared" si="21"/>
        <v>-0.31381631153538425</v>
      </c>
      <c r="CR6" s="25">
        <f t="shared" si="36"/>
        <v>3.0684931621102445</v>
      </c>
      <c r="CS6" s="25">
        <f t="shared" si="37"/>
        <v>3.858855948216128</v>
      </c>
      <c r="CT6" s="25">
        <f t="shared" si="22"/>
        <v>3.2532178108138705</v>
      </c>
      <c r="CU6" s="117">
        <v>24</v>
      </c>
      <c r="CV6" s="117">
        <f>CD6-CU6</f>
        <v>14</v>
      </c>
      <c r="CW6" s="23">
        <v>0.39500000000000002</v>
      </c>
      <c r="CX6" s="23">
        <v>2.726</v>
      </c>
      <c r="CY6" s="23">
        <f>(0.75*CC6)+(0.25*CW6)</f>
        <v>2.8293823288604552</v>
      </c>
      <c r="CZ6" s="34">
        <v>223557</v>
      </c>
      <c r="DA6" s="75">
        <v>223556.28</v>
      </c>
      <c r="DB6" s="34">
        <v>155246</v>
      </c>
      <c r="DC6" s="34">
        <v>158274</v>
      </c>
      <c r="DD6" s="34">
        <v>303358</v>
      </c>
      <c r="DE6" s="34">
        <f t="shared" si="23"/>
        <v>182602.17800000001</v>
      </c>
      <c r="DF6" s="34">
        <f t="shared" si="24"/>
        <v>139321.86685962373</v>
      </c>
      <c r="DG6" s="34">
        <f t="shared" si="38"/>
        <v>120755.82199999999</v>
      </c>
      <c r="DH6" s="34">
        <f t="shared" si="39"/>
        <v>18952.133140376274</v>
      </c>
      <c r="DI6" s="36">
        <f t="shared" si="25"/>
        <v>8.9230024252056284E-2</v>
      </c>
      <c r="DJ6" s="225">
        <f t="shared" si="40"/>
        <v>0.47959383964744806</v>
      </c>
      <c r="DK6" s="225">
        <f t="shared" si="41"/>
        <v>1.9876226961891446</v>
      </c>
      <c r="DL6" s="34">
        <v>145380.23000000001</v>
      </c>
      <c r="DM6">
        <f>CZ6-DB6</f>
        <v>68311</v>
      </c>
      <c r="DN6" s="34">
        <f t="shared" si="42"/>
        <v>78176.049999999988</v>
      </c>
      <c r="DO6" s="23">
        <v>0.38300000000000001</v>
      </c>
      <c r="DP6" s="23">
        <f>(DN6-DN$74)/DN$75</f>
        <v>0.46595844526364461</v>
      </c>
      <c r="DQ6" s="25">
        <f t="shared" si="43"/>
        <v>2.0329334331251259</v>
      </c>
      <c r="DR6" s="25">
        <f t="shared" si="44"/>
        <v>2.3510055786304993</v>
      </c>
    </row>
    <row r="7" spans="1:122" x14ac:dyDescent="0.25">
      <c r="A7" s="9" t="s">
        <v>3</v>
      </c>
      <c r="B7" s="9" t="s">
        <v>34</v>
      </c>
      <c r="C7" s="1">
        <f t="shared" si="0"/>
        <v>20</v>
      </c>
      <c r="D7" s="8">
        <v>13</v>
      </c>
      <c r="E7" s="8">
        <v>0</v>
      </c>
      <c r="F7" s="8">
        <v>0</v>
      </c>
      <c r="G7" s="8">
        <v>0</v>
      </c>
      <c r="H7" s="8">
        <v>7</v>
      </c>
      <c r="I7">
        <v>0</v>
      </c>
      <c r="J7">
        <v>0</v>
      </c>
      <c r="L7">
        <v>29</v>
      </c>
      <c r="M7" s="25">
        <f t="shared" si="1"/>
        <v>1.45</v>
      </c>
      <c r="N7" s="23">
        <f>M7/M75</f>
        <v>2.2501271237038045E-2</v>
      </c>
      <c r="O7">
        <v>0.5</v>
      </c>
      <c r="P7" s="23">
        <f t="shared" si="2"/>
        <v>2.5000000000000001E-2</v>
      </c>
      <c r="Q7" s="40">
        <f>P7/P75</f>
        <v>1.6730317913649566E-3</v>
      </c>
      <c r="R7" s="23">
        <f t="shared" si="3"/>
        <v>1.09375</v>
      </c>
      <c r="S7" s="42">
        <f>R7/R75</f>
        <v>2.1006855707972394E-2</v>
      </c>
      <c r="T7" s="42">
        <f t="shared" si="4"/>
        <v>1.7294211375619772E-2</v>
      </c>
      <c r="U7" s="34">
        <v>0</v>
      </c>
      <c r="V7" s="34">
        <f t="shared" si="5"/>
        <v>0</v>
      </c>
      <c r="W7" s="34"/>
      <c r="X7" s="40">
        <f>V7/V75</f>
        <v>0</v>
      </c>
      <c r="Y7" s="47">
        <f t="shared" si="6"/>
        <v>1.0376526825371863E-2</v>
      </c>
      <c r="Z7" s="47">
        <v>-0.48599999999999999</v>
      </c>
      <c r="AA7" s="135">
        <v>1.4E-2</v>
      </c>
      <c r="AB7" s="218">
        <v>24</v>
      </c>
      <c r="AC7" s="226">
        <v>-6.686104493762611E-2</v>
      </c>
      <c r="AD7" s="135">
        <f t="shared" si="7"/>
        <v>3.3224247364415968E-2</v>
      </c>
      <c r="AE7" s="298"/>
      <c r="AF7" s="298"/>
      <c r="AG7" s="23"/>
      <c r="AH7" s="23"/>
      <c r="AI7" s="53"/>
      <c r="AJ7" s="68"/>
      <c r="AK7" s="79"/>
      <c r="AL7" s="68"/>
      <c r="AM7" s="298"/>
      <c r="AN7" s="68"/>
      <c r="AO7" s="68"/>
      <c r="AP7" s="23"/>
      <c r="AQ7" s="23"/>
      <c r="AR7" s="23"/>
      <c r="AS7" s="23"/>
      <c r="AT7" s="79"/>
      <c r="AU7" s="23"/>
      <c r="AV7" s="23"/>
      <c r="AW7" s="26"/>
      <c r="AX7" s="26"/>
      <c r="AY7" s="26"/>
      <c r="AZ7" s="26"/>
      <c r="BA7" s="26"/>
      <c r="BE7" s="16"/>
      <c r="BF7">
        <v>94</v>
      </c>
      <c r="BG7">
        <v>96</v>
      </c>
      <c r="BH7">
        <f t="shared" si="8"/>
        <v>-2</v>
      </c>
      <c r="BI7">
        <v>45</v>
      </c>
      <c r="BJ7">
        <v>108</v>
      </c>
      <c r="BK7" s="117">
        <v>45.595140000000001</v>
      </c>
      <c r="BL7">
        <f>BF7-BI7</f>
        <v>49</v>
      </c>
      <c r="BM7">
        <v>162</v>
      </c>
      <c r="BN7">
        <v>54</v>
      </c>
      <c r="BO7" s="117">
        <f t="shared" si="26"/>
        <v>52.214160000000007</v>
      </c>
      <c r="BP7" s="34">
        <f t="shared" si="9"/>
        <v>102.31476000000001</v>
      </c>
      <c r="BQ7" s="117">
        <f t="shared" si="10"/>
        <v>78.547033285094074</v>
      </c>
      <c r="BR7" s="117">
        <v>75.266270000000006</v>
      </c>
      <c r="BS7" s="117">
        <f t="shared" si="27"/>
        <v>29.452966714905926</v>
      </c>
      <c r="BT7" s="117">
        <f t="shared" si="28"/>
        <v>32.733729999999994</v>
      </c>
      <c r="BU7" s="117">
        <f t="shared" si="29"/>
        <v>50.404859999999999</v>
      </c>
      <c r="BV7" s="23">
        <v>0.36599999999999999</v>
      </c>
      <c r="BW7" s="117">
        <f t="shared" si="30"/>
        <v>1.7858399999999932</v>
      </c>
      <c r="BX7" s="23">
        <f t="shared" si="31"/>
        <v>-1.270467805515307E-2</v>
      </c>
      <c r="BY7" s="34">
        <f t="shared" si="32"/>
        <v>59.685239999999993</v>
      </c>
      <c r="BZ7" s="25">
        <f t="shared" si="11"/>
        <v>0.31607802366478377</v>
      </c>
      <c r="CA7" s="25">
        <f t="shared" si="12"/>
        <v>0.20165558488546659</v>
      </c>
      <c r="CB7" s="25">
        <f t="shared" si="13"/>
        <v>0.3094024593722936</v>
      </c>
      <c r="CC7" s="23">
        <f>(BU7-BU$74)/BU$75</f>
        <v>0.41865087988890765</v>
      </c>
      <c r="CD7" s="117">
        <v>1</v>
      </c>
      <c r="CE7" s="117">
        <f t="shared" si="14"/>
        <v>75.267911999999995</v>
      </c>
      <c r="CF7" s="117">
        <f t="shared" si="33"/>
        <v>32.732088000000005</v>
      </c>
      <c r="CG7" s="25">
        <f t="shared" si="15"/>
        <v>0.18790796251892347</v>
      </c>
      <c r="CH7" s="26">
        <f t="shared" si="16"/>
        <v>1.3638370000000002</v>
      </c>
      <c r="CI7" s="25">
        <f t="shared" si="17"/>
        <v>0.4268123133632718</v>
      </c>
      <c r="CJ7" s="117">
        <v>1</v>
      </c>
      <c r="CK7" s="117">
        <v>2</v>
      </c>
      <c r="CL7" s="117">
        <f t="shared" si="18"/>
        <v>13.952431199999999</v>
      </c>
      <c r="CM7" s="117">
        <f t="shared" si="19"/>
        <v>10.384949348769899</v>
      </c>
      <c r="CN7" s="117">
        <f t="shared" si="34"/>
        <v>-11.952431199999999</v>
      </c>
      <c r="CO7" s="117">
        <f t="shared" si="20"/>
        <v>-9.3849493487698989</v>
      </c>
      <c r="CP7" s="23">
        <f t="shared" si="35"/>
        <v>-0.46565562912354275</v>
      </c>
      <c r="CQ7" s="23">
        <f t="shared" si="21"/>
        <v>-0.48920643757379012</v>
      </c>
      <c r="CR7" s="23">
        <f t="shared" si="36"/>
        <v>0.12064461046770214</v>
      </c>
      <c r="CS7" s="23">
        <f t="shared" si="37"/>
        <v>-0.13183011793481234</v>
      </c>
      <c r="CT7" s="26">
        <f t="shared" si="22"/>
        <v>2.8940079270652397E-2</v>
      </c>
      <c r="CU7" s="117">
        <v>6</v>
      </c>
      <c r="CV7" s="117">
        <f>CD7-CU7</f>
        <v>-5</v>
      </c>
      <c r="CW7" s="23">
        <v>-0.36099999999999999</v>
      </c>
      <c r="CX7" s="23">
        <v>0.184</v>
      </c>
      <c r="CY7" s="23">
        <f>(0.75*CC7)+(0.25*CW7)</f>
        <v>0.22373815991668072</v>
      </c>
      <c r="CZ7" s="34">
        <v>0</v>
      </c>
      <c r="DA7" s="75">
        <v>0</v>
      </c>
      <c r="DB7" s="34">
        <v>46774</v>
      </c>
      <c r="DC7" s="34">
        <v>0</v>
      </c>
      <c r="DD7" s="34">
        <v>0</v>
      </c>
      <c r="DE7" s="34">
        <f t="shared" si="23"/>
        <v>59222.328000000009</v>
      </c>
      <c r="DF7" s="34">
        <f t="shared" si="24"/>
        <v>45185.470332850942</v>
      </c>
      <c r="DG7" s="34">
        <f t="shared" si="38"/>
        <v>-59222.328000000009</v>
      </c>
      <c r="DH7" s="34">
        <f t="shared" si="39"/>
        <v>-45185.470332850942</v>
      </c>
      <c r="DI7" s="36">
        <f t="shared" si="25"/>
        <v>-0.21274125628904328</v>
      </c>
      <c r="DJ7" s="36">
        <f t="shared" si="40"/>
        <v>-0.25594318952693368</v>
      </c>
      <c r="DK7" s="36">
        <f t="shared" si="41"/>
        <v>-6.7732454953225885E-2</v>
      </c>
      <c r="DL7" s="34">
        <v>42329.34</v>
      </c>
      <c r="DM7">
        <f>CZ7-DB7</f>
        <v>-46774</v>
      </c>
      <c r="DN7" s="34">
        <f t="shared" si="42"/>
        <v>-42329.34</v>
      </c>
      <c r="DO7" s="23">
        <v>-0.24099999999999999</v>
      </c>
      <c r="DP7" s="23">
        <f>(DN7-DN$74)/DN$75</f>
        <v>-0.25254662146398116</v>
      </c>
      <c r="DQ7" s="23">
        <f t="shared" si="43"/>
        <v>-2.9990509530152198E-2</v>
      </c>
      <c r="DR7" s="23">
        <f t="shared" si="44"/>
        <v>-0.16419457327650472</v>
      </c>
    </row>
    <row r="8" spans="1:122" x14ac:dyDescent="0.25">
      <c r="A8" s="9" t="s">
        <v>3</v>
      </c>
      <c r="B8" s="219" t="s">
        <v>307</v>
      </c>
      <c r="C8" s="1">
        <v>0</v>
      </c>
      <c r="D8" s="8"/>
      <c r="E8" s="8"/>
      <c r="F8" s="8"/>
      <c r="G8" s="8"/>
      <c r="H8" s="8"/>
      <c r="M8" s="25"/>
      <c r="N8" s="23"/>
      <c r="P8" s="23"/>
      <c r="Q8" s="40"/>
      <c r="R8" s="23"/>
      <c r="S8" s="42"/>
      <c r="T8" s="42"/>
      <c r="U8" s="34"/>
      <c r="V8" s="34"/>
      <c r="W8" s="34"/>
      <c r="X8" s="40"/>
      <c r="Y8" s="47"/>
      <c r="Z8" s="47"/>
      <c r="AA8" s="135"/>
      <c r="AB8" s="218">
        <v>8</v>
      </c>
      <c r="AC8" s="226">
        <v>-0.13279385507688707</v>
      </c>
      <c r="AD8" s="135"/>
      <c r="AE8" s="298"/>
      <c r="AF8" s="298"/>
      <c r="AG8" s="23"/>
      <c r="AH8" s="23"/>
      <c r="AI8" s="53"/>
      <c r="AJ8" s="68"/>
      <c r="AK8" s="79"/>
      <c r="AL8" s="68"/>
      <c r="AM8" s="298"/>
      <c r="AN8" s="68"/>
      <c r="AO8" s="68"/>
      <c r="AP8" s="23"/>
      <c r="AQ8" s="23"/>
      <c r="AR8" s="23"/>
      <c r="AS8" s="23"/>
      <c r="AT8" s="67"/>
      <c r="AU8" s="23"/>
      <c r="AV8" s="23"/>
      <c r="AW8" s="26"/>
      <c r="AX8" s="26"/>
      <c r="AY8" s="26"/>
      <c r="AZ8" s="26"/>
      <c r="BA8" s="26"/>
      <c r="BE8" s="81"/>
      <c r="BJ8">
        <v>1</v>
      </c>
      <c r="BK8" s="117"/>
      <c r="BM8">
        <v>2</v>
      </c>
      <c r="BN8">
        <v>1</v>
      </c>
      <c r="BO8" s="117">
        <f t="shared" si="26"/>
        <v>17.404720000000001</v>
      </c>
      <c r="BP8" s="34">
        <f t="shared" si="9"/>
        <v>34.10492</v>
      </c>
      <c r="BQ8" s="117">
        <f t="shared" si="10"/>
        <v>26.18234442836469</v>
      </c>
      <c r="BR8" s="117">
        <v>25.088760000000001</v>
      </c>
      <c r="BS8" s="117">
        <f t="shared" si="27"/>
        <v>-25.18234442836469</v>
      </c>
      <c r="BT8" s="117">
        <f t="shared" si="28"/>
        <v>-24.088760000000001</v>
      </c>
      <c r="BU8" s="117"/>
      <c r="BV8" s="23"/>
      <c r="BW8" s="117">
        <f t="shared" si="30"/>
        <v>-16.404720000000001</v>
      </c>
      <c r="BX8" s="23">
        <f t="shared" si="31"/>
        <v>-0.18542823766053357</v>
      </c>
      <c r="BY8" s="34">
        <f t="shared" si="32"/>
        <v>-32.10492</v>
      </c>
      <c r="BZ8" s="23">
        <f t="shared" si="11"/>
        <v>-0.17911641103430867</v>
      </c>
      <c r="CA8" s="23">
        <f t="shared" si="12"/>
        <v>-0.17241592141273596</v>
      </c>
      <c r="CB8" s="23">
        <f t="shared" si="13"/>
        <v>-3.7065075845179062E-2</v>
      </c>
      <c r="CC8" s="23"/>
      <c r="CD8" s="117"/>
      <c r="CE8" s="117">
        <f t="shared" si="14"/>
        <v>25.089303999999998</v>
      </c>
      <c r="CF8" s="117">
        <f t="shared" si="33"/>
        <v>-24.089303999999998</v>
      </c>
      <c r="CG8" s="23">
        <f t="shared" si="15"/>
        <v>-0.20266643630901884</v>
      </c>
      <c r="CH8" s="26">
        <f t="shared" si="16"/>
        <v>-3.0111629999999998</v>
      </c>
      <c r="CI8" s="23">
        <f t="shared" si="17"/>
        <v>-1.0584628455385221</v>
      </c>
      <c r="CJ8" s="117">
        <v>0</v>
      </c>
      <c r="CK8" s="117">
        <v>1</v>
      </c>
      <c r="CL8" s="117">
        <f t="shared" si="18"/>
        <v>4.6508104000000001</v>
      </c>
      <c r="CM8" s="117">
        <f t="shared" si="19"/>
        <v>3.4616497829232995</v>
      </c>
      <c r="CN8" s="117">
        <f t="shared" si="34"/>
        <v>-3.6508104000000001</v>
      </c>
      <c r="CO8" s="117">
        <f t="shared" si="20"/>
        <v>-3.4616497829232995</v>
      </c>
      <c r="CP8" s="23">
        <f t="shared" si="35"/>
        <v>-0.20340057186272442</v>
      </c>
      <c r="CQ8" s="23">
        <f t="shared" si="21"/>
        <v>-0.18044437913284594</v>
      </c>
      <c r="CR8" s="23">
        <f t="shared" si="36"/>
        <v>-0.18518745124141262</v>
      </c>
      <c r="CS8" s="23">
        <f t="shared" si="37"/>
        <v>-0.18418227302861165</v>
      </c>
      <c r="CT8" s="26">
        <f t="shared" si="22"/>
        <v>-0.17442303584276345</v>
      </c>
      <c r="CU8" s="117"/>
      <c r="CV8" s="117"/>
      <c r="CW8" s="23"/>
      <c r="CX8" s="23"/>
      <c r="CY8" s="23"/>
      <c r="CZ8" s="34"/>
      <c r="DA8" s="75"/>
      <c r="DB8" s="34"/>
      <c r="DC8" s="34">
        <v>0</v>
      </c>
      <c r="DD8" s="34">
        <v>0</v>
      </c>
      <c r="DE8" s="34">
        <f t="shared" si="23"/>
        <v>19740.776000000002</v>
      </c>
      <c r="DF8" s="34">
        <f t="shared" si="24"/>
        <v>15061.823444283647</v>
      </c>
      <c r="DG8" s="34">
        <f t="shared" si="38"/>
        <v>-19740.776000000002</v>
      </c>
      <c r="DH8" s="34">
        <f t="shared" si="39"/>
        <v>-15061.823444283647</v>
      </c>
      <c r="DI8" s="36">
        <f t="shared" si="25"/>
        <v>-7.091375209634776E-2</v>
      </c>
      <c r="DJ8" s="36">
        <f t="shared" si="40"/>
        <v>-9.4589472615887127E-2</v>
      </c>
      <c r="DK8" s="36">
        <f t="shared" si="41"/>
        <v>-0.13301932234419717</v>
      </c>
      <c r="DL8" s="34"/>
      <c r="DN8" s="34"/>
      <c r="DO8" s="23"/>
      <c r="DP8" s="23"/>
      <c r="DQ8" s="23">
        <f t="shared" si="43"/>
        <v>-0.14894825979120241</v>
      </c>
      <c r="DR8" s="23">
        <f t="shared" si="44"/>
        <v>-0.13887486465570609</v>
      </c>
    </row>
    <row r="9" spans="1:122" x14ac:dyDescent="0.25">
      <c r="A9" s="9" t="s">
        <v>3</v>
      </c>
      <c r="B9" s="275" t="s">
        <v>36</v>
      </c>
      <c r="C9" s="1">
        <f t="shared" si="0"/>
        <v>6</v>
      </c>
      <c r="D9" s="8">
        <v>0</v>
      </c>
      <c r="E9" s="8">
        <v>0</v>
      </c>
      <c r="F9" s="8">
        <v>0</v>
      </c>
      <c r="G9" s="8">
        <v>0</v>
      </c>
      <c r="H9" s="8">
        <v>6</v>
      </c>
      <c r="I9">
        <v>0</v>
      </c>
      <c r="J9">
        <v>0</v>
      </c>
      <c r="L9">
        <v>14.5</v>
      </c>
      <c r="M9" s="25">
        <f t="shared" si="1"/>
        <v>2.4166666666666665</v>
      </c>
      <c r="N9" s="23">
        <f>M9/M75</f>
        <v>3.750211872839674E-2</v>
      </c>
      <c r="O9">
        <v>4.5</v>
      </c>
      <c r="P9" s="23">
        <f t="shared" si="2"/>
        <v>0.75</v>
      </c>
      <c r="Q9" s="40">
        <f>P9/P75</f>
        <v>5.0190953740948695E-2</v>
      </c>
      <c r="R9" s="23">
        <f t="shared" si="3"/>
        <v>2</v>
      </c>
      <c r="S9" s="42">
        <f>R9/R75</f>
        <v>3.8412536151720945E-2</v>
      </c>
      <c r="T9" s="42">
        <f t="shared" si="4"/>
        <v>4.0674327481534732E-2</v>
      </c>
      <c r="U9" s="34">
        <v>0</v>
      </c>
      <c r="V9" s="34">
        <f t="shared" si="5"/>
        <v>0</v>
      </c>
      <c r="W9" s="34"/>
      <c r="X9" s="40">
        <f>V9/V75</f>
        <v>0</v>
      </c>
      <c r="Y9" s="46">
        <f t="shared" si="6"/>
        <v>2.4404596488920838E-2</v>
      </c>
      <c r="Z9" s="47">
        <v>-0.36899999999999999</v>
      </c>
      <c r="AA9" s="135">
        <v>2.5000000000000001E-2</v>
      </c>
      <c r="AB9" s="218">
        <v>6</v>
      </c>
      <c r="AC9" s="226">
        <v>2.7573061139211531E-2</v>
      </c>
      <c r="AD9" s="135">
        <f t="shared" si="7"/>
        <v>3.4735899253465617E-2</v>
      </c>
      <c r="AE9" s="302"/>
      <c r="AF9" s="302"/>
      <c r="AG9" s="23"/>
      <c r="AH9" s="23"/>
      <c r="AI9" s="53"/>
      <c r="AJ9" s="68"/>
      <c r="AK9" s="79"/>
      <c r="AL9" s="68"/>
      <c r="AM9" s="298"/>
      <c r="AN9" s="68"/>
      <c r="AO9" s="68"/>
      <c r="AP9" s="23"/>
      <c r="AQ9" s="23"/>
      <c r="AR9" s="23"/>
      <c r="AS9" s="23"/>
      <c r="AT9" s="26"/>
      <c r="AU9" s="23"/>
      <c r="AV9" s="23"/>
      <c r="AW9" s="26"/>
      <c r="AX9" s="26"/>
      <c r="AY9" s="26"/>
      <c r="AZ9" s="26"/>
      <c r="BA9" s="26"/>
      <c r="BE9" s="307"/>
      <c r="BF9">
        <v>43</v>
      </c>
      <c r="BG9">
        <v>42</v>
      </c>
      <c r="BH9">
        <f t="shared" si="8"/>
        <v>1</v>
      </c>
      <c r="BI9">
        <v>14</v>
      </c>
      <c r="BJ9">
        <v>42</v>
      </c>
      <c r="BK9" s="117">
        <v>13.67854</v>
      </c>
      <c r="BL9">
        <f t="shared" ref="BL9:BL14" si="45">BF9-BI9</f>
        <v>29</v>
      </c>
      <c r="BM9">
        <v>70</v>
      </c>
      <c r="BN9">
        <v>17</v>
      </c>
      <c r="BO9" s="117">
        <f t="shared" si="26"/>
        <v>13.053540000000002</v>
      </c>
      <c r="BP9" s="34">
        <f t="shared" si="9"/>
        <v>25.578690000000002</v>
      </c>
      <c r="BQ9" s="117">
        <f t="shared" si="10"/>
        <v>19.636758321273518</v>
      </c>
      <c r="BR9" s="117">
        <v>18.816569999999999</v>
      </c>
      <c r="BS9" s="117">
        <f t="shared" si="27"/>
        <v>22.363241678726482</v>
      </c>
      <c r="BT9" s="117">
        <f t="shared" si="28"/>
        <v>23.183430000000001</v>
      </c>
      <c r="BU9" s="117">
        <f t="shared" si="29"/>
        <v>28.321460000000002</v>
      </c>
      <c r="BV9" s="23">
        <v>0.188</v>
      </c>
      <c r="BW9" s="117">
        <f t="shared" si="30"/>
        <v>3.9464599999999983</v>
      </c>
      <c r="BX9" s="23">
        <f t="shared" si="31"/>
        <v>7.8109068061474165E-3</v>
      </c>
      <c r="BY9" s="34">
        <f t="shared" si="32"/>
        <v>44.421309999999998</v>
      </c>
      <c r="BZ9" s="23">
        <f t="shared" si="11"/>
        <v>0.23373136267588784</v>
      </c>
      <c r="CA9" s="23">
        <f t="shared" si="12"/>
        <v>0.15311437466760594</v>
      </c>
      <c r="CB9" s="25">
        <f t="shared" si="13"/>
        <v>0.15760794655703064</v>
      </c>
      <c r="CC9" s="23">
        <f t="shared" ref="CC9:CC25" si="46">(BU9-BU$74)/BU$75</f>
        <v>0.21839692758962873</v>
      </c>
      <c r="CD9" s="117">
        <v>1</v>
      </c>
      <c r="CE9" s="117">
        <f t="shared" si="14"/>
        <v>18.816977999999999</v>
      </c>
      <c r="CF9" s="117">
        <f t="shared" si="33"/>
        <v>23.183022000000001</v>
      </c>
      <c r="CG9" s="23">
        <f t="shared" si="15"/>
        <v>0.12227034645491813</v>
      </c>
      <c r="CH9" s="26">
        <f t="shared" si="16"/>
        <v>3.8638370000000002</v>
      </c>
      <c r="CI9" s="23">
        <f t="shared" si="17"/>
        <v>1.2755409755928684</v>
      </c>
      <c r="CJ9" s="117">
        <v>0</v>
      </c>
      <c r="CK9" s="117">
        <v>0</v>
      </c>
      <c r="CL9" s="117">
        <f t="shared" si="18"/>
        <v>3.4881077999999999</v>
      </c>
      <c r="CM9" s="117">
        <f t="shared" si="19"/>
        <v>2.5962373371924747</v>
      </c>
      <c r="CN9" s="117">
        <f t="shared" si="34"/>
        <v>-3.4881077999999999</v>
      </c>
      <c r="CO9" s="117">
        <f t="shared" si="20"/>
        <v>-2.5962373371924747</v>
      </c>
      <c r="CP9" s="23">
        <f t="shared" si="35"/>
        <v>-0.19826066235499501</v>
      </c>
      <c r="CQ9" s="23">
        <f t="shared" si="21"/>
        <v>-0.13533328434963446</v>
      </c>
      <c r="CR9" s="23">
        <f t="shared" si="36"/>
        <v>0.12573335641816713</v>
      </c>
      <c r="CS9" s="23">
        <f t="shared" si="37"/>
        <v>-2.7975140982798054E-2</v>
      </c>
      <c r="CT9" s="26">
        <f t="shared" si="22"/>
        <v>8.1002459913295854E-2</v>
      </c>
      <c r="CU9" s="117">
        <v>2</v>
      </c>
      <c r="CV9" s="117">
        <f t="shared" ref="CV9:CV25" si="47">CD9-CU9</f>
        <v>-1</v>
      </c>
      <c r="CW9" s="23">
        <v>-0.20200000000000001</v>
      </c>
      <c r="CX9" s="23">
        <v>0.09</v>
      </c>
      <c r="CY9" s="23">
        <f t="shared" ref="CY9:CY25" si="48">(0.75*CC9)+(0.25*CW9)</f>
        <v>0.11329769569222155</v>
      </c>
      <c r="CZ9" s="34">
        <v>0</v>
      </c>
      <c r="DA9" s="75">
        <v>0</v>
      </c>
      <c r="DB9" s="34">
        <v>15854</v>
      </c>
      <c r="DC9" s="34">
        <v>0</v>
      </c>
      <c r="DD9" s="34">
        <v>0</v>
      </c>
      <c r="DE9" s="34">
        <f t="shared" si="23"/>
        <v>14805.582000000002</v>
      </c>
      <c r="DF9" s="34">
        <f t="shared" si="24"/>
        <v>11296.367583212736</v>
      </c>
      <c r="DG9" s="34">
        <f t="shared" si="38"/>
        <v>-14805.582000000002</v>
      </c>
      <c r="DH9" s="34">
        <f t="shared" si="39"/>
        <v>-11296.367583212736</v>
      </c>
      <c r="DI9" s="36">
        <f t="shared" si="25"/>
        <v>-5.318531407226082E-2</v>
      </c>
      <c r="DJ9" s="36">
        <f t="shared" si="40"/>
        <v>-7.4420258002006315E-2</v>
      </c>
      <c r="DK9" s="36">
        <f t="shared" si="41"/>
        <v>2.7327350319073185E-2</v>
      </c>
      <c r="DL9" s="34">
        <v>13911.43</v>
      </c>
      <c r="DM9">
        <f t="shared" ref="DM9:DM14" si="49">CZ9-DB9</f>
        <v>-15854</v>
      </c>
      <c r="DN9" s="34">
        <f t="shared" si="42"/>
        <v>-13911.43</v>
      </c>
      <c r="DO9" s="23">
        <v>-7.3999999999999996E-2</v>
      </c>
      <c r="DP9" s="23">
        <f t="shared" ref="DP9:DP25" si="50">(DN9-DN$74)/DN$75</f>
        <v>-8.3106795404668268E-2</v>
      </c>
      <c r="DQ9" s="23">
        <f t="shared" si="43"/>
        <v>4.567191065009775E-2</v>
      </c>
      <c r="DR9" s="23">
        <f t="shared" si="44"/>
        <v>-3.8059210218583162E-2</v>
      </c>
    </row>
    <row r="10" spans="1:122" x14ac:dyDescent="0.25">
      <c r="A10" s="7" t="s">
        <v>3</v>
      </c>
      <c r="B10" s="7" t="s">
        <v>37</v>
      </c>
      <c r="C10" s="1">
        <f t="shared" si="0"/>
        <v>18</v>
      </c>
      <c r="D10" s="8">
        <v>0</v>
      </c>
      <c r="E10" s="8">
        <v>0</v>
      </c>
      <c r="F10" s="8">
        <v>0</v>
      </c>
      <c r="G10" s="8">
        <v>0</v>
      </c>
      <c r="H10" s="8">
        <v>18</v>
      </c>
      <c r="I10">
        <v>0</v>
      </c>
      <c r="J10">
        <v>0</v>
      </c>
      <c r="L10">
        <v>98</v>
      </c>
      <c r="M10" s="25">
        <f t="shared" si="1"/>
        <v>5.4444444444444446</v>
      </c>
      <c r="N10" s="23">
        <f>M10/M75</f>
        <v>8.4487531847882325E-2</v>
      </c>
      <c r="O10">
        <v>6</v>
      </c>
      <c r="P10" s="23">
        <f t="shared" si="2"/>
        <v>0.33333333333333331</v>
      </c>
      <c r="Q10" s="40">
        <f>P10/P75</f>
        <v>2.2307090551532752E-2</v>
      </c>
      <c r="R10" s="23">
        <f t="shared" si="3"/>
        <v>4.166666666666667</v>
      </c>
      <c r="S10" s="42">
        <f>R10/R75</f>
        <v>8.0026116982751985E-2</v>
      </c>
      <c r="T10" s="42">
        <f t="shared" si="4"/>
        <v>6.8942421523794928E-2</v>
      </c>
      <c r="U10" s="34">
        <v>79552</v>
      </c>
      <c r="V10" s="70">
        <f t="shared" si="5"/>
        <v>4419.5555555555557</v>
      </c>
      <c r="W10" s="70"/>
      <c r="X10" s="40">
        <f>V10/V75</f>
        <v>5.675329879977626E-2</v>
      </c>
      <c r="Y10" s="46">
        <f t="shared" si="6"/>
        <v>6.4066772434187458E-2</v>
      </c>
      <c r="Z10" s="46">
        <v>0.70199999999999996</v>
      </c>
      <c r="AA10" s="137">
        <v>0.746</v>
      </c>
      <c r="AB10" s="218">
        <v>59</v>
      </c>
      <c r="AC10" s="227">
        <v>0.23455525422604628</v>
      </c>
      <c r="AD10" s="137">
        <f t="shared" si="7"/>
        <v>0.78373829434193021</v>
      </c>
      <c r="AE10" s="298">
        <v>57625.936423126652</v>
      </c>
      <c r="AF10" s="298">
        <f>AO10*BE$33</f>
        <v>76999.343513519823</v>
      </c>
      <c r="AG10" s="23">
        <f>C10*AV10</f>
        <v>0.95620593890194416</v>
      </c>
      <c r="AH10" s="66" t="e">
        <f>AP10*BE$9</f>
        <v>#DIV/0!</v>
      </c>
      <c r="AI10" s="65" t="e">
        <f>AQ10*BE$17</f>
        <v>#DIV/0!</v>
      </c>
      <c r="AJ10" s="65" t="e">
        <f>SUM(AK10:AL10)</f>
        <v>#DIV/0!</v>
      </c>
      <c r="AK10" s="65" t="e">
        <f>AR10*BE$25</f>
        <v>#DIV/0!</v>
      </c>
      <c r="AL10" s="68"/>
      <c r="AM10" s="298">
        <f>AVERAGE(AE10:AF10)</f>
        <v>67312.63996832323</v>
      </c>
      <c r="AN10" s="65">
        <f>AM10+(AM$74*AZ10)</f>
        <v>69937.616074684614</v>
      </c>
      <c r="AO10" s="68">
        <f>AB10*AZ10</f>
        <v>1.3646555066497748</v>
      </c>
      <c r="AP10" s="23" t="e">
        <f>AB10*BA10</f>
        <v>#DIV/0!</v>
      </c>
      <c r="AQ10" s="23" t="e">
        <f t="shared" ref="AQ10:AQ11" si="51">AB10*AW10</f>
        <v>#DIV/0!</v>
      </c>
      <c r="AR10" s="23" t="e">
        <f t="shared" ref="AR10:AR11" si="52">AB10*AX10</f>
        <v>#DIV/0!</v>
      </c>
      <c r="AS10" s="23"/>
      <c r="AT10" s="26"/>
      <c r="AU10" s="23"/>
      <c r="AV10" s="23">
        <f>AA10/BB$2</f>
        <v>5.3122552161219118E-2</v>
      </c>
      <c r="AW10" s="26" t="e">
        <f>DQ10/BE$15</f>
        <v>#DIV/0!</v>
      </c>
      <c r="AX10" s="26" t="e">
        <f>CR10/BE$20</f>
        <v>#DIV/0!</v>
      </c>
      <c r="AY10" s="26"/>
      <c r="AZ10" s="26">
        <f>DR10/BE$30</f>
        <v>2.3129754349996184E-2</v>
      </c>
      <c r="BA10" s="236" t="e">
        <f>AC10/BE$5</f>
        <v>#DIV/0!</v>
      </c>
      <c r="BC10" s="37">
        <v>4410034.2724348782</v>
      </c>
      <c r="BE10" s="16"/>
      <c r="BF10">
        <v>209</v>
      </c>
      <c r="BG10">
        <v>209</v>
      </c>
      <c r="BH10">
        <f t="shared" si="8"/>
        <v>0</v>
      </c>
      <c r="BI10">
        <v>41</v>
      </c>
      <c r="BJ10">
        <v>365</v>
      </c>
      <c r="BK10" s="117">
        <v>41.035629999999998</v>
      </c>
      <c r="BL10">
        <f t="shared" si="45"/>
        <v>168</v>
      </c>
      <c r="BM10">
        <v>477</v>
      </c>
      <c r="BN10">
        <v>267</v>
      </c>
      <c r="BO10" s="117">
        <f t="shared" si="26"/>
        <v>128.35981000000001</v>
      </c>
      <c r="BP10" s="34">
        <f t="shared" si="9"/>
        <v>251.523785</v>
      </c>
      <c r="BQ10" s="117">
        <f t="shared" si="10"/>
        <v>193.09479015918959</v>
      </c>
      <c r="BR10" s="117">
        <v>185.02958000000001</v>
      </c>
      <c r="BS10" s="117">
        <f t="shared" si="27"/>
        <v>171.90520984081041</v>
      </c>
      <c r="BT10" s="117">
        <f t="shared" si="28"/>
        <v>179.97041999999999</v>
      </c>
      <c r="BU10" s="117">
        <f t="shared" si="29"/>
        <v>167.96437</v>
      </c>
      <c r="BV10" s="23">
        <v>1.43</v>
      </c>
      <c r="BW10" s="117">
        <f t="shared" si="30"/>
        <v>138.64018999999999</v>
      </c>
      <c r="BX10" s="25">
        <f t="shared" si="31"/>
        <v>1.2867589162201529</v>
      </c>
      <c r="BY10" s="34">
        <f t="shared" si="32"/>
        <v>225.476215</v>
      </c>
      <c r="BZ10" s="25">
        <f t="shared" si="11"/>
        <v>1.2104959889819418</v>
      </c>
      <c r="CA10" s="25">
        <f t="shared" si="12"/>
        <v>1.1769831532034922</v>
      </c>
      <c r="CB10" s="25">
        <f t="shared" si="13"/>
        <v>1.1174704447029506</v>
      </c>
      <c r="CC10" s="23">
        <f t="shared" si="46"/>
        <v>1.4846894657890233</v>
      </c>
      <c r="CD10" s="117">
        <v>13</v>
      </c>
      <c r="CE10" s="117">
        <f t="shared" si="14"/>
        <v>185.03361699999999</v>
      </c>
      <c r="CF10" s="117">
        <f t="shared" si="33"/>
        <v>179.96638300000001</v>
      </c>
      <c r="CG10" s="25">
        <f t="shared" si="15"/>
        <v>1.1999554367603309</v>
      </c>
      <c r="CH10" s="26">
        <f t="shared" si="16"/>
        <v>3.0502776779661018</v>
      </c>
      <c r="CI10" s="25">
        <f t="shared" si="17"/>
        <v>0.99934452957916908</v>
      </c>
      <c r="CJ10" s="117">
        <v>8</v>
      </c>
      <c r="CK10" s="117">
        <v>16</v>
      </c>
      <c r="CL10" s="117">
        <f t="shared" si="18"/>
        <v>34.299726700000001</v>
      </c>
      <c r="CM10" s="117">
        <f t="shared" si="19"/>
        <v>25.529667149059335</v>
      </c>
      <c r="CN10" s="117">
        <f t="shared" si="34"/>
        <v>-18.299726700000001</v>
      </c>
      <c r="CO10" s="117">
        <f t="shared" si="20"/>
        <v>-17.529667149059335</v>
      </c>
      <c r="CP10" s="23">
        <f t="shared" si="35"/>
        <v>-0.66617193610829861</v>
      </c>
      <c r="CQ10" s="23">
        <f t="shared" si="21"/>
        <v>-0.91376369750675712</v>
      </c>
      <c r="CR10" s="25">
        <f t="shared" si="36"/>
        <v>0.7413290077093817</v>
      </c>
      <c r="CS10" s="25">
        <f t="shared" si="37"/>
        <v>0.73662826278842541</v>
      </c>
      <c r="CT10" s="25">
        <f t="shared" si="22"/>
        <v>0.65429644052592983</v>
      </c>
      <c r="CU10" s="117">
        <v>6</v>
      </c>
      <c r="CV10" s="117">
        <f t="shared" si="47"/>
        <v>7</v>
      </c>
      <c r="CW10" s="23">
        <v>0.11700000000000001</v>
      </c>
      <c r="CX10" s="23">
        <v>1.101</v>
      </c>
      <c r="CY10" s="23">
        <f t="shared" si="48"/>
        <v>1.1427670993417676</v>
      </c>
      <c r="CZ10" s="34">
        <v>79552</v>
      </c>
      <c r="DA10" s="75">
        <v>79552</v>
      </c>
      <c r="DB10" s="34">
        <v>42549</v>
      </c>
      <c r="DC10" s="34">
        <v>25942</v>
      </c>
      <c r="DD10" s="34">
        <v>105494</v>
      </c>
      <c r="DE10" s="34">
        <f t="shared" si="23"/>
        <v>145588.223</v>
      </c>
      <c r="DF10" s="34">
        <f t="shared" si="24"/>
        <v>111080.94790159191</v>
      </c>
      <c r="DG10" s="34">
        <f t="shared" si="38"/>
        <v>-40094.222999999998</v>
      </c>
      <c r="DH10" s="34">
        <f t="shared" si="39"/>
        <v>-85138.947901591906</v>
      </c>
      <c r="DI10" s="36">
        <f t="shared" si="25"/>
        <v>-0.40084935715593928</v>
      </c>
      <c r="DJ10" s="36">
        <f t="shared" si="40"/>
        <v>-0.17777020283140624</v>
      </c>
      <c r="DK10" s="225">
        <f t="shared" si="41"/>
        <v>0.23223812145318218</v>
      </c>
      <c r="DL10" s="34">
        <v>38401.68</v>
      </c>
      <c r="DM10">
        <f t="shared" si="49"/>
        <v>37003</v>
      </c>
      <c r="DN10" s="34">
        <f t="shared" si="42"/>
        <v>41150.32</v>
      </c>
      <c r="DO10" s="23">
        <v>0.21299999999999999</v>
      </c>
      <c r="DP10" s="23">
        <f t="shared" si="50"/>
        <v>0.24519508684217439</v>
      </c>
      <c r="DQ10" s="25">
        <f t="shared" si="43"/>
        <v>0.37368932349306649</v>
      </c>
      <c r="DR10" s="25">
        <f t="shared" si="44"/>
        <v>0.28163721481067949</v>
      </c>
    </row>
    <row r="11" spans="1:122" x14ac:dyDescent="0.25">
      <c r="A11" s="7" t="s">
        <v>3</v>
      </c>
      <c r="B11" s="7" t="s">
        <v>38</v>
      </c>
      <c r="C11" s="1">
        <f t="shared" si="0"/>
        <v>42</v>
      </c>
      <c r="D11" s="8">
        <v>0</v>
      </c>
      <c r="E11" s="8">
        <v>36</v>
      </c>
      <c r="F11" s="8">
        <v>0</v>
      </c>
      <c r="G11" s="8">
        <v>6</v>
      </c>
      <c r="H11" s="8">
        <v>0</v>
      </c>
      <c r="I11">
        <v>0</v>
      </c>
      <c r="J11">
        <v>0</v>
      </c>
      <c r="L11">
        <v>90</v>
      </c>
      <c r="M11" s="25">
        <f t="shared" si="1"/>
        <v>2.1428571428571428</v>
      </c>
      <c r="N11" s="23">
        <f>M11/M75</f>
        <v>3.3253110202519282E-2</v>
      </c>
      <c r="O11">
        <v>13.5</v>
      </c>
      <c r="P11" s="23">
        <f t="shared" si="2"/>
        <v>0.32142857142857145</v>
      </c>
      <c r="Q11" s="40">
        <f>P11/P75</f>
        <v>2.1510408746120872E-2</v>
      </c>
      <c r="R11" s="23">
        <f t="shared" si="3"/>
        <v>1.6875</v>
      </c>
      <c r="S11" s="42">
        <f>R11/R75</f>
        <v>3.2410577378014553E-2</v>
      </c>
      <c r="T11" s="42">
        <f t="shared" si="4"/>
        <v>3.0317434838419678E-2</v>
      </c>
      <c r="U11" s="34">
        <v>253546</v>
      </c>
      <c r="V11" s="70">
        <f t="shared" si="5"/>
        <v>6036.8095238095239</v>
      </c>
      <c r="W11" s="70"/>
      <c r="X11" s="40">
        <f>V11/V75</f>
        <v>7.7521110526922579E-2</v>
      </c>
      <c r="Y11" s="46">
        <f t="shared" si="6"/>
        <v>4.9198905113820843E-2</v>
      </c>
      <c r="Z11" s="46">
        <v>1.407</v>
      </c>
      <c r="AA11" s="137">
        <v>0.75900000000000001</v>
      </c>
      <c r="AB11" s="218">
        <v>48</v>
      </c>
      <c r="AC11" s="227">
        <v>0.59580927200390454</v>
      </c>
      <c r="AD11" s="137">
        <f t="shared" si="7"/>
        <v>0.81908041291816647</v>
      </c>
      <c r="AE11" s="298">
        <v>141600.92111442008</v>
      </c>
      <c r="AF11" s="298">
        <f>AO11*BE$33</f>
        <v>155483.0208337896</v>
      </c>
      <c r="AG11" s="23">
        <f>C11*AV11</f>
        <v>2.2700277718436235</v>
      </c>
      <c r="AH11" s="66" t="e">
        <f>AP11*BE$9</f>
        <v>#DIV/0!</v>
      </c>
      <c r="AI11" s="65" t="e">
        <f>AQ11*BE$17</f>
        <v>#DIV/0!</v>
      </c>
      <c r="AJ11" s="65" t="e">
        <f>SUM(AK11:AL11)</f>
        <v>#DIV/0!</v>
      </c>
      <c r="AK11" s="65" t="e">
        <f>AR11*BE$25</f>
        <v>#DIV/0!</v>
      </c>
      <c r="AL11" s="65" t="e">
        <f>AS11*BE$27</f>
        <v>#DIV/0!</v>
      </c>
      <c r="AM11" s="298">
        <f>AVERAGE(AE11:AF11)</f>
        <v>148541.97097410483</v>
      </c>
      <c r="AN11" s="65">
        <f>AM11+(AM$74*AZ11)</f>
        <v>155057.23584644796</v>
      </c>
      <c r="AO11" s="68">
        <f>AB11*AZ11</f>
        <v>2.7556177869765497</v>
      </c>
      <c r="AP11" s="23" t="e">
        <f>AB11*BA11</f>
        <v>#DIV/0!</v>
      </c>
      <c r="AQ11" s="23" t="e">
        <f t="shared" si="51"/>
        <v>#DIV/0!</v>
      </c>
      <c r="AR11" s="23" t="e">
        <f t="shared" si="52"/>
        <v>#DIV/0!</v>
      </c>
      <c r="AS11" s="23" t="e">
        <f>AB11*AY11</f>
        <v>#DIV/0!</v>
      </c>
      <c r="AT11" s="26"/>
      <c r="AU11" s="23"/>
      <c r="AV11" s="23">
        <f>AA11/BB$2</f>
        <v>5.4048280281991032E-2</v>
      </c>
      <c r="AW11" s="26" t="e">
        <f>DQ11/BE$15</f>
        <v>#DIV/0!</v>
      </c>
      <c r="AX11" s="26" t="e">
        <f>CR11/BE$20</f>
        <v>#DIV/0!</v>
      </c>
      <c r="AY11" s="26" t="e">
        <f>DJ11/BE$22</f>
        <v>#DIV/0!</v>
      </c>
      <c r="AZ11" s="26">
        <f>DR11/BE$30</f>
        <v>5.740870389534479E-2</v>
      </c>
      <c r="BA11" s="236" t="e">
        <f>AC11/BE$5</f>
        <v>#DIV/0!</v>
      </c>
      <c r="BE11" s="16"/>
      <c r="BF11">
        <v>197</v>
      </c>
      <c r="BG11">
        <v>197</v>
      </c>
      <c r="BH11">
        <f t="shared" si="8"/>
        <v>0</v>
      </c>
      <c r="BI11">
        <v>95</v>
      </c>
      <c r="BJ11">
        <v>333</v>
      </c>
      <c r="BK11" s="117">
        <v>95.749790000000004</v>
      </c>
      <c r="BL11">
        <f t="shared" si="45"/>
        <v>102</v>
      </c>
      <c r="BM11">
        <v>424</v>
      </c>
      <c r="BN11">
        <v>259</v>
      </c>
      <c r="BO11" s="117">
        <f t="shared" si="26"/>
        <v>104.42832000000001</v>
      </c>
      <c r="BP11" s="34">
        <f t="shared" si="9"/>
        <v>204.62952000000001</v>
      </c>
      <c r="BQ11" s="117">
        <f t="shared" si="10"/>
        <v>157.09406657018815</v>
      </c>
      <c r="BR11" s="117">
        <v>150.53254000000001</v>
      </c>
      <c r="BS11" s="117">
        <f t="shared" si="27"/>
        <v>175.90593342981185</v>
      </c>
      <c r="BT11" s="117">
        <f t="shared" si="28"/>
        <v>182.46745999999999</v>
      </c>
      <c r="BU11" s="117">
        <f t="shared" si="29"/>
        <v>101.25021</v>
      </c>
      <c r="BV11" s="23">
        <v>0.84</v>
      </c>
      <c r="BW11" s="117">
        <f t="shared" si="30"/>
        <v>154.57167999999999</v>
      </c>
      <c r="BX11" s="25">
        <f t="shared" si="31"/>
        <v>1.4380320855243152</v>
      </c>
      <c r="BY11" s="34">
        <f t="shared" si="32"/>
        <v>219.37047999999999</v>
      </c>
      <c r="BZ11" s="25">
        <f t="shared" si="11"/>
        <v>1.1775564452253182</v>
      </c>
      <c r="CA11" s="25">
        <f t="shared" si="12"/>
        <v>1.204374901651599</v>
      </c>
      <c r="CB11" s="25">
        <f t="shared" si="13"/>
        <v>0.65889778763567386</v>
      </c>
      <c r="CC11" s="23">
        <f t="shared" si="46"/>
        <v>0.87972038429222166</v>
      </c>
      <c r="CD11" s="117">
        <v>28</v>
      </c>
      <c r="CE11" s="117">
        <f t="shared" si="14"/>
        <v>150.53582399999999</v>
      </c>
      <c r="CF11" s="117">
        <f t="shared" si="33"/>
        <v>182.46417600000001</v>
      </c>
      <c r="CG11" s="25">
        <f t="shared" si="15"/>
        <v>1.2171245691070296</v>
      </c>
      <c r="CH11" s="26">
        <f t="shared" si="16"/>
        <v>3.8013370000000002</v>
      </c>
      <c r="CI11" s="25">
        <f t="shared" si="17"/>
        <v>1.2543227590371284</v>
      </c>
      <c r="CJ11" s="117">
        <v>26</v>
      </c>
      <c r="CK11" s="117">
        <v>52</v>
      </c>
      <c r="CL11" s="117">
        <f t="shared" si="18"/>
        <v>27.904862399999999</v>
      </c>
      <c r="CM11" s="117">
        <f t="shared" si="19"/>
        <v>20.769898697539798</v>
      </c>
      <c r="CN11" s="117">
        <f t="shared" si="34"/>
        <v>24.095137600000001</v>
      </c>
      <c r="CO11" s="117">
        <f t="shared" si="20"/>
        <v>5.2301013024602021</v>
      </c>
      <c r="CP11" s="23">
        <f t="shared" si="35"/>
        <v>0.67311684043532805</v>
      </c>
      <c r="CQ11" s="23">
        <f t="shared" si="21"/>
        <v>0.27262792064636504</v>
      </c>
      <c r="CR11" s="25">
        <f t="shared" si="36"/>
        <v>1.0514465440278207</v>
      </c>
      <c r="CS11" s="25">
        <f t="shared" si="37"/>
        <v>1.1466810443048276</v>
      </c>
      <c r="CT11" s="25">
        <f t="shared" si="22"/>
        <v>0.97143815640029041</v>
      </c>
      <c r="CU11" s="117">
        <v>13</v>
      </c>
      <c r="CV11" s="117">
        <f t="shared" si="47"/>
        <v>15</v>
      </c>
      <c r="CW11" s="23">
        <v>0.435</v>
      </c>
      <c r="CX11" s="23">
        <v>0.73899999999999999</v>
      </c>
      <c r="CY11" s="23">
        <f t="shared" si="48"/>
        <v>0.7685402882191662</v>
      </c>
      <c r="CZ11" s="34">
        <v>234148</v>
      </c>
      <c r="DA11" s="75">
        <v>234148.61</v>
      </c>
      <c r="DB11" s="34">
        <v>91109</v>
      </c>
      <c r="DC11" s="34">
        <v>96224</v>
      </c>
      <c r="DD11" s="34">
        <v>296401</v>
      </c>
      <c r="DE11" s="34">
        <f t="shared" si="23"/>
        <v>118444.65600000002</v>
      </c>
      <c r="DF11" s="34">
        <f t="shared" si="24"/>
        <v>90370.940665701884</v>
      </c>
      <c r="DG11" s="34">
        <f t="shared" si="38"/>
        <v>177956.34399999998</v>
      </c>
      <c r="DH11" s="34">
        <f t="shared" si="39"/>
        <v>5853.0593342981156</v>
      </c>
      <c r="DI11" s="36">
        <f t="shared" si="25"/>
        <v>2.7557247644883112E-2</v>
      </c>
      <c r="DJ11" s="225">
        <f t="shared" si="40"/>
        <v>0.71336167212657875</v>
      </c>
      <c r="DK11" s="225">
        <f t="shared" si="41"/>
        <v>0.59388579289812748</v>
      </c>
      <c r="DL11" s="34">
        <v>84033.42</v>
      </c>
      <c r="DM11">
        <f t="shared" si="49"/>
        <v>143039</v>
      </c>
      <c r="DN11" s="34">
        <f t="shared" si="42"/>
        <v>150115.19</v>
      </c>
      <c r="DO11" s="23">
        <v>0.78900000000000003</v>
      </c>
      <c r="DP11" s="23">
        <f t="shared" si="50"/>
        <v>0.89489059996666687</v>
      </c>
      <c r="DQ11" s="25">
        <f t="shared" si="43"/>
        <v>0.9162125952673239</v>
      </c>
      <c r="DR11" s="25">
        <f t="shared" si="44"/>
        <v>0.6990315256408498</v>
      </c>
    </row>
    <row r="12" spans="1:122" x14ac:dyDescent="0.25">
      <c r="A12" s="7" t="s">
        <v>3</v>
      </c>
      <c r="B12" s="7" t="s">
        <v>41</v>
      </c>
      <c r="C12" s="1">
        <f t="shared" si="0"/>
        <v>8</v>
      </c>
      <c r="D12" s="8">
        <v>8</v>
      </c>
      <c r="E12" s="8">
        <v>0</v>
      </c>
      <c r="F12" s="8">
        <v>0</v>
      </c>
      <c r="G12" s="8">
        <v>0</v>
      </c>
      <c r="H12" s="8">
        <v>0</v>
      </c>
      <c r="I12">
        <v>0</v>
      </c>
      <c r="J12">
        <v>0</v>
      </c>
      <c r="L12">
        <v>2</v>
      </c>
      <c r="M12" s="23">
        <f t="shared" si="1"/>
        <v>0.25</v>
      </c>
      <c r="N12" s="23">
        <f>M12/M75</f>
        <v>3.8795295236272492E-3</v>
      </c>
      <c r="O12">
        <v>0</v>
      </c>
      <c r="P12" s="23">
        <f t="shared" si="2"/>
        <v>0</v>
      </c>
      <c r="Q12" s="40">
        <f>P12/P75</f>
        <v>0</v>
      </c>
      <c r="R12" s="23">
        <f t="shared" si="3"/>
        <v>0.1875</v>
      </c>
      <c r="S12" s="40">
        <f>R12/R75</f>
        <v>3.6011752642238389E-3</v>
      </c>
      <c r="T12" s="40">
        <f t="shared" si="4"/>
        <v>2.909647142720437E-3</v>
      </c>
      <c r="U12" s="34">
        <v>0</v>
      </c>
      <c r="V12" s="34">
        <f t="shared" si="5"/>
        <v>0</v>
      </c>
      <c r="W12" s="34"/>
      <c r="X12" s="40">
        <f>V12/V75</f>
        <v>0</v>
      </c>
      <c r="Y12" s="47">
        <f t="shared" si="6"/>
        <v>1.7457882856322623E-3</v>
      </c>
      <c r="Z12" s="47">
        <v>-0.59699999999999998</v>
      </c>
      <c r="AA12" s="135">
        <v>-0.17399999999999999</v>
      </c>
      <c r="AB12" s="218">
        <v>6</v>
      </c>
      <c r="AC12" s="226">
        <v>-0.10190754498851758</v>
      </c>
      <c r="AD12" s="135">
        <f t="shared" si="7"/>
        <v>-0.16512041370699934</v>
      </c>
      <c r="AE12" s="298"/>
      <c r="AF12" s="298"/>
      <c r="AG12" s="23"/>
      <c r="AH12" s="23"/>
      <c r="AI12" s="53"/>
      <c r="AJ12" s="68"/>
      <c r="AK12" s="79"/>
      <c r="AL12" s="68"/>
      <c r="AM12" s="298"/>
      <c r="AN12" s="68"/>
      <c r="AO12" s="68"/>
      <c r="AP12" s="23"/>
      <c r="AQ12" s="23"/>
      <c r="AR12" s="23"/>
      <c r="AS12" s="23"/>
      <c r="AT12" s="26"/>
      <c r="AU12" s="23"/>
      <c r="AV12" s="23"/>
      <c r="AW12" s="26"/>
      <c r="AX12" s="26"/>
      <c r="AY12" s="26"/>
      <c r="AZ12" s="26"/>
      <c r="BA12" s="26"/>
      <c r="BE12" s="16"/>
      <c r="BF12">
        <v>3</v>
      </c>
      <c r="BG12">
        <v>3</v>
      </c>
      <c r="BH12">
        <f t="shared" si="8"/>
        <v>0</v>
      </c>
      <c r="BI12">
        <v>18</v>
      </c>
      <c r="BJ12">
        <v>0</v>
      </c>
      <c r="BK12" s="117">
        <v>18.238060000000001</v>
      </c>
      <c r="BL12">
        <f t="shared" si="45"/>
        <v>-15</v>
      </c>
      <c r="BM12">
        <v>3</v>
      </c>
      <c r="BN12">
        <v>0</v>
      </c>
      <c r="BO12" s="117">
        <f t="shared" si="26"/>
        <v>13.053540000000002</v>
      </c>
      <c r="BP12" s="34">
        <f t="shared" si="9"/>
        <v>25.578690000000002</v>
      </c>
      <c r="BQ12" s="117">
        <f t="shared" si="10"/>
        <v>19.636758321273518</v>
      </c>
      <c r="BR12" s="117">
        <v>18.816569999999999</v>
      </c>
      <c r="BS12" s="117">
        <f t="shared" si="27"/>
        <v>-19.636758321273518</v>
      </c>
      <c r="BT12" s="117">
        <f t="shared" si="28"/>
        <v>-18.816569999999999</v>
      </c>
      <c r="BU12" s="117">
        <f t="shared" si="29"/>
        <v>-15.238060000000001</v>
      </c>
      <c r="BV12" s="23">
        <v>-0.20599999999999999</v>
      </c>
      <c r="BW12" s="117">
        <f t="shared" si="30"/>
        <v>-13.053540000000002</v>
      </c>
      <c r="BX12" s="23">
        <f t="shared" si="31"/>
        <v>-0.15360801120910167</v>
      </c>
      <c r="BY12" s="34">
        <f t="shared" si="32"/>
        <v>-22.578690000000002</v>
      </c>
      <c r="BZ12" s="23">
        <f t="shared" ref="BZ12:BZ72" si="53">(BY12-BY$73)/BY$74</f>
        <v>-0.12772379901943109</v>
      </c>
      <c r="CA12" s="23">
        <f t="shared" si="12"/>
        <v>-0.13444696498186393</v>
      </c>
      <c r="CB12" s="23">
        <f t="shared" si="13"/>
        <v>-0.14180682276593157</v>
      </c>
      <c r="CC12" s="23">
        <f t="shared" si="46"/>
        <v>-0.17660411573972676</v>
      </c>
      <c r="CD12" s="117">
        <v>0</v>
      </c>
      <c r="CE12" s="117">
        <f t="shared" si="14"/>
        <v>18.816977999999999</v>
      </c>
      <c r="CF12" s="117">
        <f t="shared" si="33"/>
        <v>-18.816977999999999</v>
      </c>
      <c r="CG12" s="23">
        <f t="shared" si="15"/>
        <v>-0.16642593804957934</v>
      </c>
      <c r="CH12" s="26">
        <f t="shared" si="16"/>
        <v>-3.1361629999999998</v>
      </c>
      <c r="CI12" s="23">
        <f t="shared" si="17"/>
        <v>-1.1008992786500018</v>
      </c>
      <c r="CJ12" s="117">
        <v>0</v>
      </c>
      <c r="CK12" s="117">
        <v>0</v>
      </c>
      <c r="CL12" s="117">
        <f t="shared" si="18"/>
        <v>3.4881077999999999</v>
      </c>
      <c r="CM12" s="117">
        <f t="shared" si="19"/>
        <v>2.5962373371924747</v>
      </c>
      <c r="CN12" s="117">
        <f t="shared" si="34"/>
        <v>-3.4881077999999999</v>
      </c>
      <c r="CO12" s="117">
        <f t="shared" si="20"/>
        <v>-2.5962373371924747</v>
      </c>
      <c r="CP12" s="23">
        <f t="shared" si="35"/>
        <v>-0.19826066235499501</v>
      </c>
      <c r="CQ12" s="23">
        <f t="shared" si="21"/>
        <v>-0.13533328434963446</v>
      </c>
      <c r="CR12" s="23">
        <f t="shared" si="36"/>
        <v>-0.14535801485332206</v>
      </c>
      <c r="CS12" s="23">
        <f t="shared" si="37"/>
        <v>-0.14903932949423487</v>
      </c>
      <c r="CT12" s="26">
        <f t="shared" si="22"/>
        <v>-0.13466854482380655</v>
      </c>
      <c r="CU12" s="117">
        <v>3</v>
      </c>
      <c r="CV12" s="117">
        <f t="shared" si="47"/>
        <v>-3</v>
      </c>
      <c r="CW12" s="23">
        <v>-0.28199999999999997</v>
      </c>
      <c r="CX12" s="23">
        <v>-0.22500000000000001</v>
      </c>
      <c r="CY12" s="23">
        <f t="shared" si="48"/>
        <v>-0.20295308680479507</v>
      </c>
      <c r="CZ12" s="34">
        <v>0</v>
      </c>
      <c r="DA12" s="75">
        <v>0</v>
      </c>
      <c r="DB12" s="34">
        <v>20531</v>
      </c>
      <c r="DC12" s="34">
        <v>0</v>
      </c>
      <c r="DD12" s="34">
        <v>0</v>
      </c>
      <c r="DE12" s="34">
        <f t="shared" si="23"/>
        <v>14805.582000000002</v>
      </c>
      <c r="DF12" s="34">
        <f t="shared" si="24"/>
        <v>11296.367583212736</v>
      </c>
      <c r="DG12" s="34">
        <f t="shared" si="38"/>
        <v>-14805.582000000002</v>
      </c>
      <c r="DH12" s="34">
        <f t="shared" si="39"/>
        <v>-11296.367583212736</v>
      </c>
      <c r="DI12" s="36">
        <f t="shared" si="25"/>
        <v>-5.318531407226082E-2</v>
      </c>
      <c r="DJ12" s="36">
        <f t="shared" si="40"/>
        <v>-7.4420258002006315E-2</v>
      </c>
      <c r="DK12" s="36">
        <f t="shared" si="41"/>
        <v>-0.10207525252318825</v>
      </c>
      <c r="DL12" s="34">
        <v>18148.73</v>
      </c>
      <c r="DM12">
        <f t="shared" si="49"/>
        <v>-20531</v>
      </c>
      <c r="DN12" s="34">
        <f t="shared" si="42"/>
        <v>-18148.73</v>
      </c>
      <c r="DO12" s="23">
        <v>-9.9000000000000005E-2</v>
      </c>
      <c r="DP12" s="23">
        <f t="shared" si="50"/>
        <v>-0.10837140406030574</v>
      </c>
      <c r="DQ12" s="23">
        <f t="shared" si="43"/>
        <v>-0.11698291211279577</v>
      </c>
      <c r="DR12" s="23">
        <f t="shared" si="44"/>
        <v>-0.11069772332544525</v>
      </c>
    </row>
    <row r="13" spans="1:122" x14ac:dyDescent="0.25">
      <c r="A13" s="7" t="s">
        <v>43</v>
      </c>
      <c r="B13" s="7" t="s">
        <v>44</v>
      </c>
      <c r="C13" s="1">
        <f t="shared" si="0"/>
        <v>19</v>
      </c>
      <c r="D13">
        <v>1</v>
      </c>
      <c r="E13">
        <v>0</v>
      </c>
      <c r="F13">
        <v>0</v>
      </c>
      <c r="G13">
        <v>18</v>
      </c>
      <c r="H13">
        <v>0</v>
      </c>
      <c r="I13">
        <v>0</v>
      </c>
      <c r="J13">
        <v>0</v>
      </c>
      <c r="L13">
        <v>13</v>
      </c>
      <c r="M13" s="23">
        <f t="shared" si="1"/>
        <v>0.68421052631578949</v>
      </c>
      <c r="N13" s="23">
        <f>M13/M75</f>
        <v>1.0617659748874577E-2</v>
      </c>
      <c r="O13">
        <v>1.5</v>
      </c>
      <c r="P13" s="23">
        <f t="shared" si="2"/>
        <v>7.8947368421052627E-2</v>
      </c>
      <c r="Q13" s="40">
        <f>P13/P75</f>
        <v>5.2832582885209154E-3</v>
      </c>
      <c r="R13" s="23">
        <f t="shared" si="3"/>
        <v>0.53289473684210531</v>
      </c>
      <c r="S13" s="40">
        <f>R13/R75</f>
        <v>1.0234919172004597E-2</v>
      </c>
      <c r="T13" s="40">
        <f t="shared" si="4"/>
        <v>9.2840593837861616E-3</v>
      </c>
      <c r="U13" s="34">
        <v>235749</v>
      </c>
      <c r="V13" s="70">
        <f t="shared" si="5"/>
        <v>12407.842105263158</v>
      </c>
      <c r="W13" s="70"/>
      <c r="X13" s="40">
        <f>V13/V75</f>
        <v>0.15933411439420767</v>
      </c>
      <c r="Y13" s="46">
        <f t="shared" si="6"/>
        <v>6.9304081387954769E-2</v>
      </c>
      <c r="Z13" s="46">
        <v>0.51300000000000001</v>
      </c>
      <c r="AA13" s="137">
        <v>1.087</v>
      </c>
      <c r="AB13" s="218">
        <v>19</v>
      </c>
      <c r="AC13" s="227">
        <v>0.30711347277277168</v>
      </c>
      <c r="AD13" s="137">
        <f t="shared" si="7"/>
        <v>0.77686917135663536</v>
      </c>
      <c r="AE13" s="298">
        <v>61504.644774458429</v>
      </c>
      <c r="AF13" s="298">
        <f>AO13*BE$33</f>
        <v>28868.128285573308</v>
      </c>
      <c r="AG13" s="23">
        <f>C13*AV13</f>
        <v>1.4706971444847967</v>
      </c>
      <c r="AH13" s="66" t="e">
        <f>AP13*BE$9</f>
        <v>#DIV/0!</v>
      </c>
      <c r="AI13" s="65" t="e">
        <f>AQ13*BE$17</f>
        <v>#DIV/0!</v>
      </c>
      <c r="AJ13" s="65" t="e">
        <f>SUM(AK13:AL13)</f>
        <v>#DIV/0!</v>
      </c>
      <c r="AK13" s="68"/>
      <c r="AL13" s="65" t="e">
        <f>AS13*BE$27</f>
        <v>#DIV/0!</v>
      </c>
      <c r="AM13" s="298">
        <f>AVERAGE(AE13:AF13)</f>
        <v>45186.386530015865</v>
      </c>
      <c r="AN13" s="65">
        <f>AM13+(AM$74*AZ13)</f>
        <v>48242.400740900033</v>
      </c>
      <c r="AO13" s="68">
        <f>AB13*AZ13</f>
        <v>0.51162839102209501</v>
      </c>
      <c r="AP13" s="23" t="e">
        <f>AB13*BA13</f>
        <v>#DIV/0!</v>
      </c>
      <c r="AQ13" s="23" t="e">
        <f>AB13*AW13</f>
        <v>#DIV/0!</v>
      </c>
      <c r="AR13" s="23"/>
      <c r="AS13" s="23" t="e">
        <f>AB13*AY13</f>
        <v>#DIV/0!</v>
      </c>
      <c r="AT13" s="79"/>
      <c r="AU13" s="23"/>
      <c r="AV13" s="23">
        <f>AA13/BB$2</f>
        <v>7.7405112867620876E-2</v>
      </c>
      <c r="AW13" s="26" t="e">
        <f>DQ13/BE$15</f>
        <v>#DIV/0!</v>
      </c>
      <c r="AX13" s="26"/>
      <c r="AY13" s="26" t="e">
        <f>DJ13/BE$22</f>
        <v>#DIV/0!</v>
      </c>
      <c r="AZ13" s="26">
        <f>DR13/BE$30</f>
        <v>2.6927810053794476E-2</v>
      </c>
      <c r="BA13" s="236" t="e">
        <f>AC13/BE$5</f>
        <v>#DIV/0!</v>
      </c>
      <c r="BE13" s="16"/>
      <c r="BF13">
        <v>22</v>
      </c>
      <c r="BG13">
        <v>22</v>
      </c>
      <c r="BH13">
        <f t="shared" si="8"/>
        <v>0</v>
      </c>
      <c r="BI13">
        <v>43</v>
      </c>
      <c r="BJ13">
        <v>38</v>
      </c>
      <c r="BK13" s="117">
        <v>43.315379999999998</v>
      </c>
      <c r="BL13">
        <f t="shared" si="45"/>
        <v>-21</v>
      </c>
      <c r="BM13">
        <v>60</v>
      </c>
      <c r="BN13">
        <v>32</v>
      </c>
      <c r="BO13" s="117">
        <f t="shared" si="26"/>
        <v>41.336210000000001</v>
      </c>
      <c r="BP13" s="34">
        <f t="shared" si="9"/>
        <v>80.999184999999997</v>
      </c>
      <c r="BQ13" s="117">
        <f t="shared" si="10"/>
        <v>62.183068017366139</v>
      </c>
      <c r="BR13" s="117">
        <v>59.585799999999999</v>
      </c>
      <c r="BS13" s="117">
        <f t="shared" si="27"/>
        <v>-24.183068017366139</v>
      </c>
      <c r="BT13" s="117">
        <f t="shared" si="28"/>
        <v>-21.585799999999999</v>
      </c>
      <c r="BU13" s="117">
        <f t="shared" si="29"/>
        <v>-21.315379999999998</v>
      </c>
      <c r="BV13" s="23">
        <v>-0.25900000000000001</v>
      </c>
      <c r="BW13" s="117">
        <f t="shared" si="30"/>
        <v>-9.3362100000000012</v>
      </c>
      <c r="BX13" s="23">
        <f t="shared" si="31"/>
        <v>-0.11831110612053543</v>
      </c>
      <c r="BY13" s="34">
        <f t="shared" si="32"/>
        <v>-20.999184999999997</v>
      </c>
      <c r="BZ13" s="23">
        <f t="shared" si="53"/>
        <v>-0.11920260147952712</v>
      </c>
      <c r="CA13" s="23">
        <f t="shared" si="12"/>
        <v>-0.16557417704542984</v>
      </c>
      <c r="CB13" s="23">
        <f t="shared" si="13"/>
        <v>-0.18358045493409653</v>
      </c>
      <c r="CC13" s="23">
        <f t="shared" si="46"/>
        <v>-0.23171371613583666</v>
      </c>
      <c r="CD13" s="117">
        <v>1</v>
      </c>
      <c r="CE13" s="117">
        <f t="shared" si="14"/>
        <v>59.587097</v>
      </c>
      <c r="CF13" s="117">
        <f t="shared" si="33"/>
        <v>-21.587097</v>
      </c>
      <c r="CG13" s="23">
        <f t="shared" si="15"/>
        <v>-0.18546696335756302</v>
      </c>
      <c r="CH13" s="26">
        <f t="shared" si="16"/>
        <v>-1.136163</v>
      </c>
      <c r="CI13" s="23">
        <f t="shared" si="17"/>
        <v>-0.42191634886632473</v>
      </c>
      <c r="CJ13" s="117">
        <v>0</v>
      </c>
      <c r="CK13" s="117">
        <v>1</v>
      </c>
      <c r="CL13" s="117">
        <f t="shared" si="18"/>
        <v>11.045674700000001</v>
      </c>
      <c r="CM13" s="117">
        <f t="shared" si="19"/>
        <v>8.2214182344428366</v>
      </c>
      <c r="CN13" s="117">
        <f t="shared" si="34"/>
        <v>-10.045674700000001</v>
      </c>
      <c r="CO13" s="117">
        <f t="shared" si="20"/>
        <v>-8.2214182344428366</v>
      </c>
      <c r="CP13" s="23">
        <f t="shared" si="35"/>
        <v>-0.40541961652586578</v>
      </c>
      <c r="CQ13" s="23">
        <f t="shared" si="21"/>
        <v>-0.42855540044050916</v>
      </c>
      <c r="CR13" s="23">
        <f t="shared" si="36"/>
        <v>-0.1907568552411118</v>
      </c>
      <c r="CS13" s="23">
        <f t="shared" si="37"/>
        <v>-0.19587217970052886</v>
      </c>
      <c r="CT13" s="26">
        <f t="shared" si="22"/>
        <v>-0.23131948289419968</v>
      </c>
      <c r="CU13" s="117">
        <v>6</v>
      </c>
      <c r="CV13" s="117">
        <f t="shared" si="47"/>
        <v>-5</v>
      </c>
      <c r="CW13" s="23">
        <v>-0.36099999999999999</v>
      </c>
      <c r="CX13" s="23">
        <v>-0.28499999999999998</v>
      </c>
      <c r="CY13" s="23">
        <f t="shared" si="48"/>
        <v>-0.26403528710187751</v>
      </c>
      <c r="CZ13" s="34">
        <v>621555</v>
      </c>
      <c r="DA13" s="75">
        <v>432556.23</v>
      </c>
      <c r="DB13" s="34">
        <v>44667</v>
      </c>
      <c r="DC13" s="34">
        <v>272279</v>
      </c>
      <c r="DD13" s="34">
        <v>328068</v>
      </c>
      <c r="DE13" s="34">
        <f t="shared" si="23"/>
        <v>46884.343000000001</v>
      </c>
      <c r="DF13" s="34">
        <f t="shared" si="24"/>
        <v>35771.830680173662</v>
      </c>
      <c r="DG13" s="34">
        <f t="shared" si="38"/>
        <v>281183.65700000001</v>
      </c>
      <c r="DH13" s="34">
        <f t="shared" si="39"/>
        <v>236507.16931982635</v>
      </c>
      <c r="DI13" s="36">
        <f t="shared" si="25"/>
        <v>1.1135179506117747</v>
      </c>
      <c r="DJ13" s="225">
        <f t="shared" si="40"/>
        <v>1.1352323888423248</v>
      </c>
      <c r="DK13" s="225">
        <f t="shared" si="41"/>
        <v>0.30661549050819015</v>
      </c>
      <c r="DL13" s="34">
        <v>40369.43</v>
      </c>
      <c r="DM13">
        <f t="shared" si="49"/>
        <v>576888</v>
      </c>
      <c r="DN13" s="34">
        <f t="shared" si="42"/>
        <v>392186.8</v>
      </c>
      <c r="DO13" s="23">
        <v>3.1440000000000001</v>
      </c>
      <c r="DP13" s="23">
        <f t="shared" si="50"/>
        <v>2.3382258590444045</v>
      </c>
      <c r="DQ13" s="25">
        <f t="shared" si="43"/>
        <v>0.33963884239226289</v>
      </c>
      <c r="DR13" s="25">
        <f t="shared" si="44"/>
        <v>0.32788387242439265</v>
      </c>
    </row>
    <row r="14" spans="1:122" x14ac:dyDescent="0.25">
      <c r="A14" s="9" t="s">
        <v>43</v>
      </c>
      <c r="B14" s="9" t="s">
        <v>47</v>
      </c>
      <c r="C14" s="10">
        <f t="shared" si="0"/>
        <v>7</v>
      </c>
      <c r="D14">
        <v>0</v>
      </c>
      <c r="E14">
        <v>0</v>
      </c>
      <c r="F14">
        <v>0</v>
      </c>
      <c r="G14">
        <v>0</v>
      </c>
      <c r="H14">
        <v>7</v>
      </c>
      <c r="I14">
        <v>0</v>
      </c>
      <c r="J14">
        <v>0</v>
      </c>
      <c r="L14">
        <v>6</v>
      </c>
      <c r="M14" s="23">
        <f t="shared" si="1"/>
        <v>0.8571428571428571</v>
      </c>
      <c r="N14" s="23">
        <f>M14/M75</f>
        <v>1.3301244081007711E-2</v>
      </c>
      <c r="O14">
        <v>1</v>
      </c>
      <c r="P14" s="23">
        <f t="shared" si="2"/>
        <v>0.14285714285714285</v>
      </c>
      <c r="Q14" s="40">
        <f>P14/P75</f>
        <v>9.5601816649426088E-3</v>
      </c>
      <c r="R14" s="23">
        <f t="shared" si="3"/>
        <v>0.67857142857142849</v>
      </c>
      <c r="S14" s="40">
        <f>R14/R75</f>
        <v>1.3032824765762464E-2</v>
      </c>
      <c r="T14" s="40">
        <f t="shared" si="4"/>
        <v>1.2365978476991436E-2</v>
      </c>
      <c r="U14" s="34">
        <v>0</v>
      </c>
      <c r="V14" s="34">
        <f t="shared" si="5"/>
        <v>0</v>
      </c>
      <c r="W14" s="34"/>
      <c r="X14" s="40">
        <f>V14/V75</f>
        <v>0</v>
      </c>
      <c r="Y14" s="47">
        <f t="shared" si="6"/>
        <v>7.4195870861948612E-3</v>
      </c>
      <c r="Z14" s="47">
        <v>-0.58599999999999997</v>
      </c>
      <c r="AA14" s="135">
        <v>-0.105</v>
      </c>
      <c r="AB14" s="218">
        <v>6</v>
      </c>
      <c r="AC14" s="226">
        <v>-4.1679723248819842E-2</v>
      </c>
      <c r="AD14" s="135">
        <f t="shared" si="7"/>
        <v>-9.3905075587330938E-2</v>
      </c>
      <c r="AE14" s="298"/>
      <c r="AF14" s="298"/>
      <c r="AG14" s="23"/>
      <c r="AH14" s="23"/>
      <c r="AI14" s="53"/>
      <c r="AJ14" s="68"/>
      <c r="AK14" s="79"/>
      <c r="AL14" s="68"/>
      <c r="AM14" s="298"/>
      <c r="AN14" s="68"/>
      <c r="AO14" s="68"/>
      <c r="AP14" s="23"/>
      <c r="AQ14" s="23"/>
      <c r="AR14" s="23"/>
      <c r="AS14" s="23"/>
      <c r="AT14" s="67"/>
      <c r="AU14" s="23"/>
      <c r="AV14" s="23"/>
      <c r="AW14" s="26"/>
      <c r="AX14" s="26"/>
      <c r="AY14" s="26"/>
      <c r="AZ14" s="26"/>
      <c r="BA14" s="26"/>
      <c r="BE14" s="308"/>
      <c r="BF14">
        <v>14</v>
      </c>
      <c r="BG14">
        <v>14</v>
      </c>
      <c r="BH14">
        <f t="shared" si="8"/>
        <v>0</v>
      </c>
      <c r="BI14">
        <v>16</v>
      </c>
      <c r="BJ14">
        <v>17</v>
      </c>
      <c r="BK14" s="117">
        <v>15.958299999999999</v>
      </c>
      <c r="BL14">
        <f t="shared" si="45"/>
        <v>-2</v>
      </c>
      <c r="BM14">
        <v>27</v>
      </c>
      <c r="BN14">
        <v>10</v>
      </c>
      <c r="BO14" s="117">
        <f t="shared" si="26"/>
        <v>13.053540000000002</v>
      </c>
      <c r="BP14" s="34">
        <f t="shared" si="9"/>
        <v>25.578690000000002</v>
      </c>
      <c r="BQ14" s="117">
        <f t="shared" si="10"/>
        <v>19.636758321273518</v>
      </c>
      <c r="BR14">
        <v>19</v>
      </c>
      <c r="BS14" s="117">
        <f>BJ14-BQ14</f>
        <v>-2.6367583212735184</v>
      </c>
      <c r="BT14" s="117">
        <f>BJ14-BR14</f>
        <v>-2</v>
      </c>
      <c r="BU14" s="117">
        <f t="shared" si="29"/>
        <v>-1.9582999999999995</v>
      </c>
      <c r="BV14" s="23">
        <v>-8.8999999999999996E-2</v>
      </c>
      <c r="BW14" s="117">
        <f t="shared" si="30"/>
        <v>-3.0535400000000017</v>
      </c>
      <c r="BX14" s="23">
        <f t="shared" si="31"/>
        <v>-5.8655706494249261E-2</v>
      </c>
      <c r="BY14" s="34">
        <f t="shared" si="32"/>
        <v>1.4213099999999983</v>
      </c>
      <c r="BZ14" s="23">
        <f t="shared" si="53"/>
        <v>1.7526768117279191E-3</v>
      </c>
      <c r="CA14" s="23">
        <f t="shared" si="12"/>
        <v>-1.8053089409459461E-2</v>
      </c>
      <c r="CB14" s="23">
        <f t="shared" si="13"/>
        <v>-5.0525828919711489E-2</v>
      </c>
      <c r="CC14" s="23">
        <f t="shared" si="46"/>
        <v>-5.6182241137723757E-2</v>
      </c>
      <c r="CD14" s="117">
        <v>1</v>
      </c>
      <c r="CE14" s="117">
        <f t="shared" si="14"/>
        <v>18.816977999999999</v>
      </c>
      <c r="CF14" s="117">
        <f t="shared" si="33"/>
        <v>-1.8169779999999989</v>
      </c>
      <c r="CG14" s="23">
        <f t="shared" si="15"/>
        <v>-4.9572680035854182E-2</v>
      </c>
      <c r="CH14" s="26">
        <f t="shared" si="16"/>
        <v>-0.3028296666666665</v>
      </c>
      <c r="CI14" s="23">
        <f t="shared" si="17"/>
        <v>-0.13900679478979253</v>
      </c>
      <c r="CJ14" s="117">
        <v>1</v>
      </c>
      <c r="CK14" s="117">
        <v>2</v>
      </c>
      <c r="CL14" s="117">
        <f t="shared" si="18"/>
        <v>3.4881077999999999</v>
      </c>
      <c r="CM14" s="117">
        <f t="shared" si="19"/>
        <v>2.5962373371924747</v>
      </c>
      <c r="CN14" s="117">
        <f t="shared" si="34"/>
        <v>-1.4881077999999999</v>
      </c>
      <c r="CO14" s="117">
        <f t="shared" si="20"/>
        <v>-1.5962373371924747</v>
      </c>
      <c r="CP14" s="23">
        <f t="shared" si="35"/>
        <v>-0.13507901058385693</v>
      </c>
      <c r="CQ14" s="23">
        <f t="shared" si="21"/>
        <v>-8.3206584524886745E-2</v>
      </c>
      <c r="CR14" s="23">
        <f t="shared" si="36"/>
        <v>-3.2455245037168297E-2</v>
      </c>
      <c r="CS14" s="23">
        <f t="shared" si="37"/>
        <v>-6.4793426001908627E-2</v>
      </c>
      <c r="CT14" s="26">
        <f t="shared" si="22"/>
        <v>-3.4341463188316282E-2</v>
      </c>
      <c r="CU14" s="117">
        <v>2</v>
      </c>
      <c r="CV14" s="117">
        <f t="shared" si="47"/>
        <v>-1</v>
      </c>
      <c r="CW14" s="23">
        <v>-0.20200000000000001</v>
      </c>
      <c r="CX14" s="23">
        <v>-0.11799999999999999</v>
      </c>
      <c r="CY14" s="23">
        <f t="shared" si="48"/>
        <v>-9.2636680853292824E-2</v>
      </c>
      <c r="CZ14" s="34">
        <v>0</v>
      </c>
      <c r="DA14" s="75">
        <v>0</v>
      </c>
      <c r="DB14" s="34">
        <v>18209</v>
      </c>
      <c r="DC14" s="34">
        <v>0</v>
      </c>
      <c r="DD14" s="34">
        <v>0</v>
      </c>
      <c r="DE14" s="34">
        <f t="shared" si="23"/>
        <v>14805.582000000002</v>
      </c>
      <c r="DF14" s="34">
        <f t="shared" si="24"/>
        <v>11296.367583212736</v>
      </c>
      <c r="DG14" s="34">
        <f t="shared" si="38"/>
        <v>-14805.582000000002</v>
      </c>
      <c r="DH14" s="34">
        <f t="shared" si="39"/>
        <v>-11296.367583212736</v>
      </c>
      <c r="DI14" s="36">
        <f t="shared" si="25"/>
        <v>-5.318531407226082E-2</v>
      </c>
      <c r="DJ14" s="36">
        <f t="shared" si="40"/>
        <v>-7.4420258002006315E-2</v>
      </c>
      <c r="DK14" s="36">
        <f>(0.6*CT14)+(0.4*DI14)</f>
        <v>-4.1879003541894097E-2</v>
      </c>
      <c r="DL14" s="34">
        <v>16041.58</v>
      </c>
      <c r="DM14">
        <f t="shared" si="49"/>
        <v>-18209</v>
      </c>
      <c r="DN14" s="34">
        <f t="shared" si="42"/>
        <v>-16041.58</v>
      </c>
      <c r="DO14" s="23">
        <v>-8.5999999999999993E-2</v>
      </c>
      <c r="DP14" s="23">
        <f t="shared" si="50"/>
        <v>-9.5807667688388123E-2</v>
      </c>
      <c r="DQ14" s="23">
        <f t="shared" si="43"/>
        <v>-4.9241250223103508E-2</v>
      </c>
      <c r="DR14" s="23">
        <f t="shared" si="44"/>
        <v>-6.0150181230049504E-2</v>
      </c>
    </row>
    <row r="15" spans="1:122" x14ac:dyDescent="0.25">
      <c r="A15" s="9" t="s">
        <v>43</v>
      </c>
      <c r="B15" s="9" t="s">
        <v>49</v>
      </c>
      <c r="C15" s="10">
        <f t="shared" si="0"/>
        <v>12</v>
      </c>
      <c r="D15">
        <v>4</v>
      </c>
      <c r="E15">
        <v>0</v>
      </c>
      <c r="F15">
        <v>0</v>
      </c>
      <c r="G15">
        <v>0</v>
      </c>
      <c r="H15">
        <v>8</v>
      </c>
      <c r="I15">
        <v>0</v>
      </c>
      <c r="J15">
        <v>0</v>
      </c>
      <c r="L15">
        <v>4.5</v>
      </c>
      <c r="M15" s="23">
        <f t="shared" si="1"/>
        <v>0.375</v>
      </c>
      <c r="N15" s="23">
        <f>M15/M75</f>
        <v>5.8192942854408741E-3</v>
      </c>
      <c r="O15">
        <v>0</v>
      </c>
      <c r="P15" s="23">
        <f t="shared" si="2"/>
        <v>0</v>
      </c>
      <c r="Q15" s="40">
        <f>P15/P75</f>
        <v>0</v>
      </c>
      <c r="R15" s="23">
        <f t="shared" si="3"/>
        <v>0.28125</v>
      </c>
      <c r="S15" s="40">
        <f>R15/R75</f>
        <v>5.4017628963357583E-3</v>
      </c>
      <c r="T15" s="40">
        <f t="shared" si="4"/>
        <v>4.3644707140806554E-3</v>
      </c>
      <c r="U15" s="34">
        <v>0</v>
      </c>
      <c r="V15" s="34">
        <f t="shared" si="5"/>
        <v>0</v>
      </c>
      <c r="W15" s="34"/>
      <c r="X15" s="40">
        <f>V15/V75</f>
        <v>0</v>
      </c>
      <c r="Y15" s="47">
        <f t="shared" si="6"/>
        <v>2.6186824284483933E-3</v>
      </c>
      <c r="Z15" s="47">
        <v>-0.74</v>
      </c>
      <c r="AA15" s="135">
        <v>-0.156</v>
      </c>
      <c r="AB15" s="218">
        <v>7</v>
      </c>
      <c r="AC15" s="226">
        <v>-1.7430159900870407E-3</v>
      </c>
      <c r="AD15" s="135">
        <f>(0.6*CY15)+(0.4*DP15)</f>
        <v>-0.14639733028006488</v>
      </c>
      <c r="AE15" s="298"/>
      <c r="AF15" s="298"/>
      <c r="AG15" s="23"/>
      <c r="AH15" s="23"/>
      <c r="AI15" s="53"/>
      <c r="AJ15" s="68"/>
      <c r="AK15" s="79"/>
      <c r="AL15" s="68"/>
      <c r="AM15" s="298"/>
      <c r="AN15" s="68"/>
      <c r="AO15" s="68"/>
      <c r="AP15" s="23"/>
      <c r="AQ15" s="23"/>
      <c r="AR15" s="23"/>
      <c r="AS15" s="23"/>
      <c r="AT15" s="79"/>
      <c r="AU15" s="23"/>
      <c r="AV15" s="23"/>
      <c r="AW15" s="26"/>
      <c r="AX15" s="26"/>
      <c r="AY15" s="26"/>
      <c r="AZ15" s="26"/>
      <c r="BA15" s="26"/>
      <c r="BE15" s="26"/>
      <c r="BF15">
        <v>23</v>
      </c>
      <c r="BG15">
        <v>23</v>
      </c>
      <c r="BH15">
        <f>BF15-BG15</f>
        <v>0</v>
      </c>
      <c r="BI15">
        <v>27</v>
      </c>
      <c r="BJ15">
        <v>38</v>
      </c>
      <c r="BK15" s="117">
        <v>27.35708</v>
      </c>
      <c r="BL15">
        <f t="shared" ref="BL15:BL24" si="54">BF15-BI15</f>
        <v>-4</v>
      </c>
      <c r="BM15">
        <v>39</v>
      </c>
      <c r="BN15">
        <v>18</v>
      </c>
      <c r="BO15" s="117">
        <f t="shared" si="26"/>
        <v>15.229130000000001</v>
      </c>
      <c r="BP15" s="34">
        <f t="shared" si="9"/>
        <v>29.841805000000001</v>
      </c>
      <c r="BQ15" s="117">
        <f t="shared" si="10"/>
        <v>22.909551374819102</v>
      </c>
      <c r="BR15" s="117">
        <v>21.952660000000002</v>
      </c>
      <c r="BS15" s="117">
        <f t="shared" ref="BS15:BS24" si="55">BJ15-BQ15</f>
        <v>15.090448625180898</v>
      </c>
      <c r="BT15" s="117">
        <f t="shared" ref="BT15:BT24" si="56">BJ15-BR15</f>
        <v>16.047339999999998</v>
      </c>
      <c r="BU15" s="117">
        <f t="shared" si="29"/>
        <v>-4.3570799999999998</v>
      </c>
      <c r="BV15" s="23">
        <v>-0.107</v>
      </c>
      <c r="BW15" s="117">
        <f t="shared" si="30"/>
        <v>2.7708699999999986</v>
      </c>
      <c r="BX15" s="23">
        <f t="shared" si="31"/>
        <v>-3.3515911838259134E-3</v>
      </c>
      <c r="BY15" s="34">
        <f t="shared" si="32"/>
        <v>9.1581949999999992</v>
      </c>
      <c r="BZ15" s="23">
        <f t="shared" si="53"/>
        <v>4.3492035299684449E-2</v>
      </c>
      <c r="CA15" s="23">
        <f t="shared" si="12"/>
        <v>0.10331975291829815</v>
      </c>
      <c r="CB15" s="23">
        <f t="shared" si="13"/>
        <v>-6.7014306303221111E-2</v>
      </c>
      <c r="CC15" s="23">
        <f t="shared" si="46"/>
        <v>-7.7934560784900575E-2</v>
      </c>
      <c r="CD15" s="117">
        <v>0</v>
      </c>
      <c r="CE15" s="117">
        <f t="shared" si="14"/>
        <v>21.953140999999999</v>
      </c>
      <c r="CF15" s="117">
        <f t="shared" si="33"/>
        <v>16.046859000000001</v>
      </c>
      <c r="CG15" s="23">
        <f t="shared" si="15"/>
        <v>7.3218352556859365E-2</v>
      </c>
      <c r="CH15" s="26">
        <f t="shared" si="16"/>
        <v>2.2924084285714286</v>
      </c>
      <c r="CI15" s="25">
        <f t="shared" si="17"/>
        <v>0.74205438790569334</v>
      </c>
      <c r="CJ15" s="117">
        <v>0</v>
      </c>
      <c r="CK15" s="117">
        <v>0</v>
      </c>
      <c r="CL15" s="117">
        <f t="shared" si="18"/>
        <v>4.0694591000000004</v>
      </c>
      <c r="CM15" s="117">
        <f t="shared" si="19"/>
        <v>3.0289435600578871</v>
      </c>
      <c r="CN15" s="117">
        <f t="shared" si="34"/>
        <v>-4.0694591000000004</v>
      </c>
      <c r="CO15" s="117">
        <f t="shared" si="20"/>
        <v>-3.0289435600578871</v>
      </c>
      <c r="CP15" s="23">
        <f t="shared" si="35"/>
        <v>-0.21662603005164424</v>
      </c>
      <c r="CQ15" s="23">
        <f t="shared" si="21"/>
        <v>-0.15788883174124022</v>
      </c>
      <c r="CR15" s="23">
        <f t="shared" si="36"/>
        <v>-2.1537481038147725E-2</v>
      </c>
      <c r="CS15" s="23">
        <f t="shared" si="37"/>
        <v>-4.1985901323179489E-2</v>
      </c>
      <c r="CT15" s="26">
        <f t="shared" si="22"/>
        <v>3.8017606753413556E-2</v>
      </c>
      <c r="CU15" s="117">
        <v>4</v>
      </c>
      <c r="CV15" s="117">
        <f t="shared" si="47"/>
        <v>-4</v>
      </c>
      <c r="CW15" s="23">
        <v>-0.32200000000000001</v>
      </c>
      <c r="CX15" s="23">
        <v>-0.161</v>
      </c>
      <c r="CY15" s="23">
        <f t="shared" si="48"/>
        <v>-0.13895092058867542</v>
      </c>
      <c r="CZ15" s="34">
        <v>0</v>
      </c>
      <c r="DA15" s="75">
        <v>0</v>
      </c>
      <c r="DB15" s="34">
        <v>29556</v>
      </c>
      <c r="DC15" s="34">
        <v>0</v>
      </c>
      <c r="DD15" s="34">
        <v>0</v>
      </c>
      <c r="DE15" s="34">
        <f t="shared" si="23"/>
        <v>17273.179</v>
      </c>
      <c r="DF15" s="34">
        <f t="shared" si="24"/>
        <v>13179.095513748191</v>
      </c>
      <c r="DG15" s="34">
        <f t="shared" si="38"/>
        <v>-17273.179</v>
      </c>
      <c r="DH15" s="34">
        <f t="shared" si="39"/>
        <v>-13179.095513748191</v>
      </c>
      <c r="DI15" s="36">
        <f t="shared" si="25"/>
        <v>-6.2049533084304283E-2</v>
      </c>
      <c r="DJ15" s="36">
        <f t="shared" si="40"/>
        <v>-8.4504865308946714E-2</v>
      </c>
      <c r="DK15" s="36">
        <f t="shared" ref="DK15:DK24" si="57">(0.6*CT15)+(0.4*DI15)</f>
        <v>-2.0092491816735836E-3</v>
      </c>
      <c r="DL15" s="34">
        <v>26399.65</v>
      </c>
      <c r="DM15">
        <f t="shared" ref="DM15:DM24" si="58">CZ15-DB15</f>
        <v>-29556</v>
      </c>
      <c r="DN15" s="34">
        <f t="shared" si="42"/>
        <v>-26399.65</v>
      </c>
      <c r="DO15" s="23">
        <v>-0.14799999999999999</v>
      </c>
      <c r="DP15" s="23">
        <f t="shared" si="50"/>
        <v>-0.15756694481714908</v>
      </c>
      <c r="DQ15" s="23">
        <f t="shared" si="43"/>
        <v>-4.6724434746467321E-2</v>
      </c>
      <c r="DR15" s="23">
        <f t="shared" si="44"/>
        <v>-5.0011354027629407E-2</v>
      </c>
    </row>
    <row r="16" spans="1:122" x14ac:dyDescent="0.25">
      <c r="A16" s="9" t="s">
        <v>43</v>
      </c>
      <c r="B16" s="9" t="s">
        <v>50</v>
      </c>
      <c r="C16" s="10">
        <f t="shared" si="0"/>
        <v>11</v>
      </c>
      <c r="D16">
        <v>5</v>
      </c>
      <c r="E16">
        <v>0</v>
      </c>
      <c r="F16">
        <v>0</v>
      </c>
      <c r="G16">
        <v>0</v>
      </c>
      <c r="H16">
        <v>6</v>
      </c>
      <c r="I16">
        <v>0</v>
      </c>
      <c r="J16">
        <v>0</v>
      </c>
      <c r="L16">
        <v>1</v>
      </c>
      <c r="M16" s="23">
        <f t="shared" si="1"/>
        <v>9.0909090909090912E-2</v>
      </c>
      <c r="N16" s="23">
        <f>M16/M75</f>
        <v>1.4107380085917271E-3</v>
      </c>
      <c r="O16">
        <v>0</v>
      </c>
      <c r="P16" s="23">
        <f t="shared" si="2"/>
        <v>0</v>
      </c>
      <c r="Q16" s="40">
        <f>P16/P75</f>
        <v>0</v>
      </c>
      <c r="R16" s="23">
        <f t="shared" si="3"/>
        <v>6.8181818181818177E-2</v>
      </c>
      <c r="S16" s="40">
        <f>R16/R75</f>
        <v>1.3095182778995777E-3</v>
      </c>
      <c r="T16" s="40">
        <f t="shared" si="4"/>
        <v>1.0580535064437953E-3</v>
      </c>
      <c r="U16" s="34">
        <v>0</v>
      </c>
      <c r="V16" s="34">
        <f t="shared" si="5"/>
        <v>0</v>
      </c>
      <c r="W16" s="34"/>
      <c r="X16" s="40">
        <f>V16/V75</f>
        <v>0</v>
      </c>
      <c r="Y16" s="47">
        <f t="shared" si="6"/>
        <v>6.3483210386627712E-4</v>
      </c>
      <c r="Z16" s="47">
        <v>-0.57199999999999995</v>
      </c>
      <c r="AA16" s="135">
        <v>-0.219</v>
      </c>
      <c r="AB16" s="218">
        <v>5</v>
      </c>
      <c r="AC16" s="226">
        <v>-7.5674339433688786E-2</v>
      </c>
      <c r="AD16" s="135">
        <f>(0.6*CY16)+(0.4*DP16)</f>
        <v>-0.20976137849784438</v>
      </c>
      <c r="AE16" s="298"/>
      <c r="AF16" s="298"/>
      <c r="AG16" s="23"/>
      <c r="AH16" s="23"/>
      <c r="AI16" s="53"/>
      <c r="AJ16" s="68"/>
      <c r="AK16" s="79"/>
      <c r="AL16" s="68"/>
      <c r="AM16" s="298"/>
      <c r="AN16" s="68"/>
      <c r="AO16" s="68"/>
      <c r="AP16" s="23"/>
      <c r="AQ16" s="23"/>
      <c r="AR16" s="23"/>
      <c r="AS16" s="23"/>
      <c r="AT16" s="67"/>
      <c r="AU16" s="23"/>
      <c r="AV16" s="23"/>
      <c r="AW16" s="26"/>
      <c r="AX16" s="26"/>
      <c r="AY16" s="26"/>
      <c r="AZ16" s="26"/>
      <c r="BA16" s="26"/>
      <c r="BE16" s="81"/>
      <c r="BF16">
        <v>4</v>
      </c>
      <c r="BG16">
        <v>4</v>
      </c>
      <c r="BH16">
        <f>BF16-BG16</f>
        <v>0</v>
      </c>
      <c r="BI16">
        <v>25</v>
      </c>
      <c r="BJ16">
        <v>3</v>
      </c>
      <c r="BK16" s="117">
        <v>25.07733</v>
      </c>
      <c r="BL16">
        <f t="shared" si="54"/>
        <v>-21</v>
      </c>
      <c r="BM16">
        <v>5</v>
      </c>
      <c r="BN16">
        <v>3</v>
      </c>
      <c r="BO16" s="117">
        <f t="shared" si="26"/>
        <v>10.87795</v>
      </c>
      <c r="BP16" s="34">
        <f t="shared" si="9"/>
        <v>21.315574999999999</v>
      </c>
      <c r="BQ16" s="117">
        <f t="shared" si="10"/>
        <v>16.363965267727931</v>
      </c>
      <c r="BR16">
        <v>16</v>
      </c>
      <c r="BS16" s="117">
        <f t="shared" si="55"/>
        <v>-13.363965267727931</v>
      </c>
      <c r="BT16" s="117">
        <f t="shared" si="56"/>
        <v>-13</v>
      </c>
      <c r="BU16" s="117">
        <f t="shared" si="29"/>
        <v>-21.07733</v>
      </c>
      <c r="BV16" s="23">
        <v>-0.25900000000000001</v>
      </c>
      <c r="BW16" s="117">
        <f t="shared" si="30"/>
        <v>-7.8779500000000002</v>
      </c>
      <c r="BX16" s="23">
        <f t="shared" si="31"/>
        <v>-0.10446459133318735</v>
      </c>
      <c r="BY16" s="34">
        <f t="shared" si="32"/>
        <v>-16.315574999999999</v>
      </c>
      <c r="BZ16" s="23">
        <f t="shared" si="53"/>
        <v>-9.3935213272544851E-2</v>
      </c>
      <c r="CA16" s="23">
        <f t="shared" si="12"/>
        <v>-9.1499041795638753E-2</v>
      </c>
      <c r="CB16" s="23">
        <f t="shared" si="13"/>
        <v>-0.18194417230661736</v>
      </c>
      <c r="CC16" s="23">
        <f t="shared" si="46"/>
        <v>-0.22955506061427555</v>
      </c>
      <c r="CD16" s="117">
        <v>0</v>
      </c>
      <c r="CE16" s="117">
        <f t="shared" si="14"/>
        <v>15.680814999999999</v>
      </c>
      <c r="CF16" s="117">
        <f t="shared" si="33"/>
        <v>-12.680814999999999</v>
      </c>
      <c r="CG16" s="23">
        <f t="shared" si="15"/>
        <v>-0.12424766521115148</v>
      </c>
      <c r="CH16" s="26">
        <f t="shared" si="16"/>
        <v>-2.5361629999999997</v>
      </c>
      <c r="CI16" s="23">
        <f t="shared" si="17"/>
        <v>-0.89720439971489863</v>
      </c>
      <c r="CJ16" s="117">
        <v>0</v>
      </c>
      <c r="CK16" s="117">
        <v>0</v>
      </c>
      <c r="CL16" s="117">
        <f t="shared" si="18"/>
        <v>2.9067565000000002</v>
      </c>
      <c r="CM16" s="117">
        <f t="shared" si="19"/>
        <v>2.1635311143270624</v>
      </c>
      <c r="CN16" s="117">
        <f t="shared" si="34"/>
        <v>-2.9067565000000002</v>
      </c>
      <c r="CO16" s="117">
        <f t="shared" si="20"/>
        <v>-2.1635311143270624</v>
      </c>
      <c r="CP16" s="23">
        <f t="shared" si="35"/>
        <v>-0.17989529465834581</v>
      </c>
      <c r="CQ16" s="23">
        <f t="shared" si="21"/>
        <v>-0.11277773695802873</v>
      </c>
      <c r="CR16" s="23">
        <f t="shared" si="36"/>
        <v>-0.11542523361899509</v>
      </c>
      <c r="CS16" s="23">
        <f t="shared" si="37"/>
        <v>-0.10654287773939769</v>
      </c>
      <c r="CT16" s="26">
        <f t="shared" si="22"/>
        <v>-9.6818715586236254E-2</v>
      </c>
      <c r="CU16" s="117">
        <v>4</v>
      </c>
      <c r="CV16" s="117">
        <f t="shared" si="47"/>
        <v>-4</v>
      </c>
      <c r="CW16" s="23">
        <v>-0.32200000000000001</v>
      </c>
      <c r="CX16" s="23">
        <v>-0.27500000000000002</v>
      </c>
      <c r="CY16" s="23">
        <f t="shared" si="48"/>
        <v>-0.25266629546070668</v>
      </c>
      <c r="CZ16" s="34">
        <v>0</v>
      </c>
      <c r="DA16" s="75">
        <v>0</v>
      </c>
      <c r="DB16" s="34">
        <v>27333</v>
      </c>
      <c r="DC16" s="34">
        <v>0</v>
      </c>
      <c r="DD16" s="34">
        <v>0</v>
      </c>
      <c r="DE16" s="34">
        <f t="shared" si="23"/>
        <v>12337.985000000001</v>
      </c>
      <c r="DF16" s="34">
        <f t="shared" si="24"/>
        <v>9413.6396526772805</v>
      </c>
      <c r="DG16" s="34">
        <f t="shared" si="38"/>
        <v>-12337.985000000001</v>
      </c>
      <c r="DH16" s="34">
        <f t="shared" si="39"/>
        <v>-9413.6396526772805</v>
      </c>
      <c r="DI16" s="36">
        <f t="shared" si="25"/>
        <v>-4.432109506021735E-2</v>
      </c>
      <c r="DJ16" s="36">
        <f t="shared" si="40"/>
        <v>-6.4335650695065902E-2</v>
      </c>
      <c r="DK16" s="36">
        <f t="shared" si="57"/>
        <v>-7.5819667375828681E-2</v>
      </c>
      <c r="DL16" s="34">
        <v>24359.72</v>
      </c>
      <c r="DM16">
        <f t="shared" si="58"/>
        <v>-27333</v>
      </c>
      <c r="DN16" s="34">
        <f t="shared" si="42"/>
        <v>-24359.72</v>
      </c>
      <c r="DO16" s="23">
        <v>-0.13600000000000001</v>
      </c>
      <c r="DP16" s="23">
        <f t="shared" si="50"/>
        <v>-0.14540400305355092</v>
      </c>
      <c r="DQ16" s="23">
        <f t="shared" si="43"/>
        <v>-9.4989400449423417E-2</v>
      </c>
      <c r="DR16" s="23">
        <f t="shared" si="44"/>
        <v>-8.1654164667725557E-2</v>
      </c>
    </row>
    <row r="17" spans="1:122" x14ac:dyDescent="0.25">
      <c r="A17" s="9" t="s">
        <v>52</v>
      </c>
      <c r="B17" s="9" t="s">
        <v>53</v>
      </c>
      <c r="C17" s="10">
        <f t="shared" si="0"/>
        <v>36</v>
      </c>
      <c r="D17">
        <v>0</v>
      </c>
      <c r="E17">
        <v>0</v>
      </c>
      <c r="F17">
        <v>0</v>
      </c>
      <c r="G17" s="8">
        <v>36</v>
      </c>
      <c r="H17">
        <v>0</v>
      </c>
      <c r="I17">
        <v>0</v>
      </c>
      <c r="J17">
        <v>0</v>
      </c>
      <c r="L17">
        <v>61.5</v>
      </c>
      <c r="M17" s="25">
        <f t="shared" si="1"/>
        <v>1.7083333333333333</v>
      </c>
      <c r="N17" s="23">
        <f>M17/M75</f>
        <v>2.6510118411452867E-2</v>
      </c>
      <c r="O17">
        <v>0.5</v>
      </c>
      <c r="P17" s="23">
        <f t="shared" si="2"/>
        <v>1.3888888888888888E-2</v>
      </c>
      <c r="Q17" s="40">
        <f>P17/P75</f>
        <v>9.2946210631386465E-4</v>
      </c>
      <c r="R17" s="23">
        <f t="shared" si="3"/>
        <v>1.2847222222222223</v>
      </c>
      <c r="S17" s="42">
        <f>R17/R75</f>
        <v>2.4674719403015195E-2</v>
      </c>
      <c r="T17" s="42">
        <f t="shared" si="4"/>
        <v>2.0114954335168116E-2</v>
      </c>
      <c r="U17" s="34">
        <v>20288</v>
      </c>
      <c r="V17" s="34">
        <f t="shared" si="5"/>
        <v>563.55555555555554</v>
      </c>
      <c r="W17" s="34"/>
      <c r="X17" s="40">
        <f>V17/V75</f>
        <v>7.2368446176705849E-3</v>
      </c>
      <c r="Y17" s="47">
        <f t="shared" si="6"/>
        <v>1.4963710448169104E-2</v>
      </c>
      <c r="Z17" s="47">
        <v>-2.3E-2</v>
      </c>
      <c r="AA17" s="135">
        <v>-0.14499999999999999</v>
      </c>
      <c r="AB17" s="218">
        <v>35</v>
      </c>
      <c r="AC17" s="226">
        <v>-0.2177959493528194</v>
      </c>
      <c r="AD17" s="135">
        <f t="shared" ref="AD17:AD24" si="59">(0.6*CY17)+(0.4*DP17)</f>
        <v>-0.1232710521074479</v>
      </c>
      <c r="AE17" s="298"/>
      <c r="AF17" s="298"/>
      <c r="AG17" s="23"/>
      <c r="AH17" s="23"/>
      <c r="AI17" s="53"/>
      <c r="AJ17" s="68"/>
      <c r="AK17" s="79"/>
      <c r="AL17" s="68"/>
      <c r="AM17" s="298"/>
      <c r="AN17" s="68"/>
      <c r="AO17" s="68"/>
      <c r="AP17" s="23"/>
      <c r="AQ17" s="23"/>
      <c r="AR17" s="23"/>
      <c r="AS17" s="23"/>
      <c r="AT17" s="23"/>
      <c r="AU17" s="23"/>
      <c r="AV17" s="23"/>
      <c r="AW17" s="26"/>
      <c r="AX17" s="26"/>
      <c r="AY17" s="26"/>
      <c r="AZ17" s="26"/>
      <c r="BA17" s="26"/>
      <c r="BE17" s="134"/>
      <c r="BF17">
        <v>104</v>
      </c>
      <c r="BG17">
        <v>106</v>
      </c>
      <c r="BH17">
        <f t="shared" ref="BH17:BH24" si="60">BF17-BG17</f>
        <v>-2</v>
      </c>
      <c r="BI17">
        <v>82</v>
      </c>
      <c r="BJ17">
        <v>104</v>
      </c>
      <c r="BK17" s="117">
        <v>82.071250000000006</v>
      </c>
      <c r="BL17">
        <f t="shared" si="54"/>
        <v>22</v>
      </c>
      <c r="BM17">
        <v>180</v>
      </c>
      <c r="BN17">
        <v>51</v>
      </c>
      <c r="BO17" s="117">
        <f t="shared" si="26"/>
        <v>76.145650000000003</v>
      </c>
      <c r="BP17" s="34">
        <f t="shared" si="9"/>
        <v>149.209025</v>
      </c>
      <c r="BQ17" s="117">
        <f t="shared" si="10"/>
        <v>114.54775687409551</v>
      </c>
      <c r="BR17" s="117">
        <v>109.76331</v>
      </c>
      <c r="BS17" s="117">
        <f t="shared" si="55"/>
        <v>-10.547756874095512</v>
      </c>
      <c r="BT17" s="117">
        <f t="shared" si="56"/>
        <v>-5.7633100000000042</v>
      </c>
      <c r="BU17" s="117">
        <f t="shared" si="29"/>
        <v>23.928749999999994</v>
      </c>
      <c r="BV17" s="23">
        <v>0.125</v>
      </c>
      <c r="BW17" s="117">
        <f t="shared" si="30"/>
        <v>-25.145650000000003</v>
      </c>
      <c r="BX17" s="23">
        <f t="shared" si="31"/>
        <v>-0.26842538254565307</v>
      </c>
      <c r="BY17" s="34">
        <f t="shared" si="32"/>
        <v>30.790975000000003</v>
      </c>
      <c r="BZ17" s="23">
        <f t="shared" si="53"/>
        <v>0.16019770683430032</v>
      </c>
      <c r="CA17" s="23">
        <f t="shared" si="12"/>
        <v>-7.2217311833614461E-2</v>
      </c>
      <c r="CB17" s="25">
        <f t="shared" si="13"/>
        <v>0.12741380641607702</v>
      </c>
      <c r="CC17" s="23">
        <f t="shared" si="46"/>
        <v>0.17856349891448958</v>
      </c>
      <c r="CD17" s="117">
        <v>4</v>
      </c>
      <c r="CE17" s="117">
        <f t="shared" si="14"/>
        <v>109.765705</v>
      </c>
      <c r="CF17" s="117">
        <f t="shared" si="33"/>
        <v>-5.765704999999997</v>
      </c>
      <c r="CG17" s="23">
        <f t="shared" si="15"/>
        <v>-7.6715127974487277E-2</v>
      </c>
      <c r="CH17" s="26">
        <f t="shared" si="16"/>
        <v>-0.16473442857142848</v>
      </c>
      <c r="CI17" s="23">
        <f t="shared" si="17"/>
        <v>-9.2124640114252962E-2</v>
      </c>
      <c r="CJ17" s="117">
        <v>3</v>
      </c>
      <c r="CK17" s="117">
        <v>5</v>
      </c>
      <c r="CL17" s="117">
        <f t="shared" si="18"/>
        <v>20.347295500000001</v>
      </c>
      <c r="CM17" s="117">
        <f t="shared" si="19"/>
        <v>15.144717800289435</v>
      </c>
      <c r="CN17" s="117">
        <f t="shared" si="34"/>
        <v>-15.347295500000001</v>
      </c>
      <c r="CO17" s="117">
        <f t="shared" si="20"/>
        <v>-12.144717800289435</v>
      </c>
      <c r="CP17" s="23">
        <f t="shared" si="35"/>
        <v>-0.57290219612997695</v>
      </c>
      <c r="CQ17" s="23">
        <f t="shared" si="21"/>
        <v>-0.63306405923195785</v>
      </c>
      <c r="CR17" s="23">
        <f t="shared" si="36"/>
        <v>-2.3077268906769005E-2</v>
      </c>
      <c r="CS17" s="23">
        <f t="shared" si="37"/>
        <v>-0.35958505171722926</v>
      </c>
      <c r="CT17" s="26">
        <f t="shared" si="22"/>
        <v>-0.21242899868320031</v>
      </c>
      <c r="CU17" s="117">
        <v>12</v>
      </c>
      <c r="CV17" s="117">
        <f t="shared" si="47"/>
        <v>-8</v>
      </c>
      <c r="CW17" s="23">
        <v>-0.48099999999999998</v>
      </c>
      <c r="CX17" s="23">
        <v>-2.7E-2</v>
      </c>
      <c r="CY17" s="23">
        <f t="shared" si="48"/>
        <v>1.3672624185867205E-2</v>
      </c>
      <c r="CZ17" s="34">
        <v>17775</v>
      </c>
      <c r="DA17" s="75">
        <v>17775.38</v>
      </c>
      <c r="DB17" s="34">
        <v>79324</v>
      </c>
      <c r="DC17" s="34">
        <v>17308</v>
      </c>
      <c r="DD17" s="34">
        <v>35084</v>
      </c>
      <c r="DE17" s="34">
        <f t="shared" si="23"/>
        <v>86365.895000000004</v>
      </c>
      <c r="DF17" s="34">
        <f t="shared" si="24"/>
        <v>65895.477568740956</v>
      </c>
      <c r="DG17" s="34">
        <f t="shared" si="38"/>
        <v>-51281.895000000004</v>
      </c>
      <c r="DH17" s="34">
        <f t="shared" si="39"/>
        <v>-48587.477568740956</v>
      </c>
      <c r="DI17" s="36">
        <f t="shared" si="25"/>
        <v>-0.22875851333951322</v>
      </c>
      <c r="DJ17" s="36">
        <f t="shared" si="40"/>
        <v>-0.22349212533287333</v>
      </c>
      <c r="DK17" s="36">
        <f t="shared" si="57"/>
        <v>-0.21896080454572547</v>
      </c>
      <c r="DL17" s="34">
        <v>72874.67</v>
      </c>
      <c r="DM17">
        <f t="shared" si="58"/>
        <v>-61549</v>
      </c>
      <c r="DN17" s="34">
        <f t="shared" si="42"/>
        <v>-55099.289999999994</v>
      </c>
      <c r="DO17" s="23">
        <v>-0.32200000000000001</v>
      </c>
      <c r="DP17" s="23">
        <f t="shared" si="50"/>
        <v>-0.32868656654742051</v>
      </c>
      <c r="DQ17" s="23">
        <f t="shared" si="43"/>
        <v>-0.10324321147721074</v>
      </c>
      <c r="DR17" s="23">
        <f t="shared" si="44"/>
        <v>-0.30725443636614286</v>
      </c>
    </row>
    <row r="18" spans="1:122" x14ac:dyDescent="0.25">
      <c r="A18" s="9" t="s">
        <v>52</v>
      </c>
      <c r="B18" s="9" t="s">
        <v>54</v>
      </c>
      <c r="C18" s="10">
        <f t="shared" si="0"/>
        <v>82</v>
      </c>
      <c r="D18">
        <v>0</v>
      </c>
      <c r="E18">
        <v>0</v>
      </c>
      <c r="F18">
        <v>0</v>
      </c>
      <c r="G18" s="8">
        <v>82</v>
      </c>
      <c r="H18">
        <v>0</v>
      </c>
      <c r="I18">
        <v>0</v>
      </c>
      <c r="J18">
        <v>0</v>
      </c>
      <c r="L18">
        <v>6</v>
      </c>
      <c r="M18" s="23">
        <f t="shared" si="1"/>
        <v>7.3170731707317069E-2</v>
      </c>
      <c r="N18" s="23">
        <f>M18/M75</f>
        <v>1.1354720556957802E-3</v>
      </c>
      <c r="O18">
        <v>52</v>
      </c>
      <c r="P18" s="23">
        <f t="shared" si="2"/>
        <v>0.63414634146341464</v>
      </c>
      <c r="Q18" s="40">
        <f>P18/P75</f>
        <v>4.2437879585842803E-2</v>
      </c>
      <c r="R18" s="23">
        <f t="shared" si="3"/>
        <v>0.21341463414634146</v>
      </c>
      <c r="S18" s="40">
        <f>R18/R75</f>
        <v>4.0988986747263209E-3</v>
      </c>
      <c r="T18" s="40">
        <f t="shared" si="4"/>
        <v>1.1461073938232536E-2</v>
      </c>
      <c r="U18" s="34">
        <v>383890</v>
      </c>
      <c r="V18" s="70">
        <f t="shared" si="5"/>
        <v>4681.5853658536589</v>
      </c>
      <c r="W18" s="70"/>
      <c r="X18" s="40">
        <f>V18/V75</f>
        <v>6.01181294781922E-2</v>
      </c>
      <c r="Y18" s="46">
        <f t="shared" si="6"/>
        <v>3.0923896154216403E-2</v>
      </c>
      <c r="Z18" s="46">
        <v>0.79900000000000004</v>
      </c>
      <c r="AA18" s="137">
        <v>0.72799999999999998</v>
      </c>
      <c r="AB18" s="218">
        <v>75</v>
      </c>
      <c r="AC18" s="227">
        <v>0.69062276932696665</v>
      </c>
      <c r="AD18" s="137">
        <f t="shared" si="59"/>
        <v>0.81538835464519921</v>
      </c>
      <c r="AE18" s="298">
        <v>277698.7424232816</v>
      </c>
      <c r="AF18" s="298">
        <f>AO18*BE$33</f>
        <v>249429.2048506045</v>
      </c>
      <c r="AG18" s="23">
        <f>C18*AV18</f>
        <v>4.2509435305846326</v>
      </c>
      <c r="AH18" s="66" t="e">
        <f>AP18*BE$9</f>
        <v>#DIV/0!</v>
      </c>
      <c r="AI18" s="65" t="e">
        <f>AQ18*BE$17</f>
        <v>#DIV/0!</v>
      </c>
      <c r="AJ18" s="65" t="e">
        <f>SUM(AK18:AL18)</f>
        <v>#DIV/0!</v>
      </c>
      <c r="AK18" s="65" t="e">
        <f>AR18*BE$25</f>
        <v>#DIV/0!</v>
      </c>
      <c r="AL18" s="65" t="e">
        <f>AS18*BE$27</f>
        <v>#DIV/0!</v>
      </c>
      <c r="AM18" s="298">
        <f>AVERAGE(AE18:AF18)</f>
        <v>263563.97363694303</v>
      </c>
      <c r="AN18" s="65">
        <f>AM18+(AM$74*AZ18)</f>
        <v>270253.2075467445</v>
      </c>
      <c r="AO18" s="68">
        <f>AB18*AZ18</f>
        <v>4.4206212986593334</v>
      </c>
      <c r="AP18" s="23" t="e">
        <f>AB18*BA18</f>
        <v>#DIV/0!</v>
      </c>
      <c r="AQ18" s="23" t="e">
        <f t="shared" ref="AQ18:AQ19" si="61">AB18*AW18</f>
        <v>#DIV/0!</v>
      </c>
      <c r="AR18" s="23" t="e">
        <f t="shared" ref="AR18:AR19" si="62">AB18*AX18</f>
        <v>#DIV/0!</v>
      </c>
      <c r="AS18" s="23" t="e">
        <f>AB18*AY18</f>
        <v>#DIV/0!</v>
      </c>
      <c r="AT18" s="53" t="s">
        <v>467</v>
      </c>
      <c r="AU18" s="23"/>
      <c r="AV18" s="23">
        <f>AA18/BB$2</f>
        <v>5.1840774763227231E-2</v>
      </c>
      <c r="AW18" s="26" t="e">
        <f>DQ18/BE$15</f>
        <v>#DIV/0!</v>
      </c>
      <c r="AX18" s="26" t="e">
        <f>CR18/BE$20</f>
        <v>#DIV/0!</v>
      </c>
      <c r="AY18" s="26" t="e">
        <f>DJ18/BE$22</f>
        <v>#DIV/0!</v>
      </c>
      <c r="AZ18" s="26">
        <f>DR18/BE$30</f>
        <v>5.894161731545778E-2</v>
      </c>
      <c r="BA18" s="236" t="e">
        <f>AC18/BE$5</f>
        <v>#DIV/0!</v>
      </c>
      <c r="BE18" s="16"/>
      <c r="BF18">
        <v>194</v>
      </c>
      <c r="BG18">
        <v>194</v>
      </c>
      <c r="BH18">
        <f t="shared" si="60"/>
        <v>0</v>
      </c>
      <c r="BI18">
        <v>186</v>
      </c>
      <c r="BJ18">
        <v>284</v>
      </c>
      <c r="BK18" s="117">
        <v>186.94006999999999</v>
      </c>
      <c r="BL18">
        <f t="shared" si="54"/>
        <v>8</v>
      </c>
      <c r="BM18">
        <v>372</v>
      </c>
      <c r="BN18">
        <v>201</v>
      </c>
      <c r="BO18" s="117">
        <f t="shared" si="26"/>
        <v>163.16925000000001</v>
      </c>
      <c r="BP18" s="34">
        <f t="shared" si="9"/>
        <v>319.73362500000002</v>
      </c>
      <c r="BQ18" s="117">
        <f t="shared" si="10"/>
        <v>245.45947901591896</v>
      </c>
      <c r="BR18" s="117">
        <v>235.2071</v>
      </c>
      <c r="BS18" s="117">
        <f t="shared" si="55"/>
        <v>38.540520984081041</v>
      </c>
      <c r="BT18" s="117">
        <f t="shared" si="56"/>
        <v>48.792900000000003</v>
      </c>
      <c r="BU18" s="117">
        <f t="shared" si="29"/>
        <v>7.0599300000000085</v>
      </c>
      <c r="BV18" s="23">
        <v>0</v>
      </c>
      <c r="BW18" s="117">
        <f t="shared" si="30"/>
        <v>37.830749999999995</v>
      </c>
      <c r="BX18" s="25">
        <f t="shared" si="31"/>
        <v>0.32955004971878998</v>
      </c>
      <c r="BY18" s="34">
        <f t="shared" si="32"/>
        <v>52.266374999999982</v>
      </c>
      <c r="BZ18" s="25">
        <f t="shared" si="53"/>
        <v>0.27605433637865323</v>
      </c>
      <c r="CA18" s="25">
        <f t="shared" si="12"/>
        <v>0.26387532964216309</v>
      </c>
      <c r="CB18" s="23">
        <f t="shared" si="13"/>
        <v>1.1462715838160496E-2</v>
      </c>
      <c r="CC18" s="23">
        <f t="shared" si="46"/>
        <v>2.5595755015220455E-2</v>
      </c>
      <c r="CD18" s="117">
        <v>55</v>
      </c>
      <c r="CE18" s="117">
        <f t="shared" si="14"/>
        <v>235.21222499999999</v>
      </c>
      <c r="CF18" s="117">
        <f t="shared" si="33"/>
        <v>48.787775000000011</v>
      </c>
      <c r="CG18" s="25">
        <f t="shared" si="15"/>
        <v>0.29827027637766546</v>
      </c>
      <c r="CH18" s="26">
        <f t="shared" si="16"/>
        <v>0.65050366666666681</v>
      </c>
      <c r="CI18" s="23">
        <f t="shared" si="17"/>
        <v>0.18464173507376022</v>
      </c>
      <c r="CJ18" s="117">
        <v>48</v>
      </c>
      <c r="CK18" s="117">
        <v>88</v>
      </c>
      <c r="CL18" s="117">
        <f t="shared" si="18"/>
        <v>43.601347500000003</v>
      </c>
      <c r="CM18" s="117">
        <f t="shared" si="19"/>
        <v>32.452966714905934</v>
      </c>
      <c r="CN18" s="117">
        <f t="shared" si="34"/>
        <v>44.398652499999997</v>
      </c>
      <c r="CO18" s="117">
        <f t="shared" si="20"/>
        <v>15.547033285094066</v>
      </c>
      <c r="CP18" s="23">
        <f t="shared" si="35"/>
        <v>1.3145216445062846</v>
      </c>
      <c r="CQ18" s="23">
        <f t="shared" si="21"/>
        <v>0.81041553721745985</v>
      </c>
      <c r="CR18" s="25">
        <f t="shared" si="36"/>
        <v>0.53567116341056109</v>
      </c>
      <c r="CS18" s="25">
        <f t="shared" si="37"/>
        <v>0.44976642159345748</v>
      </c>
      <c r="CT18" s="25">
        <f t="shared" si="22"/>
        <v>0.40051038153598728</v>
      </c>
      <c r="CU18" s="117">
        <v>26</v>
      </c>
      <c r="CV18" s="117">
        <f t="shared" si="47"/>
        <v>29</v>
      </c>
      <c r="CW18" s="23">
        <v>0.99299999999999999</v>
      </c>
      <c r="CX18" s="23">
        <v>0.248</v>
      </c>
      <c r="CY18" s="23">
        <f t="shared" si="48"/>
        <v>0.26744681626141531</v>
      </c>
      <c r="CZ18" s="34">
        <v>430588</v>
      </c>
      <c r="DA18" s="75">
        <v>430587.17000000004</v>
      </c>
      <c r="DB18" s="34">
        <v>166217</v>
      </c>
      <c r="DC18" s="34">
        <v>379002</v>
      </c>
      <c r="DD18" s="34">
        <v>489886</v>
      </c>
      <c r="DE18" s="34">
        <f t="shared" si="23"/>
        <v>185069.77500000002</v>
      </c>
      <c r="DF18" s="34">
        <f t="shared" si="24"/>
        <v>141204.5947901592</v>
      </c>
      <c r="DG18" s="34">
        <f t="shared" si="38"/>
        <v>304816.22499999998</v>
      </c>
      <c r="DH18" s="34">
        <f t="shared" si="39"/>
        <v>237797.4052098408</v>
      </c>
      <c r="DI18" s="36">
        <f t="shared" si="25"/>
        <v>1.1195926113850041</v>
      </c>
      <c r="DJ18" s="225">
        <f t="shared" si="40"/>
        <v>1.2318142731348432</v>
      </c>
      <c r="DK18" s="225">
        <f t="shared" si="57"/>
        <v>0.68814327347559401</v>
      </c>
      <c r="DL18" s="34">
        <v>155957.32</v>
      </c>
      <c r="DM18">
        <f t="shared" si="58"/>
        <v>264371</v>
      </c>
      <c r="DN18" s="34">
        <f t="shared" si="42"/>
        <v>274629.85000000003</v>
      </c>
      <c r="DO18" s="23">
        <v>1.4470000000000001</v>
      </c>
      <c r="DP18" s="23">
        <f t="shared" si="50"/>
        <v>1.6373006622208752</v>
      </c>
      <c r="DQ18" s="25">
        <f t="shared" si="43"/>
        <v>0.81412840730027392</v>
      </c>
      <c r="DR18" s="25">
        <f t="shared" si="44"/>
        <v>0.71769689751007615</v>
      </c>
    </row>
    <row r="19" spans="1:122" x14ac:dyDescent="0.25">
      <c r="A19" s="7" t="s">
        <v>52</v>
      </c>
      <c r="B19" s="7" t="s">
        <v>55</v>
      </c>
      <c r="C19" s="10">
        <f t="shared" si="0"/>
        <v>73</v>
      </c>
      <c r="D19">
        <v>0</v>
      </c>
      <c r="E19">
        <v>0</v>
      </c>
      <c r="F19">
        <v>0</v>
      </c>
      <c r="G19" s="8">
        <v>73</v>
      </c>
      <c r="H19">
        <v>0</v>
      </c>
      <c r="I19">
        <v>0</v>
      </c>
      <c r="J19">
        <v>0</v>
      </c>
      <c r="L19">
        <v>69</v>
      </c>
      <c r="M19" s="23">
        <f t="shared" si="1"/>
        <v>0.9452054794520548</v>
      </c>
      <c r="N19" s="23">
        <f>M19/M75</f>
        <v>1.4667810253713984E-2</v>
      </c>
      <c r="O19">
        <v>17.5</v>
      </c>
      <c r="P19" s="23">
        <f t="shared" si="2"/>
        <v>0.23972602739726026</v>
      </c>
      <c r="Q19" s="40">
        <f>P19/P75</f>
        <v>1.6042770602129719E-2</v>
      </c>
      <c r="R19" s="23">
        <f t="shared" si="3"/>
        <v>0.76883561643835618</v>
      </c>
      <c r="S19" s="40">
        <f>R19/R75</f>
        <v>1.4766462955584508E-2</v>
      </c>
      <c r="T19" s="40">
        <f t="shared" si="4"/>
        <v>1.5011550340817918E-2</v>
      </c>
      <c r="U19" s="34">
        <v>7597</v>
      </c>
      <c r="V19" s="34">
        <f t="shared" si="5"/>
        <v>104.06849315068493</v>
      </c>
      <c r="W19" s="34"/>
      <c r="X19" s="40">
        <f>V19/V75</f>
        <v>1.3363855738839907E-3</v>
      </c>
      <c r="Y19" s="47">
        <f t="shared" si="6"/>
        <v>9.5414844340443467E-3</v>
      </c>
      <c r="Z19" s="47">
        <v>-0.19500000000000001</v>
      </c>
      <c r="AA19" s="135">
        <v>-8.2000000000000003E-2</v>
      </c>
      <c r="AB19" s="218">
        <v>65</v>
      </c>
      <c r="AC19" s="227">
        <v>0.12774271297711218</v>
      </c>
      <c r="AD19" s="135">
        <f t="shared" si="59"/>
        <v>0.21128610524772704</v>
      </c>
      <c r="AE19" s="298"/>
      <c r="AF19" s="298"/>
      <c r="AG19" s="23"/>
      <c r="AH19" s="66" t="e">
        <f>AP19*BE$9</f>
        <v>#DIV/0!</v>
      </c>
      <c r="AI19" s="65" t="e">
        <f>AQ19*BE$17</f>
        <v>#DIV/0!</v>
      </c>
      <c r="AJ19" s="65" t="e">
        <f>SUM(AK19:AL19)</f>
        <v>#DIV/0!</v>
      </c>
      <c r="AK19" s="65" t="e">
        <f>AR19*BE$25</f>
        <v>#DIV/0!</v>
      </c>
      <c r="AL19" s="68"/>
      <c r="AM19" s="298"/>
      <c r="AN19" s="68"/>
      <c r="AO19" s="68"/>
      <c r="AP19" s="23" t="e">
        <f>AB19*BA19</f>
        <v>#DIV/0!</v>
      </c>
      <c r="AQ19" s="23" t="e">
        <f t="shared" si="61"/>
        <v>#DIV/0!</v>
      </c>
      <c r="AR19" s="23" t="e">
        <f t="shared" si="62"/>
        <v>#DIV/0!</v>
      </c>
      <c r="AS19" s="23"/>
      <c r="AT19" s="138">
        <v>3150486.5702092429</v>
      </c>
      <c r="AU19" s="23"/>
      <c r="AV19" s="23"/>
      <c r="AW19" s="26" t="e">
        <f>DQ19/BE$15</f>
        <v>#DIV/0!</v>
      </c>
      <c r="AX19" s="26" t="e">
        <f>CR19/BE$20</f>
        <v>#DIV/0!</v>
      </c>
      <c r="AY19" s="26"/>
      <c r="AZ19" s="26"/>
      <c r="BA19" s="236" t="e">
        <f>AC19/BE$5</f>
        <v>#DIV/0!</v>
      </c>
      <c r="BE19" s="308"/>
      <c r="BF19">
        <v>191</v>
      </c>
      <c r="BG19">
        <v>191</v>
      </c>
      <c r="BH19">
        <f t="shared" si="60"/>
        <v>0</v>
      </c>
      <c r="BI19">
        <v>165</v>
      </c>
      <c r="BJ19">
        <v>224</v>
      </c>
      <c r="BK19" s="117">
        <v>166.42225999999999</v>
      </c>
      <c r="BL19">
        <f t="shared" si="54"/>
        <v>26</v>
      </c>
      <c r="BM19">
        <v>345</v>
      </c>
      <c r="BN19">
        <v>128</v>
      </c>
      <c r="BO19" s="117">
        <f t="shared" si="26"/>
        <v>141.41335000000001</v>
      </c>
      <c r="BP19" s="34">
        <f t="shared" si="9"/>
        <v>277.10247500000003</v>
      </c>
      <c r="BQ19" s="117">
        <f t="shared" si="10"/>
        <v>212.73154848046312</v>
      </c>
      <c r="BR19" s="117">
        <v>203.84614999999999</v>
      </c>
      <c r="BS19" s="117">
        <f t="shared" si="55"/>
        <v>11.268451519536882</v>
      </c>
      <c r="BT19" s="117">
        <f t="shared" si="56"/>
        <v>20.153850000000006</v>
      </c>
      <c r="BU19" s="117">
        <f t="shared" si="29"/>
        <v>24.577740000000006</v>
      </c>
      <c r="BV19" s="23">
        <v>0.161</v>
      </c>
      <c r="BW19" s="117">
        <f t="shared" si="30"/>
        <v>-13.413350000000008</v>
      </c>
      <c r="BX19" s="23">
        <f t="shared" si="31"/>
        <v>-0.15702449008504682</v>
      </c>
      <c r="BY19" s="34">
        <f t="shared" si="32"/>
        <v>67.897524999999973</v>
      </c>
      <c r="BZ19" s="25">
        <f t="shared" si="53"/>
        <v>0.36038209534482901</v>
      </c>
      <c r="CA19" s="23">
        <f t="shared" si="12"/>
        <v>7.7151690826979355E-2</v>
      </c>
      <c r="CB19" s="25">
        <f t="shared" si="13"/>
        <v>0.13187476446021784</v>
      </c>
      <c r="CC19" s="23">
        <f t="shared" si="46"/>
        <v>0.18444858963886679</v>
      </c>
      <c r="CD19" s="117">
        <v>40</v>
      </c>
      <c r="CE19" s="117">
        <f t="shared" si="14"/>
        <v>203.850595</v>
      </c>
      <c r="CF19" s="117">
        <f t="shared" si="33"/>
        <v>20.149405000000002</v>
      </c>
      <c r="CG19" s="23">
        <f t="shared" si="15"/>
        <v>0.10141810939516384</v>
      </c>
      <c r="CH19" s="26">
        <f t="shared" si="16"/>
        <v>0.3099908461538462</v>
      </c>
      <c r="CI19" s="23">
        <f t="shared" si="17"/>
        <v>6.9040538823411074E-2</v>
      </c>
      <c r="CJ19" s="117">
        <v>54</v>
      </c>
      <c r="CK19" s="117">
        <v>65</v>
      </c>
      <c r="CL19" s="117">
        <f t="shared" si="18"/>
        <v>37.787834500000002</v>
      </c>
      <c r="CM19" s="117">
        <f t="shared" si="19"/>
        <v>28.125904486251809</v>
      </c>
      <c r="CN19" s="117">
        <f t="shared" si="34"/>
        <v>27.212165499999998</v>
      </c>
      <c r="CO19" s="117">
        <f t="shared" si="20"/>
        <v>25.874095513748191</v>
      </c>
      <c r="CP19" s="23">
        <f t="shared" si="35"/>
        <v>0.77158632610468891</v>
      </c>
      <c r="CQ19" s="23">
        <f t="shared" si="21"/>
        <v>1.3487312100820037</v>
      </c>
      <c r="CR19" s="25">
        <f t="shared" si="36"/>
        <v>0.46318315303479402</v>
      </c>
      <c r="CS19" s="25">
        <f t="shared" si="37"/>
        <v>0.21941443495671581</v>
      </c>
      <c r="CT19" s="25">
        <f t="shared" si="22"/>
        <v>0.39504657064073545</v>
      </c>
      <c r="CU19" s="117">
        <v>23</v>
      </c>
      <c r="CV19" s="117">
        <f t="shared" si="47"/>
        <v>17</v>
      </c>
      <c r="CW19" s="23">
        <v>0.51500000000000001</v>
      </c>
      <c r="CX19" s="23">
        <v>0.249</v>
      </c>
      <c r="CY19" s="23">
        <f t="shared" si="48"/>
        <v>0.26708644222915012</v>
      </c>
      <c r="CZ19" s="34">
        <v>40800</v>
      </c>
      <c r="DA19" s="75">
        <v>161493.44</v>
      </c>
      <c r="DB19" s="34">
        <v>149727</v>
      </c>
      <c r="DC19" s="34">
        <v>63175</v>
      </c>
      <c r="DD19" s="34">
        <v>70772</v>
      </c>
      <c r="DE19" s="34">
        <f t="shared" si="23"/>
        <v>160393.80500000002</v>
      </c>
      <c r="DF19" s="34">
        <f t="shared" si="24"/>
        <v>122377.31548480464</v>
      </c>
      <c r="DG19" s="34">
        <f t="shared" si="38"/>
        <v>-89621.805000000022</v>
      </c>
      <c r="DH19" s="34">
        <f t="shared" si="39"/>
        <v>-59202.31548480464</v>
      </c>
      <c r="DI19" s="36">
        <f t="shared" si="25"/>
        <v>-0.27873506414076005</v>
      </c>
      <c r="DJ19" s="36">
        <f t="shared" si="40"/>
        <v>-0.38018016496553525</v>
      </c>
      <c r="DK19" s="225">
        <f t="shared" si="57"/>
        <v>0.12553391672813724</v>
      </c>
      <c r="DL19" s="34">
        <v>140068.21</v>
      </c>
      <c r="DM19">
        <f t="shared" si="58"/>
        <v>-108927</v>
      </c>
      <c r="DN19" s="34">
        <f t="shared" si="42"/>
        <v>21425.23000000001</v>
      </c>
      <c r="DO19" s="23">
        <v>-0.57899999999999996</v>
      </c>
      <c r="DP19" s="23">
        <f t="shared" si="50"/>
        <v>0.12758559977559242</v>
      </c>
      <c r="DQ19" s="25">
        <f t="shared" si="43"/>
        <v>0.12583782583466227</v>
      </c>
      <c r="DR19" s="23">
        <f t="shared" si="44"/>
        <v>2.0154635317725447E-2</v>
      </c>
    </row>
    <row r="20" spans="1:122" x14ac:dyDescent="0.25">
      <c r="A20" s="7" t="s">
        <v>52</v>
      </c>
      <c r="B20" s="7" t="s">
        <v>56</v>
      </c>
      <c r="C20" s="10">
        <f t="shared" si="0"/>
        <v>90</v>
      </c>
      <c r="D20">
        <v>0</v>
      </c>
      <c r="E20">
        <v>0</v>
      </c>
      <c r="F20">
        <v>0</v>
      </c>
      <c r="G20" s="8">
        <v>90</v>
      </c>
      <c r="H20">
        <v>0</v>
      </c>
      <c r="I20">
        <v>0</v>
      </c>
      <c r="J20">
        <v>0</v>
      </c>
      <c r="L20">
        <v>102.5</v>
      </c>
      <c r="M20" s="26">
        <f t="shared" si="1"/>
        <v>1.1388888888888888</v>
      </c>
      <c r="N20" s="23">
        <f>M20/M75</f>
        <v>1.7673412274301914E-2</v>
      </c>
      <c r="O20">
        <v>16</v>
      </c>
      <c r="P20" s="23">
        <f t="shared" si="2"/>
        <v>0.17777777777777778</v>
      </c>
      <c r="Q20" s="40">
        <f>P20/P75</f>
        <v>1.1897114960817469E-2</v>
      </c>
      <c r="R20" s="23">
        <f t="shared" si="3"/>
        <v>0.89861111111111103</v>
      </c>
      <c r="S20" s="40">
        <f>R20/R75</f>
        <v>1.7258965895946842E-2</v>
      </c>
      <c r="T20" s="40">
        <f t="shared" si="4"/>
        <v>1.6229337945930802E-2</v>
      </c>
      <c r="U20" s="34">
        <v>132415</v>
      </c>
      <c r="V20" s="70">
        <f t="shared" si="5"/>
        <v>1471.2777777777778</v>
      </c>
      <c r="W20" s="70"/>
      <c r="X20" s="40">
        <f>V20/V75</f>
        <v>1.8893272477303834E-2</v>
      </c>
      <c r="Y20" s="47">
        <f t="shared" si="6"/>
        <v>1.7294911758480018E-2</v>
      </c>
      <c r="Z20" s="46">
        <v>0.89500000000000002</v>
      </c>
      <c r="AA20" s="135">
        <v>-0.246</v>
      </c>
      <c r="AB20" s="218">
        <v>92</v>
      </c>
      <c r="AC20" s="226">
        <v>-0.45636226569593985</v>
      </c>
      <c r="AD20" s="135">
        <f t="shared" si="59"/>
        <v>-0.18168852162362104</v>
      </c>
      <c r="AE20" s="298"/>
      <c r="AF20" s="298"/>
      <c r="AG20" s="23"/>
      <c r="AH20" s="23"/>
      <c r="AI20" s="53"/>
      <c r="AJ20" s="68"/>
      <c r="AK20" s="79"/>
      <c r="AL20" s="68"/>
      <c r="AM20" s="298"/>
      <c r="AN20" s="68"/>
      <c r="AO20" s="68"/>
      <c r="AP20" s="23"/>
      <c r="AQ20" s="23"/>
      <c r="AR20" s="23"/>
      <c r="AS20" s="23"/>
      <c r="AT20" s="23"/>
      <c r="AU20" s="23"/>
      <c r="AV20" s="23"/>
      <c r="AW20" s="26"/>
      <c r="AX20" s="26"/>
      <c r="AY20" s="26"/>
      <c r="AZ20" s="26"/>
      <c r="BA20" s="26"/>
      <c r="BE20" s="26"/>
      <c r="BF20">
        <v>197</v>
      </c>
      <c r="BG20">
        <v>197</v>
      </c>
      <c r="BH20">
        <f t="shared" si="60"/>
        <v>0</v>
      </c>
      <c r="BI20">
        <v>204</v>
      </c>
      <c r="BJ20">
        <v>242</v>
      </c>
      <c r="BK20" s="117">
        <v>205.17813000000001</v>
      </c>
      <c r="BL20">
        <f t="shared" si="54"/>
        <v>-7</v>
      </c>
      <c r="BM20">
        <v>324</v>
      </c>
      <c r="BN20">
        <v>182</v>
      </c>
      <c r="BO20" s="117">
        <f t="shared" si="26"/>
        <v>200.15428</v>
      </c>
      <c r="BP20" s="34">
        <f t="shared" si="9"/>
        <v>392.20657999999997</v>
      </c>
      <c r="BQ20" s="117">
        <f t="shared" si="10"/>
        <v>301.09696092619396</v>
      </c>
      <c r="BR20" s="117">
        <v>288.52071000000001</v>
      </c>
      <c r="BS20" s="117">
        <f t="shared" si="55"/>
        <v>-59.096960926193958</v>
      </c>
      <c r="BT20" s="117">
        <f t="shared" si="56"/>
        <v>-46.520710000000008</v>
      </c>
      <c r="BU20" s="117">
        <f t="shared" si="29"/>
        <v>-8.1781300000000101</v>
      </c>
      <c r="BV20" s="23">
        <v>-0.13400000000000001</v>
      </c>
      <c r="BW20" s="117">
        <f t="shared" si="30"/>
        <v>-18.15428</v>
      </c>
      <c r="BX20" s="23">
        <f t="shared" si="31"/>
        <v>-0.20204071308422525</v>
      </c>
      <c r="BY20" s="34">
        <f t="shared" si="32"/>
        <v>-68.206579999999974</v>
      </c>
      <c r="BZ20" s="23">
        <f t="shared" si="53"/>
        <v>-0.37387956555325524</v>
      </c>
      <c r="CA20" s="23">
        <f t="shared" si="12"/>
        <v>-0.40461907745592163</v>
      </c>
      <c r="CB20" s="23">
        <f t="shared" si="13"/>
        <v>-9.327903108259214E-2</v>
      </c>
      <c r="CC20" s="23">
        <f t="shared" si="46"/>
        <v>-0.11258413306241047</v>
      </c>
      <c r="CD20" s="117">
        <v>44</v>
      </c>
      <c r="CE20" s="117">
        <f t="shared" si="14"/>
        <v>288.526996</v>
      </c>
      <c r="CF20" s="117">
        <f t="shared" si="33"/>
        <v>-46.526995999999997</v>
      </c>
      <c r="CG20" s="23">
        <f t="shared" si="15"/>
        <v>-0.35689687233893047</v>
      </c>
      <c r="CH20" s="26">
        <f t="shared" si="16"/>
        <v>-0.50572821739130436</v>
      </c>
      <c r="CI20" s="23">
        <f t="shared" si="17"/>
        <v>-0.20788912099973089</v>
      </c>
      <c r="CJ20" s="117">
        <v>35</v>
      </c>
      <c r="CK20" s="117">
        <v>53</v>
      </c>
      <c r="CL20" s="117">
        <f t="shared" si="18"/>
        <v>53.484319599999999</v>
      </c>
      <c r="CM20" s="117">
        <f t="shared" si="19"/>
        <v>39.808972503617944</v>
      </c>
      <c r="CN20" s="117">
        <f t="shared" si="34"/>
        <v>-0.48431959999999918</v>
      </c>
      <c r="CO20" s="117">
        <f t="shared" si="20"/>
        <v>-4.8089725036179445</v>
      </c>
      <c r="CP20" s="23">
        <f t="shared" si="35"/>
        <v>-0.10336851233166817</v>
      </c>
      <c r="CQ20" s="23">
        <f t="shared" si="21"/>
        <v>-0.25067586616155813</v>
      </c>
      <c r="CR20" s="23">
        <f t="shared" si="36"/>
        <v>-0.30625180224785847</v>
      </c>
      <c r="CS20" s="23">
        <f t="shared" si="37"/>
        <v>-0.21419950135355847</v>
      </c>
      <c r="CT20" s="26">
        <f t="shared" si="22"/>
        <v>-0.36613327463233081</v>
      </c>
      <c r="CU20" s="117">
        <v>29</v>
      </c>
      <c r="CV20" s="117">
        <f t="shared" si="47"/>
        <v>15</v>
      </c>
      <c r="CW20" s="23">
        <v>0.435</v>
      </c>
      <c r="CX20" s="23">
        <v>8.0000000000000002E-3</v>
      </c>
      <c r="CY20" s="23">
        <f t="shared" si="48"/>
        <v>2.4311900203192141E-2</v>
      </c>
      <c r="CZ20" s="34">
        <v>62700</v>
      </c>
      <c r="DA20" s="75">
        <v>87700</v>
      </c>
      <c r="DB20" s="34">
        <v>180720</v>
      </c>
      <c r="DC20" s="34">
        <v>45940</v>
      </c>
      <c r="DD20" s="34">
        <v>108640</v>
      </c>
      <c r="DE20" s="34">
        <f t="shared" si="23"/>
        <v>227018.92400000003</v>
      </c>
      <c r="DF20" s="34">
        <f t="shared" si="24"/>
        <v>173210.96960926196</v>
      </c>
      <c r="DG20" s="34">
        <f t="shared" si="38"/>
        <v>-118378.92400000003</v>
      </c>
      <c r="DH20" s="34">
        <f t="shared" si="39"/>
        <v>-127270.96960926196</v>
      </c>
      <c r="DI20" s="36">
        <f t="shared" si="25"/>
        <v>-0.59921443252332984</v>
      </c>
      <c r="DJ20" s="36">
        <f t="shared" si="40"/>
        <v>-0.49770513050648663</v>
      </c>
      <c r="DK20" s="36">
        <f t="shared" si="57"/>
        <v>-0.45936573778873041</v>
      </c>
      <c r="DL20" s="34">
        <v>169969.85</v>
      </c>
      <c r="DM20">
        <f t="shared" si="58"/>
        <v>-118020</v>
      </c>
      <c r="DN20" s="34">
        <f t="shared" si="42"/>
        <v>-82269.850000000006</v>
      </c>
      <c r="DO20" s="23">
        <v>-0.628</v>
      </c>
      <c r="DP20" s="23">
        <f t="shared" si="50"/>
        <v>-0.49068915436384075</v>
      </c>
      <c r="DQ20" s="23">
        <f t="shared" si="43"/>
        <v>-0.38283313355130977</v>
      </c>
      <c r="DR20" s="23">
        <f t="shared" si="44"/>
        <v>-0.36820547382146701</v>
      </c>
    </row>
    <row r="21" spans="1:122" x14ac:dyDescent="0.25">
      <c r="A21" s="9" t="s">
        <v>52</v>
      </c>
      <c r="B21" s="9" t="s">
        <v>57</v>
      </c>
      <c r="C21" s="10">
        <f t="shared" si="0"/>
        <v>65</v>
      </c>
      <c r="D21">
        <v>0</v>
      </c>
      <c r="E21">
        <v>0</v>
      </c>
      <c r="F21">
        <v>0</v>
      </c>
      <c r="G21" s="8">
        <v>65</v>
      </c>
      <c r="H21">
        <v>0</v>
      </c>
      <c r="I21">
        <v>0</v>
      </c>
      <c r="J21">
        <v>0</v>
      </c>
      <c r="L21">
        <v>16.5</v>
      </c>
      <c r="M21" s="23">
        <f t="shared" si="1"/>
        <v>0.25384615384615383</v>
      </c>
      <c r="N21" s="23">
        <f>M21/M75</f>
        <v>3.9392145932215144E-3</v>
      </c>
      <c r="O21">
        <v>10</v>
      </c>
      <c r="P21" s="23">
        <f t="shared" si="2"/>
        <v>0.15384615384615385</v>
      </c>
      <c r="Q21" s="40">
        <f>P21/P75</f>
        <v>1.029558025455358E-2</v>
      </c>
      <c r="R21" s="23">
        <f t="shared" si="3"/>
        <v>0.22884615384615384</v>
      </c>
      <c r="S21" s="40">
        <f>R21/R75</f>
        <v>4.3952805788988391E-3</v>
      </c>
      <c r="T21" s="40">
        <f t="shared" si="4"/>
        <v>5.5283060085545305E-3</v>
      </c>
      <c r="U21" s="34">
        <v>0</v>
      </c>
      <c r="V21" s="34">
        <f t="shared" si="5"/>
        <v>0</v>
      </c>
      <c r="W21" s="34"/>
      <c r="X21" s="40">
        <f>V21/V75</f>
        <v>0</v>
      </c>
      <c r="Y21" s="47">
        <f t="shared" si="6"/>
        <v>3.3169836051327182E-3</v>
      </c>
      <c r="Z21" s="47">
        <v>-0.68500000000000005</v>
      </c>
      <c r="AA21" s="135">
        <v>-0.66600000000000004</v>
      </c>
      <c r="AB21" s="218">
        <v>59</v>
      </c>
      <c r="AC21" s="226">
        <v>-0.64930158711375185</v>
      </c>
      <c r="AD21" s="135">
        <f t="shared" si="59"/>
        <v>-0.67277290222840336</v>
      </c>
      <c r="AE21" s="298"/>
      <c r="AF21" s="298"/>
      <c r="AG21" s="23"/>
      <c r="AH21" s="23"/>
      <c r="AI21" s="53"/>
      <c r="AJ21" s="68"/>
      <c r="AK21" s="79"/>
      <c r="AL21" s="68"/>
      <c r="AM21" s="298"/>
      <c r="AN21" s="68"/>
      <c r="AO21" s="68"/>
      <c r="AP21" s="23"/>
      <c r="AQ21" s="23"/>
      <c r="AR21" s="23"/>
      <c r="AS21" s="23"/>
      <c r="AT21" s="23"/>
      <c r="AU21" s="23"/>
      <c r="AV21" s="23"/>
      <c r="AW21" s="26"/>
      <c r="AX21" s="26"/>
      <c r="AY21" s="26"/>
      <c r="AZ21" s="26"/>
      <c r="BA21" s="26"/>
      <c r="BE21" s="308"/>
      <c r="BF21">
        <v>70</v>
      </c>
      <c r="BG21">
        <v>70</v>
      </c>
      <c r="BH21">
        <f t="shared" si="60"/>
        <v>0</v>
      </c>
      <c r="BI21">
        <v>147</v>
      </c>
      <c r="BJ21">
        <v>84</v>
      </c>
      <c r="BK21" s="117">
        <v>148.1842</v>
      </c>
      <c r="BL21">
        <f t="shared" si="54"/>
        <v>-77</v>
      </c>
      <c r="BM21">
        <v>120</v>
      </c>
      <c r="BN21">
        <v>51</v>
      </c>
      <c r="BO21" s="117">
        <f t="shared" si="26"/>
        <v>128.35981000000001</v>
      </c>
      <c r="BP21" s="34">
        <f t="shared" si="9"/>
        <v>251.523785</v>
      </c>
      <c r="BQ21" s="117">
        <f t="shared" si="10"/>
        <v>193.09479015918959</v>
      </c>
      <c r="BR21" s="117">
        <v>185.02958000000001</v>
      </c>
      <c r="BS21" s="117">
        <f t="shared" si="55"/>
        <v>-109.09479015918959</v>
      </c>
      <c r="BT21" s="117">
        <f t="shared" si="56"/>
        <v>-101.02958000000001</v>
      </c>
      <c r="BU21" s="117">
        <f t="shared" si="29"/>
        <v>-78.184200000000004</v>
      </c>
      <c r="BV21" s="23">
        <v>-0.76</v>
      </c>
      <c r="BW21" s="117">
        <f t="shared" si="30"/>
        <v>-77.35981000000001</v>
      </c>
      <c r="BX21" s="23">
        <f t="shared" si="31"/>
        <v>-0.76421086562065887</v>
      </c>
      <c r="BY21" s="34">
        <f t="shared" si="32"/>
        <v>-131.523785</v>
      </c>
      <c r="BZ21" s="23">
        <f t="shared" si="53"/>
        <v>-0.71546658900654869</v>
      </c>
      <c r="CA21" s="23">
        <f t="shared" si="12"/>
        <v>-0.7469391430227228</v>
      </c>
      <c r="CB21" s="23">
        <f t="shared" si="13"/>
        <v>-0.57447926699559437</v>
      </c>
      <c r="CC21" s="23">
        <f t="shared" si="46"/>
        <v>-0.74740450503592826</v>
      </c>
      <c r="CD21" s="117">
        <v>19</v>
      </c>
      <c r="CE21" s="117">
        <f t="shared" si="14"/>
        <v>185.03361699999999</v>
      </c>
      <c r="CF21" s="117">
        <f t="shared" si="33"/>
        <v>-101.03361699999999</v>
      </c>
      <c r="CG21" s="23">
        <f t="shared" si="15"/>
        <v>-0.73156018099594988</v>
      </c>
      <c r="CH21" s="26">
        <f t="shared" si="16"/>
        <v>-1.7124341864406778</v>
      </c>
      <c r="CI21" s="23">
        <f t="shared" si="17"/>
        <v>-0.61755549812602828</v>
      </c>
      <c r="CJ21" s="117">
        <v>12</v>
      </c>
      <c r="CK21" s="117">
        <v>16</v>
      </c>
      <c r="CL21" s="117">
        <f t="shared" si="18"/>
        <v>34.299726700000001</v>
      </c>
      <c r="CM21" s="117">
        <f t="shared" si="19"/>
        <v>25.529667149059335</v>
      </c>
      <c r="CN21" s="117">
        <f t="shared" si="34"/>
        <v>-18.299726700000001</v>
      </c>
      <c r="CO21" s="117">
        <f t="shared" si="20"/>
        <v>-13.529667149059335</v>
      </c>
      <c r="CP21" s="23">
        <f t="shared" si="35"/>
        <v>-0.66617193610829861</v>
      </c>
      <c r="CQ21" s="23">
        <f t="shared" si="21"/>
        <v>-0.70525689820776627</v>
      </c>
      <c r="CR21" s="23">
        <f t="shared" si="36"/>
        <v>-0.70314292578198623</v>
      </c>
      <c r="CS21" s="23">
        <f t="shared" si="37"/>
        <v>-0.7494723737674357</v>
      </c>
      <c r="CT21" s="26">
        <f t="shared" si="22"/>
        <v>-0.73651858181898366</v>
      </c>
      <c r="CU21" s="117">
        <v>21</v>
      </c>
      <c r="CV21" s="117">
        <f t="shared" si="47"/>
        <v>-2</v>
      </c>
      <c r="CW21" s="23">
        <v>-0.24199999999999999</v>
      </c>
      <c r="CX21" s="23">
        <v>-0.63</v>
      </c>
      <c r="CY21" s="23">
        <f t="shared" si="48"/>
        <v>-0.62105337877694622</v>
      </c>
      <c r="CZ21" s="34">
        <v>0</v>
      </c>
      <c r="DA21" s="75">
        <v>0</v>
      </c>
      <c r="DB21" s="34">
        <v>134897</v>
      </c>
      <c r="DC21" s="34">
        <v>0</v>
      </c>
      <c r="DD21" s="34">
        <v>0</v>
      </c>
      <c r="DE21" s="34">
        <f t="shared" si="23"/>
        <v>145588.223</v>
      </c>
      <c r="DF21" s="34">
        <f t="shared" si="24"/>
        <v>111080.94790159191</v>
      </c>
      <c r="DG21" s="34">
        <f t="shared" si="38"/>
        <v>-145588.223</v>
      </c>
      <c r="DH21" s="34">
        <f t="shared" si="39"/>
        <v>-111080.94790159191</v>
      </c>
      <c r="DI21" s="36">
        <f t="shared" si="25"/>
        <v>-0.52298892171056477</v>
      </c>
      <c r="DJ21" s="36">
        <f t="shared" si="40"/>
        <v>-0.60890444526984799</v>
      </c>
      <c r="DK21" s="36">
        <f t="shared" si="57"/>
        <v>-0.65110671777561613</v>
      </c>
      <c r="DL21" s="34">
        <v>125819.71</v>
      </c>
      <c r="DM21">
        <f t="shared" si="58"/>
        <v>-134897</v>
      </c>
      <c r="DN21" s="34">
        <f t="shared" si="42"/>
        <v>-125819.71</v>
      </c>
      <c r="DO21" s="23">
        <v>-0.72</v>
      </c>
      <c r="DP21" s="23">
        <f t="shared" si="50"/>
        <v>-0.75035218740558907</v>
      </c>
      <c r="DQ21" s="23">
        <f t="shared" si="43"/>
        <v>-0.66544753357713093</v>
      </c>
      <c r="DR21" s="23">
        <f t="shared" si="44"/>
        <v>-0.65887899294468733</v>
      </c>
    </row>
    <row r="22" spans="1:122" x14ac:dyDescent="0.25">
      <c r="A22" s="9" t="s">
        <v>52</v>
      </c>
      <c r="B22" s="9" t="s">
        <v>59</v>
      </c>
      <c r="C22" s="10">
        <f t="shared" si="0"/>
        <v>27</v>
      </c>
      <c r="D22">
        <v>0</v>
      </c>
      <c r="E22">
        <v>0</v>
      </c>
      <c r="F22">
        <v>0</v>
      </c>
      <c r="G22" s="8">
        <v>27</v>
      </c>
      <c r="H22">
        <v>0</v>
      </c>
      <c r="I22">
        <v>0</v>
      </c>
      <c r="J22">
        <v>0</v>
      </c>
      <c r="L22">
        <v>12.5</v>
      </c>
      <c r="M22" s="23">
        <f t="shared" si="1"/>
        <v>0.46296296296296297</v>
      </c>
      <c r="N22" s="23">
        <f>M22/M75</f>
        <v>7.1843139326430543E-3</v>
      </c>
      <c r="O22">
        <v>0.5</v>
      </c>
      <c r="P22" s="23">
        <f t="shared" si="2"/>
        <v>1.8518518518518517E-2</v>
      </c>
      <c r="Q22" s="40">
        <f>P22/P75</f>
        <v>1.2392828084184862E-3</v>
      </c>
      <c r="R22" s="23">
        <f t="shared" si="3"/>
        <v>0.35185185185185186</v>
      </c>
      <c r="S22" s="40">
        <f>R22/R75</f>
        <v>6.7577609896546115E-3</v>
      </c>
      <c r="T22" s="40">
        <f t="shared" si="4"/>
        <v>5.6980561515869122E-3</v>
      </c>
      <c r="U22" s="34">
        <v>133821</v>
      </c>
      <c r="V22" s="70">
        <f t="shared" si="5"/>
        <v>4956.333333333333</v>
      </c>
      <c r="W22" s="70"/>
      <c r="X22" s="40">
        <f>V22/V75</f>
        <v>6.3646279152293331E-2</v>
      </c>
      <c r="Y22" s="46">
        <f t="shared" si="6"/>
        <v>2.887734535186948E-2</v>
      </c>
      <c r="Z22" s="47">
        <v>9.9000000000000005E-2</v>
      </c>
      <c r="AA22" s="135">
        <v>-0.312</v>
      </c>
      <c r="AB22" s="218">
        <v>26</v>
      </c>
      <c r="AC22" s="226">
        <v>-0.19483368088349801</v>
      </c>
      <c r="AD22" s="135">
        <f t="shared" si="59"/>
        <v>-0.30353551021570857</v>
      </c>
      <c r="AE22" s="298"/>
      <c r="AF22" s="298"/>
      <c r="AG22" s="23"/>
      <c r="AH22" s="23"/>
      <c r="AI22" s="53"/>
      <c r="AJ22" s="68"/>
      <c r="AK22" s="79"/>
      <c r="AL22" s="68"/>
      <c r="AM22" s="298"/>
      <c r="AN22" s="68"/>
      <c r="AO22" s="68"/>
      <c r="AP22" s="23"/>
      <c r="AQ22" s="23"/>
      <c r="AR22" s="23"/>
      <c r="AS22" s="23"/>
      <c r="AT22" s="23"/>
      <c r="AU22" s="23"/>
      <c r="AV22" s="23"/>
      <c r="AW22" s="26"/>
      <c r="AX22" s="26"/>
      <c r="AY22" s="26"/>
      <c r="AZ22" s="26"/>
      <c r="BA22" s="26"/>
      <c r="BE22" s="240"/>
      <c r="BF22">
        <v>26</v>
      </c>
      <c r="BG22">
        <v>26</v>
      </c>
      <c r="BH22">
        <f t="shared" si="60"/>
        <v>0</v>
      </c>
      <c r="BI22">
        <v>61</v>
      </c>
      <c r="BJ22">
        <v>42</v>
      </c>
      <c r="BK22" s="117">
        <v>61.553440000000002</v>
      </c>
      <c r="BL22">
        <f t="shared" si="54"/>
        <v>-35</v>
      </c>
      <c r="BM22">
        <v>57</v>
      </c>
      <c r="BN22">
        <v>33</v>
      </c>
      <c r="BO22" s="117">
        <f t="shared" si="26"/>
        <v>56.565340000000006</v>
      </c>
      <c r="BP22" s="34">
        <f t="shared" si="9"/>
        <v>110.84099000000001</v>
      </c>
      <c r="BQ22" s="117">
        <f t="shared" si="10"/>
        <v>85.092619392185242</v>
      </c>
      <c r="BR22" s="117">
        <v>81.538460000000001</v>
      </c>
      <c r="BS22" s="117">
        <f t="shared" si="55"/>
        <v>-43.092619392185242</v>
      </c>
      <c r="BT22" s="117">
        <f t="shared" si="56"/>
        <v>-39.538460000000001</v>
      </c>
      <c r="BU22" s="117">
        <f t="shared" si="29"/>
        <v>-35.553440000000002</v>
      </c>
      <c r="BV22" s="23">
        <v>-0.38400000000000001</v>
      </c>
      <c r="BW22" s="117">
        <f t="shared" si="30"/>
        <v>-23.565340000000006</v>
      </c>
      <c r="BX22" s="23">
        <f t="shared" si="31"/>
        <v>-0.25341997487926021</v>
      </c>
      <c r="BY22" s="34">
        <f t="shared" si="32"/>
        <v>-53.840990000000005</v>
      </c>
      <c r="BZ22" s="23">
        <f t="shared" si="53"/>
        <v>-0.29637931695178288</v>
      </c>
      <c r="CA22" s="23">
        <f t="shared" si="12"/>
        <v>-0.29504217527194071</v>
      </c>
      <c r="CB22" s="23">
        <f t="shared" si="13"/>
        <v>-0.28144850881775951</v>
      </c>
      <c r="CC22" s="23">
        <f t="shared" si="46"/>
        <v>-0.36082552808844692</v>
      </c>
      <c r="CD22" s="117">
        <v>5</v>
      </c>
      <c r="CE22" s="117">
        <f t="shared" si="14"/>
        <v>81.540237999999988</v>
      </c>
      <c r="CF22" s="117">
        <f t="shared" si="33"/>
        <v>-39.540237999999988</v>
      </c>
      <c r="CG22" s="23">
        <f t="shared" si="15"/>
        <v>-0.30887184673578577</v>
      </c>
      <c r="CH22" s="26">
        <f t="shared" si="16"/>
        <v>-1.5207783846153842</v>
      </c>
      <c r="CI22" s="23">
        <f t="shared" si="17"/>
        <v>-0.55248998920933945</v>
      </c>
      <c r="CJ22" s="117">
        <v>15</v>
      </c>
      <c r="CK22" s="117">
        <v>17</v>
      </c>
      <c r="CL22" s="117">
        <f t="shared" si="18"/>
        <v>15.115133800000001</v>
      </c>
      <c r="CM22" s="117">
        <f t="shared" si="19"/>
        <v>11.250361794500723</v>
      </c>
      <c r="CN22" s="117">
        <f t="shared" si="34"/>
        <v>1.8848661999999994</v>
      </c>
      <c r="CO22" s="117">
        <f t="shared" si="20"/>
        <v>3.7496382054992772</v>
      </c>
      <c r="CP22" s="23">
        <f t="shared" si="35"/>
        <v>-2.8523976233305628E-2</v>
      </c>
      <c r="CQ22" s="23">
        <f t="shared" si="21"/>
        <v>0.19545626518946654</v>
      </c>
      <c r="CR22" s="23">
        <f t="shared" si="36"/>
        <v>-0.22941548177216356</v>
      </c>
      <c r="CS22" s="23">
        <f t="shared" si="37"/>
        <v>-0.1412009148620785</v>
      </c>
      <c r="CT22" s="26">
        <f t="shared" si="22"/>
        <v>-0.17241756515658888</v>
      </c>
      <c r="CU22" s="117">
        <v>9</v>
      </c>
      <c r="CV22" s="117">
        <f t="shared" si="47"/>
        <v>-4</v>
      </c>
      <c r="CW22" s="23">
        <v>-0.32200000000000001</v>
      </c>
      <c r="CX22" s="23">
        <v>-0.36899999999999999</v>
      </c>
      <c r="CY22" s="23">
        <f t="shared" si="48"/>
        <v>-0.35111914606633521</v>
      </c>
      <c r="CZ22" s="34">
        <v>16950</v>
      </c>
      <c r="DA22" s="75">
        <v>16950</v>
      </c>
      <c r="DB22" s="34">
        <v>61253</v>
      </c>
      <c r="DC22" s="34">
        <v>0</v>
      </c>
      <c r="DD22" s="34">
        <v>16950</v>
      </c>
      <c r="DE22" s="34">
        <f t="shared" si="23"/>
        <v>64157.522000000004</v>
      </c>
      <c r="DF22" s="34">
        <f t="shared" si="24"/>
        <v>48950.926193921856</v>
      </c>
      <c r="DG22" s="34">
        <f t="shared" si="38"/>
        <v>-47207.522000000004</v>
      </c>
      <c r="DH22" s="34">
        <f t="shared" si="39"/>
        <v>-48950.926193921856</v>
      </c>
      <c r="DI22" s="36">
        <f t="shared" si="25"/>
        <v>-0.23046969431313022</v>
      </c>
      <c r="DJ22" s="36">
        <f t="shared" si="40"/>
        <v>-0.20684092510568844</v>
      </c>
      <c r="DK22" s="36">
        <f t="shared" si="57"/>
        <v>-0.19563841681920541</v>
      </c>
      <c r="DL22" s="34">
        <v>55860.17</v>
      </c>
      <c r="DM22">
        <f t="shared" si="58"/>
        <v>-44303</v>
      </c>
      <c r="DN22" s="34">
        <f t="shared" si="42"/>
        <v>-38910.17</v>
      </c>
      <c r="DO22" s="23">
        <v>-0.22800000000000001</v>
      </c>
      <c r="DP22" s="23">
        <f t="shared" si="50"/>
        <v>-0.23216005643976859</v>
      </c>
      <c r="DQ22" s="23">
        <f t="shared" si="43"/>
        <v>-0.22038565910557351</v>
      </c>
      <c r="DR22" s="23">
        <f t="shared" si="44"/>
        <v>-0.1769084266424992</v>
      </c>
    </row>
    <row r="23" spans="1:122" x14ac:dyDescent="0.25">
      <c r="A23" s="7" t="s">
        <v>60</v>
      </c>
      <c r="B23" s="7" t="s">
        <v>62</v>
      </c>
      <c r="C23" s="10">
        <f t="shared" si="0"/>
        <v>107</v>
      </c>
      <c r="D23">
        <v>0</v>
      </c>
      <c r="E23">
        <v>0</v>
      </c>
      <c r="F23">
        <v>0</v>
      </c>
      <c r="G23" s="8">
        <v>107</v>
      </c>
      <c r="H23">
        <v>0</v>
      </c>
      <c r="I23">
        <v>0</v>
      </c>
      <c r="J23">
        <v>0</v>
      </c>
      <c r="L23">
        <v>56.5</v>
      </c>
      <c r="M23" s="23">
        <f t="shared" si="1"/>
        <v>0.5280373831775701</v>
      </c>
      <c r="N23" s="23">
        <f>M23/M75</f>
        <v>8.1941464704650309E-3</v>
      </c>
      <c r="O23">
        <v>12</v>
      </c>
      <c r="P23" s="23">
        <f t="shared" si="2"/>
        <v>0.11214953271028037</v>
      </c>
      <c r="Q23" s="40">
        <f>P23/P75</f>
        <v>7.5051893444409261E-3</v>
      </c>
      <c r="R23" s="23">
        <f t="shared" si="3"/>
        <v>0.4240654205607477</v>
      </c>
      <c r="S23" s="40">
        <f>R23/R75</f>
        <v>8.1447141489922343E-3</v>
      </c>
      <c r="T23" s="40">
        <f t="shared" si="4"/>
        <v>8.0219071889590047E-3</v>
      </c>
      <c r="U23" s="34">
        <v>160731</v>
      </c>
      <c r="V23" s="70">
        <f t="shared" si="5"/>
        <v>1502.1588785046729</v>
      </c>
      <c r="W23" s="70"/>
      <c r="X23" s="40">
        <f>V23/V75</f>
        <v>1.9289829170570507E-2</v>
      </c>
      <c r="Y23" s="47">
        <f t="shared" si="6"/>
        <v>1.2529075981603606E-2</v>
      </c>
      <c r="Z23" s="47">
        <v>0.01</v>
      </c>
      <c r="AA23" s="135">
        <v>-0.39500000000000002</v>
      </c>
      <c r="AB23" s="218">
        <v>90</v>
      </c>
      <c r="AC23" s="227">
        <v>0.20800861556756889</v>
      </c>
      <c r="AD23" s="135">
        <f t="shared" si="59"/>
        <v>-0.37348708086688226</v>
      </c>
      <c r="AE23" s="298"/>
      <c r="AF23" s="298"/>
      <c r="AG23" s="23"/>
      <c r="AH23" s="66" t="e">
        <f>AP23*BE$9</f>
        <v>#DIV/0!</v>
      </c>
      <c r="AI23" s="65" t="e">
        <f>AQ23*BE$17</f>
        <v>#DIV/0!</v>
      </c>
      <c r="AJ23" s="65" t="e">
        <f>SUM(AK23:AL23)</f>
        <v>#DIV/0!</v>
      </c>
      <c r="AK23" s="68"/>
      <c r="AL23" s="65" t="e">
        <f>AS23*BE$27</f>
        <v>#DIV/0!</v>
      </c>
      <c r="AM23" s="298"/>
      <c r="AN23" s="68"/>
      <c r="AO23" s="68"/>
      <c r="AP23" s="23" t="e">
        <f>AB23*BA23</f>
        <v>#DIV/0!</v>
      </c>
      <c r="AQ23" s="23" t="e">
        <f t="shared" ref="AQ23:AQ25" si="63">AB23*AW23</f>
        <v>#DIV/0!</v>
      </c>
      <c r="AR23" s="23"/>
      <c r="AS23" s="23" t="e">
        <f>AB23*AY23</f>
        <v>#DIV/0!</v>
      </c>
      <c r="AT23" s="23"/>
      <c r="AU23" s="23"/>
      <c r="AV23" s="23"/>
      <c r="AW23" s="26" t="e">
        <f>DQ23/BE$15</f>
        <v>#DIV/0!</v>
      </c>
      <c r="AX23" s="26"/>
      <c r="AY23" s="26" t="e">
        <f>DJ23/BE$22</f>
        <v>#DIV/0!</v>
      </c>
      <c r="AZ23" s="26"/>
      <c r="BA23" s="236" t="e">
        <f>AC23/BE$5</f>
        <v>#DIV/0!</v>
      </c>
      <c r="BF23">
        <v>227</v>
      </c>
      <c r="BG23">
        <v>227</v>
      </c>
      <c r="BH23">
        <f t="shared" si="60"/>
        <v>0</v>
      </c>
      <c r="BI23">
        <v>242</v>
      </c>
      <c r="BJ23">
        <v>353</v>
      </c>
      <c r="BK23" s="117">
        <v>243.93398999999999</v>
      </c>
      <c r="BL23">
        <f t="shared" si="54"/>
        <v>-15</v>
      </c>
      <c r="BM23">
        <v>422</v>
      </c>
      <c r="BN23">
        <v>202</v>
      </c>
      <c r="BO23" s="117">
        <f t="shared" si="26"/>
        <v>195.8031</v>
      </c>
      <c r="BP23" s="34">
        <f t="shared" si="9"/>
        <v>383.68034999999998</v>
      </c>
      <c r="BQ23" s="117">
        <f t="shared" si="10"/>
        <v>294.55137481910276</v>
      </c>
      <c r="BR23" s="117">
        <v>282.24851999999998</v>
      </c>
      <c r="BS23" s="117">
        <f t="shared" si="55"/>
        <v>58.448625180897238</v>
      </c>
      <c r="BT23" s="117">
        <f t="shared" si="56"/>
        <v>70.751480000000015</v>
      </c>
      <c r="BU23" s="117">
        <f t="shared" si="29"/>
        <v>-16.933989999999994</v>
      </c>
      <c r="BV23" s="23">
        <v>-0.20599999999999999</v>
      </c>
      <c r="BW23" s="117">
        <f t="shared" si="30"/>
        <v>6.1968999999999994</v>
      </c>
      <c r="BX23" s="23">
        <f t="shared" si="31"/>
        <v>2.9179353268396668E-2</v>
      </c>
      <c r="BY23" s="34">
        <f t="shared" si="32"/>
        <v>38.319650000000024</v>
      </c>
      <c r="BZ23" s="23">
        <f t="shared" si="53"/>
        <v>0.20081380294589007</v>
      </c>
      <c r="CA23" s="25">
        <f t="shared" si="12"/>
        <v>0.40018011804020359</v>
      </c>
      <c r="CB23" s="23">
        <f t="shared" si="13"/>
        <v>-0.15346412499832279</v>
      </c>
      <c r="CC23" s="23">
        <f t="shared" si="46"/>
        <v>-0.19198293808243283</v>
      </c>
      <c r="CD23" s="117">
        <v>7</v>
      </c>
      <c r="CE23" s="117">
        <f t="shared" si="14"/>
        <v>282.25466999999998</v>
      </c>
      <c r="CF23" s="117">
        <f t="shared" si="33"/>
        <v>70.745330000000024</v>
      </c>
      <c r="CG23" s="25">
        <f t="shared" si="15"/>
        <v>0.44920038459916911</v>
      </c>
      <c r="CH23" s="26">
        <f t="shared" si="16"/>
        <v>0.78605922222222246</v>
      </c>
      <c r="CI23" s="23">
        <f t="shared" si="17"/>
        <v>0.23066168920354282</v>
      </c>
      <c r="CJ23" s="117">
        <v>20</v>
      </c>
      <c r="CK23" s="117">
        <v>23</v>
      </c>
      <c r="CL23" s="117">
        <f t="shared" si="18"/>
        <v>52.321617000000003</v>
      </c>
      <c r="CM23" s="117">
        <f t="shared" si="19"/>
        <v>38.943560057887119</v>
      </c>
      <c r="CN23" s="117">
        <f t="shared" si="34"/>
        <v>-29.321617000000003</v>
      </c>
      <c r="CO23" s="117">
        <f t="shared" si="20"/>
        <v>-18.943560057887119</v>
      </c>
      <c r="CP23" s="23">
        <f t="shared" si="35"/>
        <v>-1.014362553505441</v>
      </c>
      <c r="CQ23" s="23">
        <f t="shared" si="21"/>
        <v>-0.98746526874956242</v>
      </c>
      <c r="CR23" s="23">
        <f t="shared" si="36"/>
        <v>-0.10298028616694271</v>
      </c>
      <c r="CS23" s="23">
        <f t="shared" si="37"/>
        <v>-0.2249818022360931</v>
      </c>
      <c r="CT23" s="26">
        <f t="shared" si="22"/>
        <v>5.3268771342762089E-2</v>
      </c>
      <c r="CU23" s="117">
        <v>34</v>
      </c>
      <c r="CV23" s="117">
        <f t="shared" si="47"/>
        <v>-27</v>
      </c>
      <c r="CW23" s="23">
        <v>-1.238</v>
      </c>
      <c r="CX23" s="23">
        <v>-0.46400000000000002</v>
      </c>
      <c r="CY23" s="23">
        <f t="shared" si="48"/>
        <v>-0.45348720356182459</v>
      </c>
      <c r="CZ23" s="34">
        <v>154957</v>
      </c>
      <c r="DA23" s="75">
        <v>156957</v>
      </c>
      <c r="DB23" s="34">
        <v>211120</v>
      </c>
      <c r="DC23" s="34">
        <v>261294</v>
      </c>
      <c r="DD23" s="34">
        <v>331823</v>
      </c>
      <c r="DE23" s="34">
        <f t="shared" si="23"/>
        <v>222083.73</v>
      </c>
      <c r="DF23" s="34">
        <f t="shared" si="24"/>
        <v>169445.51374819104</v>
      </c>
      <c r="DG23" s="34">
        <f t="shared" si="38"/>
        <v>109739.26999999999</v>
      </c>
      <c r="DH23" s="34">
        <f t="shared" si="39"/>
        <v>91848.486251808965</v>
      </c>
      <c r="DI23" s="36">
        <f t="shared" si="25"/>
        <v>0.43243906082019307</v>
      </c>
      <c r="DJ23" s="225">
        <f t="shared" si="40"/>
        <v>0.43457125257326656</v>
      </c>
      <c r="DK23" s="225">
        <f t="shared" si="57"/>
        <v>0.20493688713373448</v>
      </c>
      <c r="DL23" s="34">
        <v>199444.04</v>
      </c>
      <c r="DM23">
        <f t="shared" si="58"/>
        <v>-56163</v>
      </c>
      <c r="DN23" s="34">
        <f t="shared" si="42"/>
        <v>-42487.040000000008</v>
      </c>
      <c r="DO23" s="23">
        <v>-0.29199999999999998</v>
      </c>
      <c r="DP23" s="23">
        <f t="shared" si="50"/>
        <v>-0.25348689682446879</v>
      </c>
      <c r="DQ23" s="25">
        <f t="shared" si="43"/>
        <v>0.11204032932914101</v>
      </c>
      <c r="DR23" s="23">
        <f t="shared" si="44"/>
        <v>3.7986542986421373E-2</v>
      </c>
    </row>
    <row r="24" spans="1:122" x14ac:dyDescent="0.25">
      <c r="A24" s="9" t="s">
        <v>60</v>
      </c>
      <c r="B24" s="9" t="s">
        <v>64</v>
      </c>
      <c r="C24" s="10">
        <f t="shared" si="0"/>
        <v>24</v>
      </c>
      <c r="D24">
        <v>0</v>
      </c>
      <c r="E24">
        <v>0</v>
      </c>
      <c r="F24">
        <v>0</v>
      </c>
      <c r="G24" s="8">
        <v>24</v>
      </c>
      <c r="H24">
        <v>0</v>
      </c>
      <c r="I24">
        <v>0</v>
      </c>
      <c r="J24">
        <v>0</v>
      </c>
      <c r="L24">
        <v>30.5</v>
      </c>
      <c r="M24" s="25">
        <f t="shared" si="1"/>
        <v>1.2708333333333333</v>
      </c>
      <c r="N24" s="23">
        <f>M24/M75</f>
        <v>1.9720941745105181E-2</v>
      </c>
      <c r="O24">
        <v>13</v>
      </c>
      <c r="P24" s="23">
        <f t="shared" si="2"/>
        <v>0.54166666666666663</v>
      </c>
      <c r="Q24" s="40">
        <f>P24/P75</f>
        <v>3.624902214624072E-2</v>
      </c>
      <c r="R24" s="23">
        <f t="shared" si="3"/>
        <v>1.0885416666666667</v>
      </c>
      <c r="S24" s="42">
        <f>R24/R75</f>
        <v>2.0906823061743955E-2</v>
      </c>
      <c r="T24" s="42">
        <f t="shared" si="4"/>
        <v>2.3852961845389067E-2</v>
      </c>
      <c r="U24" s="34">
        <v>204898</v>
      </c>
      <c r="V24" s="70">
        <f t="shared" si="5"/>
        <v>8537.4166666666661</v>
      </c>
      <c r="W24" s="70"/>
      <c r="X24" s="40">
        <f>V24/V75</f>
        <v>0.10963241732586756</v>
      </c>
      <c r="Y24" s="46">
        <f t="shared" si="6"/>
        <v>5.8164744037580471E-2</v>
      </c>
      <c r="Z24" s="46">
        <v>0.75800000000000001</v>
      </c>
      <c r="AA24" s="137">
        <v>1.1439999999999999</v>
      </c>
      <c r="AB24" s="218">
        <v>29</v>
      </c>
      <c r="AC24" s="227">
        <v>0.63824115331818809</v>
      </c>
      <c r="AD24" s="137">
        <f t="shared" si="59"/>
        <v>1.3023593444594304</v>
      </c>
      <c r="AE24" s="298">
        <v>130326.9630330787</v>
      </c>
      <c r="AF24" s="298">
        <f>AO24*BE$33</f>
        <v>89911.578952649637</v>
      </c>
      <c r="AG24" s="23">
        <f>C24*AV24</f>
        <v>1.9551377910702841</v>
      </c>
      <c r="AH24" s="66" t="e">
        <f>AP24*BE$9</f>
        <v>#DIV/0!</v>
      </c>
      <c r="AI24" s="65" t="e">
        <f>AQ24*BE$17</f>
        <v>#DIV/0!</v>
      </c>
      <c r="AJ24" s="65" t="e">
        <f>SUM(AK24:AL24)</f>
        <v>#DIV/0!</v>
      </c>
      <c r="AK24" s="68"/>
      <c r="AL24" s="65" t="e">
        <f>AS24*BE$27</f>
        <v>#DIV/0!</v>
      </c>
      <c r="AM24" s="298">
        <f>AVERAGE(AE24:AF24)</f>
        <v>110119.27099286417</v>
      </c>
      <c r="AN24" s="65">
        <f>AM24+(AM$74*AZ24)</f>
        <v>116355.29775590511</v>
      </c>
      <c r="AO24" s="68">
        <f>AB24*AZ24</f>
        <v>1.5934984083048123</v>
      </c>
      <c r="AP24" s="23" t="e">
        <f>AB24*BA24</f>
        <v>#DIV/0!</v>
      </c>
      <c r="AQ24" s="23" t="e">
        <f t="shared" si="63"/>
        <v>#DIV/0!</v>
      </c>
      <c r="AR24" s="23"/>
      <c r="AS24" s="23" t="e">
        <f>AB24*AY24</f>
        <v>#DIV/0!</v>
      </c>
      <c r="AT24" s="23"/>
      <c r="AU24" s="23"/>
      <c r="AV24" s="23">
        <f>AA24/BB$2</f>
        <v>8.1464074627928498E-2</v>
      </c>
      <c r="AW24" s="26" t="e">
        <f>DQ24/BE$15</f>
        <v>#DIV/0!</v>
      </c>
      <c r="AX24" s="26"/>
      <c r="AY24" s="26" t="e">
        <f>DJ24/BE$22</f>
        <v>#DIV/0!</v>
      </c>
      <c r="AZ24" s="26">
        <f>DR24/BE$30</f>
        <v>5.4948220976028007E-2</v>
      </c>
      <c r="BA24" s="236" t="e">
        <f>AC24/BE$5</f>
        <v>#DIV/0!</v>
      </c>
      <c r="BE24" s="81"/>
      <c r="BF24">
        <v>61</v>
      </c>
      <c r="BG24">
        <v>61</v>
      </c>
      <c r="BH24">
        <f t="shared" si="60"/>
        <v>0</v>
      </c>
      <c r="BI24">
        <v>54</v>
      </c>
      <c r="BJ24">
        <v>40</v>
      </c>
      <c r="BK24" s="117">
        <v>54.714170000000003</v>
      </c>
      <c r="BL24">
        <f t="shared" si="54"/>
        <v>7</v>
      </c>
      <c r="BM24">
        <v>91</v>
      </c>
      <c r="BN24">
        <v>34</v>
      </c>
      <c r="BO24" s="117">
        <f t="shared" si="26"/>
        <v>63.092110000000005</v>
      </c>
      <c r="BP24" s="34">
        <f t="shared" si="9"/>
        <v>123.630335</v>
      </c>
      <c r="BQ24" s="117">
        <f t="shared" si="10"/>
        <v>94.910998552822008</v>
      </c>
      <c r="BR24" s="117">
        <v>90.946749999999994</v>
      </c>
      <c r="BS24" s="117">
        <f t="shared" si="55"/>
        <v>-54.910998552822008</v>
      </c>
      <c r="BT24" s="117">
        <f t="shared" si="56"/>
        <v>-50.946749999999994</v>
      </c>
      <c r="BU24" s="117">
        <f t="shared" si="29"/>
        <v>6.2858299999999971</v>
      </c>
      <c r="BV24" s="23">
        <v>-8.9999999999999993E-3</v>
      </c>
      <c r="BW24" s="117">
        <f t="shared" si="30"/>
        <v>-29.092110000000005</v>
      </c>
      <c r="BX24" s="23">
        <f t="shared" si="31"/>
        <v>-0.30589792979215069</v>
      </c>
      <c r="BY24" s="34">
        <f t="shared" si="32"/>
        <v>-32.630335000000002</v>
      </c>
      <c r="BZ24" s="23">
        <f t="shared" si="53"/>
        <v>-0.18195094780717652</v>
      </c>
      <c r="CA24" s="23">
        <f t="shared" si="12"/>
        <v>-0.37595905488903797</v>
      </c>
      <c r="CB24" s="23">
        <f t="shared" si="13"/>
        <v>6.1417900581494109E-3</v>
      </c>
      <c r="CC24" s="23">
        <f t="shared" si="46"/>
        <v>1.8576157286841938E-2</v>
      </c>
      <c r="CD24" s="117">
        <v>16</v>
      </c>
      <c r="CE24" s="117">
        <f t="shared" si="14"/>
        <v>90.948726999999991</v>
      </c>
      <c r="CF24" s="117">
        <f t="shared" si="33"/>
        <v>-50.948726999999991</v>
      </c>
      <c r="CG24" s="23">
        <f t="shared" si="15"/>
        <v>-0.38729061783365321</v>
      </c>
      <c r="CH24" s="26">
        <f t="shared" si="16"/>
        <v>-1.7568526551724135</v>
      </c>
      <c r="CI24" s="23">
        <f t="shared" si="17"/>
        <v>-0.63263518914401751</v>
      </c>
      <c r="CJ24" s="117">
        <v>10</v>
      </c>
      <c r="CK24" s="117">
        <v>18</v>
      </c>
      <c r="CL24" s="117">
        <f t="shared" si="18"/>
        <v>16.8591877</v>
      </c>
      <c r="CM24" s="117">
        <f t="shared" si="19"/>
        <v>12.548480463096961</v>
      </c>
      <c r="CN24" s="117">
        <f t="shared" si="34"/>
        <v>1.1408123000000003</v>
      </c>
      <c r="CO24" s="117">
        <f t="shared" si="20"/>
        <v>-2.5484804630969613</v>
      </c>
      <c r="CP24" s="23">
        <f t="shared" si="35"/>
        <v>-5.2029253437684192E-2</v>
      </c>
      <c r="CQ24" s="23">
        <f t="shared" si="21"/>
        <v>-0.13284387610908938</v>
      </c>
      <c r="CR24" s="23">
        <f t="shared" si="36"/>
        <v>-0.14947052421480342</v>
      </c>
      <c r="CS24" s="23">
        <f t="shared" si="37"/>
        <v>-0.26263441637138535</v>
      </c>
      <c r="CT24" s="26">
        <f t="shared" si="22"/>
        <v>-0.31518026019405082</v>
      </c>
      <c r="CU24" s="117">
        <v>8</v>
      </c>
      <c r="CV24" s="117">
        <f t="shared" si="47"/>
        <v>8</v>
      </c>
      <c r="CW24" s="23">
        <v>0.156</v>
      </c>
      <c r="CX24" s="23">
        <v>3.2000000000000001E-2</v>
      </c>
      <c r="CY24" s="23">
        <f t="shared" si="48"/>
        <v>5.2932117965131455E-2</v>
      </c>
      <c r="CZ24" s="34">
        <v>571008</v>
      </c>
      <c r="DA24" s="75">
        <v>582878</v>
      </c>
      <c r="DB24" s="34">
        <v>55101</v>
      </c>
      <c r="DC24" s="34">
        <v>493544</v>
      </c>
      <c r="DD24" s="34">
        <v>623905</v>
      </c>
      <c r="DE24" s="34">
        <f t="shared" si="23"/>
        <v>71560.313000000009</v>
      </c>
      <c r="DF24" s="34">
        <f t="shared" si="24"/>
        <v>54599.109985528223</v>
      </c>
      <c r="DG24" s="34">
        <f t="shared" si="38"/>
        <v>552344.68700000003</v>
      </c>
      <c r="DH24" s="34">
        <f t="shared" si="39"/>
        <v>438944.89001447178</v>
      </c>
      <c r="DI24" s="36">
        <f t="shared" si="25"/>
        <v>2.0666308584475193</v>
      </c>
      <c r="DJ24" s="225">
        <f t="shared" si="40"/>
        <v>2.2434167903047548</v>
      </c>
      <c r="DK24" s="225">
        <f t="shared" si="57"/>
        <v>0.63754418726257722</v>
      </c>
      <c r="DL24" s="34">
        <v>50098.49</v>
      </c>
      <c r="DM24">
        <f t="shared" si="58"/>
        <v>515907</v>
      </c>
      <c r="DN24" s="34">
        <f t="shared" si="42"/>
        <v>532779.51</v>
      </c>
      <c r="DO24" s="23">
        <v>2.8130000000000002</v>
      </c>
      <c r="DP24" s="23">
        <f t="shared" si="50"/>
        <v>3.1765001842008789</v>
      </c>
      <c r="DQ24" s="25">
        <f t="shared" si="43"/>
        <v>0.80768440159301991</v>
      </c>
      <c r="DR24" s="25">
        <f t="shared" si="44"/>
        <v>0.66907169355617646</v>
      </c>
    </row>
    <row r="25" spans="1:122" x14ac:dyDescent="0.25">
      <c r="A25" s="9" t="s">
        <v>68</v>
      </c>
      <c r="B25" s="9" t="s">
        <v>70</v>
      </c>
      <c r="C25" s="10">
        <f t="shared" si="0"/>
        <v>31</v>
      </c>
      <c r="D25" s="8">
        <v>0</v>
      </c>
      <c r="E25" s="8">
        <v>0</v>
      </c>
      <c r="F25" s="8">
        <v>0</v>
      </c>
      <c r="G25" s="8">
        <v>20</v>
      </c>
      <c r="H25" s="8">
        <v>0</v>
      </c>
      <c r="I25" s="8">
        <v>0</v>
      </c>
      <c r="J25" s="8">
        <v>11</v>
      </c>
      <c r="K25" s="8"/>
      <c r="L25" s="8">
        <v>34.5</v>
      </c>
      <c r="M25" s="26">
        <f t="shared" si="1"/>
        <v>1.1129032258064515</v>
      </c>
      <c r="N25" s="23">
        <f>M25/M75</f>
        <v>1.7270163685824527E-2</v>
      </c>
      <c r="O25" s="8">
        <v>3</v>
      </c>
      <c r="P25" s="23">
        <f t="shared" si="2"/>
        <v>9.6774193548387094E-2</v>
      </c>
      <c r="Q25" s="40">
        <f>P25/P75</f>
        <v>6.4762520956062834E-3</v>
      </c>
      <c r="R25" s="23">
        <f t="shared" si="3"/>
        <v>0.85887096774193539</v>
      </c>
      <c r="S25" s="40">
        <f>R25/R75</f>
        <v>1.6495706049025324E-2</v>
      </c>
      <c r="T25" s="40">
        <f t="shared" si="4"/>
        <v>1.4571685788269966E-2</v>
      </c>
      <c r="U25" s="34">
        <v>0</v>
      </c>
      <c r="V25" s="34">
        <f t="shared" si="5"/>
        <v>0</v>
      </c>
      <c r="W25" s="34"/>
      <c r="X25" s="40">
        <f>V25/V75</f>
        <v>0</v>
      </c>
      <c r="Y25" s="47">
        <f t="shared" si="6"/>
        <v>8.7430114729619788E-3</v>
      </c>
      <c r="Z25" s="47">
        <v>-7.4999999999999997E-2</v>
      </c>
      <c r="AA25" s="137">
        <v>0.50800000000000001</v>
      </c>
      <c r="AB25" s="218">
        <v>32</v>
      </c>
      <c r="AC25" s="227">
        <v>0.49774503204087517</v>
      </c>
      <c r="AD25" s="137">
        <f t="shared" ref="AD25:AD65" si="64">(0.6*CY25)+(0.4*DP25)</f>
        <v>0.53298715041260225</v>
      </c>
      <c r="AE25" s="298">
        <v>66523.900112528776</v>
      </c>
      <c r="AF25" s="298">
        <f>AO25*BE$33</f>
        <v>57767.778980502415</v>
      </c>
      <c r="AG25" s="23">
        <f>C25*AV25</f>
        <v>1.121412803532009</v>
      </c>
      <c r="AH25" s="66" t="e">
        <f>AP25*BE$9</f>
        <v>#DIV/0!</v>
      </c>
      <c r="AI25" s="65" t="e">
        <f>AQ25*BE$17</f>
        <v>#DIV/0!</v>
      </c>
      <c r="AJ25" s="65" t="e">
        <f>SUM(AK25:AL25)</f>
        <v>#DIV/0!</v>
      </c>
      <c r="AK25" s="65" t="e">
        <f>AR25*BE$25</f>
        <v>#DIV/0!</v>
      </c>
      <c r="AL25" s="68"/>
      <c r="AM25" s="298">
        <f>AVERAGE(AE25:AF25)</f>
        <v>62145.839546515592</v>
      </c>
      <c r="AN25" s="65">
        <f>AM25+(AM$74*AZ25)</f>
        <v>65776.837765420365</v>
      </c>
      <c r="AO25" s="68">
        <f>AB25*AZ25</f>
        <v>1.0238154521256135</v>
      </c>
      <c r="AP25" s="23" t="e">
        <f>AB25*BA25</f>
        <v>#DIV/0!</v>
      </c>
      <c r="AQ25" s="23" t="e">
        <f t="shared" si="63"/>
        <v>#DIV/0!</v>
      </c>
      <c r="AR25" s="23" t="e">
        <f>AB25*AX25</f>
        <v>#DIV/0!</v>
      </c>
      <c r="AS25" s="23"/>
      <c r="AT25" s="23"/>
      <c r="AU25" s="23"/>
      <c r="AV25" s="23">
        <f>AA25/BB$2</f>
        <v>3.6174606565548675E-2</v>
      </c>
      <c r="AW25" s="26" t="e">
        <f>DQ25/BE$15</f>
        <v>#DIV/0!</v>
      </c>
      <c r="AX25" s="26" t="e">
        <f>CR25/BE$20</f>
        <v>#DIV/0!</v>
      </c>
      <c r="AY25" s="26"/>
      <c r="AZ25" s="26">
        <f>DR25/BE$30</f>
        <v>3.1994232878925423E-2</v>
      </c>
      <c r="BA25" s="236" t="e">
        <f>AC25/BE$5</f>
        <v>#DIV/0!</v>
      </c>
      <c r="BE25" s="134"/>
      <c r="BF25">
        <v>251</v>
      </c>
      <c r="BG25">
        <v>253</v>
      </c>
      <c r="BH25">
        <f t="shared" ref="BH25:BH65" si="65">BF25-BG25</f>
        <v>-2</v>
      </c>
      <c r="BI25">
        <v>70</v>
      </c>
      <c r="BJ25">
        <v>320</v>
      </c>
      <c r="BK25" s="117">
        <v>70.672470000000004</v>
      </c>
      <c r="BL25">
        <f>BF25-BI25</f>
        <v>181</v>
      </c>
      <c r="BM25">
        <v>456</v>
      </c>
      <c r="BN25">
        <v>203</v>
      </c>
      <c r="BO25" s="117">
        <f t="shared" si="26"/>
        <v>69.618880000000004</v>
      </c>
      <c r="BP25" s="34">
        <f t="shared" si="9"/>
        <v>136.41968</v>
      </c>
      <c r="BQ25" s="117">
        <f t="shared" si="10"/>
        <v>104.72937771345876</v>
      </c>
      <c r="BR25" s="117">
        <v>100.35503</v>
      </c>
      <c r="BS25" s="117">
        <f>BJ25-BQ25</f>
        <v>215.27062228654125</v>
      </c>
      <c r="BT25" s="117">
        <f>BJ25-BR25</f>
        <v>219.64497</v>
      </c>
      <c r="BU25" s="117">
        <f>BG25-BK25</f>
        <v>182.32753</v>
      </c>
      <c r="BV25" s="23">
        <v>1.546</v>
      </c>
      <c r="BW25" s="117">
        <f t="shared" si="30"/>
        <v>133.38112000000001</v>
      </c>
      <c r="BX25" s="25">
        <f t="shared" si="31"/>
        <v>1.2368228345044792</v>
      </c>
      <c r="BY25" s="34">
        <f t="shared" si="32"/>
        <v>319.58032000000003</v>
      </c>
      <c r="BZ25" s="25">
        <f t="shared" si="53"/>
        <v>1.7181738171754981</v>
      </c>
      <c r="CA25" s="25">
        <f t="shared" si="12"/>
        <v>1.4738930602831626</v>
      </c>
      <c r="CB25" s="25">
        <f t="shared" si="13"/>
        <v>1.2161983975855535</v>
      </c>
      <c r="CC25" s="23">
        <f t="shared" si="46"/>
        <v>1.6149356940648734</v>
      </c>
      <c r="CD25" s="117">
        <v>7</v>
      </c>
      <c r="CE25" s="117">
        <f t="shared" si="14"/>
        <v>100.35721599999999</v>
      </c>
      <c r="CF25" s="117">
        <f t="shared" si="33"/>
        <v>219.64278400000001</v>
      </c>
      <c r="CG25" s="25">
        <f t="shared" si="15"/>
        <v>1.4726799498843912</v>
      </c>
      <c r="CH25" s="26">
        <f t="shared" si="16"/>
        <v>6.8638370000000002</v>
      </c>
      <c r="CI25" s="25">
        <f t="shared" si="17"/>
        <v>2.2940153702683839</v>
      </c>
      <c r="CJ25" s="117">
        <v>7</v>
      </c>
      <c r="CK25" s="117">
        <v>12</v>
      </c>
      <c r="CL25" s="117">
        <f t="shared" si="18"/>
        <v>18.6032416</v>
      </c>
      <c r="CM25" s="117">
        <f t="shared" si="19"/>
        <v>13.846599131693198</v>
      </c>
      <c r="CN25" s="117">
        <f t="shared" si="34"/>
        <v>-6.6032416000000005</v>
      </c>
      <c r="CO25" s="117">
        <f t="shared" si="20"/>
        <v>-6.846599131693198</v>
      </c>
      <c r="CP25" s="23">
        <f t="shared" si="35"/>
        <v>-0.29667031184104609</v>
      </c>
      <c r="CQ25" s="23">
        <f t="shared" si="21"/>
        <v>-0.35689061775814973</v>
      </c>
      <c r="CR25" s="25">
        <f t="shared" si="36"/>
        <v>1.2144627849213621</v>
      </c>
      <c r="CS25" s="25">
        <f t="shared" si="37"/>
        <v>0.83839447143882195</v>
      </c>
      <c r="CT25" s="25">
        <f t="shared" si="22"/>
        <v>1.0161971407728345</v>
      </c>
      <c r="CU25" s="117">
        <v>10</v>
      </c>
      <c r="CV25" s="117">
        <f t="shared" si="47"/>
        <v>-3</v>
      </c>
      <c r="CW25" s="23">
        <v>-0.28199999999999997</v>
      </c>
      <c r="CX25" s="23">
        <v>1.089</v>
      </c>
      <c r="CY25" s="23">
        <f t="shared" si="48"/>
        <v>1.1407017705486551</v>
      </c>
      <c r="CZ25" s="34">
        <v>0</v>
      </c>
      <c r="DA25" s="75">
        <v>0</v>
      </c>
      <c r="DB25" s="34">
        <v>69350</v>
      </c>
      <c r="DC25" s="34">
        <v>0</v>
      </c>
      <c r="DD25" s="34">
        <v>0</v>
      </c>
      <c r="DE25" s="34">
        <f t="shared" si="23"/>
        <v>78963.104000000007</v>
      </c>
      <c r="DF25" s="34">
        <f t="shared" si="24"/>
        <v>60247.29377713459</v>
      </c>
      <c r="DG25" s="34">
        <f t="shared" si="38"/>
        <v>-78963.104000000007</v>
      </c>
      <c r="DH25" s="34">
        <f t="shared" si="39"/>
        <v>-60247.29377713459</v>
      </c>
      <c r="DI25" s="36">
        <f t="shared" si="25"/>
        <v>-0.28365500838539104</v>
      </c>
      <c r="DJ25" s="36">
        <f t="shared" si="40"/>
        <v>-0.33662004798245693</v>
      </c>
      <c r="DK25" s="225">
        <f>(0.6*CT25)+(0.4*DI25)</f>
        <v>0.49625628110954428</v>
      </c>
      <c r="DL25" s="34">
        <v>63468.06</v>
      </c>
      <c r="DM25">
        <f>CZ25-DB25</f>
        <v>-69350</v>
      </c>
      <c r="DN25" s="34">
        <f>DA25-DL25</f>
        <v>-63468.06</v>
      </c>
      <c r="DO25" s="23">
        <v>-0.36399999999999999</v>
      </c>
      <c r="DP25" s="23">
        <f t="shared" si="50"/>
        <v>-0.3785847797914767</v>
      </c>
      <c r="DQ25" s="25">
        <f t="shared" si="43"/>
        <v>0.59402965175983446</v>
      </c>
      <c r="DR25" s="25">
        <f t="shared" si="44"/>
        <v>0.38957467950913677</v>
      </c>
    </row>
    <row r="26" spans="1:122" x14ac:dyDescent="0.25">
      <c r="A26" s="219" t="s">
        <v>309</v>
      </c>
      <c r="B26" s="219" t="s">
        <v>310</v>
      </c>
      <c r="C26" s="10">
        <v>0</v>
      </c>
      <c r="D26" s="8"/>
      <c r="E26" s="8"/>
      <c r="F26" s="8"/>
      <c r="G26" s="8"/>
      <c r="H26" s="8"/>
      <c r="I26" s="8"/>
      <c r="J26" s="8"/>
      <c r="K26" s="8"/>
      <c r="L26" s="8"/>
      <c r="M26" s="23"/>
      <c r="N26" s="23"/>
      <c r="O26" s="8"/>
      <c r="P26" s="23"/>
      <c r="Q26" s="40"/>
      <c r="R26" s="23"/>
      <c r="S26" s="40"/>
      <c r="T26" s="40"/>
      <c r="U26" s="34"/>
      <c r="V26" s="34"/>
      <c r="W26" s="34"/>
      <c r="X26" s="40"/>
      <c r="Y26" s="47"/>
      <c r="Z26" s="47"/>
      <c r="AA26" s="137"/>
      <c r="AB26" s="218">
        <v>9</v>
      </c>
      <c r="AC26" s="226">
        <v>-0.15286131748277637</v>
      </c>
      <c r="AD26" s="135"/>
      <c r="AE26" s="298"/>
      <c r="AF26" s="298"/>
      <c r="AG26" s="23"/>
      <c r="AH26" s="23"/>
      <c r="AI26" s="53"/>
      <c r="AJ26" s="68"/>
      <c r="AK26" s="79"/>
      <c r="AL26" s="68"/>
      <c r="AM26" s="298"/>
      <c r="AN26" s="68"/>
      <c r="AO26" s="68"/>
      <c r="AP26" s="23"/>
      <c r="AQ26" s="23"/>
      <c r="AR26" s="23"/>
      <c r="AS26" s="23"/>
      <c r="AT26" s="23"/>
      <c r="AU26" s="23"/>
      <c r="AV26" s="23"/>
      <c r="AW26" s="26"/>
      <c r="AX26" s="26"/>
      <c r="AY26" s="26"/>
      <c r="AZ26" s="26"/>
      <c r="BA26" s="26"/>
      <c r="BE26" s="81"/>
      <c r="BJ26">
        <v>0</v>
      </c>
      <c r="BK26" s="117"/>
      <c r="BM26">
        <v>0</v>
      </c>
      <c r="BN26">
        <v>0</v>
      </c>
      <c r="BO26" s="117">
        <f t="shared" si="26"/>
        <v>19.580310000000001</v>
      </c>
      <c r="BP26" s="34">
        <f t="shared" si="9"/>
        <v>38.368034999999999</v>
      </c>
      <c r="BQ26" s="117">
        <f t="shared" si="10"/>
        <v>29.455137481910278</v>
      </c>
      <c r="BR26" s="117">
        <v>28.22485</v>
      </c>
      <c r="BS26" s="117">
        <f t="shared" ref="BS26:BS72" si="66">BJ26-BQ26</f>
        <v>-29.455137481910278</v>
      </c>
      <c r="BT26" s="117">
        <f t="shared" ref="BT26:BT72" si="67">BJ26-BR26</f>
        <v>-28.22485</v>
      </c>
      <c r="BU26" s="117"/>
      <c r="BV26" s="23"/>
      <c r="BW26" s="117">
        <f t="shared" si="30"/>
        <v>-19.580310000000001</v>
      </c>
      <c r="BX26" s="23">
        <f t="shared" si="31"/>
        <v>-0.21558119659347735</v>
      </c>
      <c r="BY26" s="34">
        <f t="shared" si="32"/>
        <v>-38.368034999999999</v>
      </c>
      <c r="BZ26" s="23">
        <f t="shared" si="53"/>
        <v>-0.2129049967811949</v>
      </c>
      <c r="CA26" s="23">
        <f t="shared" si="12"/>
        <v>-0.20167044747279592</v>
      </c>
      <c r="CB26" s="23">
        <f t="shared" ref="CB26:CB72" si="68">(BU26-BT$73)/BT$74</f>
        <v>-3.7065075845179062E-2</v>
      </c>
      <c r="CC26" s="23"/>
      <c r="CD26" s="117"/>
      <c r="CE26" s="117">
        <f t="shared" si="14"/>
        <v>28.225466999999998</v>
      </c>
      <c r="CF26" s="117">
        <f t="shared" si="33"/>
        <v>-28.225466999999998</v>
      </c>
      <c r="CG26" s="23">
        <f t="shared" ref="CG26:CG72" si="69">(CF26-CF$73)/CF$74</f>
        <v>-0.23109726702818495</v>
      </c>
      <c r="CH26" s="26">
        <f t="shared" si="16"/>
        <v>-3.1361629999999998</v>
      </c>
      <c r="CI26" s="23">
        <f t="shared" si="17"/>
        <v>-1.1008992786500018</v>
      </c>
      <c r="CJ26" s="117">
        <v>0</v>
      </c>
      <c r="CK26" s="117">
        <v>0</v>
      </c>
      <c r="CL26" s="117">
        <f t="shared" si="18"/>
        <v>5.2321616999999998</v>
      </c>
      <c r="CM26" s="117">
        <f t="shared" si="19"/>
        <v>3.8943560057887119</v>
      </c>
      <c r="CN26" s="117">
        <f t="shared" si="34"/>
        <v>-5.2321616999999998</v>
      </c>
      <c r="CO26" s="117">
        <f t="shared" si="20"/>
        <v>-3.8943560057887119</v>
      </c>
      <c r="CP26" s="23">
        <f t="shared" si="35"/>
        <v>-0.25335676544494262</v>
      </c>
      <c r="CQ26" s="23">
        <f t="shared" ref="CQ26:CQ72" si="70">(CO26-CO$73)/CO$74</f>
        <v>-0.2029999265244517</v>
      </c>
      <c r="CR26" s="23">
        <f t="shared" si="36"/>
        <v>-0.22301793894713184</v>
      </c>
      <c r="CS26" s="23">
        <f t="shared" si="37"/>
        <v>-0.21243587907622097</v>
      </c>
      <c r="CT26" s="26">
        <f t="shared" si="22"/>
        <v>-0.20200281723570984</v>
      </c>
      <c r="CU26" s="117"/>
      <c r="CV26" s="117"/>
      <c r="CW26" s="23"/>
      <c r="CX26" s="23"/>
      <c r="CY26" s="23"/>
      <c r="CZ26" s="34"/>
      <c r="DA26" s="75"/>
      <c r="DB26" s="34"/>
      <c r="DC26" s="34">
        <v>0</v>
      </c>
      <c r="DD26" s="34">
        <v>0</v>
      </c>
      <c r="DE26" s="34">
        <f t="shared" si="23"/>
        <v>22208.373000000003</v>
      </c>
      <c r="DF26" s="34">
        <f t="shared" si="24"/>
        <v>16944.551374819104</v>
      </c>
      <c r="DG26" s="34">
        <f t="shared" si="38"/>
        <v>-22208.373000000003</v>
      </c>
      <c r="DH26" s="34">
        <f t="shared" si="39"/>
        <v>-16944.551374819104</v>
      </c>
      <c r="DI26" s="36">
        <f t="shared" ref="DI26:DI72" si="71">(DH26-DH$73)/DH$74</f>
        <v>-7.977797110839123E-2</v>
      </c>
      <c r="DJ26" s="36">
        <f t="shared" si="40"/>
        <v>-0.10467407992282754</v>
      </c>
      <c r="DK26" s="36">
        <f t="shared" ref="DK26:DK72" si="72">(0.6*CT26)+(0.4*DI26)</f>
        <v>-0.15311287878478239</v>
      </c>
      <c r="DL26" s="34"/>
      <c r="DN26" s="34"/>
      <c r="DO26" s="23"/>
      <c r="DP26" s="23"/>
      <c r="DQ26" s="23">
        <f t="shared" si="43"/>
        <v>-0.17568039533741012</v>
      </c>
      <c r="DR26" s="23">
        <f t="shared" si="44"/>
        <v>-0.15937271588908908</v>
      </c>
    </row>
    <row r="27" spans="1:122" x14ac:dyDescent="0.25">
      <c r="A27" s="7" t="s">
        <v>83</v>
      </c>
      <c r="B27" s="7" t="s">
        <v>86</v>
      </c>
      <c r="C27" s="10">
        <f t="shared" si="0"/>
        <v>10</v>
      </c>
      <c r="D27">
        <v>0</v>
      </c>
      <c r="E27">
        <v>0</v>
      </c>
      <c r="F27">
        <v>0</v>
      </c>
      <c r="G27">
        <v>10</v>
      </c>
      <c r="H27">
        <v>0</v>
      </c>
      <c r="I27">
        <v>0</v>
      </c>
      <c r="J27">
        <v>0</v>
      </c>
      <c r="L27" s="8">
        <v>26</v>
      </c>
      <c r="M27" s="25">
        <f t="shared" si="1"/>
        <v>2.6</v>
      </c>
      <c r="N27" s="23">
        <f>M27/M75</f>
        <v>4.034710704572339E-2</v>
      </c>
      <c r="O27" s="8">
        <v>1</v>
      </c>
      <c r="P27" s="23">
        <f t="shared" si="2"/>
        <v>0.1</v>
      </c>
      <c r="Q27" s="40">
        <f>P27/P75</f>
        <v>6.6921271654598264E-3</v>
      </c>
      <c r="R27" s="23">
        <f t="shared" si="3"/>
        <v>1.9750000000000001</v>
      </c>
      <c r="S27" s="42">
        <f>R27/R75</f>
        <v>3.7932379449824437E-2</v>
      </c>
      <c r="T27" s="42">
        <f t="shared" si="4"/>
        <v>3.1933362075657501E-2</v>
      </c>
      <c r="U27" s="34">
        <v>0</v>
      </c>
      <c r="V27" s="34">
        <f t="shared" si="5"/>
        <v>0</v>
      </c>
      <c r="W27" s="34"/>
      <c r="X27" s="40">
        <f>V27/V75</f>
        <v>0</v>
      </c>
      <c r="Y27" s="46">
        <f t="shared" si="6"/>
        <v>1.9160017245394501E-2</v>
      </c>
      <c r="Z27" s="47">
        <v>-0.15</v>
      </c>
      <c r="AA27" s="135">
        <v>7.0000000000000001E-3</v>
      </c>
      <c r="AB27" s="218">
        <v>23</v>
      </c>
      <c r="AC27" s="226">
        <v>-0.11153388559560135</v>
      </c>
      <c r="AD27" s="135">
        <f t="shared" si="64"/>
        <v>2.0472077432324695E-2</v>
      </c>
      <c r="AE27" s="298"/>
      <c r="AF27" s="298"/>
      <c r="AG27" s="23"/>
      <c r="AH27" s="23"/>
      <c r="AI27" s="53"/>
      <c r="AJ27" s="68"/>
      <c r="AK27" s="79"/>
      <c r="AL27" s="68"/>
      <c r="AM27" s="298"/>
      <c r="AN27" s="68"/>
      <c r="AO27" s="68"/>
      <c r="AP27" s="23"/>
      <c r="AQ27" s="23"/>
      <c r="AR27" s="23"/>
      <c r="AS27" s="23"/>
      <c r="AT27" s="23"/>
      <c r="AU27" s="23"/>
      <c r="AV27" s="23"/>
      <c r="AW27" s="26"/>
      <c r="AX27" s="26"/>
      <c r="AY27" s="26"/>
      <c r="AZ27" s="26"/>
      <c r="BA27" s="26"/>
      <c r="BE27" s="134"/>
      <c r="BF27">
        <v>54</v>
      </c>
      <c r="BG27">
        <v>54</v>
      </c>
      <c r="BH27">
        <f t="shared" si="65"/>
        <v>0</v>
      </c>
      <c r="BI27">
        <v>23</v>
      </c>
      <c r="BJ27">
        <v>88</v>
      </c>
      <c r="BK27" s="117">
        <v>22.79757</v>
      </c>
      <c r="BL27">
        <f>BF27-BI27</f>
        <v>31</v>
      </c>
      <c r="BM27">
        <v>117</v>
      </c>
      <c r="BN27">
        <v>31</v>
      </c>
      <c r="BO27" s="117">
        <f t="shared" si="26"/>
        <v>50.03857</v>
      </c>
      <c r="BP27" s="34">
        <f t="shared" si="9"/>
        <v>98.051644999999994</v>
      </c>
      <c r="BQ27" s="117">
        <f t="shared" si="10"/>
        <v>75.27424023154849</v>
      </c>
      <c r="BR27">
        <v>72</v>
      </c>
      <c r="BS27" s="117">
        <f t="shared" si="66"/>
        <v>12.72575976845151</v>
      </c>
      <c r="BT27" s="117">
        <f t="shared" si="67"/>
        <v>16</v>
      </c>
      <c r="BU27" s="117">
        <f>BG27-BK27</f>
        <v>31.20243</v>
      </c>
      <c r="BV27" s="23">
        <v>0.20499999999999999</v>
      </c>
      <c r="BW27" s="117">
        <f t="shared" si="30"/>
        <v>-19.03857</v>
      </c>
      <c r="BX27" s="23">
        <f t="shared" si="31"/>
        <v>-0.21043725043785494</v>
      </c>
      <c r="BY27" s="34">
        <f t="shared" si="32"/>
        <v>18.948355000000006</v>
      </c>
      <c r="BZ27" s="23">
        <f t="shared" si="53"/>
        <v>9.6308510908983652E-2</v>
      </c>
      <c r="CA27" s="23">
        <f t="shared" si="12"/>
        <v>8.7129441120791573E-2</v>
      </c>
      <c r="CB27" s="25">
        <f t="shared" si="68"/>
        <v>0.17741084998609444</v>
      </c>
      <c r="CC27" s="23">
        <f>(BU27-BU$74)/BU$75</f>
        <v>0.24452178286352916</v>
      </c>
      <c r="CD27" s="117">
        <v>1</v>
      </c>
      <c r="CE27" s="117">
        <f t="shared" si="14"/>
        <v>72.131748999999999</v>
      </c>
      <c r="CF27" s="117">
        <f t="shared" si="33"/>
        <v>15.868251000000001</v>
      </c>
      <c r="CG27" s="23">
        <f t="shared" si="69"/>
        <v>7.1990650985840801E-2</v>
      </c>
      <c r="CH27" s="26">
        <f t="shared" si="16"/>
        <v>0.68992395652173921</v>
      </c>
      <c r="CI27" s="23">
        <f t="shared" si="17"/>
        <v>0.19802458702311965</v>
      </c>
      <c r="CJ27" s="117">
        <v>1</v>
      </c>
      <c r="CK27" s="117">
        <v>1</v>
      </c>
      <c r="CL27" s="117">
        <f t="shared" si="18"/>
        <v>13.3710799</v>
      </c>
      <c r="CM27" s="117">
        <f t="shared" si="19"/>
        <v>9.9522431259044861</v>
      </c>
      <c r="CN27" s="117">
        <f t="shared" si="34"/>
        <v>-12.3710799</v>
      </c>
      <c r="CO27" s="117">
        <f t="shared" si="20"/>
        <v>-8.9522431259044861</v>
      </c>
      <c r="CP27" s="23">
        <f t="shared" si="35"/>
        <v>-0.47888108731246254</v>
      </c>
      <c r="CQ27" s="23">
        <f t="shared" si="70"/>
        <v>-0.46665089018218436</v>
      </c>
      <c r="CR27" s="23">
        <f t="shared" si="36"/>
        <v>-4.7488888646377889E-2</v>
      </c>
      <c r="CS27" s="23">
        <f t="shared" si="37"/>
        <v>-0.27449066037393732</v>
      </c>
      <c r="CT27" s="26">
        <f t="shared" si="22"/>
        <v>-5.1315641704952411E-2</v>
      </c>
      <c r="CU27" s="117">
        <v>3</v>
      </c>
      <c r="CV27" s="117">
        <f>CD27-CU27</f>
        <v>-2</v>
      </c>
      <c r="CW27" s="23">
        <v>-0.24199999999999999</v>
      </c>
      <c r="CX27" s="23">
        <v>9.4E-2</v>
      </c>
      <c r="CY27" s="23">
        <f>(0.75*CC27)+(0.25*CW27)</f>
        <v>0.12289133714764688</v>
      </c>
      <c r="CZ27" s="34">
        <v>0</v>
      </c>
      <c r="DA27" s="75">
        <v>0</v>
      </c>
      <c r="DB27" s="34">
        <v>25089</v>
      </c>
      <c r="DC27" s="34">
        <v>0</v>
      </c>
      <c r="DD27" s="34">
        <v>0</v>
      </c>
      <c r="DE27" s="34">
        <f t="shared" si="23"/>
        <v>56754.731000000007</v>
      </c>
      <c r="DF27" s="34">
        <f t="shared" si="24"/>
        <v>43302.742402315489</v>
      </c>
      <c r="DG27" s="34">
        <f t="shared" si="38"/>
        <v>-56754.731000000007</v>
      </c>
      <c r="DH27" s="34">
        <f t="shared" si="39"/>
        <v>-43302.742402315489</v>
      </c>
      <c r="DI27" s="36">
        <f t="shared" si="71"/>
        <v>-0.2038770372769998</v>
      </c>
      <c r="DJ27" s="36">
        <f t="shared" si="40"/>
        <v>-0.24585858221999327</v>
      </c>
      <c r="DK27" s="36">
        <f t="shared" si="72"/>
        <v>-0.11234019993377137</v>
      </c>
      <c r="DL27" s="34">
        <v>22305.66</v>
      </c>
      <c r="DM27">
        <f>CZ27-DB27</f>
        <v>-25089</v>
      </c>
      <c r="DN27" s="34">
        <f>DA27-DL27</f>
        <v>-22305.66</v>
      </c>
      <c r="DO27" s="23">
        <v>-0.124</v>
      </c>
      <c r="DP27" s="23">
        <f>(DN27-DN$74)/DN$75</f>
        <v>-0.13315681214065858</v>
      </c>
      <c r="DQ27" s="23">
        <f t="shared" si="43"/>
        <v>-0.12683676607582403</v>
      </c>
      <c r="DR27" s="23">
        <f t="shared" si="44"/>
        <v>-0.24624521113516229</v>
      </c>
    </row>
    <row r="28" spans="1:122" x14ac:dyDescent="0.25">
      <c r="A28" s="7" t="s">
        <v>83</v>
      </c>
      <c r="B28" s="7" t="s">
        <v>89</v>
      </c>
      <c r="C28" s="10">
        <f t="shared" si="0"/>
        <v>64</v>
      </c>
      <c r="D28">
        <v>0</v>
      </c>
      <c r="E28">
        <v>0</v>
      </c>
      <c r="F28">
        <v>0</v>
      </c>
      <c r="G28">
        <v>64</v>
      </c>
      <c r="H28">
        <v>0</v>
      </c>
      <c r="I28">
        <v>0</v>
      </c>
      <c r="J28">
        <v>0</v>
      </c>
      <c r="L28" s="8">
        <v>139.5</v>
      </c>
      <c r="M28" s="25">
        <f t="shared" si="1"/>
        <v>2.1796875</v>
      </c>
      <c r="N28" s="23">
        <f>M28/M75</f>
        <v>3.3824648034125077E-2</v>
      </c>
      <c r="O28" s="8">
        <v>9.5</v>
      </c>
      <c r="P28" s="23">
        <f t="shared" si="2"/>
        <v>0.1484375</v>
      </c>
      <c r="Q28" s="40">
        <f>P28/P75</f>
        <v>9.9336262612294297E-3</v>
      </c>
      <c r="R28" s="23">
        <f t="shared" si="3"/>
        <v>1.671875</v>
      </c>
      <c r="S28" s="42">
        <f>R28/R75</f>
        <v>3.211047943932923E-2</v>
      </c>
      <c r="T28" s="42">
        <f t="shared" si="4"/>
        <v>2.7851892590901164E-2</v>
      </c>
      <c r="U28" s="34">
        <v>666789</v>
      </c>
      <c r="V28" s="70">
        <f t="shared" si="5"/>
        <v>10418.578125</v>
      </c>
      <c r="W28" s="70"/>
      <c r="X28" s="40">
        <f>V28/V75</f>
        <v>0.13378917177625801</v>
      </c>
      <c r="Y28" s="46">
        <f t="shared" si="6"/>
        <v>7.0226804265043907E-2</v>
      </c>
      <c r="Z28" s="46">
        <v>3.637</v>
      </c>
      <c r="AA28" s="137">
        <v>2.0179999999999998</v>
      </c>
      <c r="AB28" s="218">
        <v>63</v>
      </c>
      <c r="AC28" s="227">
        <v>2.8849159648482683</v>
      </c>
      <c r="AD28" s="137">
        <f t="shared" si="64"/>
        <v>2.2453507461754003</v>
      </c>
      <c r="AE28" s="298">
        <v>599852.41121536074</v>
      </c>
      <c r="AF28" s="298">
        <f>AO28*BE$33</f>
        <v>834007.95107713575</v>
      </c>
      <c r="AG28" s="23">
        <f>C28*AV28</f>
        <v>9.1968952503026422</v>
      </c>
      <c r="AH28" s="66" t="e">
        <f>AP28*BE$9</f>
        <v>#DIV/0!</v>
      </c>
      <c r="AI28" s="65" t="e">
        <f>AQ28*BE$17</f>
        <v>#DIV/0!</v>
      </c>
      <c r="AJ28" s="65" t="e">
        <f>SUM(AK28:AL28)</f>
        <v>#DIV/0!</v>
      </c>
      <c r="AK28" s="65" t="e">
        <f>AR28*BE$25</f>
        <v>#DIV/0!</v>
      </c>
      <c r="AL28" s="65" t="e">
        <f>AS28*BE$27</f>
        <v>#DIV/0!</v>
      </c>
      <c r="AM28" s="298">
        <f>AVERAGE(AE28:AF28)</f>
        <v>716930.18114624824</v>
      </c>
      <c r="AN28" s="65">
        <f>AM28+(AM$74*AZ28)</f>
        <v>743557.04302060301</v>
      </c>
      <c r="AO28" s="68">
        <f>AB28*AZ28</f>
        <v>14.781081124766624</v>
      </c>
      <c r="AP28" s="23" t="e">
        <f>AB28*BA28</f>
        <v>#DIV/0!</v>
      </c>
      <c r="AQ28" s="23" t="e">
        <f>AB28*AW28</f>
        <v>#DIV/0!</v>
      </c>
      <c r="AR28" s="23" t="e">
        <f>AB28*AX28</f>
        <v>#DIV/0!</v>
      </c>
      <c r="AS28" s="23" t="e">
        <f>AB28*AY28</f>
        <v>#DIV/0!</v>
      </c>
      <c r="AT28" s="23"/>
      <c r="AU28" s="23"/>
      <c r="AV28" s="23">
        <f>AA28/BB$2</f>
        <v>0.14370148828597878</v>
      </c>
      <c r="AW28" s="26" t="e">
        <f>DQ28/BE$15</f>
        <v>#DIV/0!</v>
      </c>
      <c r="AX28" s="26" t="e">
        <f>CR28/BE$20</f>
        <v>#DIV/0!</v>
      </c>
      <c r="AY28" s="26" t="e">
        <f>DJ28/BE$22</f>
        <v>#DIV/0!</v>
      </c>
      <c r="AZ28" s="26">
        <f>DR28/BE$30</f>
        <v>0.23462033531375595</v>
      </c>
      <c r="BA28" s="236" t="e">
        <f>AC28/BE$5</f>
        <v>#DIV/0!</v>
      </c>
      <c r="BF28">
        <v>193</v>
      </c>
      <c r="BG28">
        <v>193</v>
      </c>
      <c r="BH28">
        <f t="shared" si="65"/>
        <v>0</v>
      </c>
      <c r="BI28">
        <v>145</v>
      </c>
      <c r="BJ28">
        <v>288</v>
      </c>
      <c r="BK28" s="117">
        <v>145.90443999999999</v>
      </c>
      <c r="BL28">
        <f>BF28-BI28</f>
        <v>48</v>
      </c>
      <c r="BM28">
        <v>380</v>
      </c>
      <c r="BN28">
        <v>193</v>
      </c>
      <c r="BO28" s="117">
        <f t="shared" si="26"/>
        <v>137.06217000000001</v>
      </c>
      <c r="BP28" s="34">
        <f t="shared" si="9"/>
        <v>268.57624499999997</v>
      </c>
      <c r="BQ28" s="117">
        <f t="shared" si="10"/>
        <v>206.18596237337192</v>
      </c>
      <c r="BR28" s="117">
        <v>197.57396</v>
      </c>
      <c r="BS28" s="117">
        <f t="shared" si="66"/>
        <v>81.814037626628078</v>
      </c>
      <c r="BT28" s="117">
        <f t="shared" si="67"/>
        <v>90.42604</v>
      </c>
      <c r="BU28" s="117">
        <f>BG28-BK28</f>
        <v>47.095560000000006</v>
      </c>
      <c r="BV28" s="23">
        <v>0.35699999999999998</v>
      </c>
      <c r="BW28" s="117">
        <f t="shared" si="30"/>
        <v>55.937829999999991</v>
      </c>
      <c r="BX28" s="25">
        <f t="shared" si="31"/>
        <v>0.50148094748441085</v>
      </c>
      <c r="BY28" s="34">
        <f t="shared" si="32"/>
        <v>111.42375500000003</v>
      </c>
      <c r="BZ28" s="25">
        <f t="shared" si="53"/>
        <v>0.59519971478718214</v>
      </c>
      <c r="CA28" s="25">
        <f t="shared" si="12"/>
        <v>0.56015605385822165</v>
      </c>
      <c r="CB28" s="25">
        <f t="shared" si="68"/>
        <v>0.28665534700465323</v>
      </c>
      <c r="CC28" s="23">
        <f>(BU28-BU$74)/BU$75</f>
        <v>0.38864189556837719</v>
      </c>
      <c r="CD28" s="117">
        <v>0</v>
      </c>
      <c r="CE28" s="117">
        <f t="shared" si="14"/>
        <v>197.57826899999998</v>
      </c>
      <c r="CF28" s="117">
        <f t="shared" si="33"/>
        <v>90.421731000000023</v>
      </c>
      <c r="CG28" s="25">
        <f t="shared" si="69"/>
        <v>0.58445047653061144</v>
      </c>
      <c r="CH28" s="26">
        <f t="shared" si="16"/>
        <v>1.4352655714285718</v>
      </c>
      <c r="CI28" s="25">
        <f t="shared" si="17"/>
        <v>0.45106170371268889</v>
      </c>
      <c r="CJ28" s="117">
        <v>3</v>
      </c>
      <c r="CK28" s="117">
        <v>19</v>
      </c>
      <c r="CL28" s="117">
        <f t="shared" si="18"/>
        <v>36.6251319</v>
      </c>
      <c r="CM28" s="117">
        <f t="shared" si="19"/>
        <v>27.260492040520983</v>
      </c>
      <c r="CN28" s="117">
        <f t="shared" si="34"/>
        <v>-17.6251319</v>
      </c>
      <c r="CO28" s="117">
        <f t="shared" si="20"/>
        <v>-24.260492040520983</v>
      </c>
      <c r="CP28" s="23">
        <f t="shared" si="35"/>
        <v>-0.64486092923818827</v>
      </c>
      <c r="CQ28" s="23">
        <f t="shared" si="70"/>
        <v>-1.2646193861969186</v>
      </c>
      <c r="CR28" s="25">
        <f t="shared" si="36"/>
        <v>0.28518455378083951</v>
      </c>
      <c r="CS28" s="23">
        <f t="shared" si="37"/>
        <v>5.995586406407849E-2</v>
      </c>
      <c r="CT28" s="26">
        <f t="shared" si="22"/>
        <v>0.10396219384443661</v>
      </c>
      <c r="CU28" s="117">
        <v>20</v>
      </c>
      <c r="CV28" s="117">
        <f>CD28-CU28</f>
        <v>-20</v>
      </c>
      <c r="CW28" s="23">
        <v>-0.95899999999999996</v>
      </c>
      <c r="CX28" s="23">
        <v>2.8000000000000001E-2</v>
      </c>
      <c r="CY28" s="23">
        <f>(0.75*CC28)+(0.25*CW28)</f>
        <v>5.173142167628289E-2</v>
      </c>
      <c r="CZ28" s="34">
        <v>1052450</v>
      </c>
      <c r="DA28" s="75">
        <v>1052500</v>
      </c>
      <c r="DB28" s="34">
        <v>133030</v>
      </c>
      <c r="DC28" s="34">
        <v>1616462</v>
      </c>
      <c r="DD28" s="34">
        <v>1858685</v>
      </c>
      <c r="DE28" s="34">
        <f t="shared" si="23"/>
        <v>155458.611</v>
      </c>
      <c r="DF28" s="34">
        <f t="shared" si="24"/>
        <v>118611.85962373372</v>
      </c>
      <c r="DG28" s="34">
        <f t="shared" si="38"/>
        <v>1703226.389</v>
      </c>
      <c r="DH28" s="34">
        <f t="shared" si="39"/>
        <v>1497850.1403762663</v>
      </c>
      <c r="DI28" s="36">
        <f t="shared" si="71"/>
        <v>7.0521457063311139</v>
      </c>
      <c r="DJ28" s="225">
        <f t="shared" si="40"/>
        <v>6.9468550022223461</v>
      </c>
      <c r="DK28" s="225">
        <f t="shared" si="72"/>
        <v>2.8832355988391076</v>
      </c>
      <c r="DL28" s="34">
        <v>124029.61</v>
      </c>
      <c r="DM28">
        <f>CZ28-DB28</f>
        <v>919420</v>
      </c>
      <c r="DN28" s="34">
        <f>DA28-DL28</f>
        <v>928470.39</v>
      </c>
      <c r="DO28" s="23">
        <v>5.0030000000000001</v>
      </c>
      <c r="DP28" s="23">
        <f>(DN28-DN$74)/DN$75</f>
        <v>5.5357797329240768</v>
      </c>
      <c r="DQ28" s="25">
        <f t="shared" si="43"/>
        <v>2.9498527331574422</v>
      </c>
      <c r="DR28" s="25">
        <f t="shared" si="44"/>
        <v>2.8568318009708928</v>
      </c>
    </row>
    <row r="29" spans="1:122" x14ac:dyDescent="0.25">
      <c r="A29" s="7" t="s">
        <v>83</v>
      </c>
      <c r="B29" s="9" t="s">
        <v>311</v>
      </c>
      <c r="C29" s="10">
        <v>0</v>
      </c>
      <c r="L29" s="8"/>
      <c r="M29" s="25"/>
      <c r="N29" s="23"/>
      <c r="O29" s="8"/>
      <c r="P29" s="23"/>
      <c r="Q29" s="40"/>
      <c r="R29" s="23"/>
      <c r="S29" s="42"/>
      <c r="T29" s="42"/>
      <c r="U29" s="34"/>
      <c r="V29" s="70"/>
      <c r="W29" s="70"/>
      <c r="X29" s="40"/>
      <c r="Y29" s="46"/>
      <c r="Z29" s="46"/>
      <c r="AA29" s="137"/>
      <c r="AB29" s="218">
        <v>18</v>
      </c>
      <c r="AC29" s="226">
        <v>-0.28722540551873432</v>
      </c>
      <c r="AD29" s="135"/>
      <c r="AE29" s="298"/>
      <c r="AF29" s="298"/>
      <c r="AG29" s="23"/>
      <c r="AH29" s="23"/>
      <c r="AI29" s="53"/>
      <c r="AJ29" s="68"/>
      <c r="AK29" s="79"/>
      <c r="AL29" s="68"/>
      <c r="AM29" s="298"/>
      <c r="AN29" s="68"/>
      <c r="AO29" s="68"/>
      <c r="AP29" s="23"/>
      <c r="AQ29" s="23"/>
      <c r="AR29" s="23"/>
      <c r="AS29" s="23"/>
      <c r="AT29" s="23"/>
      <c r="AU29" s="23"/>
      <c r="AV29" s="23"/>
      <c r="AW29" s="26"/>
      <c r="AX29" s="26"/>
      <c r="AY29" s="26"/>
      <c r="AZ29" s="26"/>
      <c r="BA29" s="26"/>
      <c r="BE29" s="290" t="s">
        <v>471</v>
      </c>
      <c r="BJ29">
        <v>6</v>
      </c>
      <c r="BK29" s="117"/>
      <c r="BM29">
        <v>6</v>
      </c>
      <c r="BN29">
        <v>5</v>
      </c>
      <c r="BO29" s="117">
        <f t="shared" si="26"/>
        <v>39.160620000000002</v>
      </c>
      <c r="BP29" s="34">
        <f t="shared" si="9"/>
        <v>76.736069999999998</v>
      </c>
      <c r="BQ29" s="117">
        <f t="shared" si="10"/>
        <v>58.910274963820555</v>
      </c>
      <c r="BR29" s="117">
        <v>56.4497</v>
      </c>
      <c r="BS29" s="117">
        <f t="shared" si="66"/>
        <v>-52.910274963820555</v>
      </c>
      <c r="BT29" s="117">
        <f t="shared" si="67"/>
        <v>-50.4497</v>
      </c>
      <c r="BU29" s="117"/>
      <c r="BV29" s="23"/>
      <c r="BW29" s="117">
        <f t="shared" si="30"/>
        <v>-34.160620000000002</v>
      </c>
      <c r="BX29" s="23">
        <f t="shared" si="31"/>
        <v>-0.35402460038917832</v>
      </c>
      <c r="BY29" s="34">
        <f t="shared" si="32"/>
        <v>-70.736069999999998</v>
      </c>
      <c r="BZ29" s="23">
        <f t="shared" si="53"/>
        <v>-0.38752579267201198</v>
      </c>
      <c r="CA29" s="23">
        <f t="shared" si="12"/>
        <v>-0.36226070356709628</v>
      </c>
      <c r="CB29" s="23">
        <f t="shared" si="68"/>
        <v>-3.7065075845179062E-2</v>
      </c>
      <c r="CC29" s="23"/>
      <c r="CD29" s="117"/>
      <c r="CE29" s="117">
        <f t="shared" si="14"/>
        <v>56.450933999999997</v>
      </c>
      <c r="CF29" s="117">
        <f t="shared" si="33"/>
        <v>-50.450933999999997</v>
      </c>
      <c r="CG29" s="23">
        <f t="shared" si="69"/>
        <v>-0.38386892760621633</v>
      </c>
      <c r="CH29" s="26">
        <f t="shared" si="16"/>
        <v>-2.8028296666666663</v>
      </c>
      <c r="CI29" s="23">
        <f t="shared" si="17"/>
        <v>-0.98773545701938892</v>
      </c>
      <c r="CJ29" s="117">
        <v>0</v>
      </c>
      <c r="CK29" s="117">
        <v>0</v>
      </c>
      <c r="CL29" s="117">
        <f t="shared" si="18"/>
        <v>10.4643234</v>
      </c>
      <c r="CM29" s="117">
        <f t="shared" si="19"/>
        <v>7.7887120115774238</v>
      </c>
      <c r="CN29" s="117">
        <f t="shared" si="34"/>
        <v>-10.4643234</v>
      </c>
      <c r="CO29" s="117">
        <f t="shared" si="20"/>
        <v>-7.7887120115774238</v>
      </c>
      <c r="CP29" s="23">
        <f t="shared" si="35"/>
        <v>-0.41864507471478551</v>
      </c>
      <c r="CQ29" s="23">
        <f t="shared" si="70"/>
        <v>-0.4059998530489034</v>
      </c>
      <c r="CR29" s="23">
        <f t="shared" si="36"/>
        <v>-0.39530561318270541</v>
      </c>
      <c r="CS29" s="23">
        <f t="shared" si="37"/>
        <v>-0.36701841355410958</v>
      </c>
      <c r="CT29" s="26">
        <f t="shared" si="22"/>
        <v>-0.37319549093754811</v>
      </c>
      <c r="CU29" s="117"/>
      <c r="CV29" s="117"/>
      <c r="CW29" s="23"/>
      <c r="CX29" s="23"/>
      <c r="CY29" s="23"/>
      <c r="CZ29" s="34"/>
      <c r="DA29" s="75"/>
      <c r="DB29" s="34"/>
      <c r="DC29" s="34">
        <v>0</v>
      </c>
      <c r="DD29" s="34">
        <v>0</v>
      </c>
      <c r="DE29" s="34">
        <f t="shared" si="23"/>
        <v>44416.746000000006</v>
      </c>
      <c r="DF29" s="34">
        <f t="shared" si="24"/>
        <v>33889.102749638208</v>
      </c>
      <c r="DG29" s="34">
        <f t="shared" si="38"/>
        <v>-44416.746000000006</v>
      </c>
      <c r="DH29" s="34">
        <f t="shared" si="39"/>
        <v>-33889.102749638208</v>
      </c>
      <c r="DI29" s="36">
        <f t="shared" si="71"/>
        <v>-0.15955594221678246</v>
      </c>
      <c r="DJ29" s="36">
        <f t="shared" si="40"/>
        <v>-0.19543554568529123</v>
      </c>
      <c r="DK29" s="36">
        <f t="shared" si="72"/>
        <v>-0.28773967144924184</v>
      </c>
      <c r="DL29" s="34"/>
      <c r="DN29" s="34"/>
      <c r="DO29" s="23"/>
      <c r="DP29" s="23"/>
      <c r="DQ29" s="23">
        <f t="shared" si="43"/>
        <v>-0.31535758618373977</v>
      </c>
      <c r="DR29" s="23">
        <f t="shared" si="44"/>
        <v>-0.28403342501917872</v>
      </c>
    </row>
    <row r="30" spans="1:122" x14ac:dyDescent="0.25">
      <c r="A30" s="9" t="s">
        <v>92</v>
      </c>
      <c r="B30" s="9" t="s">
        <v>93</v>
      </c>
      <c r="C30" s="10">
        <f t="shared" si="0"/>
        <v>22</v>
      </c>
      <c r="D30" s="11">
        <v>0</v>
      </c>
      <c r="E30" s="11">
        <v>0</v>
      </c>
      <c r="F30" s="11">
        <v>0</v>
      </c>
      <c r="G30" s="11">
        <v>22</v>
      </c>
      <c r="H30" s="11">
        <v>0</v>
      </c>
      <c r="I30" s="11">
        <v>0</v>
      </c>
      <c r="J30" s="11">
        <v>0</v>
      </c>
      <c r="K30" s="11"/>
      <c r="L30" s="33">
        <v>44.5</v>
      </c>
      <c r="M30" s="25">
        <f t="shared" si="1"/>
        <v>2.0227272727272729</v>
      </c>
      <c r="N30" s="23">
        <f>M30/M75</f>
        <v>3.1388920691165931E-2</v>
      </c>
      <c r="O30" s="33">
        <v>3</v>
      </c>
      <c r="P30" s="23">
        <f t="shared" si="2"/>
        <v>0.13636363636363635</v>
      </c>
      <c r="Q30" s="40">
        <f>P30/P75</f>
        <v>9.1256279528997616E-3</v>
      </c>
      <c r="R30" s="23">
        <f t="shared" si="3"/>
        <v>1.5511363636363638</v>
      </c>
      <c r="S30" s="42">
        <f>R30/R75</f>
        <v>2.9791540822215398E-2</v>
      </c>
      <c r="T30" s="42">
        <f t="shared" si="4"/>
        <v>2.5823097506599387E-2</v>
      </c>
      <c r="U30" s="34">
        <v>0</v>
      </c>
      <c r="V30" s="34">
        <f t="shared" si="5"/>
        <v>0</v>
      </c>
      <c r="W30" s="34"/>
      <c r="X30" s="40">
        <f>V30/V75</f>
        <v>0</v>
      </c>
      <c r="Y30" s="47">
        <f t="shared" si="6"/>
        <v>1.5493858503959632E-2</v>
      </c>
      <c r="Z30" s="47">
        <v>0.13200000000000001</v>
      </c>
      <c r="AA30" s="135">
        <v>3.6999999999999998E-2</v>
      </c>
      <c r="AB30" s="218">
        <v>22</v>
      </c>
      <c r="AC30" s="226">
        <v>5.5752758860365292E-2</v>
      </c>
      <c r="AD30" s="135">
        <f t="shared" si="64"/>
        <v>5.0208980700679709E-2</v>
      </c>
      <c r="AE30" s="298">
        <v>0</v>
      </c>
      <c r="AF30" s="298">
        <f>AO30*BE$33</f>
        <v>14800.112569899062</v>
      </c>
      <c r="AG30" s="23"/>
      <c r="AH30" s="23"/>
      <c r="AI30" s="53"/>
      <c r="AJ30" s="65" t="e">
        <f>SUM(AK30:AL30)</f>
        <v>#DIV/0!</v>
      </c>
      <c r="AK30" s="65" t="e">
        <f>AR30*BE$25</f>
        <v>#DIV/0!</v>
      </c>
      <c r="AL30" s="68"/>
      <c r="AM30" s="298">
        <f>AVERAGE(AE30:AF30)</f>
        <v>7400.0562849495309</v>
      </c>
      <c r="AN30" s="65">
        <f>AM30+(AM$74*AZ30)</f>
        <v>8753.1649701475599</v>
      </c>
      <c r="AO30" s="68">
        <f>AB30*AZ30</f>
        <v>0.26230165344205864</v>
      </c>
      <c r="AP30" s="23"/>
      <c r="AQ30" s="23"/>
      <c r="AR30" s="23" t="e">
        <f t="shared" ref="AR30:AR31" si="73">AB30*AX30</f>
        <v>#DIV/0!</v>
      </c>
      <c r="AS30" s="23"/>
      <c r="AT30" s="23"/>
      <c r="AU30" s="23"/>
      <c r="AV30" s="23"/>
      <c r="AW30" s="26"/>
      <c r="AX30" s="26" t="e">
        <f>CR30/BE$20</f>
        <v>#DIV/0!</v>
      </c>
      <c r="AY30" s="26"/>
      <c r="AZ30" s="26">
        <f>DR30/BE$30</f>
        <v>1.1922802429184483E-2</v>
      </c>
      <c r="BA30" s="26"/>
      <c r="BE30" s="25">
        <f>SUM(DR6,DR10,DR11,DR13,DR18,DR24,DR25,DR28,DR30,DR31,DR33,DR35,DR41,DR44,DR48,DR55,DR56,DR61)</f>
        <v>12.176403196894565</v>
      </c>
      <c r="BF30">
        <v>107</v>
      </c>
      <c r="BG30">
        <v>107</v>
      </c>
      <c r="BH30">
        <f t="shared" si="65"/>
        <v>0</v>
      </c>
      <c r="BI30">
        <v>50</v>
      </c>
      <c r="BJ30">
        <v>119</v>
      </c>
      <c r="BK30" s="117">
        <v>50.154649999999997</v>
      </c>
      <c r="BL30">
        <f t="shared" ref="BL30:BL65" si="74">BF30-BI30</f>
        <v>57</v>
      </c>
      <c r="BM30">
        <v>181</v>
      </c>
      <c r="BN30">
        <v>106</v>
      </c>
      <c r="BO30" s="117">
        <f t="shared" si="26"/>
        <v>47.86298</v>
      </c>
      <c r="BP30" s="34">
        <f t="shared" si="9"/>
        <v>93.788529999999994</v>
      </c>
      <c r="BQ30" s="117">
        <f t="shared" si="10"/>
        <v>72.001447178002891</v>
      </c>
      <c r="BR30" s="117">
        <v>68.994079999999997</v>
      </c>
      <c r="BS30" s="117">
        <f t="shared" si="66"/>
        <v>46.998552821997109</v>
      </c>
      <c r="BT30" s="117">
        <f t="shared" si="67"/>
        <v>50.005920000000003</v>
      </c>
      <c r="BU30" s="117">
        <f t="shared" ref="BU30:BU65" si="75">BG30-BK30</f>
        <v>56.845350000000003</v>
      </c>
      <c r="BV30" s="23">
        <v>0.438</v>
      </c>
      <c r="BW30" s="117">
        <f t="shared" si="30"/>
        <v>58.13702</v>
      </c>
      <c r="BX30" s="25">
        <f t="shared" si="31"/>
        <v>0.52236276338499654</v>
      </c>
      <c r="BY30" s="34">
        <f t="shared" si="32"/>
        <v>87.211470000000006</v>
      </c>
      <c r="BZ30" s="25">
        <f t="shared" si="53"/>
        <v>0.46457799255303067</v>
      </c>
      <c r="CA30" s="25">
        <f t="shared" si="12"/>
        <v>0.32178492407333009</v>
      </c>
      <c r="CB30" s="25">
        <f t="shared" si="68"/>
        <v>0.35367241064073834</v>
      </c>
      <c r="CC30" s="23">
        <f t="shared" ref="CC30:CC65" si="76">(BU30-BU$74)/BU$75</f>
        <v>0.47705373349134134</v>
      </c>
      <c r="CD30" s="117">
        <v>2</v>
      </c>
      <c r="CE30" s="117">
        <f t="shared" si="14"/>
        <v>68.995586000000003</v>
      </c>
      <c r="CF30" s="117">
        <f t="shared" si="33"/>
        <v>50.004413999999997</v>
      </c>
      <c r="CG30" s="25">
        <f t="shared" si="69"/>
        <v>0.30663311349393363</v>
      </c>
      <c r="CH30" s="26">
        <f t="shared" si="16"/>
        <v>2.2729279090909089</v>
      </c>
      <c r="CI30" s="25">
        <f t="shared" si="17"/>
        <v>0.73544091781039767</v>
      </c>
      <c r="CJ30" s="117">
        <v>8</v>
      </c>
      <c r="CK30" s="117">
        <v>10</v>
      </c>
      <c r="CL30" s="117">
        <f t="shared" si="18"/>
        <v>12.7897286</v>
      </c>
      <c r="CM30" s="117">
        <f t="shared" si="19"/>
        <v>9.5195369030390733</v>
      </c>
      <c r="CN30" s="117">
        <f t="shared" si="34"/>
        <v>-2.7897286000000001</v>
      </c>
      <c r="CO30" s="117">
        <f t="shared" si="20"/>
        <v>-1.5195369030390733</v>
      </c>
      <c r="CP30" s="23">
        <f t="shared" si="35"/>
        <v>-0.17619828664569204</v>
      </c>
      <c r="CQ30" s="23">
        <f t="shared" si="70"/>
        <v>-7.9208444017344559E-2</v>
      </c>
      <c r="CR30" s="25">
        <f t="shared" si="36"/>
        <v>0.30438392275335002</v>
      </c>
      <c r="CS30" s="25">
        <f t="shared" si="37"/>
        <v>0.37196996153441125</v>
      </c>
      <c r="CT30" s="25">
        <f t="shared" si="22"/>
        <v>0.2215365820506614</v>
      </c>
      <c r="CU30" s="117">
        <v>7</v>
      </c>
      <c r="CV30" s="117">
        <f t="shared" ref="CV30:CV65" si="77">CD30-CU30</f>
        <v>-5</v>
      </c>
      <c r="CW30" s="23">
        <v>-0.36099999999999999</v>
      </c>
      <c r="CX30" s="23">
        <v>0.23799999999999999</v>
      </c>
      <c r="CY30" s="23">
        <f t="shared" ref="CY30:CY65" si="78">(0.75*CC30)+(0.25*CW30)</f>
        <v>0.26754030011850599</v>
      </c>
      <c r="CZ30" s="34">
        <v>0</v>
      </c>
      <c r="DA30" s="75">
        <v>0</v>
      </c>
      <c r="DB30" s="34">
        <v>50957</v>
      </c>
      <c r="DC30" s="34">
        <v>0</v>
      </c>
      <c r="DD30" s="34">
        <v>0</v>
      </c>
      <c r="DE30" s="34">
        <f t="shared" si="23"/>
        <v>54287.134000000005</v>
      </c>
      <c r="DF30" s="34">
        <f t="shared" si="24"/>
        <v>41420.014471780029</v>
      </c>
      <c r="DG30" s="34">
        <f t="shared" si="38"/>
        <v>-54287.134000000005</v>
      </c>
      <c r="DH30" s="34">
        <f t="shared" si="39"/>
        <v>-41420.014471780029</v>
      </c>
      <c r="DI30" s="36">
        <f t="shared" si="71"/>
        <v>-0.19501281826495631</v>
      </c>
      <c r="DJ30" s="36">
        <f t="shared" si="40"/>
        <v>-0.23577397491305285</v>
      </c>
      <c r="DK30" s="36">
        <f t="shared" si="72"/>
        <v>5.49168219244143E-2</v>
      </c>
      <c r="DL30" s="34">
        <v>46227.31</v>
      </c>
      <c r="DM30">
        <f t="shared" ref="DM30:DM65" si="79">CZ30-DB30</f>
        <v>-50957</v>
      </c>
      <c r="DN30" s="34">
        <f t="shared" ref="DN30:DN65" si="80">DA30-DL30</f>
        <v>-46227.31</v>
      </c>
      <c r="DO30" s="23">
        <v>-0.26400000000000001</v>
      </c>
      <c r="DP30" s="23">
        <f t="shared" ref="DP30:DP65" si="81">(DN30-DN$74)/DN$75</f>
        <v>-0.27578799842605967</v>
      </c>
      <c r="DQ30" s="23">
        <f t="shared" si="43"/>
        <v>8.8320763686788845E-2</v>
      </c>
      <c r="DR30" s="25">
        <f t="shared" si="44"/>
        <v>0.14517684961466423</v>
      </c>
    </row>
    <row r="31" spans="1:122" x14ac:dyDescent="0.25">
      <c r="A31" s="9" t="s">
        <v>92</v>
      </c>
      <c r="B31" s="9" t="s">
        <v>94</v>
      </c>
      <c r="C31" s="10">
        <f t="shared" si="0"/>
        <v>44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44</v>
      </c>
      <c r="K31" s="11"/>
      <c r="L31" s="33">
        <v>29.5</v>
      </c>
      <c r="M31" s="23">
        <f t="shared" si="1"/>
        <v>0.67045454545454541</v>
      </c>
      <c r="N31" s="23">
        <f>M31/M75</f>
        <v>1.0404192813363987E-2</v>
      </c>
      <c r="O31" s="33">
        <v>2.5</v>
      </c>
      <c r="P31" s="23">
        <f t="shared" si="2"/>
        <v>5.6818181818181816E-2</v>
      </c>
      <c r="Q31" s="40">
        <f>P31/P75</f>
        <v>3.8023449803749011E-3</v>
      </c>
      <c r="R31" s="23">
        <f t="shared" si="3"/>
        <v>0.51704545454545447</v>
      </c>
      <c r="S31" s="40">
        <f>R31/R75</f>
        <v>9.9305136074051299E-3</v>
      </c>
      <c r="T31" s="40">
        <f t="shared" si="4"/>
        <v>8.7537308551167148E-3</v>
      </c>
      <c r="U31" s="34">
        <v>37489</v>
      </c>
      <c r="V31" s="34">
        <f t="shared" si="5"/>
        <v>852.02272727272725</v>
      </c>
      <c r="W31" s="34"/>
      <c r="X31" s="40">
        <f>V31/V75</f>
        <v>1.0941168137218028E-2</v>
      </c>
      <c r="Y31" s="47">
        <f t="shared" si="6"/>
        <v>9.6287057679572408E-3</v>
      </c>
      <c r="Z31" s="47">
        <v>5.7000000000000002E-2</v>
      </c>
      <c r="AA31" s="135">
        <v>-0.37</v>
      </c>
      <c r="AB31" s="218">
        <v>44</v>
      </c>
      <c r="AC31" s="227">
        <v>0.27105520913854519</v>
      </c>
      <c r="AD31" s="135">
        <f t="shared" si="64"/>
        <v>-0.36464623300326349</v>
      </c>
      <c r="AE31" s="298">
        <v>0</v>
      </c>
      <c r="AF31" s="298">
        <f>AO31*BE$33</f>
        <v>32016.515754212298</v>
      </c>
      <c r="AG31" s="23"/>
      <c r="AH31" s="66" t="e">
        <f>AP31*BE$9</f>
        <v>#DIV/0!</v>
      </c>
      <c r="AI31" s="68"/>
      <c r="AJ31" s="65" t="e">
        <f>SUM(AK31:AL31)</f>
        <v>#DIV/0!</v>
      </c>
      <c r="AK31" s="65" t="e">
        <f>AR31*BE$25</f>
        <v>#DIV/0!</v>
      </c>
      <c r="AL31" s="68"/>
      <c r="AM31" s="298">
        <f>AVERAGE(AE31:AF31)</f>
        <v>16008.257877106149</v>
      </c>
      <c r="AN31" s="65">
        <f>AM31+(AM$74*AZ31)</f>
        <v>17471.821932183455</v>
      </c>
      <c r="AO31" s="68">
        <f>AB31*AZ31</f>
        <v>0.56742710436295551</v>
      </c>
      <c r="AP31" s="23" t="e">
        <f>AB31*BA31</f>
        <v>#DIV/0!</v>
      </c>
      <c r="AQ31" s="23"/>
      <c r="AR31" s="23" t="e">
        <f t="shared" si="73"/>
        <v>#DIV/0!</v>
      </c>
      <c r="AS31" s="23"/>
      <c r="AT31" s="23"/>
      <c r="AU31" s="23"/>
      <c r="AV31" s="23"/>
      <c r="AW31" s="26"/>
      <c r="AX31" s="26" t="e">
        <f>CR31/BE$20</f>
        <v>#DIV/0!</v>
      </c>
      <c r="AY31" s="26"/>
      <c r="AZ31" s="26">
        <f>DR31/BE$30</f>
        <v>1.2896070553703535E-2</v>
      </c>
      <c r="BA31" s="236" t="e">
        <f>AC31/BE$5</f>
        <v>#DIV/0!</v>
      </c>
      <c r="BF31">
        <v>90</v>
      </c>
      <c r="BG31">
        <v>90</v>
      </c>
      <c r="BH31">
        <f t="shared" si="65"/>
        <v>0</v>
      </c>
      <c r="BI31">
        <v>100</v>
      </c>
      <c r="BJ31">
        <v>311</v>
      </c>
      <c r="BK31" s="117">
        <v>100.30931</v>
      </c>
      <c r="BL31">
        <f t="shared" si="74"/>
        <v>-10</v>
      </c>
      <c r="BM31">
        <v>327</v>
      </c>
      <c r="BN31">
        <v>193</v>
      </c>
      <c r="BO31" s="117">
        <f t="shared" si="26"/>
        <v>95.725960000000001</v>
      </c>
      <c r="BP31" s="34">
        <f t="shared" si="9"/>
        <v>187.57705999999999</v>
      </c>
      <c r="BQ31" s="117">
        <f t="shared" si="10"/>
        <v>144.00289435600578</v>
      </c>
      <c r="BR31" s="117">
        <v>137.98815999999999</v>
      </c>
      <c r="BS31" s="117">
        <f t="shared" si="66"/>
        <v>166.99710564399422</v>
      </c>
      <c r="BT31" s="117">
        <f t="shared" si="67"/>
        <v>173.01184000000001</v>
      </c>
      <c r="BU31" s="117">
        <f t="shared" si="75"/>
        <v>-10.309309999999996</v>
      </c>
      <c r="BV31" s="23">
        <v>-0.161</v>
      </c>
      <c r="BW31" s="117">
        <f t="shared" si="30"/>
        <v>97.274039999999999</v>
      </c>
      <c r="BX31" s="25">
        <f t="shared" si="31"/>
        <v>0.89397778825212382</v>
      </c>
      <c r="BY31" s="34">
        <f t="shared" si="32"/>
        <v>139.42294000000001</v>
      </c>
      <c r="BZ31" s="25">
        <f t="shared" si="53"/>
        <v>0.74625120645154264</v>
      </c>
      <c r="CA31" s="25">
        <f t="shared" si="12"/>
        <v>1.1433788432516909</v>
      </c>
      <c r="CB31" s="23">
        <f t="shared" si="68"/>
        <v>-0.10792810820937651</v>
      </c>
      <c r="CC31" s="23">
        <f t="shared" si="76"/>
        <v>-0.13190983553853167</v>
      </c>
      <c r="CD31" s="117">
        <v>2</v>
      </c>
      <c r="CE31" s="117">
        <f t="shared" si="14"/>
        <v>137.99117200000001</v>
      </c>
      <c r="CF31" s="117">
        <f t="shared" si="33"/>
        <v>173.00882799999999</v>
      </c>
      <c r="CG31" s="25">
        <f t="shared" si="69"/>
        <v>1.1521311444332907</v>
      </c>
      <c r="CH31" s="26">
        <f t="shared" si="16"/>
        <v>3.9320188181818181</v>
      </c>
      <c r="CI31" s="25">
        <f t="shared" si="17"/>
        <v>1.2986881209264027</v>
      </c>
      <c r="CJ31" s="117">
        <v>1</v>
      </c>
      <c r="CK31" s="117">
        <v>3</v>
      </c>
      <c r="CL31" s="117">
        <f t="shared" si="18"/>
        <v>25.5794572</v>
      </c>
      <c r="CM31" s="117">
        <f t="shared" si="19"/>
        <v>19.039073806078147</v>
      </c>
      <c r="CN31" s="117">
        <f t="shared" si="34"/>
        <v>-22.5794572</v>
      </c>
      <c r="CO31" s="117">
        <f t="shared" si="20"/>
        <v>-18.039073806078147</v>
      </c>
      <c r="CP31" s="23">
        <f t="shared" si="35"/>
        <v>-0.80137215717095789</v>
      </c>
      <c r="CQ31" s="23">
        <f t="shared" si="70"/>
        <v>-0.94031738540590493</v>
      </c>
      <c r="CR31" s="25">
        <f t="shared" si="36"/>
        <v>0.35934536554591756</v>
      </c>
      <c r="CS31" s="25">
        <f t="shared" si="37"/>
        <v>0.43540399483761671</v>
      </c>
      <c r="CT31" s="25">
        <f t="shared" si="22"/>
        <v>0.62245478608729199</v>
      </c>
      <c r="CU31" s="117">
        <v>14</v>
      </c>
      <c r="CV31" s="117">
        <f t="shared" si="77"/>
        <v>-12</v>
      </c>
      <c r="CW31" s="23">
        <v>-0.64</v>
      </c>
      <c r="CX31" s="23">
        <v>-0.28100000000000003</v>
      </c>
      <c r="CY31" s="23">
        <f t="shared" si="78"/>
        <v>-0.25893237665389879</v>
      </c>
      <c r="CZ31" s="34">
        <v>0</v>
      </c>
      <c r="DA31" s="75">
        <v>0</v>
      </c>
      <c r="DB31" s="34">
        <v>94999</v>
      </c>
      <c r="DC31" s="34">
        <v>27503</v>
      </c>
      <c r="DD31" s="34">
        <v>27503</v>
      </c>
      <c r="DE31" s="34">
        <f t="shared" si="23"/>
        <v>108574.26800000001</v>
      </c>
      <c r="DF31" s="34">
        <f t="shared" si="24"/>
        <v>82840.028943560057</v>
      </c>
      <c r="DG31" s="34">
        <f t="shared" si="38"/>
        <v>-81071.268000000011</v>
      </c>
      <c r="DH31" s="34">
        <f t="shared" si="39"/>
        <v>-55337.028943560057</v>
      </c>
      <c r="DI31" s="36">
        <f t="shared" si="71"/>
        <v>-0.26053660546269103</v>
      </c>
      <c r="DJ31" s="36">
        <f t="shared" si="40"/>
        <v>-0.34523571986025087</v>
      </c>
      <c r="DK31" s="225">
        <f t="shared" si="72"/>
        <v>0.26925822946729877</v>
      </c>
      <c r="DL31" s="34">
        <v>87725.32</v>
      </c>
      <c r="DM31">
        <f t="shared" si="79"/>
        <v>-94999</v>
      </c>
      <c r="DN31" s="34">
        <f t="shared" si="80"/>
        <v>-87725.32</v>
      </c>
      <c r="DO31" s="23">
        <v>-0.503</v>
      </c>
      <c r="DP31" s="23">
        <f t="shared" si="81"/>
        <v>-0.52321701752731054</v>
      </c>
      <c r="DQ31" s="23">
        <f t="shared" si="43"/>
        <v>7.7512931383450168E-2</v>
      </c>
      <c r="DR31" s="25">
        <f t="shared" si="44"/>
        <v>0.15702775471749358</v>
      </c>
    </row>
    <row r="32" spans="1:122" x14ac:dyDescent="0.25">
      <c r="A32" s="7" t="s">
        <v>92</v>
      </c>
      <c r="B32" s="7" t="s">
        <v>95</v>
      </c>
      <c r="C32" s="10">
        <f t="shared" si="0"/>
        <v>16</v>
      </c>
      <c r="D32" s="11">
        <v>9</v>
      </c>
      <c r="E32" s="11">
        <v>5</v>
      </c>
      <c r="F32" s="11">
        <v>0</v>
      </c>
      <c r="G32" s="11">
        <v>2</v>
      </c>
      <c r="H32" s="11">
        <v>0</v>
      </c>
      <c r="I32" s="11">
        <v>0</v>
      </c>
      <c r="J32" s="11">
        <v>0</v>
      </c>
      <c r="K32" s="11"/>
      <c r="L32" s="33">
        <v>9</v>
      </c>
      <c r="M32" s="23">
        <f t="shared" si="1"/>
        <v>0.5625</v>
      </c>
      <c r="N32" s="23">
        <f>M32/M75</f>
        <v>8.7289414281613107E-3</v>
      </c>
      <c r="O32" s="33">
        <v>1.5</v>
      </c>
      <c r="P32" s="23">
        <f t="shared" si="2"/>
        <v>9.375E-2</v>
      </c>
      <c r="Q32" s="40">
        <f>P32/P75</f>
        <v>6.2738692176185868E-3</v>
      </c>
      <c r="R32" s="23">
        <f t="shared" si="3"/>
        <v>0.4453125</v>
      </c>
      <c r="S32" s="40">
        <f>R32/R75</f>
        <v>8.5527912525316177E-3</v>
      </c>
      <c r="T32" s="40">
        <f t="shared" si="4"/>
        <v>8.1151733755256295E-3</v>
      </c>
      <c r="U32" s="34"/>
      <c r="V32" s="34">
        <f t="shared" ref="V32:V71" si="82">U32/C32</f>
        <v>0</v>
      </c>
      <c r="W32" s="34"/>
      <c r="X32" s="40">
        <f>V32/V75</f>
        <v>0</v>
      </c>
      <c r="Y32" s="47">
        <f t="shared" si="6"/>
        <v>4.8691040253153774E-3</v>
      </c>
      <c r="Z32" s="47">
        <v>-0.25600000000000001</v>
      </c>
      <c r="AA32" s="135">
        <v>-0.193</v>
      </c>
      <c r="AB32" s="218">
        <v>13</v>
      </c>
      <c r="AC32" s="226">
        <v>-0.10034403732905925</v>
      </c>
      <c r="AD32" s="135">
        <f t="shared" si="64"/>
        <v>-0.18454465511128293</v>
      </c>
      <c r="AE32" s="302"/>
      <c r="AF32" s="302"/>
      <c r="AG32" s="23"/>
      <c r="AH32" s="23"/>
      <c r="AI32" s="53"/>
      <c r="AJ32" s="68"/>
      <c r="AK32" s="79"/>
      <c r="AL32" s="68"/>
      <c r="AM32" s="298"/>
      <c r="AN32" s="68"/>
      <c r="AO32" s="68"/>
      <c r="AP32" s="23"/>
      <c r="AQ32" s="23"/>
      <c r="AR32" s="23"/>
      <c r="AS32" s="23"/>
      <c r="AT32" s="23"/>
      <c r="AU32" s="23"/>
      <c r="AV32" s="23"/>
      <c r="AW32" s="26"/>
      <c r="AX32" s="26"/>
      <c r="AY32" s="26"/>
      <c r="AZ32" s="26"/>
      <c r="BA32" s="26"/>
      <c r="BE32" s="290" t="s">
        <v>468</v>
      </c>
      <c r="BF32">
        <v>26</v>
      </c>
      <c r="BG32">
        <v>26</v>
      </c>
      <c r="BH32">
        <f t="shared" si="65"/>
        <v>0</v>
      </c>
      <c r="BI32">
        <v>36</v>
      </c>
      <c r="BJ32">
        <v>34</v>
      </c>
      <c r="BK32" s="117">
        <v>36.476109999999998</v>
      </c>
      <c r="BL32">
        <f t="shared" si="74"/>
        <v>-10</v>
      </c>
      <c r="BM32">
        <v>41</v>
      </c>
      <c r="BN32">
        <v>25</v>
      </c>
      <c r="BO32" s="117">
        <f t="shared" si="26"/>
        <v>28.282670000000003</v>
      </c>
      <c r="BP32" s="34">
        <f t="shared" si="9"/>
        <v>55.420495000000003</v>
      </c>
      <c r="BQ32" s="117">
        <f t="shared" si="10"/>
        <v>42.546309696092621</v>
      </c>
      <c r="BR32" s="117">
        <v>40.76923</v>
      </c>
      <c r="BS32" s="117">
        <f t="shared" si="66"/>
        <v>-8.5463096960926208</v>
      </c>
      <c r="BT32" s="117">
        <f t="shared" si="67"/>
        <v>-6.7692300000000003</v>
      </c>
      <c r="BU32" s="117">
        <f t="shared" si="75"/>
        <v>-10.476109999999998</v>
      </c>
      <c r="BV32" s="23">
        <v>-0.161</v>
      </c>
      <c r="BW32" s="117">
        <f t="shared" si="30"/>
        <v>-3.2826700000000031</v>
      </c>
      <c r="BX32" s="23">
        <f t="shared" si="31"/>
        <v>-6.0831348652180692E-2</v>
      </c>
      <c r="BY32" s="34">
        <f t="shared" si="32"/>
        <v>-14.420495000000003</v>
      </c>
      <c r="BZ32" s="23">
        <f t="shared" si="53"/>
        <v>-8.3711534946790178E-2</v>
      </c>
      <c r="CA32" s="23">
        <f t="shared" si="12"/>
        <v>-5.8514006315896316E-2</v>
      </c>
      <c r="CB32" s="23">
        <f t="shared" si="68"/>
        <v>-0.10907464020796306</v>
      </c>
      <c r="CC32" s="23">
        <f t="shared" si="76"/>
        <v>-0.13342239063618511</v>
      </c>
      <c r="CD32" s="117">
        <v>2</v>
      </c>
      <c r="CE32" s="117">
        <f t="shared" si="14"/>
        <v>40.770118999999994</v>
      </c>
      <c r="CF32" s="117">
        <f t="shared" si="33"/>
        <v>-6.770118999999994</v>
      </c>
      <c r="CG32" s="23">
        <f t="shared" si="69"/>
        <v>-8.3619189638875366E-2</v>
      </c>
      <c r="CH32" s="26">
        <f t="shared" si="16"/>
        <v>-0.52077838461538417</v>
      </c>
      <c r="CI32" s="23">
        <f t="shared" si="17"/>
        <v>-0.21299852431750088</v>
      </c>
      <c r="CJ32" s="117">
        <v>2</v>
      </c>
      <c r="CK32" s="117">
        <v>2</v>
      </c>
      <c r="CL32" s="117">
        <f t="shared" si="18"/>
        <v>7.5575669000000003</v>
      </c>
      <c r="CM32" s="117">
        <f t="shared" si="19"/>
        <v>5.6251808972503614</v>
      </c>
      <c r="CN32" s="117">
        <f t="shared" si="34"/>
        <v>-5.5575669000000003</v>
      </c>
      <c r="CO32" s="117">
        <f t="shared" si="20"/>
        <v>-3.6251808972503614</v>
      </c>
      <c r="CP32" s="23">
        <f t="shared" si="35"/>
        <v>-0.26363658446040145</v>
      </c>
      <c r="CQ32" s="23">
        <f t="shared" si="70"/>
        <v>-0.18896871644137919</v>
      </c>
      <c r="CR32" s="23">
        <f t="shared" si="36"/>
        <v>-0.12869279732519301</v>
      </c>
      <c r="CS32" s="23">
        <f t="shared" si="37"/>
        <v>-9.2865690599480313E-2</v>
      </c>
      <c r="CT32" s="26">
        <f t="shared" si="22"/>
        <v>-9.1127683847267035E-2</v>
      </c>
      <c r="CU32" s="117">
        <v>5</v>
      </c>
      <c r="CV32" s="117">
        <f t="shared" si="77"/>
        <v>-3</v>
      </c>
      <c r="CW32" s="23">
        <v>-0.28199999999999997</v>
      </c>
      <c r="CX32" s="23">
        <v>-0.191</v>
      </c>
      <c r="CY32" s="23">
        <f t="shared" si="78"/>
        <v>-0.17056679297713884</v>
      </c>
      <c r="CZ32" s="34">
        <v>0</v>
      </c>
      <c r="DA32" s="75">
        <v>0</v>
      </c>
      <c r="DB32" s="34">
        <v>38275</v>
      </c>
      <c r="DC32" s="34">
        <v>0</v>
      </c>
      <c r="DD32" s="34">
        <v>0</v>
      </c>
      <c r="DE32" s="34">
        <f t="shared" si="23"/>
        <v>32078.761000000002</v>
      </c>
      <c r="DF32" s="34">
        <f t="shared" si="24"/>
        <v>24475.463096960928</v>
      </c>
      <c r="DG32" s="34">
        <f t="shared" si="38"/>
        <v>-32078.761000000002</v>
      </c>
      <c r="DH32" s="34">
        <f t="shared" si="39"/>
        <v>-24475.463096960928</v>
      </c>
      <c r="DI32" s="36">
        <f t="shared" si="71"/>
        <v>-0.11523484715656511</v>
      </c>
      <c r="DJ32" s="36">
        <f t="shared" si="40"/>
        <v>-0.14501250915058916</v>
      </c>
      <c r="DK32" s="36">
        <f t="shared" si="72"/>
        <v>-0.10077054917098627</v>
      </c>
      <c r="DL32" s="34">
        <v>34440.75</v>
      </c>
      <c r="DM32">
        <f t="shared" si="79"/>
        <v>-38275</v>
      </c>
      <c r="DN32" s="34">
        <f t="shared" si="80"/>
        <v>-34440.75</v>
      </c>
      <c r="DO32" s="23">
        <v>-0.19500000000000001</v>
      </c>
      <c r="DP32" s="23">
        <f t="shared" si="81"/>
        <v>-0.20551144831249907</v>
      </c>
      <c r="DQ32" s="23">
        <f t="shared" si="43"/>
        <v>-0.13522068205535148</v>
      </c>
      <c r="DR32" s="23">
        <f t="shared" si="44"/>
        <v>-0.10181335322231423</v>
      </c>
    </row>
    <row r="33" spans="1:122" x14ac:dyDescent="0.25">
      <c r="A33" s="9" t="s">
        <v>92</v>
      </c>
      <c r="B33" s="9" t="s">
        <v>96</v>
      </c>
      <c r="C33" s="10">
        <f t="shared" ref="C33:C64" si="83">SUM(D33:J33)</f>
        <v>36</v>
      </c>
      <c r="D33" s="11">
        <v>0</v>
      </c>
      <c r="E33" s="11">
        <v>0</v>
      </c>
      <c r="F33" s="11">
        <v>0</v>
      </c>
      <c r="G33" s="11">
        <v>36</v>
      </c>
      <c r="H33" s="11">
        <v>0</v>
      </c>
      <c r="I33" s="11">
        <v>0</v>
      </c>
      <c r="J33" s="11">
        <v>0</v>
      </c>
      <c r="K33" s="11"/>
      <c r="L33" s="33">
        <v>192.5</v>
      </c>
      <c r="M33" s="25">
        <f t="shared" ref="M33:M64" si="84">L33/C33</f>
        <v>5.3472222222222223</v>
      </c>
      <c r="N33" s="23">
        <f>M33/M75</f>
        <v>8.297882592202728E-2</v>
      </c>
      <c r="O33" s="33">
        <v>2</v>
      </c>
      <c r="P33" s="23">
        <f t="shared" ref="P33:P64" si="85">O33/C33</f>
        <v>5.5555555555555552E-2</v>
      </c>
      <c r="Q33" s="40">
        <f>P33/P75</f>
        <v>3.7178484252554586E-3</v>
      </c>
      <c r="R33" s="23">
        <f t="shared" ref="R33:R64" si="86">(0.75*M33)+(0.25*P33)</f>
        <v>4.0243055555555562</v>
      </c>
      <c r="S33" s="40">
        <f>R33/R75</f>
        <v>7.7291891319174633E-2</v>
      </c>
      <c r="T33" s="42">
        <f t="shared" ref="T33:T64" si="87">(0.75*N33)+(0.25*Q33)</f>
        <v>6.316358154783433E-2</v>
      </c>
      <c r="U33" s="34"/>
      <c r="V33" s="34">
        <f t="shared" si="82"/>
        <v>0</v>
      </c>
      <c r="W33" s="34"/>
      <c r="X33" s="40">
        <f>V33/V75</f>
        <v>0</v>
      </c>
      <c r="Y33" s="46">
        <f t="shared" ref="Y33:Y64" si="88">(0.6*T33)+(0.4*X33)</f>
        <v>3.7898148928700595E-2</v>
      </c>
      <c r="Z33" s="46">
        <v>2.1</v>
      </c>
      <c r="AA33" s="137">
        <v>1.1619999999999999</v>
      </c>
      <c r="AB33" s="218">
        <v>41</v>
      </c>
      <c r="AC33" s="227">
        <v>1.0433912511012124</v>
      </c>
      <c r="AD33" s="137">
        <f t="shared" si="64"/>
        <v>1.2179079079278168</v>
      </c>
      <c r="AE33" s="298">
        <v>178505.12292398672</v>
      </c>
      <c r="AF33" s="298">
        <f>AO33*BE$33</f>
        <v>205815.0415017021</v>
      </c>
      <c r="AG33" s="23">
        <f>C33*AV33</f>
        <v>2.9788506729331337</v>
      </c>
      <c r="AH33" s="66" t="e">
        <f>AP33*BE$9</f>
        <v>#DIV/0!</v>
      </c>
      <c r="AI33" s="65" t="e">
        <f>AQ33*BE$17</f>
        <v>#DIV/0!</v>
      </c>
      <c r="AJ33" s="65" t="e">
        <f>SUM(AK33:AL33)</f>
        <v>#DIV/0!</v>
      </c>
      <c r="AK33" s="65" t="e">
        <f>AR33*BE$25</f>
        <v>#DIV/0!</v>
      </c>
      <c r="AL33" s="68"/>
      <c r="AM33" s="298">
        <f>AVERAGE(AE33:AF33)</f>
        <v>192160.0822128444</v>
      </c>
      <c r="AN33" s="65">
        <f>AM33+(AM$74*AZ33)</f>
        <v>202256.87859385673</v>
      </c>
      <c r="AO33" s="68">
        <f>AB33*AZ33</f>
        <v>3.6476496671342931</v>
      </c>
      <c r="AP33" s="23" t="e">
        <f>AB33*BA33</f>
        <v>#DIV/0!</v>
      </c>
      <c r="AQ33" s="23" t="e">
        <f>AB33*AW33</f>
        <v>#DIV/0!</v>
      </c>
      <c r="AR33" s="23" t="e">
        <f>AB33*AX33</f>
        <v>#DIV/0!</v>
      </c>
      <c r="AS33" s="23"/>
      <c r="AT33" s="23"/>
      <c r="AU33" s="23"/>
      <c r="AV33" s="23">
        <f>AA33/BB$2</f>
        <v>8.2745852025920386E-2</v>
      </c>
      <c r="AW33" s="26" t="e">
        <f>DQ33/BE$15</f>
        <v>#DIV/0!</v>
      </c>
      <c r="AX33" s="26" t="e">
        <f>CR33/BE$20</f>
        <v>#DIV/0!</v>
      </c>
      <c r="AY33" s="26"/>
      <c r="AZ33" s="26">
        <f>DR33/BE$30</f>
        <v>8.8967065052055927E-2</v>
      </c>
      <c r="BA33" s="236" t="e">
        <f>AC33/BE$5</f>
        <v>#DIV/0!</v>
      </c>
      <c r="BE33" s="78">
        <f>AT19/AO73</f>
        <v>56424.015539682237</v>
      </c>
      <c r="BF33">
        <v>443</v>
      </c>
      <c r="BG33">
        <v>443</v>
      </c>
      <c r="BH33">
        <f t="shared" si="65"/>
        <v>0</v>
      </c>
      <c r="BI33">
        <v>82</v>
      </c>
      <c r="BJ33">
        <v>550</v>
      </c>
      <c r="BK33" s="117">
        <v>82.071250000000006</v>
      </c>
      <c r="BL33">
        <f t="shared" si="74"/>
        <v>361</v>
      </c>
      <c r="BM33">
        <v>717</v>
      </c>
      <c r="BN33">
        <v>402</v>
      </c>
      <c r="BO33" s="117">
        <f t="shared" si="26"/>
        <v>89.199190000000002</v>
      </c>
      <c r="BP33" s="34">
        <f t="shared" si="9"/>
        <v>174.78771499999999</v>
      </c>
      <c r="BQ33" s="117">
        <f t="shared" si="10"/>
        <v>134.18451519536904</v>
      </c>
      <c r="BR33" s="117">
        <v>128.57988</v>
      </c>
      <c r="BS33" s="117">
        <f t="shared" si="66"/>
        <v>415.81548480463096</v>
      </c>
      <c r="BT33" s="117">
        <f t="shared" si="67"/>
        <v>421.42012</v>
      </c>
      <c r="BU33" s="117">
        <f t="shared" si="75"/>
        <v>360.92874999999998</v>
      </c>
      <c r="BV33" s="23">
        <v>3.1539999999999999</v>
      </c>
      <c r="BW33" s="117">
        <f t="shared" si="30"/>
        <v>312.80081000000001</v>
      </c>
      <c r="BX33" s="25">
        <f t="shared" si="31"/>
        <v>2.940454142176915</v>
      </c>
      <c r="BY33" s="34">
        <f t="shared" si="32"/>
        <v>542.21228500000007</v>
      </c>
      <c r="BZ33" s="25">
        <f t="shared" si="53"/>
        <v>2.9192405769907461</v>
      </c>
      <c r="CA33" s="25">
        <f t="shared" si="12"/>
        <v>2.846963282319368</v>
      </c>
      <c r="CB33" s="25">
        <f t="shared" si="68"/>
        <v>2.4438483599152492</v>
      </c>
      <c r="CC33" s="23">
        <f t="shared" si="76"/>
        <v>3.2345051530464168</v>
      </c>
      <c r="CD33" s="117">
        <v>1</v>
      </c>
      <c r="CE33" s="117">
        <f t="shared" si="14"/>
        <v>128.582683</v>
      </c>
      <c r="CF33" s="117">
        <f t="shared" si="33"/>
        <v>421.41731700000003</v>
      </c>
      <c r="CG33" s="25">
        <f t="shared" si="69"/>
        <v>2.8596218066636796</v>
      </c>
      <c r="CH33" s="26">
        <f t="shared" si="16"/>
        <v>10.278471146341465</v>
      </c>
      <c r="CI33" s="25">
        <f t="shared" si="17"/>
        <v>3.4532545186795409</v>
      </c>
      <c r="CJ33" s="117">
        <v>3</v>
      </c>
      <c r="CK33" s="117">
        <v>4</v>
      </c>
      <c r="CL33" s="117">
        <f t="shared" si="18"/>
        <v>23.835403299999999</v>
      </c>
      <c r="CM33" s="117">
        <f t="shared" si="19"/>
        <v>17.740955137481912</v>
      </c>
      <c r="CN33" s="117">
        <f t="shared" si="34"/>
        <v>-19.835403299999999</v>
      </c>
      <c r="CO33" s="117">
        <f t="shared" si="20"/>
        <v>-14.740955137481912</v>
      </c>
      <c r="CP33" s="23">
        <f t="shared" si="35"/>
        <v>-0.71468522819544122</v>
      </c>
      <c r="CQ33" s="23">
        <f t="shared" si="70"/>
        <v>-0.7683973435815924</v>
      </c>
      <c r="CR33" s="25">
        <f t="shared" si="36"/>
        <v>2.0107591256941997</v>
      </c>
      <c r="CS33" s="25">
        <f t="shared" si="37"/>
        <v>2.0132412707372884</v>
      </c>
      <c r="CT33" s="25">
        <f t="shared" si="22"/>
        <v>1.9431231258441277</v>
      </c>
      <c r="CU33" s="117">
        <v>12</v>
      </c>
      <c r="CV33" s="117">
        <f t="shared" si="77"/>
        <v>-11</v>
      </c>
      <c r="CW33" s="23">
        <v>-0.6</v>
      </c>
      <c r="CX33" s="23">
        <v>2.2149999999999999</v>
      </c>
      <c r="CY33" s="23">
        <f t="shared" si="78"/>
        <v>2.2758788647848127</v>
      </c>
      <c r="CZ33" s="34">
        <v>0</v>
      </c>
      <c r="DA33" s="75">
        <v>11006</v>
      </c>
      <c r="DB33" s="34">
        <v>79324</v>
      </c>
      <c r="DC33" s="34">
        <v>11006</v>
      </c>
      <c r="DD33" s="34">
        <v>22330</v>
      </c>
      <c r="DE33" s="34">
        <f t="shared" si="23"/>
        <v>101171.47700000001</v>
      </c>
      <c r="DF33" s="34">
        <f t="shared" si="24"/>
        <v>77191.84515195369</v>
      </c>
      <c r="DG33" s="34">
        <f t="shared" si="38"/>
        <v>-78841.477000000014</v>
      </c>
      <c r="DH33" s="34">
        <f t="shared" si="39"/>
        <v>-66185.84515195369</v>
      </c>
      <c r="DI33" s="36">
        <f t="shared" si="71"/>
        <v>-0.31161476781048075</v>
      </c>
      <c r="DJ33" s="36">
        <f t="shared" si="40"/>
        <v>-0.33612298118714101</v>
      </c>
      <c r="DK33" s="225">
        <f t="shared" si="72"/>
        <v>1.0412279683822843</v>
      </c>
      <c r="DL33" s="34">
        <v>72874.67</v>
      </c>
      <c r="DM33">
        <f t="shared" si="79"/>
        <v>-79324</v>
      </c>
      <c r="DN33" s="34">
        <f t="shared" si="80"/>
        <v>-61868.67</v>
      </c>
      <c r="DO33" s="23">
        <v>-0.41799999999999998</v>
      </c>
      <c r="DP33" s="23">
        <f t="shared" si="81"/>
        <v>-0.3690485273576769</v>
      </c>
      <c r="DQ33" s="25">
        <f t="shared" si="43"/>
        <v>1.0720062829416634</v>
      </c>
      <c r="DR33" s="25">
        <f t="shared" si="44"/>
        <v>1.0832988553181806</v>
      </c>
    </row>
    <row r="34" spans="1:122" x14ac:dyDescent="0.25">
      <c r="A34" s="7" t="s">
        <v>92</v>
      </c>
      <c r="B34" s="7" t="s">
        <v>98</v>
      </c>
      <c r="C34" s="10">
        <f t="shared" si="83"/>
        <v>11</v>
      </c>
      <c r="D34" s="11">
        <v>0</v>
      </c>
      <c r="E34" s="11">
        <v>2</v>
      </c>
      <c r="F34" s="11">
        <v>0</v>
      </c>
      <c r="G34" s="11">
        <v>6</v>
      </c>
      <c r="H34" s="11">
        <v>0</v>
      </c>
      <c r="I34" s="11">
        <v>0</v>
      </c>
      <c r="J34" s="11">
        <v>3</v>
      </c>
      <c r="K34" s="11"/>
      <c r="L34" s="33">
        <v>5.5</v>
      </c>
      <c r="M34" s="23">
        <f t="shared" si="84"/>
        <v>0.5</v>
      </c>
      <c r="N34" s="23">
        <f>M34/M75</f>
        <v>7.7590590472544985E-3</v>
      </c>
      <c r="O34" s="33">
        <v>2.5</v>
      </c>
      <c r="P34" s="23">
        <f t="shared" si="85"/>
        <v>0.22727272727272727</v>
      </c>
      <c r="Q34" s="40">
        <f>P34/P75</f>
        <v>1.5209379921499604E-2</v>
      </c>
      <c r="R34" s="23">
        <f t="shared" si="86"/>
        <v>0.43181818181818182</v>
      </c>
      <c r="S34" s="40">
        <f>R34/R75</f>
        <v>8.2936157600306589E-3</v>
      </c>
      <c r="T34" s="40">
        <f t="shared" si="87"/>
        <v>9.6216392658157752E-3</v>
      </c>
      <c r="U34" s="34"/>
      <c r="V34" s="34">
        <f t="shared" si="82"/>
        <v>0</v>
      </c>
      <c r="W34" s="34"/>
      <c r="X34" s="40">
        <f>V34/V75</f>
        <v>0</v>
      </c>
      <c r="Y34" s="47">
        <f t="shared" si="88"/>
        <v>5.7729835594894649E-3</v>
      </c>
      <c r="Z34" s="47">
        <v>-0.30399999999999999</v>
      </c>
      <c r="AA34" s="135">
        <v>-0.12</v>
      </c>
      <c r="AB34" s="218">
        <v>12</v>
      </c>
      <c r="AC34" s="226">
        <v>-4.9978137630871111E-2</v>
      </c>
      <c r="AD34" s="135">
        <f t="shared" si="64"/>
        <v>-6.8433113129015538E-2</v>
      </c>
      <c r="AE34" s="298"/>
      <c r="AF34" s="298"/>
      <c r="AG34" s="23"/>
      <c r="AH34" s="23"/>
      <c r="AI34" s="53"/>
      <c r="AJ34" s="65" t="e">
        <f>SUM(AK34:AL34)</f>
        <v>#DIV/0!</v>
      </c>
      <c r="AK34" s="79"/>
      <c r="AL34" s="65" t="e">
        <f>AS34*BE$27</f>
        <v>#DIV/0!</v>
      </c>
      <c r="AM34" s="298"/>
      <c r="AN34" s="68"/>
      <c r="AO34" s="68"/>
      <c r="AP34" s="23"/>
      <c r="AQ34" s="23"/>
      <c r="AR34" s="23"/>
      <c r="AS34" s="23" t="e">
        <f>AB34*AY34</f>
        <v>#DIV/0!</v>
      </c>
      <c r="AT34" s="23"/>
      <c r="AU34" s="23"/>
      <c r="AV34" s="23"/>
      <c r="AW34" s="26"/>
      <c r="AX34" s="26"/>
      <c r="AY34" s="26" t="e">
        <f>DJ34/BE$22</f>
        <v>#DIV/0!</v>
      </c>
      <c r="AZ34" s="26"/>
      <c r="BA34" s="26"/>
      <c r="BF34">
        <v>12</v>
      </c>
      <c r="BG34">
        <v>12</v>
      </c>
      <c r="BH34">
        <f t="shared" si="65"/>
        <v>0</v>
      </c>
      <c r="BI34">
        <v>25</v>
      </c>
      <c r="BJ34">
        <v>31</v>
      </c>
      <c r="BK34" s="117">
        <v>25.07733</v>
      </c>
      <c r="BL34">
        <f t="shared" si="74"/>
        <v>-13</v>
      </c>
      <c r="BM34">
        <v>34</v>
      </c>
      <c r="BN34">
        <v>13</v>
      </c>
      <c r="BO34" s="117">
        <f t="shared" si="26"/>
        <v>26.107080000000003</v>
      </c>
      <c r="BP34" s="34">
        <f t="shared" si="9"/>
        <v>51.157380000000003</v>
      </c>
      <c r="BQ34" s="117">
        <f t="shared" si="10"/>
        <v>39.273516642547037</v>
      </c>
      <c r="BR34" s="117">
        <v>37.633139999999997</v>
      </c>
      <c r="BS34" s="117">
        <f t="shared" si="66"/>
        <v>-8.2735166425470368</v>
      </c>
      <c r="BT34" s="117">
        <f t="shared" si="67"/>
        <v>-6.6331399999999974</v>
      </c>
      <c r="BU34" s="117">
        <f t="shared" si="75"/>
        <v>-13.07733</v>
      </c>
      <c r="BV34" s="23">
        <v>-0.188</v>
      </c>
      <c r="BW34" s="117">
        <f t="shared" si="30"/>
        <v>-13.107080000000003</v>
      </c>
      <c r="BX34" s="23">
        <f t="shared" si="31"/>
        <v>-0.15411638584854498</v>
      </c>
      <c r="BY34" s="34">
        <f t="shared" si="32"/>
        <v>-17.157380000000003</v>
      </c>
      <c r="BZ34" s="23">
        <f t="shared" si="53"/>
        <v>-9.8476627636588571E-2</v>
      </c>
      <c r="CA34" s="23">
        <f t="shared" si="12"/>
        <v>-5.6646274508166845E-2</v>
      </c>
      <c r="CB34" s="23">
        <f t="shared" si="68"/>
        <v>-0.12695462800990109</v>
      </c>
      <c r="CC34" s="23">
        <f t="shared" si="76"/>
        <v>-0.15701045161411109</v>
      </c>
      <c r="CD34" s="117">
        <v>0</v>
      </c>
      <c r="CE34" s="117">
        <f t="shared" si="14"/>
        <v>37.633955999999998</v>
      </c>
      <c r="CF34" s="117">
        <f t="shared" si="33"/>
        <v>-6.6339559999999977</v>
      </c>
      <c r="CG34" s="23">
        <f t="shared" si="69"/>
        <v>-8.2683243158232875E-2</v>
      </c>
      <c r="CH34" s="26">
        <f t="shared" si="16"/>
        <v>-0.55282966666666644</v>
      </c>
      <c r="CI34" s="23">
        <f t="shared" si="17"/>
        <v>-0.2238796610127522</v>
      </c>
      <c r="CJ34" s="117">
        <v>0</v>
      </c>
      <c r="CK34" s="117">
        <v>0</v>
      </c>
      <c r="CL34" s="117">
        <f t="shared" si="18"/>
        <v>6.9762155999999997</v>
      </c>
      <c r="CM34" s="117">
        <f t="shared" si="19"/>
        <v>5.1924746743849495</v>
      </c>
      <c r="CN34" s="117">
        <f t="shared" si="34"/>
        <v>-6.9762155999999997</v>
      </c>
      <c r="CO34" s="117">
        <f t="shared" si="20"/>
        <v>-5.1924746743849495</v>
      </c>
      <c r="CP34" s="23">
        <f t="shared" si="35"/>
        <v>-0.30845286853489029</v>
      </c>
      <c r="CQ34" s="23">
        <f t="shared" si="70"/>
        <v>-0.27066656869926892</v>
      </c>
      <c r="CR34" s="23">
        <f t="shared" si="36"/>
        <v>-0.15097068786116399</v>
      </c>
      <c r="CS34" s="23">
        <f t="shared" si="37"/>
        <v>-0.18325393156122596</v>
      </c>
      <c r="CT34" s="26">
        <f t="shared" si="22"/>
        <v>-0.11015134805594237</v>
      </c>
      <c r="CU34" s="117">
        <v>4</v>
      </c>
      <c r="CV34" s="117">
        <f t="shared" si="77"/>
        <v>-4</v>
      </c>
      <c r="CW34" s="23">
        <v>-0.32200000000000001</v>
      </c>
      <c r="CX34" s="23">
        <v>-0.221</v>
      </c>
      <c r="CY34" s="23">
        <f t="shared" si="78"/>
        <v>-0.19825783871058333</v>
      </c>
      <c r="CZ34" s="34">
        <v>30946</v>
      </c>
      <c r="DA34" s="75">
        <v>45570</v>
      </c>
      <c r="DB34" s="34">
        <v>27333</v>
      </c>
      <c r="DC34" s="34">
        <v>30946</v>
      </c>
      <c r="DD34" s="34">
        <v>56334</v>
      </c>
      <c r="DE34" s="34">
        <f t="shared" si="23"/>
        <v>29611.164000000004</v>
      </c>
      <c r="DF34" s="34">
        <f t="shared" si="24"/>
        <v>22592.735166425471</v>
      </c>
      <c r="DG34" s="34">
        <f t="shared" si="38"/>
        <v>26722.835999999996</v>
      </c>
      <c r="DH34" s="34">
        <f t="shared" si="39"/>
        <v>8353.2648335745289</v>
      </c>
      <c r="DI34" s="36">
        <f t="shared" si="71"/>
        <v>3.932866122050184E-2</v>
      </c>
      <c r="DJ34" s="225">
        <f t="shared" si="40"/>
        <v>9.5298617328315266E-2</v>
      </c>
      <c r="DK34" s="36">
        <f t="shared" si="72"/>
        <v>-5.0359344345364689E-2</v>
      </c>
      <c r="DL34" s="34">
        <v>24359.72</v>
      </c>
      <c r="DM34">
        <f t="shared" si="79"/>
        <v>3613</v>
      </c>
      <c r="DN34" s="34">
        <f t="shared" si="80"/>
        <v>21210.28</v>
      </c>
      <c r="DO34" s="23">
        <v>3.2000000000000001E-2</v>
      </c>
      <c r="DP34" s="23">
        <f t="shared" si="81"/>
        <v>0.12630397524333614</v>
      </c>
      <c r="DQ34" s="23">
        <f t="shared" si="43"/>
        <v>-5.2462965785372288E-2</v>
      </c>
      <c r="DR34" s="23">
        <f t="shared" si="44"/>
        <v>-9.4220894448534848E-2</v>
      </c>
    </row>
    <row r="35" spans="1:122" x14ac:dyDescent="0.25">
      <c r="A35" s="7" t="s">
        <v>99</v>
      </c>
      <c r="B35" s="7" t="s">
        <v>100</v>
      </c>
      <c r="C35" s="10">
        <f t="shared" si="83"/>
        <v>37</v>
      </c>
      <c r="D35">
        <v>3</v>
      </c>
      <c r="E35" s="8">
        <v>34</v>
      </c>
      <c r="F35" s="8">
        <v>0</v>
      </c>
      <c r="G35" s="8">
        <v>0</v>
      </c>
      <c r="H35" s="8">
        <v>0</v>
      </c>
      <c r="I35">
        <v>0</v>
      </c>
      <c r="J35">
        <v>0</v>
      </c>
      <c r="L35" s="33">
        <v>30.5</v>
      </c>
      <c r="M35" s="23">
        <f t="shared" si="84"/>
        <v>0.82432432432432434</v>
      </c>
      <c r="N35" s="23">
        <f>M35/M75</f>
        <v>1.27919622130412E-2</v>
      </c>
      <c r="O35" s="33">
        <v>6.5</v>
      </c>
      <c r="P35" s="23">
        <f t="shared" si="85"/>
        <v>0.17567567567567569</v>
      </c>
      <c r="Q35" s="40">
        <f>P35/P75</f>
        <v>1.1756439614996993E-2</v>
      </c>
      <c r="R35" s="23">
        <f t="shared" si="86"/>
        <v>0.66216216216216217</v>
      </c>
      <c r="S35" s="40">
        <f>R35/R75</f>
        <v>1.2717663996177882E-2</v>
      </c>
      <c r="T35" s="40">
        <f t="shared" si="87"/>
        <v>1.2533081563530148E-2</v>
      </c>
      <c r="U35" s="34"/>
      <c r="V35" s="34">
        <f t="shared" si="82"/>
        <v>0</v>
      </c>
      <c r="W35" s="34"/>
      <c r="X35" s="40">
        <f>V35/V75</f>
        <v>0</v>
      </c>
      <c r="Y35" s="47">
        <f t="shared" si="88"/>
        <v>7.5198489381180884E-3</v>
      </c>
      <c r="Z35" s="47">
        <v>-3.9E-2</v>
      </c>
      <c r="AA35" s="137">
        <v>0.33300000000000002</v>
      </c>
      <c r="AB35" s="218">
        <v>34</v>
      </c>
      <c r="AC35" s="227">
        <v>0.18849789349208976</v>
      </c>
      <c r="AD35" s="135">
        <f t="shared" si="64"/>
        <v>1.5096882246723967E-2</v>
      </c>
      <c r="AE35" s="298">
        <v>0</v>
      </c>
      <c r="AF35" s="298">
        <f>AO35*BE$33</f>
        <v>21810.496847838727</v>
      </c>
      <c r="AG35" s="26">
        <f>C35*AV35</f>
        <v>0.87737662892544332</v>
      </c>
      <c r="AH35" s="66" t="e">
        <f>AP35*BE$9</f>
        <v>#DIV/0!</v>
      </c>
      <c r="AI35" s="68"/>
      <c r="AJ35" s="65" t="e">
        <f>SUM(AK35:AL35)</f>
        <v>#DIV/0!</v>
      </c>
      <c r="AK35" s="65" t="e">
        <f>AR35*BE$25</f>
        <v>#DIV/0!</v>
      </c>
      <c r="AL35" s="68"/>
      <c r="AM35" s="298">
        <f>AVERAGE(AE35:AF35)</f>
        <v>10905.248423919364</v>
      </c>
      <c r="AN35" s="65">
        <f>AM35+(AM$74*AZ35)</f>
        <v>12195.507687401903</v>
      </c>
      <c r="AO35" s="68">
        <f>AB35*AZ35</f>
        <v>0.38654634270933275</v>
      </c>
      <c r="AP35" s="23" t="e">
        <f>AB35*BA35</f>
        <v>#DIV/0!</v>
      </c>
      <c r="AQ35" s="23"/>
      <c r="AR35" s="23" t="e">
        <f>AB35*AX35</f>
        <v>#DIV/0!</v>
      </c>
      <c r="AS35" s="23"/>
      <c r="AT35" s="23"/>
      <c r="AU35" s="23"/>
      <c r="AV35" s="23">
        <f>AA35/BB$2</f>
        <v>2.3712881862849821E-2</v>
      </c>
      <c r="AW35" s="26"/>
      <c r="AX35" s="26" t="e">
        <f>CR35/BE$20</f>
        <v>#DIV/0!</v>
      </c>
      <c r="AY35" s="26"/>
      <c r="AZ35" s="26">
        <f>DR35/BE$30</f>
        <v>1.1369010079686256E-2</v>
      </c>
      <c r="BA35" s="236" t="e">
        <f>AC35/BE$5</f>
        <v>#DIV/0!</v>
      </c>
      <c r="BF35">
        <v>81</v>
      </c>
      <c r="BG35">
        <v>82</v>
      </c>
      <c r="BH35">
        <f t="shared" si="65"/>
        <v>-1</v>
      </c>
      <c r="BI35">
        <v>84</v>
      </c>
      <c r="BJ35">
        <v>188</v>
      </c>
      <c r="BK35" s="117">
        <v>84.351010000000002</v>
      </c>
      <c r="BL35">
        <f t="shared" si="74"/>
        <v>-3</v>
      </c>
      <c r="BM35">
        <v>213</v>
      </c>
      <c r="BN35">
        <v>121</v>
      </c>
      <c r="BO35" s="117">
        <f t="shared" si="26"/>
        <v>73.970060000000004</v>
      </c>
      <c r="BP35" s="34">
        <f t="shared" ref="BP35:BP66" si="89">AB35*BM$77</f>
        <v>144.94591</v>
      </c>
      <c r="BQ35" s="117">
        <f t="shared" ref="BQ35:BQ66" si="90">AB35*BJ$74</f>
        <v>111.27496382054993</v>
      </c>
      <c r="BR35" s="117">
        <v>106.62721999999999</v>
      </c>
      <c r="BS35" s="117">
        <f t="shared" si="66"/>
        <v>76.725036179450072</v>
      </c>
      <c r="BT35" s="117">
        <f t="shared" si="67"/>
        <v>81.372780000000006</v>
      </c>
      <c r="BU35" s="117">
        <f t="shared" si="75"/>
        <v>-2.3510100000000023</v>
      </c>
      <c r="BV35" s="23">
        <v>-9.8000000000000004E-2</v>
      </c>
      <c r="BW35" s="117">
        <f t="shared" si="30"/>
        <v>47.029939999999996</v>
      </c>
      <c r="BX35" s="25">
        <f t="shared" si="31"/>
        <v>0.41689847891977228</v>
      </c>
      <c r="BY35" s="34">
        <f t="shared" si="32"/>
        <v>68.054090000000002</v>
      </c>
      <c r="BZ35" s="25">
        <f t="shared" si="53"/>
        <v>0.36122674052976689</v>
      </c>
      <c r="CA35" s="25">
        <f t="shared" ref="CA35:CA66" si="91">(BS35-BS$73)/BS$74</f>
        <v>0.52531319496230267</v>
      </c>
      <c r="CB35" s="23">
        <f t="shared" si="68"/>
        <v>-5.3225196912306934E-2</v>
      </c>
      <c r="CC35" s="23">
        <f t="shared" si="76"/>
        <v>-5.9743365312780607E-2</v>
      </c>
      <c r="CD35" s="117">
        <v>30</v>
      </c>
      <c r="CE35" s="117">
        <f t="shared" ref="CE35:CE66" si="92">AB35*BJ$77</f>
        <v>106.62954199999999</v>
      </c>
      <c r="CF35" s="117">
        <f t="shared" si="33"/>
        <v>81.370458000000013</v>
      </c>
      <c r="CG35" s="25">
        <f t="shared" si="69"/>
        <v>0.5222345506940429</v>
      </c>
      <c r="CH35" s="26">
        <f t="shared" ref="CH35:CH66" si="93">CF35/AB35</f>
        <v>2.3932487647058829</v>
      </c>
      <c r="CI35" s="25">
        <f t="shared" ref="CI35:CI63" si="94">(CH35-CH$73)/CH$74</f>
        <v>0.77628882134016464</v>
      </c>
      <c r="CJ35" s="117">
        <v>10</v>
      </c>
      <c r="CK35" s="117">
        <v>18</v>
      </c>
      <c r="CL35" s="117">
        <f t="shared" ref="CL35:CL66" si="95">AB35*CK$76</f>
        <v>19.7659442</v>
      </c>
      <c r="CM35" s="117">
        <f t="shared" ref="CM35:CM66" si="96">AB35*CJ$74</f>
        <v>14.712011577424024</v>
      </c>
      <c r="CN35" s="117">
        <f t="shared" si="34"/>
        <v>-1.7659441999999999</v>
      </c>
      <c r="CO35" s="117">
        <f t="shared" ref="CO35:CO66" si="97">CJ35-CM35</f>
        <v>-4.7120115774240237</v>
      </c>
      <c r="CP35" s="23">
        <f t="shared" si="35"/>
        <v>-0.14385609192093027</v>
      </c>
      <c r="CQ35" s="23">
        <f t="shared" si="70"/>
        <v>-0.24562161306711811</v>
      </c>
      <c r="CR35" s="25">
        <f t="shared" si="36"/>
        <v>0.23495603241709259</v>
      </c>
      <c r="CS35" s="25">
        <f t="shared" si="37"/>
        <v>0.25126845592304969</v>
      </c>
      <c r="CT35" s="25">
        <f t="shared" ref="CT35:CT66" si="98">(0.75*CA35)+(0.25*CQ35)</f>
        <v>0.33257949295494749</v>
      </c>
      <c r="CU35" s="117">
        <v>12</v>
      </c>
      <c r="CV35" s="117">
        <f t="shared" si="77"/>
        <v>18</v>
      </c>
      <c r="CW35" s="23">
        <v>0.55500000000000005</v>
      </c>
      <c r="CX35" s="23">
        <v>6.5000000000000002E-2</v>
      </c>
      <c r="CY35" s="23">
        <f t="shared" si="78"/>
        <v>9.3942476015414556E-2</v>
      </c>
      <c r="CZ35" s="34">
        <v>214422</v>
      </c>
      <c r="DA35" s="75">
        <v>57467.05</v>
      </c>
      <c r="DB35" s="34">
        <v>81301</v>
      </c>
      <c r="DC35" s="34">
        <v>57467</v>
      </c>
      <c r="DD35" s="34">
        <v>57467</v>
      </c>
      <c r="DE35" s="34">
        <f t="shared" ref="DE35:DE66" si="99">AB35*DD$76</f>
        <v>83898.29800000001</v>
      </c>
      <c r="DF35" s="34">
        <f t="shared" ref="DF35:DF66" si="100">AB35*DC$74</f>
        <v>64012.749638205503</v>
      </c>
      <c r="DG35" s="34">
        <f t="shared" si="38"/>
        <v>-26431.29800000001</v>
      </c>
      <c r="DH35" s="34">
        <f t="shared" si="39"/>
        <v>-6545.7496382055033</v>
      </c>
      <c r="DI35" s="36">
        <f t="shared" si="71"/>
        <v>-3.0818557185028801E-2</v>
      </c>
      <c r="DJ35" s="36">
        <f t="shared" si="40"/>
        <v>-0.12193238438326472</v>
      </c>
      <c r="DK35" s="225">
        <f t="shared" si="72"/>
        <v>0.18722027289895699</v>
      </c>
      <c r="DL35" s="34">
        <v>74743.67</v>
      </c>
      <c r="DM35">
        <f t="shared" si="79"/>
        <v>133121</v>
      </c>
      <c r="DN35" s="34">
        <f t="shared" si="80"/>
        <v>-17276.619999999995</v>
      </c>
      <c r="DO35" s="23">
        <v>0.73499999999999999</v>
      </c>
      <c r="DP35" s="23">
        <f t="shared" si="81"/>
        <v>-0.1031715084063119</v>
      </c>
      <c r="DQ35" s="23">
        <f t="shared" si="43"/>
        <v>9.2200665696949652E-2</v>
      </c>
      <c r="DR35" s="25">
        <f t="shared" si="44"/>
        <v>0.13843365067981828</v>
      </c>
    </row>
    <row r="36" spans="1:122" x14ac:dyDescent="0.25">
      <c r="A36" s="9" t="s">
        <v>99</v>
      </c>
      <c r="B36" s="9" t="s">
        <v>101</v>
      </c>
      <c r="C36" s="10">
        <f t="shared" si="83"/>
        <v>53</v>
      </c>
      <c r="D36">
        <v>0</v>
      </c>
      <c r="E36" s="8">
        <v>0</v>
      </c>
      <c r="F36" s="8">
        <v>53</v>
      </c>
      <c r="G36" s="8">
        <v>0</v>
      </c>
      <c r="H36" s="8">
        <v>0</v>
      </c>
      <c r="I36">
        <v>0</v>
      </c>
      <c r="J36">
        <v>0</v>
      </c>
      <c r="L36" s="33">
        <v>2</v>
      </c>
      <c r="M36" s="23">
        <f t="shared" si="84"/>
        <v>3.7735849056603772E-2</v>
      </c>
      <c r="N36" s="23">
        <f>M36/M75</f>
        <v>5.8558936205694331E-4</v>
      </c>
      <c r="O36" s="33">
        <v>30.5</v>
      </c>
      <c r="P36" s="23">
        <f t="shared" si="85"/>
        <v>0.57547169811320753</v>
      </c>
      <c r="Q36" s="40">
        <f>P36/P75</f>
        <v>3.8511297838966924E-2</v>
      </c>
      <c r="R36" s="23">
        <f t="shared" si="86"/>
        <v>0.17216981132075471</v>
      </c>
      <c r="S36" s="40">
        <f>R36/R75</f>
        <v>3.3067395507967324E-3</v>
      </c>
      <c r="T36" s="40">
        <f t="shared" si="87"/>
        <v>1.0067016481284439E-2</v>
      </c>
      <c r="U36" s="34"/>
      <c r="V36" s="34">
        <f t="shared" si="82"/>
        <v>0</v>
      </c>
      <c r="W36" s="34"/>
      <c r="X36" s="40">
        <f>V36/V75</f>
        <v>0</v>
      </c>
      <c r="Y36" s="47">
        <f t="shared" si="88"/>
        <v>6.0402098887706633E-3</v>
      </c>
      <c r="Z36" s="47">
        <v>-0.35599999999999998</v>
      </c>
      <c r="AA36" s="135">
        <v>-0.76400000000000001</v>
      </c>
      <c r="AB36" s="218">
        <v>52</v>
      </c>
      <c r="AC36" s="226">
        <v>-0.3941315856145739</v>
      </c>
      <c r="AD36" s="135">
        <f t="shared" si="64"/>
        <v>-0.7685515127502911</v>
      </c>
      <c r="AE36" s="298"/>
      <c r="AF36" s="298"/>
      <c r="AG36" s="23"/>
      <c r="AH36" s="23"/>
      <c r="AI36" s="53"/>
      <c r="AJ36" s="68"/>
      <c r="AK36" s="79"/>
      <c r="AL36" s="68"/>
      <c r="AM36" s="298"/>
      <c r="AN36" s="68"/>
      <c r="AO36" s="68"/>
      <c r="AP36" s="23"/>
      <c r="AQ36" s="23"/>
      <c r="AR36" s="23"/>
      <c r="AS36" s="23"/>
      <c r="AT36" s="23"/>
      <c r="AU36" s="23"/>
      <c r="AV36" s="23"/>
      <c r="AW36" s="26"/>
      <c r="AX36" s="26"/>
      <c r="AY36" s="26"/>
      <c r="AZ36" s="26"/>
      <c r="BA36" s="26"/>
      <c r="BF36">
        <v>8</v>
      </c>
      <c r="BG36">
        <v>8</v>
      </c>
      <c r="BH36">
        <f t="shared" si="65"/>
        <v>0</v>
      </c>
      <c r="BI36">
        <v>120</v>
      </c>
      <c r="BJ36">
        <v>9</v>
      </c>
      <c r="BK36" s="117">
        <v>120.82711999999999</v>
      </c>
      <c r="BL36">
        <f t="shared" si="74"/>
        <v>-112</v>
      </c>
      <c r="BM36">
        <v>11</v>
      </c>
      <c r="BN36">
        <v>6</v>
      </c>
      <c r="BO36" s="117">
        <f t="shared" si="26"/>
        <v>113.13068000000001</v>
      </c>
      <c r="BP36" s="34">
        <f t="shared" si="89"/>
        <v>221.68198000000001</v>
      </c>
      <c r="BQ36" s="117">
        <f t="shared" si="90"/>
        <v>170.18523878437048</v>
      </c>
      <c r="BR36" s="117">
        <v>163.07692</v>
      </c>
      <c r="BS36" s="117">
        <f t="shared" si="66"/>
        <v>-161.18523878437048</v>
      </c>
      <c r="BT36" s="117">
        <f t="shared" si="67"/>
        <v>-154.07692</v>
      </c>
      <c r="BU36" s="117">
        <f t="shared" si="75"/>
        <v>-112.82711999999999</v>
      </c>
      <c r="BV36" s="23">
        <v>-1.0720000000000001</v>
      </c>
      <c r="BW36" s="117">
        <f t="shared" si="30"/>
        <v>-107.13068000000001</v>
      </c>
      <c r="BX36" s="23">
        <f t="shared" si="31"/>
        <v>-1.0468921376072846</v>
      </c>
      <c r="BY36" s="34">
        <f t="shared" si="32"/>
        <v>-210.68198000000001</v>
      </c>
      <c r="BZ36" s="23">
        <f t="shared" si="53"/>
        <v>-1.1425134274130351</v>
      </c>
      <c r="CA36" s="23">
        <f t="shared" si="91"/>
        <v>-1.1035867427750776</v>
      </c>
      <c r="CB36" s="23">
        <f t="shared" si="68"/>
        <v>-0.81260406498404403</v>
      </c>
      <c r="CC36" s="23">
        <f t="shared" si="76"/>
        <v>-1.0615491407889253</v>
      </c>
      <c r="CD36" s="117">
        <v>14</v>
      </c>
      <c r="CE36" s="117">
        <f t="shared" si="92"/>
        <v>163.08047599999998</v>
      </c>
      <c r="CF36" s="117">
        <f t="shared" si="33"/>
        <v>-154.08047599999998</v>
      </c>
      <c r="CG36" s="23">
        <f t="shared" si="69"/>
        <v>-1.0961894928515201</v>
      </c>
      <c r="CH36" s="26">
        <f t="shared" si="93"/>
        <v>-2.9630860769230765</v>
      </c>
      <c r="CI36" s="23">
        <f t="shared" si="94"/>
        <v>-1.0421411404956451</v>
      </c>
      <c r="CJ36" s="117">
        <v>59</v>
      </c>
      <c r="CK36" s="117">
        <v>71</v>
      </c>
      <c r="CL36" s="117">
        <f t="shared" si="95"/>
        <v>30.230267600000001</v>
      </c>
      <c r="CM36" s="117">
        <f t="shared" si="96"/>
        <v>22.500723589001446</v>
      </c>
      <c r="CN36" s="117">
        <f t="shared" si="34"/>
        <v>40.769732399999995</v>
      </c>
      <c r="CO36" s="117">
        <f t="shared" si="97"/>
        <v>36.499276410998554</v>
      </c>
      <c r="CP36" s="23">
        <f t="shared" si="35"/>
        <v>1.1998810614745428</v>
      </c>
      <c r="CQ36" s="23">
        <f t="shared" si="70"/>
        <v>1.9025868252966169</v>
      </c>
      <c r="CR36" s="23">
        <f t="shared" si="36"/>
        <v>-0.55691480519114067</v>
      </c>
      <c r="CS36" s="23">
        <f t="shared" si="37"/>
        <v>-0.30952239688130928</v>
      </c>
      <c r="CT36" s="26">
        <f t="shared" si="98"/>
        <v>-0.35204335075715393</v>
      </c>
      <c r="CU36" s="117">
        <v>17</v>
      </c>
      <c r="CV36" s="117">
        <f t="shared" si="77"/>
        <v>-3</v>
      </c>
      <c r="CW36" s="23">
        <v>-0.28199999999999997</v>
      </c>
      <c r="CX36" s="23">
        <v>-0.875</v>
      </c>
      <c r="CY36" s="23">
        <f t="shared" si="78"/>
        <v>-0.86666185559169395</v>
      </c>
      <c r="CZ36" s="34">
        <v>0</v>
      </c>
      <c r="DA36" s="75">
        <v>0</v>
      </c>
      <c r="DB36" s="34">
        <v>112292</v>
      </c>
      <c r="DC36" s="34">
        <v>0</v>
      </c>
      <c r="DD36" s="34">
        <v>0</v>
      </c>
      <c r="DE36" s="34">
        <f t="shared" si="99"/>
        <v>128315.04400000001</v>
      </c>
      <c r="DF36" s="34">
        <f t="shared" si="100"/>
        <v>97901.852387843712</v>
      </c>
      <c r="DG36" s="34">
        <f t="shared" si="38"/>
        <v>-128315.04400000001</v>
      </c>
      <c r="DH36" s="34">
        <f t="shared" si="39"/>
        <v>-97901.852387843712</v>
      </c>
      <c r="DI36" s="36">
        <f t="shared" si="71"/>
        <v>-0.46093938862626044</v>
      </c>
      <c r="DJ36" s="36">
        <f t="shared" si="40"/>
        <v>-0.53831219412126508</v>
      </c>
      <c r="DK36" s="36">
        <f t="shared" si="72"/>
        <v>-0.39560176590479657</v>
      </c>
      <c r="DL36" s="34">
        <v>104189.91</v>
      </c>
      <c r="DM36">
        <f t="shared" si="79"/>
        <v>-112292</v>
      </c>
      <c r="DN36" s="34">
        <f t="shared" si="80"/>
        <v>-104189.91</v>
      </c>
      <c r="DO36" s="23">
        <v>-0.59699999999999998</v>
      </c>
      <c r="DP36" s="23">
        <f t="shared" si="81"/>
        <v>-0.6213859984881871</v>
      </c>
      <c r="DQ36" s="23">
        <f t="shared" si="43"/>
        <v>-0.54947376076319043</v>
      </c>
      <c r="DR36" s="23">
        <f t="shared" si="44"/>
        <v>-0.37008919357928977</v>
      </c>
    </row>
    <row r="37" spans="1:122" x14ac:dyDescent="0.25">
      <c r="A37" s="9" t="s">
        <v>99</v>
      </c>
      <c r="B37" s="9" t="s">
        <v>104</v>
      </c>
      <c r="C37" s="10">
        <f t="shared" si="83"/>
        <v>30</v>
      </c>
      <c r="D37">
        <v>0</v>
      </c>
      <c r="E37" s="8">
        <v>12</v>
      </c>
      <c r="F37" s="8">
        <v>11</v>
      </c>
      <c r="G37" s="8">
        <v>7</v>
      </c>
      <c r="H37" s="8">
        <v>0</v>
      </c>
      <c r="I37">
        <v>0</v>
      </c>
      <c r="J37">
        <v>0</v>
      </c>
      <c r="L37" s="33">
        <v>7</v>
      </c>
      <c r="M37" s="23">
        <f t="shared" si="84"/>
        <v>0.23333333333333334</v>
      </c>
      <c r="N37" s="23">
        <f>M37/M75</f>
        <v>3.6208942220520993E-3</v>
      </c>
      <c r="O37" s="33">
        <v>3</v>
      </c>
      <c r="P37" s="23">
        <f t="shared" si="85"/>
        <v>0.1</v>
      </c>
      <c r="Q37" s="40">
        <f>P37/P75</f>
        <v>6.6921271654598264E-3</v>
      </c>
      <c r="R37" s="23">
        <f t="shared" si="86"/>
        <v>0.19999999999999998</v>
      </c>
      <c r="S37" s="40">
        <f>R37/R75</f>
        <v>3.8412536151720945E-3</v>
      </c>
      <c r="T37" s="40">
        <f t="shared" si="87"/>
        <v>4.3887024579040311E-3</v>
      </c>
      <c r="U37" s="34"/>
      <c r="V37" s="34">
        <f t="shared" si="82"/>
        <v>0</v>
      </c>
      <c r="W37" s="34"/>
      <c r="X37" s="40">
        <f>V37/V75</f>
        <v>0</v>
      </c>
      <c r="Y37" s="47">
        <f t="shared" si="88"/>
        <v>2.6332214747424184E-3</v>
      </c>
      <c r="Z37" s="47">
        <v>-0.312</v>
      </c>
      <c r="AA37" s="135">
        <v>-0.38700000000000001</v>
      </c>
      <c r="AB37" s="218">
        <v>31</v>
      </c>
      <c r="AC37" s="226">
        <v>-0.35562246672771802</v>
      </c>
      <c r="AD37" s="135">
        <f t="shared" si="64"/>
        <v>-0.38549536648689964</v>
      </c>
      <c r="AE37" s="298"/>
      <c r="AF37" s="298"/>
      <c r="AG37" s="23"/>
      <c r="AH37" s="23"/>
      <c r="AI37" s="53"/>
      <c r="AJ37" s="68"/>
      <c r="AK37" s="79"/>
      <c r="AL37" s="68"/>
      <c r="AM37" s="298"/>
      <c r="AN37" s="68"/>
      <c r="AO37" s="68"/>
      <c r="AP37" s="23"/>
      <c r="AQ37" s="23"/>
      <c r="AR37" s="23"/>
      <c r="AS37" s="23"/>
      <c r="AT37" s="23"/>
      <c r="AU37" s="23"/>
      <c r="AV37" s="23"/>
      <c r="AW37" s="26"/>
      <c r="AX37" s="26"/>
      <c r="AY37" s="26"/>
      <c r="AZ37" s="26"/>
      <c r="BA37" s="26"/>
      <c r="BF37">
        <v>27</v>
      </c>
      <c r="BG37">
        <v>26</v>
      </c>
      <c r="BH37">
        <f t="shared" si="65"/>
        <v>1</v>
      </c>
      <c r="BI37">
        <v>68</v>
      </c>
      <c r="BJ37">
        <v>25</v>
      </c>
      <c r="BK37" s="117">
        <v>68.392709999999994</v>
      </c>
      <c r="BL37">
        <f t="shared" si="74"/>
        <v>-41</v>
      </c>
      <c r="BM37">
        <v>35</v>
      </c>
      <c r="BN37">
        <v>15</v>
      </c>
      <c r="BO37" s="117">
        <f t="shared" si="26"/>
        <v>67.443290000000005</v>
      </c>
      <c r="BP37" s="34">
        <f t="shared" si="89"/>
        <v>132.156565</v>
      </c>
      <c r="BQ37" s="117">
        <f t="shared" si="90"/>
        <v>101.45658465991318</v>
      </c>
      <c r="BR37" s="117">
        <v>97.21893</v>
      </c>
      <c r="BS37" s="117">
        <f t="shared" si="66"/>
        <v>-76.456584659913176</v>
      </c>
      <c r="BT37" s="117">
        <f t="shared" si="67"/>
        <v>-72.21893</v>
      </c>
      <c r="BU37" s="117">
        <f t="shared" si="75"/>
        <v>-42.392709999999994</v>
      </c>
      <c r="BV37" s="23">
        <v>-0.438</v>
      </c>
      <c r="BW37" s="117">
        <f t="shared" si="30"/>
        <v>-52.443290000000005</v>
      </c>
      <c r="BX37" s="23">
        <f t="shared" si="31"/>
        <v>-0.52762276567328736</v>
      </c>
      <c r="BY37" s="34">
        <f t="shared" si="32"/>
        <v>-97.156565000000001</v>
      </c>
      <c r="BZ37" s="23">
        <f t="shared" si="53"/>
        <v>-0.53006048360179359</v>
      </c>
      <c r="CA37" s="23">
        <f t="shared" si="91"/>
        <v>-0.52347518832923179</v>
      </c>
      <c r="CB37" s="23">
        <f t="shared" si="68"/>
        <v>-0.32845955139553479</v>
      </c>
      <c r="CC37" s="23">
        <f t="shared" si="76"/>
        <v>-0.42284454908801616</v>
      </c>
      <c r="CD37" s="117">
        <v>6</v>
      </c>
      <c r="CE37" s="117">
        <f t="shared" si="92"/>
        <v>97.221052999999998</v>
      </c>
      <c r="CF37" s="117">
        <f t="shared" si="33"/>
        <v>-72.221052999999998</v>
      </c>
      <c r="CG37" s="23">
        <f t="shared" si="69"/>
        <v>-0.53351065304718703</v>
      </c>
      <c r="CH37" s="26">
        <f t="shared" si="93"/>
        <v>-2.3297113870967743</v>
      </c>
      <c r="CI37" s="23">
        <f t="shared" si="94"/>
        <v>-0.82711583922109988</v>
      </c>
      <c r="CJ37" s="117">
        <v>12</v>
      </c>
      <c r="CK37" s="117">
        <v>14</v>
      </c>
      <c r="CL37" s="117">
        <f t="shared" si="95"/>
        <v>18.021890299999999</v>
      </c>
      <c r="CM37" s="117">
        <f t="shared" si="96"/>
        <v>13.413892908827785</v>
      </c>
      <c r="CN37" s="117">
        <f t="shared" si="34"/>
        <v>-4.021890299999999</v>
      </c>
      <c r="CO37" s="117">
        <f t="shared" si="97"/>
        <v>-1.4138929088277852</v>
      </c>
      <c r="CP37" s="23">
        <f t="shared" si="35"/>
        <v>-0.21512329237325875</v>
      </c>
      <c r="CQ37" s="23">
        <f t="shared" si="70"/>
        <v>-7.3701571242805353E-2</v>
      </c>
      <c r="CR37" s="23">
        <f t="shared" si="36"/>
        <v>-0.45132618579465988</v>
      </c>
      <c r="CS37" s="23">
        <f t="shared" si="37"/>
        <v>-0.41414246706566682</v>
      </c>
      <c r="CT37" s="26">
        <f t="shared" si="98"/>
        <v>-0.41103178405762519</v>
      </c>
      <c r="CU37" s="117">
        <v>10</v>
      </c>
      <c r="CV37" s="117">
        <f t="shared" si="77"/>
        <v>-4</v>
      </c>
      <c r="CW37" s="23">
        <v>-0.32200000000000001</v>
      </c>
      <c r="CX37" s="23">
        <v>-0.40899999999999997</v>
      </c>
      <c r="CY37" s="23">
        <f t="shared" si="78"/>
        <v>-0.39763341181601214</v>
      </c>
      <c r="CZ37" s="34">
        <v>0</v>
      </c>
      <c r="DA37" s="75">
        <v>0</v>
      </c>
      <c r="DB37" s="34">
        <v>67336</v>
      </c>
      <c r="DC37" s="34">
        <v>0</v>
      </c>
      <c r="DD37" s="34">
        <v>0</v>
      </c>
      <c r="DE37" s="34">
        <f t="shared" si="99"/>
        <v>76495.507000000012</v>
      </c>
      <c r="DF37" s="34">
        <f t="shared" si="100"/>
        <v>58364.565846599136</v>
      </c>
      <c r="DG37" s="34">
        <f t="shared" si="38"/>
        <v>-76495.507000000012</v>
      </c>
      <c r="DH37" s="34">
        <f t="shared" si="39"/>
        <v>-58364.565846599136</v>
      </c>
      <c r="DI37" s="36">
        <f t="shared" si="71"/>
        <v>-0.27479078937334755</v>
      </c>
      <c r="DJ37" s="36">
        <f t="shared" si="40"/>
        <v>-0.32653544067551654</v>
      </c>
      <c r="DK37" s="36">
        <f t="shared" si="72"/>
        <v>-0.35653538618391412</v>
      </c>
      <c r="DL37" s="34">
        <v>61573.45</v>
      </c>
      <c r="DM37">
        <f t="shared" si="79"/>
        <v>-67336</v>
      </c>
      <c r="DN37" s="34">
        <f t="shared" si="80"/>
        <v>-61573.45</v>
      </c>
      <c r="DO37" s="23">
        <v>-0.35299999999999998</v>
      </c>
      <c r="DP37" s="23">
        <f t="shared" si="81"/>
        <v>-0.3672882984932308</v>
      </c>
      <c r="DQ37" s="23">
        <f t="shared" si="43"/>
        <v>-0.40140988774700259</v>
      </c>
      <c r="DR37" s="23">
        <f t="shared" si="44"/>
        <v>-0.35840179598873911</v>
      </c>
    </row>
    <row r="38" spans="1:122" x14ac:dyDescent="0.25">
      <c r="A38" s="9" t="s">
        <v>99</v>
      </c>
      <c r="B38" s="9" t="s">
        <v>105</v>
      </c>
      <c r="C38" s="10">
        <f t="shared" si="83"/>
        <v>12</v>
      </c>
      <c r="D38">
        <v>0</v>
      </c>
      <c r="E38" s="8">
        <v>0</v>
      </c>
      <c r="F38" s="8">
        <v>0</v>
      </c>
      <c r="G38" s="8">
        <v>0</v>
      </c>
      <c r="H38" s="8">
        <v>12</v>
      </c>
      <c r="I38">
        <v>0</v>
      </c>
      <c r="J38">
        <v>0</v>
      </c>
      <c r="L38" s="33">
        <v>11</v>
      </c>
      <c r="M38" s="23">
        <f t="shared" si="84"/>
        <v>0.91666666666666663</v>
      </c>
      <c r="N38" s="23">
        <f>M38/M75</f>
        <v>1.4224941586633247E-2</v>
      </c>
      <c r="O38" s="33">
        <v>0.5</v>
      </c>
      <c r="P38" s="23">
        <f t="shared" si="85"/>
        <v>4.1666666666666664E-2</v>
      </c>
      <c r="Q38" s="40">
        <f>P38/P75</f>
        <v>2.788386318941594E-3</v>
      </c>
      <c r="R38" s="23">
        <f t="shared" si="86"/>
        <v>0.69791666666666663</v>
      </c>
      <c r="S38" s="40">
        <f>R38/R75</f>
        <v>1.3404374594610956E-2</v>
      </c>
      <c r="T38" s="40">
        <f t="shared" si="87"/>
        <v>1.1365802769710333E-2</v>
      </c>
      <c r="U38" s="34"/>
      <c r="V38" s="34">
        <f t="shared" si="82"/>
        <v>0</v>
      </c>
      <c r="W38" s="34"/>
      <c r="X38" s="40">
        <f>V38/V75</f>
        <v>0</v>
      </c>
      <c r="Y38" s="47">
        <f t="shared" si="88"/>
        <v>6.8194816618261994E-3</v>
      </c>
      <c r="Z38" s="47">
        <v>-0.19700000000000001</v>
      </c>
      <c r="AA38" s="135">
        <v>-0.20399999999999999</v>
      </c>
      <c r="AB38" s="218">
        <v>11</v>
      </c>
      <c r="AC38" s="226">
        <v>-9.8856833235690139E-2</v>
      </c>
      <c r="AD38" s="135">
        <f t="shared" si="64"/>
        <v>-0.1953649413551759</v>
      </c>
      <c r="AE38" s="298"/>
      <c r="AF38" s="298"/>
      <c r="AG38" s="23"/>
      <c r="AH38" s="23"/>
      <c r="AI38" s="53"/>
      <c r="AJ38" s="68"/>
      <c r="AK38" s="79"/>
      <c r="AL38" s="68"/>
      <c r="AM38" s="298"/>
      <c r="AN38" s="68"/>
      <c r="AO38" s="68"/>
      <c r="AP38" s="23"/>
      <c r="AQ38" s="23"/>
      <c r="AR38" s="23"/>
      <c r="AS38" s="23"/>
      <c r="AT38" s="23"/>
      <c r="AU38" s="23"/>
      <c r="AV38" s="23"/>
      <c r="AW38" s="26"/>
      <c r="AX38" s="26"/>
      <c r="AY38" s="26"/>
      <c r="AZ38" s="26"/>
      <c r="BA38" s="26"/>
      <c r="BF38">
        <v>11</v>
      </c>
      <c r="BG38">
        <v>11</v>
      </c>
      <c r="BH38">
        <f t="shared" si="65"/>
        <v>0</v>
      </c>
      <c r="BI38">
        <v>27</v>
      </c>
      <c r="BJ38">
        <v>26</v>
      </c>
      <c r="BK38" s="117">
        <v>27.35708</v>
      </c>
      <c r="BL38">
        <f t="shared" si="74"/>
        <v>-16</v>
      </c>
      <c r="BM38">
        <v>32</v>
      </c>
      <c r="BN38">
        <v>15</v>
      </c>
      <c r="BO38" s="117">
        <f t="shared" si="26"/>
        <v>23.93149</v>
      </c>
      <c r="BP38" s="34">
        <f t="shared" si="89"/>
        <v>46.894264999999997</v>
      </c>
      <c r="BQ38" s="117">
        <f t="shared" si="90"/>
        <v>36.000723589001446</v>
      </c>
      <c r="BR38" s="117">
        <v>34.497039999999998</v>
      </c>
      <c r="BS38" s="117">
        <f t="shared" si="66"/>
        <v>-10.000723589001446</v>
      </c>
      <c r="BT38" s="117">
        <f t="shared" si="67"/>
        <v>-8.4970399999999984</v>
      </c>
      <c r="BU38" s="117">
        <f t="shared" si="75"/>
        <v>-16.35708</v>
      </c>
      <c r="BV38" s="23">
        <v>-0.215</v>
      </c>
      <c r="BW38" s="117">
        <f t="shared" si="30"/>
        <v>-8.9314900000000002</v>
      </c>
      <c r="BX38" s="23">
        <f t="shared" si="31"/>
        <v>-0.1144681964441159</v>
      </c>
      <c r="BY38" s="34">
        <f t="shared" si="32"/>
        <v>-14.894264999999997</v>
      </c>
      <c r="BZ38" s="23">
        <f t="shared" si="53"/>
        <v>-8.6267454528228829E-2</v>
      </c>
      <c r="CA38" s="23">
        <f t="shared" si="91"/>
        <v>-6.847193982660256E-2</v>
      </c>
      <c r="CB38" s="23">
        <f t="shared" si="68"/>
        <v>-0.14949862274829548</v>
      </c>
      <c r="CC38" s="23">
        <f t="shared" si="76"/>
        <v>-0.18675147428514727</v>
      </c>
      <c r="CD38" s="117">
        <v>0</v>
      </c>
      <c r="CE38" s="117">
        <f t="shared" si="92"/>
        <v>34.497793000000001</v>
      </c>
      <c r="CF38" s="117">
        <f t="shared" si="33"/>
        <v>-8.4977930000000015</v>
      </c>
      <c r="CG38" s="23">
        <f t="shared" si="69"/>
        <v>-9.5494738796852163E-2</v>
      </c>
      <c r="CH38" s="26">
        <f t="shared" si="93"/>
        <v>-0.7725266363636365</v>
      </c>
      <c r="CI38" s="23">
        <f t="shared" si="94"/>
        <v>-0.29846490708747442</v>
      </c>
      <c r="CJ38" s="117">
        <v>1</v>
      </c>
      <c r="CK38" s="117">
        <v>1</v>
      </c>
      <c r="CL38" s="117">
        <f t="shared" si="95"/>
        <v>6.3948643000000001</v>
      </c>
      <c r="CM38" s="117">
        <f t="shared" si="96"/>
        <v>4.7597684515195366</v>
      </c>
      <c r="CN38" s="117">
        <f t="shared" si="34"/>
        <v>-5.3948643000000001</v>
      </c>
      <c r="CO38" s="117">
        <f t="shared" si="97"/>
        <v>-3.7597684515195366</v>
      </c>
      <c r="CP38" s="23">
        <f t="shared" si="35"/>
        <v>-0.25849667495267203</v>
      </c>
      <c r="CQ38" s="23">
        <f t="shared" si="70"/>
        <v>-0.19598432148291545</v>
      </c>
      <c r="CR38" s="23">
        <f t="shared" si="36"/>
        <v>-0.12932475963433965</v>
      </c>
      <c r="CS38" s="23">
        <f t="shared" si="37"/>
        <v>-0.1348472277038158</v>
      </c>
      <c r="CT38" s="26">
        <f t="shared" si="98"/>
        <v>-0.10035003524068078</v>
      </c>
      <c r="CU38" s="117">
        <v>4</v>
      </c>
      <c r="CV38" s="117">
        <f t="shared" si="77"/>
        <v>-4</v>
      </c>
      <c r="CW38" s="23">
        <v>-0.32200000000000001</v>
      </c>
      <c r="CX38" s="23">
        <v>-0.24099999999999999</v>
      </c>
      <c r="CY38" s="23">
        <f t="shared" si="78"/>
        <v>-0.22056360571386047</v>
      </c>
      <c r="CZ38" s="34">
        <v>0</v>
      </c>
      <c r="DA38" s="75">
        <v>0</v>
      </c>
      <c r="DB38" s="34">
        <v>29556</v>
      </c>
      <c r="DC38" s="34">
        <v>0</v>
      </c>
      <c r="DD38" s="34">
        <v>0</v>
      </c>
      <c r="DE38" s="34">
        <f t="shared" si="99"/>
        <v>27143.567000000003</v>
      </c>
      <c r="DF38" s="34">
        <f t="shared" si="100"/>
        <v>20710.007235890014</v>
      </c>
      <c r="DG38" s="34">
        <f t="shared" si="38"/>
        <v>-27143.567000000003</v>
      </c>
      <c r="DH38" s="34">
        <f t="shared" si="39"/>
        <v>-20710.007235890014</v>
      </c>
      <c r="DI38" s="36">
        <f t="shared" si="71"/>
        <v>-9.7506409132478156E-2</v>
      </c>
      <c r="DJ38" s="36">
        <f t="shared" si="40"/>
        <v>-0.12484329453670835</v>
      </c>
      <c r="DK38" s="36">
        <f t="shared" si="72"/>
        <v>-9.9212584797399722E-2</v>
      </c>
      <c r="DL38" s="34">
        <v>26399.65</v>
      </c>
      <c r="DM38">
        <f t="shared" si="79"/>
        <v>-29556</v>
      </c>
      <c r="DN38" s="34">
        <f t="shared" si="80"/>
        <v>-26399.65</v>
      </c>
      <c r="DO38" s="23">
        <v>-0.14799999999999999</v>
      </c>
      <c r="DP38" s="23">
        <f t="shared" si="81"/>
        <v>-0.15756694481714908</v>
      </c>
      <c r="DQ38" s="23">
        <f t="shared" si="43"/>
        <v>-0.12753217359528712</v>
      </c>
      <c r="DR38" s="23">
        <f t="shared" si="44"/>
        <v>-0.11991090027528074</v>
      </c>
    </row>
    <row r="39" spans="1:122" x14ac:dyDescent="0.25">
      <c r="A39" s="7" t="s">
        <v>106</v>
      </c>
      <c r="B39" s="7" t="s">
        <v>100</v>
      </c>
      <c r="C39" s="10">
        <f t="shared" si="83"/>
        <v>24</v>
      </c>
      <c r="D39" s="8">
        <v>0</v>
      </c>
      <c r="E39" s="8">
        <v>24</v>
      </c>
      <c r="F39" s="8">
        <v>0</v>
      </c>
      <c r="G39">
        <v>0</v>
      </c>
      <c r="H39">
        <v>0</v>
      </c>
      <c r="I39">
        <v>0</v>
      </c>
      <c r="J39">
        <v>0</v>
      </c>
      <c r="L39" s="33">
        <v>12</v>
      </c>
      <c r="M39" s="23">
        <f t="shared" si="84"/>
        <v>0.5</v>
      </c>
      <c r="N39" s="23">
        <f>M39/M75</f>
        <v>7.7590590472544985E-3</v>
      </c>
      <c r="O39" s="33">
        <v>7.5</v>
      </c>
      <c r="P39" s="23">
        <f t="shared" si="85"/>
        <v>0.3125</v>
      </c>
      <c r="Q39" s="40">
        <f>P39/P75</f>
        <v>2.0912897392061956E-2</v>
      </c>
      <c r="R39" s="23">
        <f t="shared" si="86"/>
        <v>0.453125</v>
      </c>
      <c r="S39" s="40">
        <f>R39/R75</f>
        <v>8.7028402218742775E-3</v>
      </c>
      <c r="T39" s="40">
        <f t="shared" si="87"/>
        <v>1.1047518633456363E-2</v>
      </c>
      <c r="U39" s="34">
        <v>87047</v>
      </c>
      <c r="V39" s="70">
        <f>U39/C39</f>
        <v>3626.9583333333335</v>
      </c>
      <c r="W39" s="70"/>
      <c r="X39" s="40">
        <f>V39/V75</f>
        <v>4.6575237586334639E-2</v>
      </c>
      <c r="Y39" s="46">
        <f t="shared" si="88"/>
        <v>2.5258606214607675E-2</v>
      </c>
      <c r="Z39" s="47">
        <v>8.7999999999999995E-2</v>
      </c>
      <c r="AA39" s="135">
        <v>-0.26500000000000001</v>
      </c>
      <c r="AB39" s="218">
        <v>25</v>
      </c>
      <c r="AC39" s="226">
        <v>-2.9831440323942679E-3</v>
      </c>
      <c r="AD39" s="135">
        <f t="shared" si="64"/>
        <v>-0.25663019925947606</v>
      </c>
      <c r="AE39" s="298"/>
      <c r="AF39" s="298"/>
      <c r="AG39" s="23"/>
      <c r="AH39" s="23"/>
      <c r="AI39" s="53"/>
      <c r="AJ39" s="68"/>
      <c r="AK39" s="79"/>
      <c r="AL39" s="68"/>
      <c r="AM39" s="298"/>
      <c r="AN39" s="68"/>
      <c r="AO39" s="68"/>
      <c r="AP39" s="23"/>
      <c r="AQ39" s="23"/>
      <c r="AR39" s="23"/>
      <c r="AS39" s="23"/>
      <c r="AT39" s="23"/>
      <c r="AU39" s="23"/>
      <c r="AV39" s="23"/>
      <c r="AW39" s="26"/>
      <c r="AX39" s="26"/>
      <c r="AY39" s="26"/>
      <c r="AZ39" s="26"/>
      <c r="BA39" s="26"/>
      <c r="BF39">
        <v>26</v>
      </c>
      <c r="BG39">
        <v>26</v>
      </c>
      <c r="BH39">
        <f t="shared" si="65"/>
        <v>0</v>
      </c>
      <c r="BI39">
        <v>54</v>
      </c>
      <c r="BJ39">
        <v>81</v>
      </c>
      <c r="BK39" s="117">
        <v>54.714170000000003</v>
      </c>
      <c r="BL39">
        <f t="shared" si="74"/>
        <v>-28</v>
      </c>
      <c r="BM39">
        <v>87</v>
      </c>
      <c r="BN39">
        <v>78</v>
      </c>
      <c r="BO39" s="117">
        <f t="shared" si="26"/>
        <v>54.389750000000006</v>
      </c>
      <c r="BP39" s="34">
        <f t="shared" si="89"/>
        <v>106.57787500000001</v>
      </c>
      <c r="BQ39" s="117">
        <f t="shared" si="90"/>
        <v>81.819826338639658</v>
      </c>
      <c r="BR39" s="117">
        <v>78.402370000000005</v>
      </c>
      <c r="BS39" s="117">
        <f t="shared" si="66"/>
        <v>-0.81982633863965759</v>
      </c>
      <c r="BT39" s="117">
        <f t="shared" si="67"/>
        <v>2.5976299999999952</v>
      </c>
      <c r="BU39" s="117">
        <f t="shared" si="75"/>
        <v>-28.714170000000003</v>
      </c>
      <c r="BV39" s="23">
        <v>-0.32200000000000001</v>
      </c>
      <c r="BW39" s="117">
        <f t="shared" si="30"/>
        <v>23.610249999999994</v>
      </c>
      <c r="BX39" s="23">
        <f t="shared" si="31"/>
        <v>0.19452312479903411</v>
      </c>
      <c r="BY39" s="34">
        <f t="shared" si="32"/>
        <v>-19.577875000000006</v>
      </c>
      <c r="BZ39" s="23">
        <f t="shared" si="53"/>
        <v>-0.11153484273521114</v>
      </c>
      <c r="CA39" s="23">
        <f t="shared" si="91"/>
        <v>-5.6131038147413589E-3</v>
      </c>
      <c r="CB39" s="23">
        <f t="shared" si="68"/>
        <v>-0.23443746623998421</v>
      </c>
      <c r="CC39" s="23">
        <f t="shared" si="76"/>
        <v>-0.29880650708887757</v>
      </c>
      <c r="CD39" s="117">
        <v>7</v>
      </c>
      <c r="CE39" s="117">
        <f t="shared" si="92"/>
        <v>78.404074999999992</v>
      </c>
      <c r="CF39" s="117">
        <f t="shared" si="33"/>
        <v>2.5959250000000083</v>
      </c>
      <c r="CG39" s="23">
        <f t="shared" si="69"/>
        <v>-1.9239615750645787E-2</v>
      </c>
      <c r="CH39" s="26">
        <f t="shared" si="93"/>
        <v>0.10383700000000033</v>
      </c>
      <c r="CI39" s="23">
        <f t="shared" si="94"/>
        <v>-9.4693240044479412E-4</v>
      </c>
      <c r="CJ39" s="117">
        <v>15</v>
      </c>
      <c r="CK39" s="117">
        <v>20</v>
      </c>
      <c r="CL39" s="117">
        <f t="shared" si="95"/>
        <v>14.533782500000001</v>
      </c>
      <c r="CM39" s="117">
        <f t="shared" si="96"/>
        <v>10.817655571635312</v>
      </c>
      <c r="CN39" s="117">
        <f t="shared" si="34"/>
        <v>5.4662174999999991</v>
      </c>
      <c r="CO39" s="117">
        <f t="shared" si="97"/>
        <v>4.1823444283646882</v>
      </c>
      <c r="CP39" s="23">
        <f t="shared" si="35"/>
        <v>8.4613869120050686E-2</v>
      </c>
      <c r="CQ39" s="23">
        <f t="shared" si="70"/>
        <v>0.21801181258107222</v>
      </c>
      <c r="CR39" s="23">
        <f t="shared" si="36"/>
        <v>-6.2497664771395678E-2</v>
      </c>
      <c r="CS39" s="25">
        <f t="shared" si="37"/>
        <v>0.20039529674454365</v>
      </c>
      <c r="CT39" s="26">
        <f t="shared" si="98"/>
        <v>5.0293125284212037E-2</v>
      </c>
      <c r="CU39" s="117">
        <v>8</v>
      </c>
      <c r="CV39" s="117">
        <f t="shared" si="77"/>
        <v>-1</v>
      </c>
      <c r="CW39" s="23">
        <v>-0.20200000000000001</v>
      </c>
      <c r="CX39" s="23">
        <v>-0.29199999999999998</v>
      </c>
      <c r="CY39" s="23">
        <f t="shared" si="78"/>
        <v>-0.2746048803166582</v>
      </c>
      <c r="CZ39" s="34">
        <v>11606</v>
      </c>
      <c r="DA39" s="75">
        <v>11606.25</v>
      </c>
      <c r="DB39" s="34">
        <v>55101</v>
      </c>
      <c r="DC39" s="34">
        <v>29016</v>
      </c>
      <c r="DD39" s="34">
        <v>29016</v>
      </c>
      <c r="DE39" s="34">
        <f t="shared" si="99"/>
        <v>61689.925000000003</v>
      </c>
      <c r="DF39" s="34">
        <f t="shared" si="100"/>
        <v>47068.198263386395</v>
      </c>
      <c r="DG39" s="34">
        <f t="shared" si="38"/>
        <v>-32673.925000000003</v>
      </c>
      <c r="DH39" s="34">
        <f t="shared" si="39"/>
        <v>-18052.198263386395</v>
      </c>
      <c r="DI39" s="36">
        <f t="shared" si="71"/>
        <v>-8.4992970285397429E-2</v>
      </c>
      <c r="DJ39" s="36">
        <f t="shared" si="40"/>
        <v>-0.1474448330767521</v>
      </c>
      <c r="DK39" s="36">
        <f t="shared" si="72"/>
        <v>-3.8213129436317494E-3</v>
      </c>
      <c r="DL39" s="34">
        <v>50098.49</v>
      </c>
      <c r="DM39">
        <f t="shared" si="79"/>
        <v>-43495</v>
      </c>
      <c r="DN39" s="34">
        <f t="shared" si="80"/>
        <v>-38492.239999999998</v>
      </c>
      <c r="DO39" s="23">
        <v>-0.224</v>
      </c>
      <c r="DP39" s="23">
        <f t="shared" si="81"/>
        <v>-0.22966817767370279</v>
      </c>
      <c r="DQ39" s="23">
        <f t="shared" si="43"/>
        <v>-9.647653209353825E-2</v>
      </c>
      <c r="DR39" s="23">
        <f t="shared" si="44"/>
        <v>8.6239989932567207E-2</v>
      </c>
    </row>
    <row r="40" spans="1:122" x14ac:dyDescent="0.25">
      <c r="A40" s="9" t="s">
        <v>106</v>
      </c>
      <c r="B40" s="9" t="s">
        <v>101</v>
      </c>
      <c r="C40" s="10">
        <f t="shared" si="83"/>
        <v>44</v>
      </c>
      <c r="D40" s="8">
        <v>0</v>
      </c>
      <c r="E40" s="8">
        <v>0</v>
      </c>
      <c r="F40" s="8">
        <v>44</v>
      </c>
      <c r="G40">
        <v>0</v>
      </c>
      <c r="H40">
        <v>0</v>
      </c>
      <c r="I40">
        <v>0</v>
      </c>
      <c r="J40">
        <v>0</v>
      </c>
      <c r="L40" s="33">
        <v>4.5</v>
      </c>
      <c r="M40" s="23">
        <f t="shared" si="84"/>
        <v>0.10227272727272728</v>
      </c>
      <c r="N40" s="23">
        <f>M40/M75</f>
        <v>1.5870802596656931E-3</v>
      </c>
      <c r="O40" s="33">
        <v>39.5</v>
      </c>
      <c r="P40" s="23">
        <f t="shared" si="85"/>
        <v>0.89772727272727271</v>
      </c>
      <c r="Q40" s="40">
        <f>P40/P75</f>
        <v>6.0077050689923438E-2</v>
      </c>
      <c r="R40" s="23">
        <f t="shared" si="86"/>
        <v>0.30113636363636365</v>
      </c>
      <c r="S40" s="40">
        <f>R40/R75</f>
        <v>5.7837057273898021E-3</v>
      </c>
      <c r="T40" s="40">
        <f t="shared" si="87"/>
        <v>1.620957286723013E-2</v>
      </c>
      <c r="U40" s="34"/>
      <c r="V40" s="34">
        <f t="shared" si="82"/>
        <v>0</v>
      </c>
      <c r="W40" s="34"/>
      <c r="X40" s="40">
        <f>V40/V75</f>
        <v>0</v>
      </c>
      <c r="Y40" s="47">
        <f t="shared" si="88"/>
        <v>9.7257437203380776E-3</v>
      </c>
      <c r="Z40" s="47">
        <v>-0.38</v>
      </c>
      <c r="AA40" s="135">
        <v>-0.154</v>
      </c>
      <c r="AB40" s="218">
        <v>47</v>
      </c>
      <c r="AC40" s="226">
        <v>-0.27958587338739999</v>
      </c>
      <c r="AD40" s="135">
        <f t="shared" si="64"/>
        <v>-0.15373887627278121</v>
      </c>
      <c r="AE40" s="298"/>
      <c r="AF40" s="298"/>
      <c r="AG40" s="23"/>
      <c r="AH40" s="23"/>
      <c r="AI40" s="53"/>
      <c r="AJ40" s="68"/>
      <c r="AK40" s="79"/>
      <c r="AL40" s="68"/>
      <c r="AM40" s="298"/>
      <c r="AN40" s="68"/>
      <c r="AO40" s="68"/>
      <c r="AP40" s="23"/>
      <c r="AQ40" s="23"/>
      <c r="AR40" s="23"/>
      <c r="AS40" s="23"/>
      <c r="AT40" s="23"/>
      <c r="AU40" s="23"/>
      <c r="AV40" s="23"/>
      <c r="AW40" s="26"/>
      <c r="AX40" s="26"/>
      <c r="AY40" s="26"/>
      <c r="AZ40" s="26"/>
      <c r="BA40" s="26"/>
      <c r="BF40">
        <v>7</v>
      </c>
      <c r="BG40">
        <v>7</v>
      </c>
      <c r="BH40">
        <f t="shared" si="65"/>
        <v>0</v>
      </c>
      <c r="BI40">
        <v>100</v>
      </c>
      <c r="BJ40">
        <v>11</v>
      </c>
      <c r="BK40" s="117">
        <v>100.30931</v>
      </c>
      <c r="BL40">
        <f t="shared" si="74"/>
        <v>-93</v>
      </c>
      <c r="BM40">
        <v>15</v>
      </c>
      <c r="BN40">
        <v>9</v>
      </c>
      <c r="BO40" s="117">
        <f t="shared" si="26"/>
        <v>102.25273</v>
      </c>
      <c r="BP40" s="34">
        <f t="shared" si="89"/>
        <v>200.36640499999999</v>
      </c>
      <c r="BQ40" s="117">
        <f t="shared" si="90"/>
        <v>153.82127351664255</v>
      </c>
      <c r="BR40" s="117">
        <v>147.39644999999999</v>
      </c>
      <c r="BS40" s="117">
        <f t="shared" si="66"/>
        <v>-142.82127351664255</v>
      </c>
      <c r="BT40" s="117">
        <f t="shared" si="67"/>
        <v>-136.39644999999999</v>
      </c>
      <c r="BU40" s="117">
        <f t="shared" si="75"/>
        <v>-93.309309999999996</v>
      </c>
      <c r="BV40" s="23">
        <v>-0.90300000000000002</v>
      </c>
      <c r="BW40" s="117">
        <f t="shared" si="30"/>
        <v>-93.25273</v>
      </c>
      <c r="BX40" s="23">
        <f t="shared" si="31"/>
        <v>-0.91511780388553587</v>
      </c>
      <c r="BY40" s="34">
        <f t="shared" si="32"/>
        <v>-185.36640499999999</v>
      </c>
      <c r="BZ40" s="23">
        <f t="shared" si="53"/>
        <v>-1.0059396176363935</v>
      </c>
      <c r="CA40" s="23">
        <f t="shared" si="91"/>
        <v>-0.9778542081640258</v>
      </c>
      <c r="CB40" s="23">
        <f t="shared" si="68"/>
        <v>-0.67844463028780766</v>
      </c>
      <c r="CC40" s="23">
        <f t="shared" si="76"/>
        <v>-0.88456015391523779</v>
      </c>
      <c r="CD40" s="117">
        <v>94</v>
      </c>
      <c r="CE40" s="117">
        <f t="shared" si="92"/>
        <v>147.39966099999998</v>
      </c>
      <c r="CF40" s="117">
        <f t="shared" si="33"/>
        <v>-136.39966099999998</v>
      </c>
      <c r="CG40" s="23">
        <f t="shared" si="69"/>
        <v>-0.97465650243458246</v>
      </c>
      <c r="CH40" s="26">
        <f t="shared" si="93"/>
        <v>-2.9021204468085102</v>
      </c>
      <c r="CI40" s="23">
        <f t="shared" si="94"/>
        <v>-1.021443829419997</v>
      </c>
      <c r="CJ40" s="117">
        <v>62</v>
      </c>
      <c r="CK40" s="117">
        <v>113</v>
      </c>
      <c r="CL40" s="117">
        <f t="shared" si="95"/>
        <v>27.323511100000001</v>
      </c>
      <c r="CM40" s="117">
        <f t="shared" si="96"/>
        <v>20.337192474674385</v>
      </c>
      <c r="CN40" s="117">
        <f t="shared" si="34"/>
        <v>85.676488899999995</v>
      </c>
      <c r="CO40" s="117">
        <f t="shared" si="97"/>
        <v>41.662807525325618</v>
      </c>
      <c r="CP40" s="23">
        <f t="shared" si="35"/>
        <v>2.6185225871516882</v>
      </c>
      <c r="CQ40" s="23">
        <f t="shared" si="70"/>
        <v>2.1717446617288889</v>
      </c>
      <c r="CR40" s="23">
        <f t="shared" si="36"/>
        <v>-9.9824066439373138E-2</v>
      </c>
      <c r="CS40" s="23">
        <f t="shared" si="37"/>
        <v>-0.14340218748192968</v>
      </c>
      <c r="CT40" s="26">
        <f t="shared" si="98"/>
        <v>-0.19045449069079712</v>
      </c>
      <c r="CU40" s="117">
        <v>14</v>
      </c>
      <c r="CV40" s="117">
        <f t="shared" si="77"/>
        <v>80</v>
      </c>
      <c r="CW40" s="23">
        <v>3.024</v>
      </c>
      <c r="CX40" s="23">
        <v>7.9000000000000001E-2</v>
      </c>
      <c r="CY40" s="23">
        <f t="shared" si="78"/>
        <v>9.257988456357169E-2</v>
      </c>
      <c r="CZ40" s="34">
        <v>0</v>
      </c>
      <c r="DA40" s="75">
        <v>0</v>
      </c>
      <c r="DB40" s="34">
        <v>94999</v>
      </c>
      <c r="DC40" s="34">
        <v>0</v>
      </c>
      <c r="DD40" s="34">
        <v>0</v>
      </c>
      <c r="DE40" s="34">
        <f t="shared" si="99"/>
        <v>115977.05900000001</v>
      </c>
      <c r="DF40" s="34">
        <f t="shared" si="100"/>
        <v>88488.212735166424</v>
      </c>
      <c r="DG40" s="34">
        <f t="shared" si="38"/>
        <v>-115977.05900000001</v>
      </c>
      <c r="DH40" s="34">
        <f t="shared" si="39"/>
        <v>-88488.212735166424</v>
      </c>
      <c r="DI40" s="36">
        <f t="shared" si="71"/>
        <v>-0.41661829356604302</v>
      </c>
      <c r="DJ40" s="36">
        <f t="shared" si="40"/>
        <v>-0.48788915758656304</v>
      </c>
      <c r="DK40" s="36">
        <f t="shared" si="72"/>
        <v>-0.28092001184089549</v>
      </c>
      <c r="DL40" s="34">
        <v>87725.32</v>
      </c>
      <c r="DM40">
        <f t="shared" si="79"/>
        <v>-94999</v>
      </c>
      <c r="DN40" s="34">
        <f t="shared" si="80"/>
        <v>-87725.32</v>
      </c>
      <c r="DO40" s="23">
        <v>-0.503</v>
      </c>
      <c r="DP40" s="23">
        <f t="shared" si="81"/>
        <v>-0.52321701752731054</v>
      </c>
      <c r="DQ40" s="23">
        <f t="shared" si="43"/>
        <v>-0.25505010289824909</v>
      </c>
      <c r="DR40" s="23">
        <f t="shared" si="44"/>
        <v>-0.25268862991557506</v>
      </c>
    </row>
    <row r="41" spans="1:122" x14ac:dyDescent="0.25">
      <c r="A41" s="7" t="s">
        <v>106</v>
      </c>
      <c r="B41" s="7" t="s">
        <v>107</v>
      </c>
      <c r="C41" s="10">
        <f t="shared" si="83"/>
        <v>82</v>
      </c>
      <c r="D41" s="8">
        <v>82</v>
      </c>
      <c r="E41" s="8">
        <v>0</v>
      </c>
      <c r="F41" s="8">
        <v>0</v>
      </c>
      <c r="G41">
        <v>0</v>
      </c>
      <c r="H41">
        <v>0</v>
      </c>
      <c r="I41">
        <v>0</v>
      </c>
      <c r="J41">
        <v>0</v>
      </c>
      <c r="L41" s="33">
        <v>103</v>
      </c>
      <c r="M41" s="26">
        <f t="shared" si="84"/>
        <v>1.2560975609756098</v>
      </c>
      <c r="N41" s="23">
        <f>M41/M75</f>
        <v>1.9492270289444228E-2</v>
      </c>
      <c r="O41" s="33">
        <v>11</v>
      </c>
      <c r="P41" s="23">
        <f t="shared" si="85"/>
        <v>0.13414634146341464</v>
      </c>
      <c r="Q41" s="40">
        <f>P41/P75</f>
        <v>8.9772437585436699E-3</v>
      </c>
      <c r="R41" s="23">
        <f t="shared" si="86"/>
        <v>0.97560975609756106</v>
      </c>
      <c r="S41" s="40">
        <f>R41/R75</f>
        <v>1.8737822513034613E-2</v>
      </c>
      <c r="T41" s="40">
        <f t="shared" si="87"/>
        <v>1.6863513656719089E-2</v>
      </c>
      <c r="U41" s="34">
        <v>134599</v>
      </c>
      <c r="V41" s="70">
        <f>U41/C41</f>
        <v>1641.4512195121952</v>
      </c>
      <c r="W41" s="70"/>
      <c r="X41" s="40">
        <f>V41/V75</f>
        <v>2.1078538408489909E-2</v>
      </c>
      <c r="Y41" s="46">
        <f t="shared" si="88"/>
        <v>1.8549523557427415E-2</v>
      </c>
      <c r="Z41" s="46">
        <v>1.1000000000000001</v>
      </c>
      <c r="AA41" s="137">
        <v>0.23</v>
      </c>
      <c r="AB41" s="218">
        <v>91</v>
      </c>
      <c r="AC41" s="226">
        <v>8.7989231982213534E-2</v>
      </c>
      <c r="AD41" s="137">
        <f t="shared" si="64"/>
        <v>0.49158524169445778</v>
      </c>
      <c r="AE41" s="298">
        <v>0</v>
      </c>
      <c r="AF41" s="298">
        <f>AO41*BE$33</f>
        <v>69378.225816605292</v>
      </c>
      <c r="AG41" s="23">
        <f>C41*AV41</f>
        <v>1.3430178736737166</v>
      </c>
      <c r="AH41" s="67"/>
      <c r="AI41" s="65" t="e">
        <f>AQ41*BE$17</f>
        <v>#DIV/0!</v>
      </c>
      <c r="AJ41" s="65" t="e">
        <f>SUM(AK41:AL41)</f>
        <v>#DIV/0!</v>
      </c>
      <c r="AK41" s="68"/>
      <c r="AL41" s="65" t="e">
        <f>AS41*BE$27</f>
        <v>#DIV/0!</v>
      </c>
      <c r="AM41" s="298">
        <f>AVERAGE(AE41:AF41)</f>
        <v>34689.112908302646</v>
      </c>
      <c r="AN41" s="65">
        <f>AM41+(AM$74*AZ41)</f>
        <v>36222.571810600071</v>
      </c>
      <c r="AO41" s="68">
        <f>AB41*AZ41</f>
        <v>1.2295868196018864</v>
      </c>
      <c r="AP41" s="23"/>
      <c r="AQ41" s="23" t="e">
        <f>AB41*AW41</f>
        <v>#DIV/0!</v>
      </c>
      <c r="AR41" s="23"/>
      <c r="AS41" s="23" t="e">
        <f>AB41*AY41</f>
        <v>#DIV/0!</v>
      </c>
      <c r="AT41" s="23"/>
      <c r="AU41" s="23"/>
      <c r="AV41" s="23">
        <f>AA41/BB$2</f>
        <v>1.6378266752118495E-2</v>
      </c>
      <c r="AW41" s="26" t="e">
        <f>DQ41/BE$15</f>
        <v>#DIV/0!</v>
      </c>
      <c r="AX41" s="26"/>
      <c r="AY41" s="26" t="e">
        <f>DJ41/BE$22</f>
        <v>#DIV/0!</v>
      </c>
      <c r="AZ41" s="26">
        <f>DR41/BE$30</f>
        <v>1.3511943072548202E-2</v>
      </c>
      <c r="BA41" s="236"/>
      <c r="BF41">
        <v>203</v>
      </c>
      <c r="BG41">
        <v>196</v>
      </c>
      <c r="BH41">
        <f t="shared" si="65"/>
        <v>7</v>
      </c>
      <c r="BI41">
        <v>186</v>
      </c>
      <c r="BJ41">
        <v>125</v>
      </c>
      <c r="BK41" s="117">
        <v>186.94006999999999</v>
      </c>
      <c r="BL41">
        <f t="shared" si="74"/>
        <v>17</v>
      </c>
      <c r="BM41">
        <v>253</v>
      </c>
      <c r="BN41">
        <v>95</v>
      </c>
      <c r="BO41" s="117">
        <f t="shared" si="26"/>
        <v>197.97869</v>
      </c>
      <c r="BP41" s="34">
        <f t="shared" si="89"/>
        <v>387.943465</v>
      </c>
      <c r="BQ41" s="117">
        <f t="shared" si="90"/>
        <v>297.82416787264833</v>
      </c>
      <c r="BR41" s="117">
        <v>285.38461000000001</v>
      </c>
      <c r="BS41" s="117">
        <f t="shared" si="66"/>
        <v>-172.82416787264833</v>
      </c>
      <c r="BT41" s="117">
        <f t="shared" si="67"/>
        <v>-160.38461000000001</v>
      </c>
      <c r="BU41" s="117">
        <f t="shared" si="75"/>
        <v>9.0599300000000085</v>
      </c>
      <c r="BV41" s="23">
        <v>0.08</v>
      </c>
      <c r="BW41" s="117">
        <f t="shared" si="30"/>
        <v>-102.97869</v>
      </c>
      <c r="BX41" s="23">
        <f t="shared" si="31"/>
        <v>-1.0074680356419825</v>
      </c>
      <c r="BY41" s="34">
        <f t="shared" si="32"/>
        <v>-134.943465</v>
      </c>
      <c r="BZ41" s="23">
        <f t="shared" si="53"/>
        <v>-0.73391526045947775</v>
      </c>
      <c r="CA41" s="23">
        <f t="shared" si="91"/>
        <v>-1.1832749818396102</v>
      </c>
      <c r="CB41" s="23">
        <f t="shared" si="68"/>
        <v>2.521010191233956E-2</v>
      </c>
      <c r="CC41" s="23">
        <f t="shared" si="76"/>
        <v>4.373190726526157E-2</v>
      </c>
      <c r="CD41" s="117">
        <v>37</v>
      </c>
      <c r="CE41" s="117">
        <f t="shared" si="92"/>
        <v>285.39083299999999</v>
      </c>
      <c r="CF41" s="117">
        <f t="shared" si="33"/>
        <v>-160.39083299999999</v>
      </c>
      <c r="CG41" s="23">
        <f t="shared" si="69"/>
        <v>-1.1395651266562095</v>
      </c>
      <c r="CH41" s="26">
        <f t="shared" si="93"/>
        <v>-1.7625366263736262</v>
      </c>
      <c r="CI41" s="23">
        <f t="shared" si="94"/>
        <v>-0.63456484885352027</v>
      </c>
      <c r="CJ41" s="117">
        <v>33</v>
      </c>
      <c r="CK41" s="117">
        <v>42</v>
      </c>
      <c r="CL41" s="117">
        <f t="shared" si="95"/>
        <v>52.902968300000005</v>
      </c>
      <c r="CM41" s="117">
        <f t="shared" si="96"/>
        <v>39.376266280752532</v>
      </c>
      <c r="CN41" s="117">
        <f t="shared" si="34"/>
        <v>-10.902968300000005</v>
      </c>
      <c r="CO41" s="117">
        <f t="shared" si="97"/>
        <v>-6.3762662807525317</v>
      </c>
      <c r="CP41" s="23">
        <f t="shared" si="35"/>
        <v>-0.43250222937627852</v>
      </c>
      <c r="CQ41" s="23">
        <f t="shared" si="70"/>
        <v>-0.33237371841944779</v>
      </c>
      <c r="CR41" s="23">
        <f t="shared" si="36"/>
        <v>-0.65856200268867793</v>
      </c>
      <c r="CS41" s="23">
        <f t="shared" si="37"/>
        <v>-0.83869445633634887</v>
      </c>
      <c r="CT41" s="26">
        <f t="shared" si="98"/>
        <v>-0.9705496659845696</v>
      </c>
      <c r="CU41" s="117">
        <v>26</v>
      </c>
      <c r="CV41" s="117">
        <f t="shared" si="77"/>
        <v>11</v>
      </c>
      <c r="CW41" s="23">
        <v>0.27600000000000002</v>
      </c>
      <c r="CX41" s="23">
        <v>0.129</v>
      </c>
      <c r="CY41" s="23">
        <f t="shared" si="78"/>
        <v>0.10179893044894618</v>
      </c>
      <c r="CZ41" s="34">
        <v>234031</v>
      </c>
      <c r="DA41" s="75">
        <v>336492</v>
      </c>
      <c r="DB41" s="34">
        <v>166217</v>
      </c>
      <c r="DC41" s="75">
        <v>525894</v>
      </c>
      <c r="DD41" s="75">
        <v>565865</v>
      </c>
      <c r="DE41" s="34">
        <f t="shared" si="99"/>
        <v>224551.32700000002</v>
      </c>
      <c r="DF41" s="75">
        <f t="shared" si="100"/>
        <v>171328.24167872648</v>
      </c>
      <c r="DG41" s="34">
        <f t="shared" si="38"/>
        <v>341313.67299999995</v>
      </c>
      <c r="DH41" s="75">
        <f t="shared" si="39"/>
        <v>354565.75832127349</v>
      </c>
      <c r="DI41" s="240">
        <f t="shared" si="71"/>
        <v>1.6693588515666065</v>
      </c>
      <c r="DJ41" s="225">
        <f t="shared" si="40"/>
        <v>1.3809725152568257</v>
      </c>
      <c r="DK41" s="240">
        <f t="shared" si="72"/>
        <v>8.5413741035900936E-2</v>
      </c>
      <c r="DL41" s="34">
        <v>155957.32</v>
      </c>
      <c r="DM41">
        <f t="shared" si="79"/>
        <v>67814</v>
      </c>
      <c r="DN41" s="34">
        <f t="shared" si="80"/>
        <v>180534.68</v>
      </c>
      <c r="DO41" s="23">
        <v>0.38100000000000001</v>
      </c>
      <c r="DP41" s="23">
        <f t="shared" si="81"/>
        <v>1.076264708562725</v>
      </c>
      <c r="DQ41" s="25">
        <f t="shared" si="43"/>
        <v>0.15725180448952358</v>
      </c>
      <c r="DR41" s="25">
        <f t="shared" si="44"/>
        <v>0.16452686682483331</v>
      </c>
    </row>
    <row r="42" spans="1:122" x14ac:dyDescent="0.25">
      <c r="A42" s="9" t="s">
        <v>106</v>
      </c>
      <c r="B42" s="9" t="s">
        <v>109</v>
      </c>
      <c r="C42" s="10">
        <f t="shared" si="83"/>
        <v>13</v>
      </c>
      <c r="D42" s="8">
        <v>0</v>
      </c>
      <c r="E42" s="8">
        <v>13</v>
      </c>
      <c r="F42" s="8">
        <v>0</v>
      </c>
      <c r="G42">
        <v>0</v>
      </c>
      <c r="H42">
        <v>0</v>
      </c>
      <c r="I42">
        <v>0</v>
      </c>
      <c r="J42">
        <v>0</v>
      </c>
      <c r="L42" s="33">
        <v>2.5</v>
      </c>
      <c r="M42" s="23">
        <f t="shared" si="84"/>
        <v>0.19230769230769232</v>
      </c>
      <c r="N42" s="23">
        <f>M42/M75</f>
        <v>2.9842534797132688E-3</v>
      </c>
      <c r="O42" s="33">
        <v>1.5</v>
      </c>
      <c r="P42" s="23">
        <f t="shared" si="85"/>
        <v>0.11538461538461539</v>
      </c>
      <c r="Q42" s="40">
        <f>P42/P75</f>
        <v>7.7216851909151845E-3</v>
      </c>
      <c r="R42" s="23">
        <f t="shared" si="86"/>
        <v>0.1730769230769231</v>
      </c>
      <c r="S42" s="40">
        <f>R42/R75</f>
        <v>3.3241617823604672E-3</v>
      </c>
      <c r="T42" s="40">
        <f t="shared" si="87"/>
        <v>4.1686114075137476E-3</v>
      </c>
      <c r="U42" s="34"/>
      <c r="V42" s="34">
        <f t="shared" si="82"/>
        <v>0</v>
      </c>
      <c r="W42" s="34"/>
      <c r="X42" s="40">
        <f>V42/V75</f>
        <v>0</v>
      </c>
      <c r="Y42" s="47">
        <f t="shared" si="88"/>
        <v>2.5011668445082485E-3</v>
      </c>
      <c r="Z42" s="47">
        <v>-0.52700000000000002</v>
      </c>
      <c r="AA42" s="135">
        <v>-0.21299999999999999</v>
      </c>
      <c r="AB42" s="218">
        <v>14</v>
      </c>
      <c r="AC42" s="226">
        <v>-0.14650408208040355</v>
      </c>
      <c r="AD42" s="135">
        <f t="shared" si="64"/>
        <v>-0.20566363027983472</v>
      </c>
      <c r="AE42" s="298">
        <v>166417.95739297272</v>
      </c>
      <c r="AF42" s="298">
        <v>0</v>
      </c>
      <c r="AG42" s="23"/>
      <c r="AH42" s="23"/>
      <c r="AI42" s="53"/>
      <c r="AJ42" s="68"/>
      <c r="AK42" s="79"/>
      <c r="AL42" s="68"/>
      <c r="AM42" s="298">
        <f>AVERAGE(AE42:AF42)</f>
        <v>83208.97869648636</v>
      </c>
      <c r="AN42" s="65">
        <f>AM42+(AM$74*AZ42)</f>
        <v>83208.97869648636</v>
      </c>
      <c r="AO42" s="68"/>
      <c r="AP42" s="23"/>
      <c r="AQ42" s="23"/>
      <c r="AR42" s="23"/>
      <c r="AS42" s="23"/>
      <c r="AT42" s="23"/>
      <c r="AU42" s="23"/>
      <c r="AV42" s="23"/>
      <c r="AW42" s="26"/>
      <c r="AX42" s="26"/>
      <c r="AY42" s="26"/>
      <c r="AZ42" s="26"/>
      <c r="BA42" s="26"/>
      <c r="BF42">
        <v>9</v>
      </c>
      <c r="BG42">
        <v>9</v>
      </c>
      <c r="BH42">
        <f t="shared" si="65"/>
        <v>0</v>
      </c>
      <c r="BI42">
        <v>29</v>
      </c>
      <c r="BJ42">
        <v>22</v>
      </c>
      <c r="BK42" s="117">
        <v>29.636839999999999</v>
      </c>
      <c r="BL42">
        <f t="shared" si="74"/>
        <v>-20</v>
      </c>
      <c r="BM42">
        <v>26</v>
      </c>
      <c r="BN42">
        <v>19</v>
      </c>
      <c r="BO42" s="117">
        <f t="shared" si="26"/>
        <v>30.458260000000003</v>
      </c>
      <c r="BP42" s="34">
        <f t="shared" si="89"/>
        <v>59.683610000000002</v>
      </c>
      <c r="BQ42" s="117">
        <f t="shared" si="90"/>
        <v>45.819102749638205</v>
      </c>
      <c r="BR42" s="117">
        <v>43.905329999999999</v>
      </c>
      <c r="BS42" s="117">
        <f t="shared" si="66"/>
        <v>-23.819102749638205</v>
      </c>
      <c r="BT42" s="117">
        <f t="shared" si="67"/>
        <v>-21.905329999999999</v>
      </c>
      <c r="BU42" s="117">
        <f t="shared" si="75"/>
        <v>-20.636839999999999</v>
      </c>
      <c r="BV42" s="23">
        <v>-0.25</v>
      </c>
      <c r="BW42" s="117">
        <f t="shared" si="30"/>
        <v>-11.458260000000003</v>
      </c>
      <c r="BX42" s="23">
        <f t="shared" si="31"/>
        <v>-0.13846045994255068</v>
      </c>
      <c r="BY42" s="34">
        <f t="shared" si="32"/>
        <v>-33.683610000000002</v>
      </c>
      <c r="BZ42" s="23">
        <f t="shared" si="53"/>
        <v>-0.18763321176888753</v>
      </c>
      <c r="CA42" s="23">
        <f t="shared" si="91"/>
        <v>-0.16308221656986502</v>
      </c>
      <c r="CB42" s="23">
        <f t="shared" si="68"/>
        <v>-0.1789163792607098</v>
      </c>
      <c r="CC42" s="23">
        <f t="shared" si="76"/>
        <v>-0.22556066376196524</v>
      </c>
      <c r="CD42" s="117">
        <v>2</v>
      </c>
      <c r="CE42" s="117">
        <f t="shared" si="92"/>
        <v>43.906281999999997</v>
      </c>
      <c r="CF42" s="117">
        <f t="shared" si="33"/>
        <v>-21.906281999999997</v>
      </c>
      <c r="CG42" s="23">
        <f t="shared" si="69"/>
        <v>-0.18766095201398128</v>
      </c>
      <c r="CH42" s="26">
        <f t="shared" si="93"/>
        <v>-1.5647344285714284</v>
      </c>
      <c r="CI42" s="23">
        <f t="shared" si="94"/>
        <v>-0.56741269096282698</v>
      </c>
      <c r="CJ42" s="117">
        <v>3</v>
      </c>
      <c r="CK42" s="117">
        <v>5</v>
      </c>
      <c r="CL42" s="117">
        <f t="shared" si="95"/>
        <v>8.1389182000000009</v>
      </c>
      <c r="CM42" s="117">
        <f t="shared" si="96"/>
        <v>6.0578871201157742</v>
      </c>
      <c r="CN42" s="117">
        <f t="shared" si="34"/>
        <v>-3.1389182000000009</v>
      </c>
      <c r="CO42" s="117">
        <f t="shared" si="97"/>
        <v>-3.0578871201157742</v>
      </c>
      <c r="CP42" s="23">
        <f t="shared" si="35"/>
        <v>-0.18722947450034355</v>
      </c>
      <c r="CQ42" s="23">
        <f t="shared" si="70"/>
        <v>-0.15939756400823724</v>
      </c>
      <c r="CR42" s="23">
        <f t="shared" si="36"/>
        <v>-0.18753227745175155</v>
      </c>
      <c r="CS42" s="23">
        <f t="shared" si="37"/>
        <v>-0.14369473595897231</v>
      </c>
      <c r="CT42" s="26">
        <f t="shared" si="98"/>
        <v>-0.16216105342945808</v>
      </c>
      <c r="CU42" s="117">
        <v>4</v>
      </c>
      <c r="CV42" s="117">
        <f t="shared" si="77"/>
        <v>-2</v>
      </c>
      <c r="CW42" s="23">
        <v>-0.24199999999999999</v>
      </c>
      <c r="CX42" s="23">
        <v>-0.248</v>
      </c>
      <c r="CY42" s="23">
        <f t="shared" si="78"/>
        <v>-0.22967049782147392</v>
      </c>
      <c r="CZ42" s="34">
        <v>0</v>
      </c>
      <c r="DA42" s="75">
        <v>0</v>
      </c>
      <c r="DB42" s="34">
        <v>31760</v>
      </c>
      <c r="DC42" s="34">
        <v>0</v>
      </c>
      <c r="DD42" s="34">
        <v>0</v>
      </c>
      <c r="DE42" s="34">
        <f t="shared" si="99"/>
        <v>34546.358</v>
      </c>
      <c r="DF42" s="34">
        <f t="shared" si="100"/>
        <v>26358.191027496381</v>
      </c>
      <c r="DG42" s="34">
        <f t="shared" si="38"/>
        <v>-34546.358</v>
      </c>
      <c r="DH42" s="34">
        <f t="shared" si="39"/>
        <v>-26358.191027496381</v>
      </c>
      <c r="DI42" s="36">
        <f t="shared" si="71"/>
        <v>-0.12409906616860857</v>
      </c>
      <c r="DJ42" s="36">
        <f t="shared" si="40"/>
        <v>-0.15509711645752958</v>
      </c>
      <c r="DK42" s="36">
        <f t="shared" si="72"/>
        <v>-0.14693625852511827</v>
      </c>
      <c r="DL42" s="34">
        <v>28426.74</v>
      </c>
      <c r="DM42">
        <f t="shared" si="79"/>
        <v>-31760</v>
      </c>
      <c r="DN42" s="34">
        <f t="shared" si="80"/>
        <v>-28426.74</v>
      </c>
      <c r="DO42" s="23">
        <v>-0.16</v>
      </c>
      <c r="DP42" s="23">
        <f t="shared" si="81"/>
        <v>-0.16965332896737592</v>
      </c>
      <c r="DQ42" s="23">
        <f t="shared" si="43"/>
        <v>-0.17455821305406277</v>
      </c>
      <c r="DR42" s="23">
        <f t="shared" si="44"/>
        <v>-0.13585646804282681</v>
      </c>
    </row>
    <row r="43" spans="1:122" x14ac:dyDescent="0.25">
      <c r="A43" s="7" t="s">
        <v>111</v>
      </c>
      <c r="B43" s="7" t="s">
        <v>100</v>
      </c>
      <c r="C43" s="10">
        <f t="shared" si="83"/>
        <v>29</v>
      </c>
      <c r="D43" s="8">
        <v>0</v>
      </c>
      <c r="E43" s="8">
        <v>0</v>
      </c>
      <c r="F43" s="8">
        <v>0</v>
      </c>
      <c r="G43" s="8">
        <v>0</v>
      </c>
      <c r="H43" s="8">
        <v>29</v>
      </c>
      <c r="I43">
        <v>0</v>
      </c>
      <c r="J43">
        <v>0</v>
      </c>
      <c r="L43" s="33">
        <v>24.5</v>
      </c>
      <c r="M43" s="23">
        <f t="shared" si="84"/>
        <v>0.84482758620689657</v>
      </c>
      <c r="N43" s="23">
        <f>M43/M75</f>
        <v>1.3110134252257601E-2</v>
      </c>
      <c r="O43" s="33">
        <v>25</v>
      </c>
      <c r="P43" s="23">
        <f t="shared" si="85"/>
        <v>0.86206896551724133</v>
      </c>
      <c r="Q43" s="40">
        <f>P43/P75</f>
        <v>5.7690751426377807E-2</v>
      </c>
      <c r="R43" s="23">
        <f t="shared" si="86"/>
        <v>0.84913793103448265</v>
      </c>
      <c r="S43" s="40">
        <f>R43/R75</f>
        <v>1.6308770736829799E-2</v>
      </c>
      <c r="T43" s="40">
        <f t="shared" si="87"/>
        <v>2.4255288545787651E-2</v>
      </c>
      <c r="U43" s="34"/>
      <c r="V43" s="34">
        <f t="shared" si="82"/>
        <v>0</v>
      </c>
      <c r="W43" s="34"/>
      <c r="X43" s="40">
        <f>V43/V75</f>
        <v>0</v>
      </c>
      <c r="Y43" s="47">
        <f t="shared" si="88"/>
        <v>1.4553173127472591E-2</v>
      </c>
      <c r="Z43" s="47">
        <v>-3.2000000000000001E-2</v>
      </c>
      <c r="AA43" s="135">
        <v>-4.5999999999999999E-2</v>
      </c>
      <c r="AB43" s="218">
        <v>25</v>
      </c>
      <c r="AC43" s="226">
        <v>-4.5445377252608665E-2</v>
      </c>
      <c r="AD43" s="135">
        <f t="shared" si="64"/>
        <v>0.10870330054444903</v>
      </c>
      <c r="AE43" s="298"/>
      <c r="AF43" s="298"/>
      <c r="AG43" s="26"/>
      <c r="AH43" s="67"/>
      <c r="AI43" s="65" t="e">
        <f>AQ43*BE$17</f>
        <v>#DIV/0!</v>
      </c>
      <c r="AJ43" s="65" t="e">
        <f>SUM(AK43:AL43)</f>
        <v>#DIV/0!</v>
      </c>
      <c r="AK43" s="68"/>
      <c r="AL43" s="65" t="e">
        <f>AS43*BE$27</f>
        <v>#DIV/0!</v>
      </c>
      <c r="AM43" s="298"/>
      <c r="AN43" s="68"/>
      <c r="AO43" s="68"/>
      <c r="AP43" s="23"/>
      <c r="AQ43" s="23" t="e">
        <f>AB43*AW43</f>
        <v>#DIV/0!</v>
      </c>
      <c r="AR43" s="23"/>
      <c r="AS43" s="23" t="e">
        <f>AB43*AY43</f>
        <v>#DIV/0!</v>
      </c>
      <c r="AT43" s="23"/>
      <c r="AU43" s="23"/>
      <c r="AV43" s="23"/>
      <c r="AW43" s="26" t="e">
        <f>DQ43/BE$15</f>
        <v>#DIV/0!</v>
      </c>
      <c r="AX43" s="26"/>
      <c r="AY43" s="26" t="e">
        <f>DJ43/BE$22</f>
        <v>#DIV/0!</v>
      </c>
      <c r="AZ43" s="26"/>
      <c r="BA43" s="236"/>
      <c r="BF43">
        <v>67</v>
      </c>
      <c r="BG43">
        <v>67</v>
      </c>
      <c r="BH43">
        <f t="shared" si="65"/>
        <v>0</v>
      </c>
      <c r="BI43">
        <v>66</v>
      </c>
      <c r="BJ43">
        <v>94</v>
      </c>
      <c r="BK43" s="117">
        <v>66.112949999999998</v>
      </c>
      <c r="BL43">
        <f t="shared" si="74"/>
        <v>1</v>
      </c>
      <c r="BM43">
        <v>126</v>
      </c>
      <c r="BN43">
        <v>83</v>
      </c>
      <c r="BO43" s="117">
        <f t="shared" si="26"/>
        <v>54.389750000000006</v>
      </c>
      <c r="BP43" s="34">
        <f t="shared" si="89"/>
        <v>106.57787500000001</v>
      </c>
      <c r="BQ43" s="117">
        <f t="shared" si="90"/>
        <v>81.819826338639658</v>
      </c>
      <c r="BR43" s="117">
        <v>78.402370000000005</v>
      </c>
      <c r="BS43" s="117">
        <f t="shared" si="66"/>
        <v>12.180173661360342</v>
      </c>
      <c r="BT43" s="117">
        <f t="shared" si="67"/>
        <v>15.597629999999995</v>
      </c>
      <c r="BU43" s="117">
        <f t="shared" si="75"/>
        <v>0.88705000000000211</v>
      </c>
      <c r="BV43" s="23">
        <v>-6.3E-2</v>
      </c>
      <c r="BW43" s="117">
        <f t="shared" si="30"/>
        <v>28.610249999999994</v>
      </c>
      <c r="BX43" s="25">
        <f t="shared" si="31"/>
        <v>0.2419992771564603</v>
      </c>
      <c r="BY43" s="34">
        <f t="shared" si="32"/>
        <v>19.422124999999994</v>
      </c>
      <c r="BZ43" s="23">
        <f t="shared" si="53"/>
        <v>9.8864430490422261E-2</v>
      </c>
      <c r="CA43" s="23">
        <f t="shared" si="91"/>
        <v>8.3393977505332645E-2</v>
      </c>
      <c r="CB43" s="23">
        <f t="shared" si="68"/>
        <v>-3.0967766436628776E-2</v>
      </c>
      <c r="CC43" s="23">
        <f t="shared" si="76"/>
        <v>-3.0380390735396501E-2</v>
      </c>
      <c r="CD43" s="117">
        <v>33</v>
      </c>
      <c r="CE43" s="117">
        <f t="shared" si="92"/>
        <v>78.404074999999992</v>
      </c>
      <c r="CF43" s="117">
        <f t="shared" si="33"/>
        <v>15.595925000000008</v>
      </c>
      <c r="CG43" s="23">
        <f t="shared" si="69"/>
        <v>7.0118758024555819E-2</v>
      </c>
      <c r="CH43" s="26">
        <f t="shared" si="93"/>
        <v>0.62383700000000031</v>
      </c>
      <c r="CI43" s="23">
        <f t="shared" si="94"/>
        <v>0.17558862934331126</v>
      </c>
      <c r="CJ43" s="117">
        <v>8</v>
      </c>
      <c r="CK43" s="117">
        <v>11</v>
      </c>
      <c r="CL43" s="117">
        <f t="shared" si="95"/>
        <v>14.533782500000001</v>
      </c>
      <c r="CM43" s="117">
        <f t="shared" si="96"/>
        <v>10.817655571635312</v>
      </c>
      <c r="CN43" s="117">
        <f t="shared" si="34"/>
        <v>-3.5337825000000009</v>
      </c>
      <c r="CO43" s="117">
        <f t="shared" si="97"/>
        <v>-2.8176555716353118</v>
      </c>
      <c r="CP43" s="23">
        <f t="shared" si="35"/>
        <v>-0.19970356385007065</v>
      </c>
      <c r="CQ43" s="23">
        <f t="shared" si="70"/>
        <v>-0.14687508619216186</v>
      </c>
      <c r="CR43" s="23">
        <f t="shared" si="36"/>
        <v>2.4222431905299033E-2</v>
      </c>
      <c r="CS43" s="23">
        <f t="shared" si="37"/>
        <v>0.14478068631930477</v>
      </c>
      <c r="CT43" s="26">
        <f t="shared" si="98"/>
        <v>2.5826711580959026E-2</v>
      </c>
      <c r="CU43" s="117">
        <v>9</v>
      </c>
      <c r="CV43" s="117">
        <f t="shared" si="77"/>
        <v>24</v>
      </c>
      <c r="CW43" s="23">
        <v>0.79400000000000004</v>
      </c>
      <c r="CX43" s="23">
        <v>0.151</v>
      </c>
      <c r="CY43" s="23">
        <f t="shared" si="78"/>
        <v>0.17571470694845265</v>
      </c>
      <c r="CZ43" s="34">
        <v>0</v>
      </c>
      <c r="DA43" s="75">
        <v>61074</v>
      </c>
      <c r="DB43" s="34">
        <v>65316</v>
      </c>
      <c r="DC43" s="34">
        <v>14248</v>
      </c>
      <c r="DD43" s="34">
        <v>125537</v>
      </c>
      <c r="DE43" s="34">
        <f t="shared" si="99"/>
        <v>61689.925000000003</v>
      </c>
      <c r="DF43" s="34">
        <f t="shared" si="100"/>
        <v>47068.198263386395</v>
      </c>
      <c r="DG43" s="34">
        <f t="shared" si="38"/>
        <v>63847.074999999997</v>
      </c>
      <c r="DH43" s="34">
        <f t="shared" si="39"/>
        <v>-32820.198263386395</v>
      </c>
      <c r="DI43" s="36">
        <f t="shared" si="71"/>
        <v>-0.15452334918227154</v>
      </c>
      <c r="DJ43" s="225">
        <f t="shared" si="40"/>
        <v>0.24701843700875825</v>
      </c>
      <c r="DK43" s="240">
        <f t="shared" si="72"/>
        <v>-4.63133127243332E-2</v>
      </c>
      <c r="DL43" s="34">
        <v>59674.06</v>
      </c>
      <c r="DM43">
        <f t="shared" si="79"/>
        <v>-65316</v>
      </c>
      <c r="DN43" s="34">
        <f t="shared" si="80"/>
        <v>1399.9400000000023</v>
      </c>
      <c r="DO43" s="23">
        <v>-0.34200000000000003</v>
      </c>
      <c r="DP43" s="23">
        <f t="shared" si="81"/>
        <v>8.1861909384436122E-3</v>
      </c>
      <c r="DQ43" s="25">
        <f t="shared" si="43"/>
        <v>0.11334083394668273</v>
      </c>
      <c r="DR43" s="23">
        <f t="shared" si="44"/>
        <v>2.5059072118674246E-2</v>
      </c>
    </row>
    <row r="44" spans="1:122" x14ac:dyDescent="0.25">
      <c r="A44" s="7" t="s">
        <v>111</v>
      </c>
      <c r="B44" s="7" t="s">
        <v>101</v>
      </c>
      <c r="C44" s="10">
        <f t="shared" si="83"/>
        <v>45</v>
      </c>
      <c r="D44" s="8">
        <v>0</v>
      </c>
      <c r="E44" s="8">
        <v>0</v>
      </c>
      <c r="F44" s="8">
        <v>45</v>
      </c>
      <c r="G44" s="8">
        <v>0</v>
      </c>
      <c r="H44" s="8">
        <v>0</v>
      </c>
      <c r="I44">
        <v>0</v>
      </c>
      <c r="J44">
        <v>0</v>
      </c>
      <c r="L44" s="33">
        <v>2</v>
      </c>
      <c r="M44" s="23">
        <f t="shared" si="84"/>
        <v>4.4444444444444446E-2</v>
      </c>
      <c r="N44" s="23">
        <f>M44/M75</f>
        <v>6.8969413753373324E-4</v>
      </c>
      <c r="O44" s="33">
        <v>29</v>
      </c>
      <c r="P44" s="23">
        <f t="shared" si="85"/>
        <v>0.64444444444444449</v>
      </c>
      <c r="Q44" s="40">
        <f>P44/P75</f>
        <v>4.3127041732963327E-2</v>
      </c>
      <c r="R44" s="23">
        <f t="shared" si="86"/>
        <v>0.19444444444444445</v>
      </c>
      <c r="S44" s="40">
        <f>R44/R75</f>
        <v>3.7345521258617589E-3</v>
      </c>
      <c r="T44" s="40">
        <f t="shared" si="87"/>
        <v>1.1299031036391131E-2</v>
      </c>
      <c r="U44" s="34">
        <v>22648</v>
      </c>
      <c r="V44" s="34">
        <f>U44/C44</f>
        <v>503.28888888888889</v>
      </c>
      <c r="W44" s="34"/>
      <c r="X44" s="40">
        <f>V44/V75</f>
        <v>6.4629359976736359E-3</v>
      </c>
      <c r="Y44" s="47">
        <f t="shared" si="88"/>
        <v>9.3645930209041335E-3</v>
      </c>
      <c r="Z44" s="47">
        <v>-0.38100000000000001</v>
      </c>
      <c r="AA44" s="135">
        <v>-0.32</v>
      </c>
      <c r="AB44" s="218">
        <v>39</v>
      </c>
      <c r="AC44" s="227">
        <v>0.17003335781198889</v>
      </c>
      <c r="AD44" s="135">
        <f t="shared" si="64"/>
        <v>-0.31564225521435563</v>
      </c>
      <c r="AE44" s="298">
        <v>0</v>
      </c>
      <c r="AF44" s="298">
        <f>AO44*BE$33</f>
        <v>30337.328616680901</v>
      </c>
      <c r="AG44" s="23"/>
      <c r="AH44" s="66" t="e">
        <f>AP44*BE$9</f>
        <v>#DIV/0!</v>
      </c>
      <c r="AI44" s="68"/>
      <c r="AJ44" s="65" t="e">
        <f>SUM(AK44:AL44)</f>
        <v>#DIV/0!</v>
      </c>
      <c r="AK44" s="65" t="e">
        <f>AR44*BE$25</f>
        <v>#DIV/0!</v>
      </c>
      <c r="AL44" s="68"/>
      <c r="AM44" s="298">
        <f>AVERAGE(AE44:AF44)</f>
        <v>15168.664308340451</v>
      </c>
      <c r="AN44" s="65">
        <f>AM44+(AM$74*AZ44)</f>
        <v>16733.263396124465</v>
      </c>
      <c r="AO44" s="68">
        <f>AB44*AZ44</f>
        <v>0.53766695486862459</v>
      </c>
      <c r="AP44" s="23" t="e">
        <f>AB44*BA44</f>
        <v>#DIV/0!</v>
      </c>
      <c r="AQ44" s="23"/>
      <c r="AR44" s="23" t="e">
        <f>AB44*AX44</f>
        <v>#DIV/0!</v>
      </c>
      <c r="AS44" s="23"/>
      <c r="AT44" s="23"/>
      <c r="AU44" s="23"/>
      <c r="AV44" s="23"/>
      <c r="AW44" s="26"/>
      <c r="AX44" s="26" t="e">
        <f>CR44/BE$20</f>
        <v>#DIV/0!</v>
      </c>
      <c r="AY44" s="26"/>
      <c r="AZ44" s="26">
        <f>DR44/BE$30</f>
        <v>1.378633217611858E-2</v>
      </c>
      <c r="BA44" s="236" t="e">
        <f>AC44/BE$5</f>
        <v>#DIV/0!</v>
      </c>
      <c r="BF44">
        <v>16</v>
      </c>
      <c r="BG44">
        <v>16</v>
      </c>
      <c r="BH44">
        <f t="shared" si="65"/>
        <v>0</v>
      </c>
      <c r="BI44">
        <v>102</v>
      </c>
      <c r="BJ44">
        <v>24</v>
      </c>
      <c r="BK44" s="117">
        <v>102.58906</v>
      </c>
      <c r="BL44">
        <f t="shared" si="74"/>
        <v>-86</v>
      </c>
      <c r="BM44">
        <v>27</v>
      </c>
      <c r="BN44">
        <v>13</v>
      </c>
      <c r="BO44" s="117">
        <f t="shared" si="26"/>
        <v>84.848010000000002</v>
      </c>
      <c r="BP44" s="34">
        <f t="shared" si="89"/>
        <v>166.26148499999999</v>
      </c>
      <c r="BQ44" s="117">
        <f t="shared" si="90"/>
        <v>127.63892908827786</v>
      </c>
      <c r="BR44" s="117">
        <v>122.30768999999999</v>
      </c>
      <c r="BS44" s="117">
        <f t="shared" si="66"/>
        <v>-103.63892908827786</v>
      </c>
      <c r="BT44" s="117">
        <f t="shared" si="67"/>
        <v>-98.307689999999994</v>
      </c>
      <c r="BU44" s="117">
        <f t="shared" si="75"/>
        <v>-86.589060000000003</v>
      </c>
      <c r="BV44" s="23">
        <v>-0.84</v>
      </c>
      <c r="BW44" s="117">
        <f t="shared" si="30"/>
        <v>-71.848010000000002</v>
      </c>
      <c r="BX44" s="23">
        <f t="shared" si="31"/>
        <v>-0.71187505430792641</v>
      </c>
      <c r="BY44" s="34">
        <f t="shared" si="32"/>
        <v>-139.26148499999999</v>
      </c>
      <c r="BZ44" s="23">
        <f t="shared" si="53"/>
        <v>-0.75721034429983025</v>
      </c>
      <c r="CA44" s="23">
        <f t="shared" si="91"/>
        <v>-0.70958450686813301</v>
      </c>
      <c r="CB44" s="23">
        <f t="shared" si="68"/>
        <v>-0.63225169465530673</v>
      </c>
      <c r="CC44" s="23">
        <f t="shared" si="76"/>
        <v>-0.82362041533606856</v>
      </c>
      <c r="CD44" s="117">
        <v>54</v>
      </c>
      <c r="CE44" s="117">
        <f t="shared" si="92"/>
        <v>122.310357</v>
      </c>
      <c r="CF44" s="117">
        <f t="shared" si="33"/>
        <v>-98.310356999999996</v>
      </c>
      <c r="CG44" s="23">
        <f t="shared" si="69"/>
        <v>-0.71284125138309951</v>
      </c>
      <c r="CH44" s="26">
        <f t="shared" si="93"/>
        <v>-2.5207783846153844</v>
      </c>
      <c r="CI44" s="23">
        <f t="shared" si="94"/>
        <v>-0.89198145410117813</v>
      </c>
      <c r="CJ44" s="117">
        <v>97</v>
      </c>
      <c r="CK44" s="117">
        <v>138</v>
      </c>
      <c r="CL44" s="117">
        <f t="shared" si="95"/>
        <v>22.6727007</v>
      </c>
      <c r="CM44" s="117">
        <f t="shared" si="96"/>
        <v>16.875542691751086</v>
      </c>
      <c r="CN44" s="117">
        <f t="shared" si="34"/>
        <v>115.32729929999999</v>
      </c>
      <c r="CO44" s="117">
        <f t="shared" si="97"/>
        <v>80.124457308248907</v>
      </c>
      <c r="CP44" s="23">
        <f t="shared" si="35"/>
        <v>3.5552161758641083</v>
      </c>
      <c r="CQ44" s="23">
        <f t="shared" si="70"/>
        <v>4.1766235347279048</v>
      </c>
      <c r="CR44" s="25">
        <f t="shared" si="36"/>
        <v>0.32089628574115436</v>
      </c>
      <c r="CS44" s="25">
        <f t="shared" si="37"/>
        <v>0.51024959295103134</v>
      </c>
      <c r="CT44" s="25">
        <f t="shared" si="98"/>
        <v>0.51196750353087639</v>
      </c>
      <c r="CU44" s="117">
        <v>14</v>
      </c>
      <c r="CV44" s="117">
        <f t="shared" si="77"/>
        <v>40</v>
      </c>
      <c r="CW44" s="23">
        <v>1.431</v>
      </c>
      <c r="CX44" s="23">
        <v>-0.27200000000000002</v>
      </c>
      <c r="CY44" s="23">
        <f t="shared" si="78"/>
        <v>-0.25996531150205138</v>
      </c>
      <c r="CZ44" s="34">
        <v>22648</v>
      </c>
      <c r="DA44" s="75">
        <v>22648</v>
      </c>
      <c r="DB44" s="34">
        <v>96937</v>
      </c>
      <c r="DC44" s="34">
        <v>0</v>
      </c>
      <c r="DD44" s="34">
        <v>22648</v>
      </c>
      <c r="DE44" s="34">
        <f t="shared" si="99"/>
        <v>96236.28300000001</v>
      </c>
      <c r="DF44" s="34">
        <f t="shared" si="100"/>
        <v>73426.389290882784</v>
      </c>
      <c r="DG44" s="34">
        <f t="shared" si="38"/>
        <v>-73588.28300000001</v>
      </c>
      <c r="DH44" s="34">
        <f t="shared" si="39"/>
        <v>-73426.389290882784</v>
      </c>
      <c r="DI44" s="36">
        <f t="shared" si="71"/>
        <v>-0.34570454146969531</v>
      </c>
      <c r="DJ44" s="36">
        <f t="shared" si="40"/>
        <v>-0.3146541600639286</v>
      </c>
      <c r="DK44" s="225">
        <f t="shared" si="72"/>
        <v>0.16889868553064769</v>
      </c>
      <c r="DL44" s="34">
        <v>89566.48</v>
      </c>
      <c r="DM44">
        <f t="shared" si="79"/>
        <v>-74289</v>
      </c>
      <c r="DN44" s="34">
        <f t="shared" si="80"/>
        <v>-66918.48</v>
      </c>
      <c r="DO44" s="23">
        <v>-0.39100000000000001</v>
      </c>
      <c r="DP44" s="23">
        <f t="shared" si="81"/>
        <v>-0.39915767078281189</v>
      </c>
      <c r="DQ44" s="23">
        <f t="shared" si="43"/>
        <v>6.6676107419121167E-2</v>
      </c>
      <c r="DR44" s="25">
        <f t="shared" si="44"/>
        <v>0.16786793918274068</v>
      </c>
    </row>
    <row r="45" spans="1:122" x14ac:dyDescent="0.25">
      <c r="A45" s="9" t="s">
        <v>111</v>
      </c>
      <c r="B45" s="9" t="s">
        <v>107</v>
      </c>
      <c r="C45" s="10">
        <f t="shared" si="83"/>
        <v>66</v>
      </c>
      <c r="D45" s="8">
        <v>44</v>
      </c>
      <c r="E45" s="8">
        <v>22</v>
      </c>
      <c r="F45" s="8">
        <v>0</v>
      </c>
      <c r="G45" s="8">
        <v>0</v>
      </c>
      <c r="H45" s="8">
        <v>0</v>
      </c>
      <c r="I45">
        <v>0</v>
      </c>
      <c r="J45">
        <v>0</v>
      </c>
      <c r="L45" s="33">
        <v>21.5</v>
      </c>
      <c r="M45" s="23">
        <f t="shared" si="84"/>
        <v>0.32575757575757575</v>
      </c>
      <c r="N45" s="23">
        <f>M45/M75</f>
        <v>5.0551445307870212E-3</v>
      </c>
      <c r="O45" s="33">
        <v>15</v>
      </c>
      <c r="P45" s="23">
        <f t="shared" si="85"/>
        <v>0.22727272727272727</v>
      </c>
      <c r="Q45" s="40">
        <f>P45/P75</f>
        <v>1.5209379921499604E-2</v>
      </c>
      <c r="R45" s="23">
        <f t="shared" si="86"/>
        <v>0.30113636363636365</v>
      </c>
      <c r="S45" s="40">
        <f>R45/R75</f>
        <v>5.7837057273898021E-3</v>
      </c>
      <c r="T45" s="40">
        <f t="shared" si="87"/>
        <v>7.5937033784651675E-3</v>
      </c>
      <c r="U45" s="34">
        <v>2778</v>
      </c>
      <c r="V45" s="34">
        <f>U45/C45</f>
        <v>42.090909090909093</v>
      </c>
      <c r="W45" s="34"/>
      <c r="X45" s="40">
        <f>V45/V75</f>
        <v>5.4050637227260777E-4</v>
      </c>
      <c r="Y45" s="47">
        <f t="shared" si="88"/>
        <v>4.7724245759881434E-3</v>
      </c>
      <c r="Z45" s="47">
        <v>-0.30199999999999999</v>
      </c>
      <c r="AA45" s="135">
        <v>-0.78500000000000003</v>
      </c>
      <c r="AB45" s="218">
        <v>50</v>
      </c>
      <c r="AC45" s="226">
        <v>-0.3502019547936075</v>
      </c>
      <c r="AD45" s="135">
        <f t="shared" si="64"/>
        <v>-0.79483980923789221</v>
      </c>
      <c r="AE45" s="298"/>
      <c r="AF45" s="298"/>
      <c r="AG45" s="23"/>
      <c r="AH45" s="23"/>
      <c r="AI45" s="53"/>
      <c r="AJ45" s="68"/>
      <c r="AK45" s="79"/>
      <c r="AL45" s="68"/>
      <c r="AM45" s="298"/>
      <c r="AN45" s="68"/>
      <c r="AO45" s="68"/>
      <c r="AP45" s="23"/>
      <c r="AQ45" s="23"/>
      <c r="AR45" s="23"/>
      <c r="AS45" s="23"/>
      <c r="AT45" s="23"/>
      <c r="AU45" s="23"/>
      <c r="AV45" s="23"/>
      <c r="AW45" s="26"/>
      <c r="AX45" s="26"/>
      <c r="AY45" s="26"/>
      <c r="AZ45" s="26"/>
      <c r="BA45" s="26"/>
      <c r="BF45">
        <v>39</v>
      </c>
      <c r="BG45">
        <v>39</v>
      </c>
      <c r="BH45">
        <f t="shared" si="65"/>
        <v>0</v>
      </c>
      <c r="BI45">
        <v>149</v>
      </c>
      <c r="BJ45">
        <v>68</v>
      </c>
      <c r="BK45" s="117">
        <v>150.46395999999999</v>
      </c>
      <c r="BL45">
        <f t="shared" si="74"/>
        <v>-110</v>
      </c>
      <c r="BM45">
        <v>86</v>
      </c>
      <c r="BN45">
        <v>48</v>
      </c>
      <c r="BO45" s="117">
        <f t="shared" si="26"/>
        <v>108.77950000000001</v>
      </c>
      <c r="BP45" s="34">
        <f t="shared" si="89"/>
        <v>213.15575000000001</v>
      </c>
      <c r="BQ45" s="117">
        <f t="shared" si="90"/>
        <v>163.63965267727932</v>
      </c>
      <c r="BR45" s="117">
        <v>156.80473000000001</v>
      </c>
      <c r="BS45" s="117">
        <f t="shared" si="66"/>
        <v>-95.639652677279315</v>
      </c>
      <c r="BT45" s="117">
        <f t="shared" si="67"/>
        <v>-88.804730000000006</v>
      </c>
      <c r="BU45" s="117">
        <f t="shared" si="75"/>
        <v>-111.46395999999999</v>
      </c>
      <c r="BV45" s="23">
        <v>-1.054</v>
      </c>
      <c r="BW45" s="117">
        <f t="shared" si="30"/>
        <v>-60.779500000000013</v>
      </c>
      <c r="BX45" s="23">
        <f t="shared" si="31"/>
        <v>-0.60677700088198738</v>
      </c>
      <c r="BY45" s="34">
        <f t="shared" si="32"/>
        <v>-127.15575000000001</v>
      </c>
      <c r="BZ45" s="23">
        <f t="shared" si="53"/>
        <v>-0.69190168158541721</v>
      </c>
      <c r="CA45" s="23">
        <f t="shared" si="91"/>
        <v>-0.65481587255924867</v>
      </c>
      <c r="CB45" s="23">
        <f t="shared" si="68"/>
        <v>-0.80323412158360497</v>
      </c>
      <c r="CC45" s="23">
        <f t="shared" si="76"/>
        <v>-1.0491879021383421</v>
      </c>
      <c r="CD45" s="117">
        <v>22</v>
      </c>
      <c r="CE45" s="117">
        <f t="shared" si="92"/>
        <v>156.80814999999998</v>
      </c>
      <c r="CF45" s="117">
        <f t="shared" si="33"/>
        <v>-88.808149999999983</v>
      </c>
      <c r="CG45" s="23">
        <f t="shared" si="69"/>
        <v>-0.64752573101422728</v>
      </c>
      <c r="CH45" s="26">
        <f t="shared" si="93"/>
        <v>-1.7761629999999997</v>
      </c>
      <c r="CI45" s="23">
        <f t="shared" si="94"/>
        <v>-0.63919088639710131</v>
      </c>
      <c r="CJ45" s="117">
        <v>36</v>
      </c>
      <c r="CK45" s="117">
        <v>40</v>
      </c>
      <c r="CL45" s="117">
        <f t="shared" si="95"/>
        <v>29.067565000000002</v>
      </c>
      <c r="CM45" s="117">
        <f t="shared" si="96"/>
        <v>21.635311143270624</v>
      </c>
      <c r="CN45" s="117">
        <f t="shared" si="34"/>
        <v>10.932434999999998</v>
      </c>
      <c r="CO45" s="117">
        <f t="shared" si="97"/>
        <v>14.364688856729376</v>
      </c>
      <c r="CP45" s="23">
        <f t="shared" si="35"/>
        <v>0.25729619441520113</v>
      </c>
      <c r="CQ45" s="23">
        <f t="shared" si="70"/>
        <v>0.74878382411063071</v>
      </c>
      <c r="CR45" s="23">
        <f t="shared" si="36"/>
        <v>-0.45460221258526268</v>
      </c>
      <c r="CS45" s="23">
        <f t="shared" si="37"/>
        <v>-0.2678867946338328</v>
      </c>
      <c r="CT45" s="26">
        <f t="shared" si="98"/>
        <v>-0.30391594839177882</v>
      </c>
      <c r="CU45" s="117">
        <v>21</v>
      </c>
      <c r="CV45" s="117">
        <f t="shared" si="77"/>
        <v>1</v>
      </c>
      <c r="CW45" s="23">
        <v>-0.122</v>
      </c>
      <c r="CX45" s="23">
        <v>-0.82099999999999995</v>
      </c>
      <c r="CY45" s="23">
        <f t="shared" si="78"/>
        <v>-0.81739092660375656</v>
      </c>
      <c r="CZ45" s="34">
        <v>0</v>
      </c>
      <c r="DA45" s="75">
        <v>0</v>
      </c>
      <c r="DB45" s="34">
        <v>136760</v>
      </c>
      <c r="DC45" s="34">
        <v>0</v>
      </c>
      <c r="DD45" s="34">
        <v>0</v>
      </c>
      <c r="DE45" s="34">
        <f t="shared" si="99"/>
        <v>123379.85</v>
      </c>
      <c r="DF45" s="34">
        <f t="shared" si="100"/>
        <v>94136.396526772791</v>
      </c>
      <c r="DG45" s="34">
        <f t="shared" si="38"/>
        <v>-123379.85</v>
      </c>
      <c r="DH45" s="34">
        <f t="shared" si="39"/>
        <v>-94136.396526772791</v>
      </c>
      <c r="DI45" s="36">
        <f t="shared" si="71"/>
        <v>-0.44321095060217347</v>
      </c>
      <c r="DJ45" s="36">
        <f t="shared" si="40"/>
        <v>-0.5181429795073843</v>
      </c>
      <c r="DK45" s="36">
        <f t="shared" si="72"/>
        <v>-0.35963394927593673</v>
      </c>
      <c r="DL45" s="34">
        <v>127607.73</v>
      </c>
      <c r="DM45">
        <f t="shared" si="79"/>
        <v>-136760</v>
      </c>
      <c r="DN45" s="34">
        <f t="shared" si="80"/>
        <v>-127607.73</v>
      </c>
      <c r="DO45" s="23">
        <v>-0.73</v>
      </c>
      <c r="DP45" s="23">
        <f t="shared" si="81"/>
        <v>-0.76101313318909569</v>
      </c>
      <c r="DQ45" s="23">
        <f t="shared" si="43"/>
        <v>-0.48001851935411133</v>
      </c>
      <c r="DR45" s="23">
        <f t="shared" si="44"/>
        <v>-0.33801645702116911</v>
      </c>
    </row>
    <row r="46" spans="1:122" x14ac:dyDescent="0.25">
      <c r="A46" s="7" t="s">
        <v>111</v>
      </c>
      <c r="B46" s="7" t="s">
        <v>112</v>
      </c>
      <c r="C46" s="10">
        <f t="shared" si="83"/>
        <v>38</v>
      </c>
      <c r="D46" s="8">
        <v>0</v>
      </c>
      <c r="E46" s="8">
        <v>11</v>
      </c>
      <c r="F46" s="8">
        <v>27</v>
      </c>
      <c r="G46" s="8">
        <v>0</v>
      </c>
      <c r="H46" s="8">
        <v>0</v>
      </c>
      <c r="I46">
        <v>0</v>
      </c>
      <c r="J46">
        <v>0</v>
      </c>
      <c r="L46" s="33">
        <v>15.5</v>
      </c>
      <c r="M46" s="23">
        <f t="shared" si="84"/>
        <v>0.40789473684210525</v>
      </c>
      <c r="N46" s="23">
        <f>M46/M75</f>
        <v>6.329758696444459E-3</v>
      </c>
      <c r="O46" s="33">
        <v>3.5</v>
      </c>
      <c r="P46" s="23">
        <f t="shared" si="85"/>
        <v>9.2105263157894732E-2</v>
      </c>
      <c r="Q46" s="40">
        <f>P46/P75</f>
        <v>6.1638013366077347E-3</v>
      </c>
      <c r="R46" s="23">
        <f t="shared" si="86"/>
        <v>0.3289473684210526</v>
      </c>
      <c r="S46" s="40">
        <f>R46/R75</f>
        <v>6.3178513407435768E-3</v>
      </c>
      <c r="T46" s="40">
        <f t="shared" si="87"/>
        <v>6.2882693564852779E-3</v>
      </c>
      <c r="U46" s="34"/>
      <c r="V46" s="34">
        <f t="shared" si="82"/>
        <v>0</v>
      </c>
      <c r="W46" s="34"/>
      <c r="X46" s="40">
        <f>V46/V75</f>
        <v>0</v>
      </c>
      <c r="Y46" s="47">
        <f t="shared" si="88"/>
        <v>3.7729616138911667E-3</v>
      </c>
      <c r="Z46" s="47">
        <v>-0.33600000000000002</v>
      </c>
      <c r="AA46" s="135">
        <v>-0.49399999999999999</v>
      </c>
      <c r="AB46" s="218">
        <v>37</v>
      </c>
      <c r="AC46" s="226">
        <v>-0.45963057769115945</v>
      </c>
      <c r="AD46" s="135">
        <f t="shared" si="64"/>
        <v>-0.49169655753777475</v>
      </c>
      <c r="AE46" s="298"/>
      <c r="AF46" s="298"/>
      <c r="AG46" s="23"/>
      <c r="AH46" s="23"/>
      <c r="AI46" s="53"/>
      <c r="AJ46" s="68"/>
      <c r="AK46" s="79"/>
      <c r="AL46" s="68"/>
      <c r="AM46" s="298"/>
      <c r="AN46" s="68"/>
      <c r="AO46" s="68"/>
      <c r="AP46" s="23"/>
      <c r="AQ46" s="23"/>
      <c r="AR46" s="23"/>
      <c r="AS46" s="23"/>
      <c r="AT46" s="23"/>
      <c r="AU46" s="23"/>
      <c r="AV46" s="23"/>
      <c r="AW46" s="26"/>
      <c r="AX46" s="26"/>
      <c r="AY46" s="26"/>
      <c r="AZ46" s="26"/>
      <c r="BA46" s="26"/>
      <c r="BF46">
        <v>27</v>
      </c>
      <c r="BG46">
        <v>27</v>
      </c>
      <c r="BH46">
        <f t="shared" si="65"/>
        <v>0</v>
      </c>
      <c r="BI46">
        <v>86</v>
      </c>
      <c r="BJ46">
        <v>37</v>
      </c>
      <c r="BK46" s="117">
        <v>86.630759999999995</v>
      </c>
      <c r="BL46">
        <f t="shared" si="74"/>
        <v>-59</v>
      </c>
      <c r="BM46">
        <v>53</v>
      </c>
      <c r="BN46">
        <v>26</v>
      </c>
      <c r="BO46" s="117">
        <f t="shared" si="26"/>
        <v>80.496830000000003</v>
      </c>
      <c r="BP46" s="34">
        <f t="shared" si="89"/>
        <v>157.735255</v>
      </c>
      <c r="BQ46" s="117">
        <f t="shared" si="90"/>
        <v>121.09334298118669</v>
      </c>
      <c r="BR46" s="117">
        <v>116.0355</v>
      </c>
      <c r="BS46" s="117">
        <f t="shared" si="66"/>
        <v>-84.093342981186694</v>
      </c>
      <c r="BT46" s="117">
        <f t="shared" si="67"/>
        <v>-79.035499999999999</v>
      </c>
      <c r="BU46" s="117">
        <f t="shared" si="75"/>
        <v>-59.630759999999995</v>
      </c>
      <c r="BV46" s="23">
        <v>-0.59899999999999998</v>
      </c>
      <c r="BW46" s="117">
        <f t="shared" si="30"/>
        <v>-54.496830000000003</v>
      </c>
      <c r="BX46" s="23">
        <f t="shared" si="31"/>
        <v>-0.5471216012557012</v>
      </c>
      <c r="BY46" s="34">
        <f t="shared" si="32"/>
        <v>-104.735255</v>
      </c>
      <c r="BZ46" s="23">
        <f t="shared" si="53"/>
        <v>-0.57094640329416213</v>
      </c>
      <c r="CA46" s="23">
        <f t="shared" si="91"/>
        <v>-0.57576177055410438</v>
      </c>
      <c r="CB46" s="23">
        <f t="shared" si="68"/>
        <v>-0.44694861565353594</v>
      </c>
      <c r="CC46" s="23">
        <f t="shared" si="76"/>
        <v>-0.57916049873492681</v>
      </c>
      <c r="CD46" s="117">
        <v>8</v>
      </c>
      <c r="CE46" s="117">
        <f t="shared" si="92"/>
        <v>116.03803099999999</v>
      </c>
      <c r="CF46" s="117">
        <f t="shared" si="33"/>
        <v>-79.038030999999989</v>
      </c>
      <c r="CG46" s="23">
        <f t="shared" si="69"/>
        <v>-0.58036865828882744</v>
      </c>
      <c r="CH46" s="26">
        <f t="shared" si="93"/>
        <v>-2.1361629999999998</v>
      </c>
      <c r="CI46" s="23">
        <f t="shared" si="94"/>
        <v>-0.76140781375816324</v>
      </c>
      <c r="CJ46" s="117">
        <v>7</v>
      </c>
      <c r="CK46" s="117">
        <v>12</v>
      </c>
      <c r="CL46" s="117">
        <f t="shared" si="95"/>
        <v>21.509998100000001</v>
      </c>
      <c r="CM46" s="117">
        <f t="shared" si="96"/>
        <v>16.01013024602026</v>
      </c>
      <c r="CN46" s="117">
        <f t="shared" si="34"/>
        <v>-9.5099981000000007</v>
      </c>
      <c r="CO46" s="117">
        <f t="shared" si="97"/>
        <v>-9.0101302460202604</v>
      </c>
      <c r="CP46" s="23">
        <f t="shared" si="35"/>
        <v>-0.38849715032429216</v>
      </c>
      <c r="CQ46" s="23">
        <f t="shared" si="70"/>
        <v>-0.46966835471617846</v>
      </c>
      <c r="CR46" s="23">
        <f t="shared" si="36"/>
        <v>-0.52533409005169462</v>
      </c>
      <c r="CS46" s="23">
        <f t="shared" si="37"/>
        <v>-0.5277582896208205</v>
      </c>
      <c r="CT46" s="26">
        <f t="shared" si="98"/>
        <v>-0.54923841659462291</v>
      </c>
      <c r="CU46" s="117">
        <v>12</v>
      </c>
      <c r="CV46" s="117">
        <f t="shared" si="77"/>
        <v>-4</v>
      </c>
      <c r="CW46" s="23">
        <v>-0.32200000000000001</v>
      </c>
      <c r="CX46" s="23">
        <v>-0.53</v>
      </c>
      <c r="CY46" s="23">
        <f t="shared" si="78"/>
        <v>-0.51487037405119507</v>
      </c>
      <c r="CZ46" s="34">
        <v>0</v>
      </c>
      <c r="DA46" s="75">
        <v>0</v>
      </c>
      <c r="DB46" s="34">
        <v>83273</v>
      </c>
      <c r="DC46" s="34">
        <v>0</v>
      </c>
      <c r="DD46" s="34">
        <v>0</v>
      </c>
      <c r="DE46" s="34">
        <f t="shared" si="99"/>
        <v>91301.089000000007</v>
      </c>
      <c r="DF46" s="34">
        <f t="shared" si="100"/>
        <v>69660.933429811863</v>
      </c>
      <c r="DG46" s="34">
        <f t="shared" si="38"/>
        <v>-91301.089000000007</v>
      </c>
      <c r="DH46" s="34">
        <f t="shared" si="39"/>
        <v>-69660.933429811863</v>
      </c>
      <c r="DI46" s="36">
        <f t="shared" si="71"/>
        <v>-0.32797610344560835</v>
      </c>
      <c r="DJ46" s="36">
        <f t="shared" si="40"/>
        <v>-0.38704308451715896</v>
      </c>
      <c r="DK46" s="36">
        <f t="shared" si="72"/>
        <v>-0.46073349133501706</v>
      </c>
      <c r="DL46" s="34">
        <v>76608.850000000006</v>
      </c>
      <c r="DM46">
        <f t="shared" si="79"/>
        <v>-83273</v>
      </c>
      <c r="DN46" s="34">
        <f t="shared" si="80"/>
        <v>-76608.850000000006</v>
      </c>
      <c r="DO46" s="23">
        <v>-0.44</v>
      </c>
      <c r="DP46" s="23">
        <f t="shared" si="81"/>
        <v>-0.45693583276764416</v>
      </c>
      <c r="DQ46" s="23">
        <f t="shared" si="43"/>
        <v>-0.47001768783788034</v>
      </c>
      <c r="DR46" s="23">
        <f t="shared" si="44"/>
        <v>-0.44784541515073562</v>
      </c>
    </row>
    <row r="47" spans="1:122" x14ac:dyDescent="0.25">
      <c r="A47" s="9" t="s">
        <v>111</v>
      </c>
      <c r="B47" s="9" t="s">
        <v>113</v>
      </c>
      <c r="C47" s="10">
        <f t="shared" si="83"/>
        <v>20</v>
      </c>
      <c r="D47" s="11">
        <v>20</v>
      </c>
      <c r="E47" s="11">
        <v>0</v>
      </c>
      <c r="F47" s="11">
        <v>0</v>
      </c>
      <c r="G47" s="11">
        <v>0</v>
      </c>
      <c r="H47" s="11">
        <v>0</v>
      </c>
      <c r="I47">
        <v>0</v>
      </c>
      <c r="J47">
        <v>0</v>
      </c>
      <c r="L47" s="33">
        <v>8</v>
      </c>
      <c r="M47" s="23">
        <f t="shared" si="84"/>
        <v>0.4</v>
      </c>
      <c r="N47" s="23">
        <f>M47/M75</f>
        <v>6.2072472378035988E-3</v>
      </c>
      <c r="O47" s="33">
        <v>3.5</v>
      </c>
      <c r="P47" s="23">
        <f t="shared" si="85"/>
        <v>0.17499999999999999</v>
      </c>
      <c r="Q47" s="40">
        <f>P47/P75</f>
        <v>1.1711222539554695E-2</v>
      </c>
      <c r="R47" s="23">
        <f t="shared" si="86"/>
        <v>0.34375000000000006</v>
      </c>
      <c r="S47" s="40">
        <f>R47/R75</f>
        <v>6.6021546510770393E-3</v>
      </c>
      <c r="T47" s="40">
        <f t="shared" si="87"/>
        <v>7.5832410632413732E-3</v>
      </c>
      <c r="U47" s="34"/>
      <c r="V47" s="34">
        <f t="shared" si="82"/>
        <v>0</v>
      </c>
      <c r="W47" s="34"/>
      <c r="X47" s="40">
        <f>V47/V75</f>
        <v>0</v>
      </c>
      <c r="Y47" s="47">
        <f t="shared" si="88"/>
        <v>4.5499446379448239E-3</v>
      </c>
      <c r="Z47" s="47">
        <v>-0.29199999999999998</v>
      </c>
      <c r="AA47" s="135">
        <v>-0.23799999999999999</v>
      </c>
      <c r="AB47" s="218">
        <v>15</v>
      </c>
      <c r="AC47" s="226">
        <v>-0.12792382376788336</v>
      </c>
      <c r="AD47" s="135">
        <f t="shared" si="64"/>
        <v>-0.23073141908625006</v>
      </c>
      <c r="AE47" s="298"/>
      <c r="AF47" s="298"/>
      <c r="AG47" s="23"/>
      <c r="AH47" s="23"/>
      <c r="AI47" s="53"/>
      <c r="AJ47" s="68"/>
      <c r="AK47" s="79"/>
      <c r="AL47" s="68"/>
      <c r="AM47" s="298"/>
      <c r="AN47" s="68"/>
      <c r="AO47" s="68"/>
      <c r="AP47" s="23"/>
      <c r="AQ47" s="23"/>
      <c r="AR47" s="23"/>
      <c r="AS47" s="23"/>
      <c r="AT47" s="23"/>
      <c r="AU47" s="23"/>
      <c r="AV47" s="154"/>
      <c r="AW47" s="135"/>
      <c r="AX47" s="135"/>
      <c r="AY47" s="135"/>
      <c r="AZ47" s="135"/>
      <c r="BA47" s="135"/>
      <c r="BF47">
        <v>24</v>
      </c>
      <c r="BG47">
        <v>24</v>
      </c>
      <c r="BH47">
        <f t="shared" si="65"/>
        <v>0</v>
      </c>
      <c r="BI47">
        <v>45</v>
      </c>
      <c r="BJ47">
        <v>31</v>
      </c>
      <c r="BK47" s="117">
        <v>45.595140000000001</v>
      </c>
      <c r="BL47">
        <f t="shared" si="74"/>
        <v>-21</v>
      </c>
      <c r="BM47">
        <v>45</v>
      </c>
      <c r="BN47">
        <v>19</v>
      </c>
      <c r="BO47" s="117">
        <f t="shared" si="26"/>
        <v>32.633850000000002</v>
      </c>
      <c r="BP47" s="34">
        <f t="shared" si="89"/>
        <v>63.946725000000001</v>
      </c>
      <c r="BQ47" s="117">
        <f t="shared" si="90"/>
        <v>49.091895803183796</v>
      </c>
      <c r="BR47" s="117">
        <v>47.041420000000002</v>
      </c>
      <c r="BS47" s="117">
        <f t="shared" si="66"/>
        <v>-18.091895803183796</v>
      </c>
      <c r="BT47" s="117">
        <f t="shared" si="67"/>
        <v>-16.041420000000002</v>
      </c>
      <c r="BU47" s="117">
        <f t="shared" si="75"/>
        <v>-21.595140000000001</v>
      </c>
      <c r="BV47" s="23">
        <v>-0.25900000000000001</v>
      </c>
      <c r="BW47" s="117">
        <f t="shared" si="30"/>
        <v>-13.633850000000002</v>
      </c>
      <c r="BX47" s="23">
        <f t="shared" si="31"/>
        <v>-0.15911818840400926</v>
      </c>
      <c r="BY47" s="34">
        <f t="shared" si="32"/>
        <v>-18.946725000000001</v>
      </c>
      <c r="BZ47" s="23">
        <f t="shared" si="53"/>
        <v>-0.10812988116350961</v>
      </c>
      <c r="CA47" s="23">
        <f t="shared" si="91"/>
        <v>-0.12386975699909883</v>
      </c>
      <c r="CB47" s="23">
        <f t="shared" si="68"/>
        <v>-0.18550343929815272</v>
      </c>
      <c r="CC47" s="23">
        <f t="shared" si="76"/>
        <v>-0.23425060111257245</v>
      </c>
      <c r="CD47" s="117">
        <v>6</v>
      </c>
      <c r="CE47" s="117">
        <f t="shared" si="92"/>
        <v>47.042445000000001</v>
      </c>
      <c r="CF47" s="117">
        <f t="shared" si="33"/>
        <v>-16.042445000000001</v>
      </c>
      <c r="CG47" s="23">
        <f t="shared" si="69"/>
        <v>-0.14735457213683847</v>
      </c>
      <c r="CH47" s="26">
        <f t="shared" si="93"/>
        <v>-1.0694963333333334</v>
      </c>
      <c r="CI47" s="23">
        <f t="shared" si="94"/>
        <v>-0.39928358454020219</v>
      </c>
      <c r="CJ47" s="117">
        <v>4</v>
      </c>
      <c r="CK47" s="117">
        <v>5</v>
      </c>
      <c r="CL47" s="117">
        <f t="shared" si="95"/>
        <v>8.7202695000000006</v>
      </c>
      <c r="CM47" s="117">
        <f t="shared" si="96"/>
        <v>6.4905933429811862</v>
      </c>
      <c r="CN47" s="117">
        <f t="shared" si="34"/>
        <v>-3.7202695000000006</v>
      </c>
      <c r="CO47" s="117">
        <f t="shared" si="97"/>
        <v>-2.4905933429811862</v>
      </c>
      <c r="CP47" s="23">
        <f t="shared" si="35"/>
        <v>-0.20559484219699276</v>
      </c>
      <c r="CQ47" s="23">
        <f t="shared" si="70"/>
        <v>-0.12982641157509525</v>
      </c>
      <c r="CR47" s="23">
        <f t="shared" si="36"/>
        <v>-0.13249612142188039</v>
      </c>
      <c r="CS47" s="23">
        <f t="shared" si="37"/>
        <v>-0.15179524419678075</v>
      </c>
      <c r="CT47" s="26">
        <f t="shared" si="98"/>
        <v>-0.12535892064309792</v>
      </c>
      <c r="CU47" s="117">
        <v>6</v>
      </c>
      <c r="CV47" s="117">
        <f t="shared" si="77"/>
        <v>0</v>
      </c>
      <c r="CW47" s="23">
        <v>-0.16200000000000001</v>
      </c>
      <c r="CX47" s="23">
        <v>-0.23499999999999999</v>
      </c>
      <c r="CY47" s="23">
        <f t="shared" si="78"/>
        <v>-0.21618795083442935</v>
      </c>
      <c r="CZ47" s="34">
        <v>0</v>
      </c>
      <c r="DA47" s="75">
        <v>0</v>
      </c>
      <c r="DB47" s="34">
        <v>46774</v>
      </c>
      <c r="DC47" s="34">
        <v>0</v>
      </c>
      <c r="DD47" s="34">
        <v>0</v>
      </c>
      <c r="DE47" s="34">
        <f t="shared" si="99"/>
        <v>37013.955000000002</v>
      </c>
      <c r="DF47" s="34">
        <f t="shared" si="100"/>
        <v>28240.918958031838</v>
      </c>
      <c r="DG47" s="34">
        <f t="shared" si="38"/>
        <v>-37013.955000000002</v>
      </c>
      <c r="DH47" s="34">
        <f t="shared" si="39"/>
        <v>-28240.918958031838</v>
      </c>
      <c r="DI47" s="36">
        <f t="shared" si="71"/>
        <v>-0.13296328518065204</v>
      </c>
      <c r="DJ47" s="36">
        <f t="shared" si="40"/>
        <v>-0.16518172376446999</v>
      </c>
      <c r="DK47" s="36">
        <f t="shared" si="72"/>
        <v>-0.12840066645811957</v>
      </c>
      <c r="DL47" s="34">
        <v>42329.34</v>
      </c>
      <c r="DM47">
        <f t="shared" si="79"/>
        <v>-46774</v>
      </c>
      <c r="DN47" s="34">
        <f t="shared" si="80"/>
        <v>-42329.34</v>
      </c>
      <c r="DO47" s="23">
        <v>-0.24099999999999999</v>
      </c>
      <c r="DP47" s="23">
        <f t="shared" si="81"/>
        <v>-0.25254662146398116</v>
      </c>
      <c r="DQ47" s="23">
        <f t="shared" si="43"/>
        <v>-0.14557036235891624</v>
      </c>
      <c r="DR47" s="23">
        <f t="shared" si="44"/>
        <v>-0.14426246059032927</v>
      </c>
    </row>
    <row r="48" spans="1:122" x14ac:dyDescent="0.25">
      <c r="A48" s="9" t="s">
        <v>111</v>
      </c>
      <c r="B48" s="9" t="s">
        <v>89</v>
      </c>
      <c r="C48" s="10">
        <f t="shared" si="83"/>
        <v>110</v>
      </c>
      <c r="D48" s="8">
        <v>0</v>
      </c>
      <c r="E48" s="8">
        <v>0</v>
      </c>
      <c r="F48" s="8">
        <v>0</v>
      </c>
      <c r="G48" s="8">
        <v>110</v>
      </c>
      <c r="H48" s="8">
        <v>0</v>
      </c>
      <c r="I48">
        <v>0</v>
      </c>
      <c r="J48">
        <v>0</v>
      </c>
      <c r="L48" s="33">
        <v>170.5</v>
      </c>
      <c r="M48" s="25">
        <f t="shared" si="84"/>
        <v>1.55</v>
      </c>
      <c r="N48" s="23">
        <f>M48/M75</f>
        <v>2.4053083046488948E-2</v>
      </c>
      <c r="O48" s="33">
        <v>10</v>
      </c>
      <c r="P48" s="23">
        <f t="shared" si="85"/>
        <v>9.0909090909090912E-2</v>
      </c>
      <c r="Q48" s="40">
        <f>P48/P75</f>
        <v>6.0837519685998419E-3</v>
      </c>
      <c r="R48" s="23">
        <f t="shared" si="86"/>
        <v>1.1852272727272728</v>
      </c>
      <c r="S48" s="42">
        <f>R48/R75</f>
        <v>2.2763792730820995E-2</v>
      </c>
      <c r="T48" s="42">
        <f t="shared" si="87"/>
        <v>1.9560750277016668E-2</v>
      </c>
      <c r="U48" s="34">
        <v>120</v>
      </c>
      <c r="V48" s="34">
        <f>U48/C48</f>
        <v>1.0909090909090908</v>
      </c>
      <c r="W48" s="34"/>
      <c r="X48" s="40">
        <f>V48/V75</f>
        <v>1.4008804464948793E-5</v>
      </c>
      <c r="Y48" s="47">
        <f t="shared" si="88"/>
        <v>1.174205368799598E-2</v>
      </c>
      <c r="Z48" s="46">
        <v>1.59</v>
      </c>
      <c r="AA48" s="137">
        <v>0.25900000000000001</v>
      </c>
      <c r="AB48" s="218">
        <v>96</v>
      </c>
      <c r="AC48" s="227">
        <v>0.5294380111504291</v>
      </c>
      <c r="AD48" s="137">
        <f t="shared" si="64"/>
        <v>0.46049937229335336</v>
      </c>
      <c r="AE48" s="298">
        <v>135791.0327358208</v>
      </c>
      <c r="AF48" s="298">
        <f>AO48*BE$33</f>
        <v>146000.90766769779</v>
      </c>
      <c r="AG48" s="23">
        <f>C48*AV48</f>
        <v>2.0287687815993736</v>
      </c>
      <c r="AH48" s="66" t="e">
        <f>AP48*BE$9</f>
        <v>#DIV/0!</v>
      </c>
      <c r="AI48" s="65" t="e">
        <f>AQ48*BE$17</f>
        <v>#DIV/0!</v>
      </c>
      <c r="AJ48" s="65" t="e">
        <f>SUM(AK48:AL48)</f>
        <v>#DIV/0!</v>
      </c>
      <c r="AK48" s="65" t="e">
        <f>AR48*BE$25</f>
        <v>#DIV/0!</v>
      </c>
      <c r="AL48" s="68"/>
      <c r="AM48" s="298">
        <f>AVERAGE(AE48:AF48)</f>
        <v>140895.97020175931</v>
      </c>
      <c r="AN48" s="65">
        <f>AM48+(AM$74*AZ48)</f>
        <v>143954.93631894849</v>
      </c>
      <c r="AO48" s="68">
        <f>AB48*AZ48</f>
        <v>2.5875667704829932</v>
      </c>
      <c r="AP48" s="23" t="e">
        <f>AB48*BA48</f>
        <v>#DIV/0!</v>
      </c>
      <c r="AQ48" s="23" t="e">
        <f>AB48*AW48</f>
        <v>#DIV/0!</v>
      </c>
      <c r="AR48" s="23" t="e">
        <f t="shared" ref="AR48:AR49" si="101">AB48*AX48</f>
        <v>#DIV/0!</v>
      </c>
      <c r="AS48" s="23"/>
      <c r="AT48" s="23"/>
      <c r="AU48" s="23"/>
      <c r="AV48" s="23">
        <f>AA48/BB$2</f>
        <v>1.8443352559994304E-2</v>
      </c>
      <c r="AW48" s="26" t="e">
        <f>DQ48/BE$15</f>
        <v>#DIV/0!</v>
      </c>
      <c r="AX48" s="26" t="e">
        <f>CR48/BE$20</f>
        <v>#DIV/0!</v>
      </c>
      <c r="AY48" s="26"/>
      <c r="AZ48" s="26">
        <f>DR48/BE$30</f>
        <v>2.6953820525864512E-2</v>
      </c>
      <c r="BA48" s="236" t="e">
        <f>AC48/BE$5</f>
        <v>#DIV/0!</v>
      </c>
      <c r="BF48">
        <v>436</v>
      </c>
      <c r="BG48">
        <v>423</v>
      </c>
      <c r="BH48">
        <f t="shared" si="65"/>
        <v>13</v>
      </c>
      <c r="BI48">
        <v>249</v>
      </c>
      <c r="BJ48">
        <v>560</v>
      </c>
      <c r="BK48" s="117">
        <v>250.77325999999999</v>
      </c>
      <c r="BL48">
        <f t="shared" si="74"/>
        <v>187</v>
      </c>
      <c r="BM48">
        <v>738</v>
      </c>
      <c r="BN48">
        <v>343</v>
      </c>
      <c r="BO48" s="117">
        <f t="shared" si="26"/>
        <v>208.85664000000003</v>
      </c>
      <c r="BP48" s="34">
        <f t="shared" si="89"/>
        <v>409.25904000000003</v>
      </c>
      <c r="BQ48" s="117">
        <f t="shared" si="90"/>
        <v>314.18813314037629</v>
      </c>
      <c r="BR48" s="117">
        <v>301.06509</v>
      </c>
      <c r="BS48" s="117">
        <f t="shared" si="66"/>
        <v>245.81186685962371</v>
      </c>
      <c r="BT48" s="117">
        <f t="shared" si="67"/>
        <v>258.93491</v>
      </c>
      <c r="BU48" s="117">
        <f t="shared" si="75"/>
        <v>172.22674000000001</v>
      </c>
      <c r="BV48" s="23">
        <v>1.599</v>
      </c>
      <c r="BW48" s="117">
        <f t="shared" si="30"/>
        <v>134.14335999999997</v>
      </c>
      <c r="BX48" s="25">
        <f t="shared" si="31"/>
        <v>1.2440604789790637</v>
      </c>
      <c r="BY48" s="34">
        <f t="shared" si="32"/>
        <v>328.74095999999997</v>
      </c>
      <c r="BZ48" s="25">
        <f t="shared" si="53"/>
        <v>1.7675941248237457</v>
      </c>
      <c r="CA48" s="25">
        <f t="shared" si="91"/>
        <v>1.6829997556164409</v>
      </c>
      <c r="CB48" s="25">
        <f t="shared" si="68"/>
        <v>1.1467686676934501</v>
      </c>
      <c r="CC48" s="23">
        <f t="shared" si="76"/>
        <v>1.523340961422027</v>
      </c>
      <c r="CD48" s="117">
        <v>34</v>
      </c>
      <c r="CE48" s="117">
        <f t="shared" si="92"/>
        <v>301.07164799999998</v>
      </c>
      <c r="CF48" s="117">
        <f t="shared" si="33"/>
        <v>258.92835200000002</v>
      </c>
      <c r="CG48" s="25">
        <f t="shared" si="69"/>
        <v>1.7427179859855528</v>
      </c>
      <c r="CH48" s="26">
        <f t="shared" si="93"/>
        <v>2.6971703333333337</v>
      </c>
      <c r="CI48" s="25">
        <f t="shared" si="94"/>
        <v>0.87946759988572332</v>
      </c>
      <c r="CJ48" s="117">
        <v>50</v>
      </c>
      <c r="CK48" s="117">
        <v>68</v>
      </c>
      <c r="CL48" s="117">
        <f t="shared" si="95"/>
        <v>55.809724799999998</v>
      </c>
      <c r="CM48" s="117">
        <f t="shared" si="96"/>
        <v>41.539797395079596</v>
      </c>
      <c r="CN48" s="117">
        <f t="shared" si="34"/>
        <v>12.190275200000002</v>
      </c>
      <c r="CO48" s="117">
        <f t="shared" si="97"/>
        <v>8.4602026049204042</v>
      </c>
      <c r="CP48" s="23">
        <f t="shared" si="35"/>
        <v>0.29703240516527057</v>
      </c>
      <c r="CQ48" s="23">
        <f t="shared" si="70"/>
        <v>0.44100244164323466</v>
      </c>
      <c r="CR48" s="25">
        <f t="shared" si="36"/>
        <v>1.3999536949091269</v>
      </c>
      <c r="CS48" s="25">
        <f t="shared" si="37"/>
        <v>1.0432959696451065</v>
      </c>
      <c r="CT48" s="25">
        <f t="shared" si="98"/>
        <v>1.3725004271231394</v>
      </c>
      <c r="CU48" s="117">
        <v>35</v>
      </c>
      <c r="CV48" s="117">
        <f t="shared" si="77"/>
        <v>-1</v>
      </c>
      <c r="CW48" s="23">
        <v>-0.20200000000000001</v>
      </c>
      <c r="CX48" s="23">
        <v>1.149</v>
      </c>
      <c r="CY48" s="23">
        <f t="shared" si="78"/>
        <v>1.0920057210665202</v>
      </c>
      <c r="CZ48" s="34">
        <v>15713</v>
      </c>
      <c r="DA48" s="75">
        <v>122996</v>
      </c>
      <c r="DB48" s="34">
        <v>216432</v>
      </c>
      <c r="DC48" s="34">
        <v>22625</v>
      </c>
      <c r="DD48" s="34">
        <v>65714</v>
      </c>
      <c r="DE48" s="34">
        <f t="shared" si="99"/>
        <v>236889.31200000003</v>
      </c>
      <c r="DF48" s="34">
        <f t="shared" si="100"/>
        <v>180741.88133140377</v>
      </c>
      <c r="DG48" s="34">
        <f t="shared" si="38"/>
        <v>-171175.31200000003</v>
      </c>
      <c r="DH48" s="34">
        <f t="shared" si="39"/>
        <v>-158116.88133140377</v>
      </c>
      <c r="DI48" s="36">
        <f t="shared" si="71"/>
        <v>-0.74444248841851213</v>
      </c>
      <c r="DJ48" s="36">
        <f t="shared" si="40"/>
        <v>-0.71347409124232031</v>
      </c>
      <c r="DK48" s="225">
        <f t="shared" si="72"/>
        <v>0.5257232609064787</v>
      </c>
      <c r="DL48" s="34">
        <v>204606.89</v>
      </c>
      <c r="DM48">
        <f t="shared" si="79"/>
        <v>-200719</v>
      </c>
      <c r="DN48" s="34">
        <f t="shared" si="80"/>
        <v>-81610.890000000014</v>
      </c>
      <c r="DO48" s="23">
        <v>-1.077</v>
      </c>
      <c r="DP48" s="23">
        <f t="shared" si="81"/>
        <v>-0.4867601508663969</v>
      </c>
      <c r="DQ48" s="25">
        <f t="shared" si="43"/>
        <v>0.55458258044854802</v>
      </c>
      <c r="DR48" s="25">
        <f t="shared" si="44"/>
        <v>0.32820058641965899</v>
      </c>
    </row>
    <row r="49" spans="1:122" x14ac:dyDescent="0.25">
      <c r="A49" s="7" t="s">
        <v>114</v>
      </c>
      <c r="B49" s="7" t="s">
        <v>115</v>
      </c>
      <c r="C49" s="10">
        <f t="shared" si="83"/>
        <v>28</v>
      </c>
      <c r="D49" s="15">
        <v>0</v>
      </c>
      <c r="E49" s="15">
        <v>28</v>
      </c>
      <c r="F49">
        <v>0</v>
      </c>
      <c r="G49">
        <v>0</v>
      </c>
      <c r="H49" s="12">
        <v>0</v>
      </c>
      <c r="I49">
        <v>0</v>
      </c>
      <c r="J49" s="12">
        <v>0</v>
      </c>
      <c r="K49" s="15"/>
      <c r="L49" s="33">
        <v>42</v>
      </c>
      <c r="M49" s="25">
        <f t="shared" si="84"/>
        <v>1.5</v>
      </c>
      <c r="N49" s="23">
        <f>M49/M75</f>
        <v>2.3277177141763496E-2</v>
      </c>
      <c r="O49" s="33">
        <v>6.5</v>
      </c>
      <c r="P49" s="23">
        <f t="shared" si="85"/>
        <v>0.23214285714285715</v>
      </c>
      <c r="Q49" s="40">
        <f>P49/P75</f>
        <v>1.553529520553174E-2</v>
      </c>
      <c r="R49" s="23">
        <f t="shared" si="86"/>
        <v>1.1830357142857142</v>
      </c>
      <c r="S49" s="42">
        <f>R49/R75</f>
        <v>2.2721701071888506E-2</v>
      </c>
      <c r="T49" s="42">
        <f t="shared" si="87"/>
        <v>2.1341706657705555E-2</v>
      </c>
      <c r="U49" s="34">
        <v>13056</v>
      </c>
      <c r="V49" s="34">
        <f>U49/C49</f>
        <v>466.28571428571428</v>
      </c>
      <c r="W49" s="34"/>
      <c r="X49" s="40">
        <f>V49/V75</f>
        <v>5.9877632798752568E-3</v>
      </c>
      <c r="Y49" s="47">
        <f t="shared" si="88"/>
        <v>1.5200129306573435E-2</v>
      </c>
      <c r="Z49" s="46">
        <v>0.23</v>
      </c>
      <c r="AA49" s="135">
        <v>0.217</v>
      </c>
      <c r="AB49" s="218">
        <v>27</v>
      </c>
      <c r="AC49" s="226">
        <v>-4.8114728893702358E-2</v>
      </c>
      <c r="AD49" s="137">
        <f t="shared" si="64"/>
        <v>0.23212541927536615</v>
      </c>
      <c r="AE49" s="298">
        <v>25571.081148559733</v>
      </c>
      <c r="AF49" s="298">
        <v>0</v>
      </c>
      <c r="AG49" s="23">
        <f>C49*AV49</f>
        <v>0</v>
      </c>
      <c r="AH49" s="67"/>
      <c r="AI49" s="68"/>
      <c r="AJ49" s="65" t="e">
        <f>SUM(AK49:AL49)</f>
        <v>#DIV/0!</v>
      </c>
      <c r="AK49" s="65" t="e">
        <f>AR49*BE$25</f>
        <v>#DIV/0!</v>
      </c>
      <c r="AL49" s="68"/>
      <c r="AM49" s="298">
        <f>AVERAGE(AE49:AF49)</f>
        <v>12785.540574279867</v>
      </c>
      <c r="AN49" s="65">
        <f>AM49+(AM$74*AZ49)</f>
        <v>12785.540574279867</v>
      </c>
      <c r="AO49" s="68"/>
      <c r="AP49" s="23"/>
      <c r="AQ49" s="23"/>
      <c r="AR49" s="23" t="e">
        <f t="shared" si="101"/>
        <v>#DIV/0!</v>
      </c>
      <c r="AS49" s="23"/>
      <c r="AT49" s="23"/>
      <c r="AU49" s="23"/>
      <c r="AV49" s="23"/>
      <c r="AW49" s="26"/>
      <c r="AX49" s="26" t="e">
        <f>CR49/BE$20</f>
        <v>#DIV/0!</v>
      </c>
      <c r="AY49" s="26"/>
      <c r="AZ49" s="26"/>
      <c r="BA49" s="236"/>
      <c r="BF49">
        <v>160</v>
      </c>
      <c r="BG49">
        <v>160</v>
      </c>
      <c r="BH49">
        <f t="shared" si="65"/>
        <v>0</v>
      </c>
      <c r="BI49">
        <v>63</v>
      </c>
      <c r="BJ49">
        <v>123</v>
      </c>
      <c r="BK49" s="117">
        <v>63.833190000000002</v>
      </c>
      <c r="BL49">
        <f t="shared" si="74"/>
        <v>97</v>
      </c>
      <c r="BM49">
        <v>191</v>
      </c>
      <c r="BN49">
        <v>78</v>
      </c>
      <c r="BO49" s="117">
        <f t="shared" si="26"/>
        <v>58.740930000000006</v>
      </c>
      <c r="BP49" s="34">
        <f t="shared" si="89"/>
        <v>115.104105</v>
      </c>
      <c r="BQ49" s="117">
        <f t="shared" si="90"/>
        <v>88.365412445730826</v>
      </c>
      <c r="BR49" s="117">
        <v>84.67456</v>
      </c>
      <c r="BS49" s="117">
        <f t="shared" si="66"/>
        <v>34.634587554269174</v>
      </c>
      <c r="BT49" s="117">
        <f t="shared" si="67"/>
        <v>38.32544</v>
      </c>
      <c r="BU49" s="117">
        <f t="shared" si="75"/>
        <v>96.166809999999998</v>
      </c>
      <c r="BV49" s="23">
        <v>0.79500000000000004</v>
      </c>
      <c r="BW49" s="117">
        <f t="shared" si="30"/>
        <v>19.259069999999994</v>
      </c>
      <c r="BX49" s="23">
        <f t="shared" si="31"/>
        <v>0.15320766787611698</v>
      </c>
      <c r="BY49" s="34">
        <f t="shared" si="32"/>
        <v>75.895894999999996</v>
      </c>
      <c r="BZ49" s="25">
        <f t="shared" si="53"/>
        <v>0.40353212701123198</v>
      </c>
      <c r="CA49" s="25">
        <f t="shared" si="91"/>
        <v>0.23713258084077385</v>
      </c>
      <c r="CB49" s="25">
        <f t="shared" si="68"/>
        <v>0.62395605645093288</v>
      </c>
      <c r="CC49" s="23">
        <f t="shared" si="76"/>
        <v>0.83362372611829216</v>
      </c>
      <c r="CD49" s="117">
        <v>7</v>
      </c>
      <c r="CE49" s="117">
        <f t="shared" si="92"/>
        <v>84.676400999999998</v>
      </c>
      <c r="CF49" s="117">
        <f t="shared" si="33"/>
        <v>38.323599000000002</v>
      </c>
      <c r="CG49" s="25">
        <f t="shared" si="69"/>
        <v>0.22634244943478124</v>
      </c>
      <c r="CH49" s="26">
        <f t="shared" si="93"/>
        <v>1.4193925555555555</v>
      </c>
      <c r="CI49" s="25">
        <f t="shared" si="94"/>
        <v>0.44567295030170723</v>
      </c>
      <c r="CJ49" s="117">
        <v>4</v>
      </c>
      <c r="CK49" s="117">
        <v>8</v>
      </c>
      <c r="CL49" s="117">
        <f t="shared" si="95"/>
        <v>15.6964851</v>
      </c>
      <c r="CM49" s="117">
        <f t="shared" si="96"/>
        <v>11.683068017366136</v>
      </c>
      <c r="CN49" s="117">
        <f t="shared" si="34"/>
        <v>-7.6964851000000003</v>
      </c>
      <c r="CO49" s="117">
        <f t="shared" si="97"/>
        <v>-7.6830680173661356</v>
      </c>
      <c r="CP49" s="23">
        <f t="shared" si="35"/>
        <v>-0.33120677690007616</v>
      </c>
      <c r="CQ49" s="23">
        <f t="shared" si="70"/>
        <v>-0.4004929802743642</v>
      </c>
      <c r="CR49" s="25">
        <f t="shared" si="36"/>
        <v>0.21984740103340494</v>
      </c>
      <c r="CS49" s="23">
        <f t="shared" si="37"/>
        <v>1.478250583849669E-2</v>
      </c>
      <c r="CT49" s="26">
        <f t="shared" si="98"/>
        <v>7.7726190561989345E-2</v>
      </c>
      <c r="CU49" s="117">
        <v>9</v>
      </c>
      <c r="CV49" s="117">
        <f t="shared" si="77"/>
        <v>-2</v>
      </c>
      <c r="CW49" s="23">
        <v>-0.24199999999999999</v>
      </c>
      <c r="CX49" s="23">
        <v>0.53600000000000003</v>
      </c>
      <c r="CY49" s="23">
        <f t="shared" si="78"/>
        <v>0.56471779458871918</v>
      </c>
      <c r="CZ49" s="34">
        <v>13056</v>
      </c>
      <c r="DA49" s="75">
        <v>13056</v>
      </c>
      <c r="DB49" s="34">
        <v>63288</v>
      </c>
      <c r="DC49" s="34">
        <v>0</v>
      </c>
      <c r="DD49" s="34">
        <v>15771</v>
      </c>
      <c r="DE49" s="34">
        <f t="shared" si="99"/>
        <v>66625.119000000006</v>
      </c>
      <c r="DF49" s="34">
        <f t="shared" si="100"/>
        <v>50833.654124457309</v>
      </c>
      <c r="DG49" s="34">
        <f t="shared" si="38"/>
        <v>-50854.119000000006</v>
      </c>
      <c r="DH49" s="34">
        <f t="shared" si="39"/>
        <v>-50833.654124457309</v>
      </c>
      <c r="DI49" s="36">
        <f t="shared" si="71"/>
        <v>-0.23933391332517368</v>
      </c>
      <c r="DJ49" s="36">
        <f t="shared" si="40"/>
        <v>-0.22174388484816948</v>
      </c>
      <c r="DK49" s="240">
        <f t="shared" si="72"/>
        <v>-4.909785099287587E-2</v>
      </c>
      <c r="DL49" s="34">
        <v>57769.69</v>
      </c>
      <c r="DM49">
        <f t="shared" si="79"/>
        <v>-50232</v>
      </c>
      <c r="DN49" s="34">
        <f t="shared" si="80"/>
        <v>-44713.69</v>
      </c>
      <c r="DO49" s="23">
        <v>-0.26</v>
      </c>
      <c r="DP49" s="23">
        <f t="shared" si="81"/>
        <v>-0.26676314369466331</v>
      </c>
      <c r="DQ49" s="23">
        <f t="shared" si="43"/>
        <v>4.3210886680775148E-2</v>
      </c>
      <c r="DR49" s="23">
        <f t="shared" si="44"/>
        <v>-8.686406182697147E-2</v>
      </c>
    </row>
    <row r="50" spans="1:122" x14ac:dyDescent="0.25">
      <c r="A50" s="9" t="s">
        <v>114</v>
      </c>
      <c r="B50" s="9" t="s">
        <v>116</v>
      </c>
      <c r="C50" s="10">
        <f t="shared" si="83"/>
        <v>78</v>
      </c>
      <c r="D50" s="15">
        <v>59</v>
      </c>
      <c r="E50" s="15">
        <v>7</v>
      </c>
      <c r="F50">
        <v>0</v>
      </c>
      <c r="G50">
        <v>0</v>
      </c>
      <c r="H50" s="12">
        <v>11</v>
      </c>
      <c r="I50">
        <v>0</v>
      </c>
      <c r="J50" s="12">
        <v>1</v>
      </c>
      <c r="K50" s="15"/>
      <c r="L50" s="38">
        <v>51</v>
      </c>
      <c r="M50" s="23">
        <f t="shared" si="84"/>
        <v>0.65384615384615385</v>
      </c>
      <c r="N50" s="23">
        <f>M50/M75</f>
        <v>1.0146461831025114E-2</v>
      </c>
      <c r="O50" s="33">
        <v>11</v>
      </c>
      <c r="P50" s="23">
        <f t="shared" si="85"/>
        <v>0.14102564102564102</v>
      </c>
      <c r="Q50" s="40">
        <f>P50/P75</f>
        <v>9.4376152333407806E-3</v>
      </c>
      <c r="R50" s="23">
        <f t="shared" si="86"/>
        <v>0.52564102564102566</v>
      </c>
      <c r="S50" s="40">
        <f>R50/R75</f>
        <v>1.0095602450131788E-2</v>
      </c>
      <c r="T50" s="40">
        <f t="shared" si="87"/>
        <v>9.9692501816040311E-3</v>
      </c>
      <c r="U50" s="34">
        <v>14577</v>
      </c>
      <c r="V50" s="34">
        <f>U50/C50</f>
        <v>186.88461538461539</v>
      </c>
      <c r="W50" s="34"/>
      <c r="X50" s="40">
        <f>V50/V75</f>
        <v>2.399860864894385E-3</v>
      </c>
      <c r="Y50" s="47">
        <f t="shared" si="88"/>
        <v>6.9414944549201722E-3</v>
      </c>
      <c r="Z50" s="47">
        <v>0.123</v>
      </c>
      <c r="AA50" s="135">
        <v>-0.64800000000000002</v>
      </c>
      <c r="AB50" s="218">
        <v>82</v>
      </c>
      <c r="AC50" s="226">
        <v>-0.56651919881685642</v>
      </c>
      <c r="AD50" s="135">
        <f t="shared" si="64"/>
        <v>-0.64253964563952159</v>
      </c>
      <c r="AE50" s="302"/>
      <c r="AF50" s="302"/>
      <c r="AG50" s="23"/>
      <c r="AH50" s="23"/>
      <c r="AI50" s="53"/>
      <c r="AJ50" s="68"/>
      <c r="AK50" s="79"/>
      <c r="AL50" s="68"/>
      <c r="AM50" s="298"/>
      <c r="AN50" s="68"/>
      <c r="AO50" s="68"/>
      <c r="AP50" s="23"/>
      <c r="AQ50" s="23"/>
      <c r="AR50" s="23"/>
      <c r="AS50" s="23"/>
      <c r="AT50" s="23"/>
      <c r="AU50" s="23"/>
      <c r="AV50" s="23"/>
      <c r="AW50" s="26"/>
      <c r="AX50" s="26"/>
      <c r="AY50" s="26"/>
      <c r="AZ50" s="26"/>
      <c r="BA50" s="26"/>
      <c r="BF50">
        <v>107</v>
      </c>
      <c r="BG50">
        <v>107</v>
      </c>
      <c r="BH50">
        <f t="shared" si="65"/>
        <v>0</v>
      </c>
      <c r="BI50">
        <v>177</v>
      </c>
      <c r="BJ50">
        <v>120</v>
      </c>
      <c r="BK50" s="117">
        <v>177.82104000000001</v>
      </c>
      <c r="BL50">
        <f t="shared" si="74"/>
        <v>-70</v>
      </c>
      <c r="BM50">
        <v>164</v>
      </c>
      <c r="BN50">
        <v>97</v>
      </c>
      <c r="BO50" s="117">
        <f t="shared" si="26"/>
        <v>178.39838</v>
      </c>
      <c r="BP50" s="34">
        <f t="shared" si="89"/>
        <v>349.57542999999998</v>
      </c>
      <c r="BQ50" s="117">
        <f t="shared" si="90"/>
        <v>268.36903039073809</v>
      </c>
      <c r="BR50" s="117">
        <v>257.15976000000001</v>
      </c>
      <c r="BS50" s="117">
        <f t="shared" si="66"/>
        <v>-148.36903039073809</v>
      </c>
      <c r="BT50" s="117">
        <f t="shared" si="67"/>
        <v>-137.15976000000001</v>
      </c>
      <c r="BU50" s="117">
        <f t="shared" si="75"/>
        <v>-70.821040000000011</v>
      </c>
      <c r="BV50" s="23">
        <v>-0.69699999999999995</v>
      </c>
      <c r="BW50" s="117">
        <f t="shared" si="30"/>
        <v>-81.398380000000003</v>
      </c>
      <c r="BX50" s="23">
        <f t="shared" si="31"/>
        <v>-0.80255801854588493</v>
      </c>
      <c r="BY50" s="34">
        <f t="shared" si="32"/>
        <v>-185.57542999999998</v>
      </c>
      <c r="BZ50" s="23">
        <f t="shared" si="53"/>
        <v>-1.0070672768180855</v>
      </c>
      <c r="CA50" s="23">
        <f t="shared" si="91"/>
        <v>-1.0158380271822274</v>
      </c>
      <c r="CB50" s="23">
        <f t="shared" si="68"/>
        <v>-0.52386716537261835</v>
      </c>
      <c r="CC50" s="23">
        <f t="shared" si="76"/>
        <v>-0.68063480963522194</v>
      </c>
      <c r="CD50" s="117">
        <v>30</v>
      </c>
      <c r="CE50" s="117">
        <f t="shared" si="92"/>
        <v>257.16536600000001</v>
      </c>
      <c r="CF50" s="117">
        <f t="shared" si="33"/>
        <v>-137.16536600000001</v>
      </c>
      <c r="CG50" s="23">
        <f t="shared" si="69"/>
        <v>-0.97991974501854728</v>
      </c>
      <c r="CH50" s="26">
        <f t="shared" si="93"/>
        <v>-1.6727483658536586</v>
      </c>
      <c r="CI50" s="23">
        <f t="shared" si="94"/>
        <v>-0.60408250075950642</v>
      </c>
      <c r="CJ50" s="117">
        <v>57</v>
      </c>
      <c r="CK50" s="117">
        <v>68</v>
      </c>
      <c r="CL50" s="117">
        <f t="shared" si="95"/>
        <v>47.670806599999999</v>
      </c>
      <c r="CM50" s="117">
        <f t="shared" si="96"/>
        <v>35.481910274963823</v>
      </c>
      <c r="CN50" s="117">
        <f t="shared" si="34"/>
        <v>20.329193400000001</v>
      </c>
      <c r="CO50" s="117">
        <f t="shared" si="97"/>
        <v>21.518089725036177</v>
      </c>
      <c r="CP50" s="23">
        <f t="shared" si="35"/>
        <v>0.55414755291835949</v>
      </c>
      <c r="CQ50" s="23">
        <f t="shared" si="70"/>
        <v>1.1216670038989491</v>
      </c>
      <c r="CR50" s="23">
        <f t="shared" si="36"/>
        <v>-0.61676356938397425</v>
      </c>
      <c r="CS50" s="23">
        <f t="shared" si="37"/>
        <v>-0.32150176293467636</v>
      </c>
      <c r="CT50" s="26">
        <f t="shared" si="98"/>
        <v>-0.48146176941193319</v>
      </c>
      <c r="CU50" s="117">
        <v>25</v>
      </c>
      <c r="CV50" s="117">
        <f t="shared" si="77"/>
        <v>5</v>
      </c>
      <c r="CW50" s="23">
        <v>3.6999999999999998E-2</v>
      </c>
      <c r="CX50" s="23">
        <v>-0.51400000000000001</v>
      </c>
      <c r="CY50" s="23">
        <f t="shared" si="78"/>
        <v>-0.50122610722641647</v>
      </c>
      <c r="CZ50" s="34">
        <v>0</v>
      </c>
      <c r="DA50" s="75">
        <v>5624</v>
      </c>
      <c r="DB50" s="34">
        <v>158912</v>
      </c>
      <c r="DC50" s="34">
        <v>5624</v>
      </c>
      <c r="DD50" s="34">
        <v>5624</v>
      </c>
      <c r="DE50" s="34">
        <f t="shared" si="99"/>
        <v>202342.95400000003</v>
      </c>
      <c r="DF50" s="34">
        <f t="shared" si="100"/>
        <v>154383.69030390738</v>
      </c>
      <c r="DG50" s="34">
        <f t="shared" si="38"/>
        <v>-196718.95400000003</v>
      </c>
      <c r="DH50" s="34">
        <f t="shared" si="39"/>
        <v>-148759.69030390738</v>
      </c>
      <c r="DI50" s="36">
        <f t="shared" si="71"/>
        <v>-0.70038716355717312</v>
      </c>
      <c r="DJ50" s="36">
        <f t="shared" si="40"/>
        <v>-0.8178661774537519</v>
      </c>
      <c r="DK50" s="36">
        <f t="shared" si="72"/>
        <v>-0.56903192707002925</v>
      </c>
      <c r="DL50" s="34">
        <v>148912.72</v>
      </c>
      <c r="DM50">
        <f t="shared" si="79"/>
        <v>-158912</v>
      </c>
      <c r="DN50" s="34">
        <f t="shared" si="80"/>
        <v>-143288.72</v>
      </c>
      <c r="DO50" s="23">
        <v>-0.85</v>
      </c>
      <c r="DP50" s="23">
        <f t="shared" si="81"/>
        <v>-0.85450995325917911</v>
      </c>
      <c r="DQ50" s="23">
        <f t="shared" si="43"/>
        <v>-0.69720461261188538</v>
      </c>
      <c r="DR50" s="23">
        <f t="shared" si="44"/>
        <v>-0.47305592318367506</v>
      </c>
    </row>
    <row r="51" spans="1:122" x14ac:dyDescent="0.25">
      <c r="A51" s="7" t="s">
        <v>114</v>
      </c>
      <c r="B51" s="7" t="s">
        <v>100</v>
      </c>
      <c r="C51" s="10">
        <f t="shared" si="83"/>
        <v>14</v>
      </c>
      <c r="D51" s="20">
        <v>0</v>
      </c>
      <c r="E51" s="20">
        <v>14</v>
      </c>
      <c r="F51">
        <v>0</v>
      </c>
      <c r="G51">
        <v>0</v>
      </c>
      <c r="H51" s="13">
        <v>0</v>
      </c>
      <c r="I51">
        <v>0</v>
      </c>
      <c r="J51" s="13">
        <v>0</v>
      </c>
      <c r="K51" s="15"/>
      <c r="L51" s="38">
        <v>7.5</v>
      </c>
      <c r="M51" s="23">
        <f t="shared" si="84"/>
        <v>0.5357142857142857</v>
      </c>
      <c r="N51" s="23">
        <f>M51/M75</f>
        <v>8.3132775506298204E-3</v>
      </c>
      <c r="O51" s="33">
        <v>18</v>
      </c>
      <c r="P51" s="23">
        <f t="shared" si="85"/>
        <v>1.2857142857142858</v>
      </c>
      <c r="Q51" s="40">
        <f>P51/P75</f>
        <v>8.6041634984483487E-2</v>
      </c>
      <c r="R51" s="23">
        <f t="shared" si="86"/>
        <v>0.72321428571428581</v>
      </c>
      <c r="S51" s="40">
        <f>R51/R75</f>
        <v>1.3890247447720524E-2</v>
      </c>
      <c r="T51" s="40">
        <f t="shared" si="87"/>
        <v>2.7745366909093239E-2</v>
      </c>
      <c r="U51" s="34"/>
      <c r="V51" s="34">
        <f t="shared" si="82"/>
        <v>0</v>
      </c>
      <c r="W51" s="34"/>
      <c r="X51" s="40">
        <f>V51/V75</f>
        <v>0</v>
      </c>
      <c r="Y51" s="47">
        <f t="shared" si="88"/>
        <v>1.6647220145455943E-2</v>
      </c>
      <c r="Z51" s="47">
        <v>-0.52500000000000002</v>
      </c>
      <c r="AA51" s="135">
        <v>0.16200000000000001</v>
      </c>
      <c r="AB51" s="218">
        <v>22</v>
      </c>
      <c r="AC51" s="226">
        <v>4.4675487713696602E-2</v>
      </c>
      <c r="AD51" s="135">
        <f t="shared" si="64"/>
        <v>0.17375738818239517</v>
      </c>
      <c r="AE51" s="298"/>
      <c r="AF51" s="298"/>
      <c r="AG51" s="23"/>
      <c r="AH51" s="67"/>
      <c r="AI51" s="68"/>
      <c r="AJ51" s="65" t="e">
        <f>SUM(AK51:AL51)</f>
        <v>#DIV/0!</v>
      </c>
      <c r="AK51" s="65" t="e">
        <f>AR51*BE$25</f>
        <v>#DIV/0!</v>
      </c>
      <c r="AL51" s="68"/>
      <c r="AM51" s="298"/>
      <c r="AN51" s="68"/>
      <c r="AO51" s="68"/>
      <c r="AP51" s="23"/>
      <c r="AQ51" s="23"/>
      <c r="AR51" s="23" t="e">
        <f>AB51*AX51</f>
        <v>#DIV/0!</v>
      </c>
      <c r="AS51" s="23"/>
      <c r="AT51" s="23"/>
      <c r="AU51" s="23"/>
      <c r="AV51" s="23"/>
      <c r="AW51" s="26"/>
      <c r="AX51" s="26" t="e">
        <f>CR51/BE$20</f>
        <v>#DIV/0!</v>
      </c>
      <c r="AY51" s="26"/>
      <c r="AZ51" s="26"/>
      <c r="BA51" s="236"/>
      <c r="BF51">
        <v>41</v>
      </c>
      <c r="BG51">
        <v>41</v>
      </c>
      <c r="BH51">
        <f t="shared" si="65"/>
        <v>0</v>
      </c>
      <c r="BI51">
        <v>32</v>
      </c>
      <c r="BJ51">
        <v>52</v>
      </c>
      <c r="BK51" s="117">
        <v>31.916599999999999</v>
      </c>
      <c r="BL51">
        <f t="shared" si="74"/>
        <v>9</v>
      </c>
      <c r="BM51">
        <v>62</v>
      </c>
      <c r="BN51">
        <v>40</v>
      </c>
      <c r="BO51" s="117">
        <f t="shared" si="26"/>
        <v>47.86298</v>
      </c>
      <c r="BP51" s="34">
        <f t="shared" si="89"/>
        <v>93.788529999999994</v>
      </c>
      <c r="BQ51" s="117">
        <f t="shared" si="90"/>
        <v>72.001447178002891</v>
      </c>
      <c r="BR51" s="117">
        <v>68.994079999999997</v>
      </c>
      <c r="BS51" s="117">
        <f t="shared" si="66"/>
        <v>-20.001447178002891</v>
      </c>
      <c r="BT51" s="117">
        <f t="shared" si="67"/>
        <v>-16.994079999999997</v>
      </c>
      <c r="BU51" s="117">
        <f t="shared" si="75"/>
        <v>9.083400000000001</v>
      </c>
      <c r="BV51" s="23">
        <v>8.9999999999999993E-3</v>
      </c>
      <c r="BW51" s="117">
        <f t="shared" si="30"/>
        <v>-7.8629800000000003</v>
      </c>
      <c r="BX51" s="23">
        <f t="shared" si="31"/>
        <v>-0.10432244773302922</v>
      </c>
      <c r="BY51" s="34">
        <f t="shared" si="32"/>
        <v>-31.788529999999994</v>
      </c>
      <c r="BZ51" s="23">
        <f t="shared" si="53"/>
        <v>-0.17740953344313279</v>
      </c>
      <c r="CA51" s="23">
        <f t="shared" si="91"/>
        <v>-0.13694387965320517</v>
      </c>
      <c r="CB51" s="23">
        <f t="shared" si="68"/>
        <v>2.5371427487919998E-2</v>
      </c>
      <c r="CC51" s="23">
        <f t="shared" si="76"/>
        <v>4.3944735011915731E-2</v>
      </c>
      <c r="CD51" s="117">
        <v>46</v>
      </c>
      <c r="CE51" s="117">
        <f t="shared" si="92"/>
        <v>68.995586000000003</v>
      </c>
      <c r="CF51" s="117">
        <f t="shared" si="33"/>
        <v>-16.995586000000003</v>
      </c>
      <c r="CG51" s="23">
        <f t="shared" si="69"/>
        <v>-0.15390619750133613</v>
      </c>
      <c r="CH51" s="26">
        <f t="shared" si="93"/>
        <v>-0.7725266363636365</v>
      </c>
      <c r="CI51" s="23">
        <f t="shared" si="94"/>
        <v>-0.29846490708747442</v>
      </c>
      <c r="CJ51" s="117">
        <v>33</v>
      </c>
      <c r="CK51" s="117">
        <v>55</v>
      </c>
      <c r="CL51" s="117">
        <f t="shared" si="95"/>
        <v>12.7897286</v>
      </c>
      <c r="CM51" s="117">
        <f t="shared" si="96"/>
        <v>9.5195369030390733</v>
      </c>
      <c r="CN51" s="117">
        <f t="shared" si="34"/>
        <v>42.210271399999996</v>
      </c>
      <c r="CO51" s="117">
        <f t="shared" si="97"/>
        <v>23.480463096960925</v>
      </c>
      <c r="CP51" s="23">
        <f t="shared" si="35"/>
        <v>1.2453888782049145</v>
      </c>
      <c r="CQ51" s="23">
        <f t="shared" si="70"/>
        <v>1.2239590516013483</v>
      </c>
      <c r="CR51" s="25">
        <f t="shared" si="36"/>
        <v>0.17829006946887904</v>
      </c>
      <c r="CS51" s="25">
        <f t="shared" si="37"/>
        <v>0.22774792710056518</v>
      </c>
      <c r="CT51" s="25">
        <f t="shared" si="98"/>
        <v>0.20328185316043321</v>
      </c>
      <c r="CU51" s="117">
        <v>4</v>
      </c>
      <c r="CV51" s="117">
        <f t="shared" si="77"/>
        <v>42</v>
      </c>
      <c r="CW51" s="23">
        <v>1.5109999999999999</v>
      </c>
      <c r="CX51" s="23">
        <v>0.38400000000000001</v>
      </c>
      <c r="CY51" s="23">
        <f t="shared" si="78"/>
        <v>0.41070855125893679</v>
      </c>
      <c r="CZ51" s="34">
        <v>0</v>
      </c>
      <c r="DA51" s="75">
        <v>0</v>
      </c>
      <c r="DB51" s="34">
        <v>33947</v>
      </c>
      <c r="DC51" s="34">
        <v>0</v>
      </c>
      <c r="DD51" s="34">
        <v>0</v>
      </c>
      <c r="DE51" s="34">
        <f t="shared" si="99"/>
        <v>54287.134000000005</v>
      </c>
      <c r="DF51" s="34">
        <f t="shared" si="100"/>
        <v>41420.014471780029</v>
      </c>
      <c r="DG51" s="34">
        <f t="shared" si="38"/>
        <v>-54287.134000000005</v>
      </c>
      <c r="DH51" s="34">
        <f t="shared" si="39"/>
        <v>-41420.014471780029</v>
      </c>
      <c r="DI51" s="36">
        <f t="shared" si="71"/>
        <v>-0.19501281826495631</v>
      </c>
      <c r="DJ51" s="36">
        <f t="shared" si="40"/>
        <v>-0.23577397491305285</v>
      </c>
      <c r="DK51" s="240">
        <f t="shared" si="72"/>
        <v>4.3963984590277394E-2</v>
      </c>
      <c r="DL51" s="34">
        <v>30442.03</v>
      </c>
      <c r="DM51">
        <f t="shared" si="79"/>
        <v>-33947</v>
      </c>
      <c r="DN51" s="34">
        <f t="shared" si="80"/>
        <v>-30442.03</v>
      </c>
      <c r="DO51" s="23">
        <v>-0.17199999999999999</v>
      </c>
      <c r="DP51" s="23">
        <f t="shared" si="81"/>
        <v>-0.18166935643241724</v>
      </c>
      <c r="DQ51" s="23">
        <f t="shared" si="43"/>
        <v>1.2664451716106265E-2</v>
      </c>
      <c r="DR51" s="23">
        <f t="shared" si="44"/>
        <v>5.8643628954356569E-2</v>
      </c>
    </row>
    <row r="52" spans="1:122" x14ac:dyDescent="0.25">
      <c r="A52" s="9" t="s">
        <v>114</v>
      </c>
      <c r="B52" s="9" t="s">
        <v>113</v>
      </c>
      <c r="C52" s="10">
        <f t="shared" si="83"/>
        <v>15</v>
      </c>
      <c r="D52" s="15">
        <v>15</v>
      </c>
      <c r="E52" s="15">
        <v>0</v>
      </c>
      <c r="F52">
        <v>0</v>
      </c>
      <c r="G52">
        <v>0</v>
      </c>
      <c r="H52" s="12">
        <v>0</v>
      </c>
      <c r="I52">
        <v>0</v>
      </c>
      <c r="J52" s="12">
        <v>0</v>
      </c>
      <c r="K52" s="15"/>
      <c r="L52" s="38">
        <v>12.5</v>
      </c>
      <c r="M52" s="23">
        <f t="shared" si="84"/>
        <v>0.83333333333333337</v>
      </c>
      <c r="N52" s="23">
        <f>M52/M75</f>
        <v>1.2931765078757498E-2</v>
      </c>
      <c r="O52" s="33">
        <v>4.5</v>
      </c>
      <c r="P52" s="23">
        <f t="shared" si="85"/>
        <v>0.3</v>
      </c>
      <c r="Q52" s="40">
        <f>P52/P75</f>
        <v>2.0076381496379476E-2</v>
      </c>
      <c r="R52" s="23">
        <f t="shared" si="86"/>
        <v>0.7</v>
      </c>
      <c r="S52" s="40">
        <f>R52/R75</f>
        <v>1.3444387653102331E-2</v>
      </c>
      <c r="T52" s="40">
        <f t="shared" si="87"/>
        <v>1.4717919183162993E-2</v>
      </c>
      <c r="U52" s="34"/>
      <c r="V52" s="34">
        <f t="shared" si="82"/>
        <v>0</v>
      </c>
      <c r="W52" s="34"/>
      <c r="X52" s="40">
        <f>V52/V75</f>
        <v>0</v>
      </c>
      <c r="Y52" s="47">
        <f t="shared" si="88"/>
        <v>8.8307515098977954E-3</v>
      </c>
      <c r="Z52" s="47">
        <v>-0.30299999999999999</v>
      </c>
      <c r="AA52" s="135">
        <v>0.193</v>
      </c>
      <c r="AB52" s="218">
        <v>37</v>
      </c>
      <c r="AC52" s="226">
        <v>-9.6400863205664752E-3</v>
      </c>
      <c r="AD52" s="135">
        <f t="shared" si="64"/>
        <v>0.21730708124525436</v>
      </c>
      <c r="AE52" s="298"/>
      <c r="AF52" s="298"/>
      <c r="AG52" s="23"/>
      <c r="AH52" s="23"/>
      <c r="AI52" s="53"/>
      <c r="AJ52" s="68"/>
      <c r="AK52" s="79"/>
      <c r="AL52" s="68"/>
      <c r="AM52" s="298"/>
      <c r="AN52" s="68"/>
      <c r="AO52" s="68"/>
      <c r="AP52" s="23"/>
      <c r="AQ52" s="23"/>
      <c r="AR52" s="23"/>
      <c r="AS52" s="23"/>
      <c r="AT52" s="23"/>
      <c r="AU52" s="23"/>
      <c r="AV52" s="23"/>
      <c r="AW52" s="26"/>
      <c r="AX52" s="26"/>
      <c r="AY52" s="26"/>
      <c r="AZ52" s="26"/>
      <c r="BA52" s="26"/>
      <c r="BF52">
        <v>90</v>
      </c>
      <c r="BG52">
        <v>90</v>
      </c>
      <c r="BH52">
        <f t="shared" si="65"/>
        <v>0</v>
      </c>
      <c r="BI52">
        <v>34</v>
      </c>
      <c r="BJ52">
        <v>147</v>
      </c>
      <c r="BK52" s="117">
        <v>34.196350000000002</v>
      </c>
      <c r="BL52">
        <f t="shared" si="74"/>
        <v>56</v>
      </c>
      <c r="BM52">
        <v>154</v>
      </c>
      <c r="BN52">
        <v>108</v>
      </c>
      <c r="BO52" s="117">
        <f t="shared" si="26"/>
        <v>80.496830000000003</v>
      </c>
      <c r="BP52" s="34">
        <f t="shared" si="89"/>
        <v>157.735255</v>
      </c>
      <c r="BQ52" s="117">
        <f t="shared" si="90"/>
        <v>121.09334298118669</v>
      </c>
      <c r="BR52" s="117">
        <v>116.0355</v>
      </c>
      <c r="BS52" s="117">
        <f t="shared" si="66"/>
        <v>25.906657018813306</v>
      </c>
      <c r="BT52" s="117">
        <f t="shared" si="67"/>
        <v>30.964500000000001</v>
      </c>
      <c r="BU52" s="117">
        <f t="shared" si="75"/>
        <v>55.803649999999998</v>
      </c>
      <c r="BV52" s="23">
        <v>0.42899999999999999</v>
      </c>
      <c r="BW52" s="117">
        <f t="shared" si="30"/>
        <v>27.503169999999997</v>
      </c>
      <c r="BX52" s="25">
        <f t="shared" si="31"/>
        <v>0.23148729740608845</v>
      </c>
      <c r="BY52" s="34">
        <f t="shared" si="32"/>
        <v>-3.7352549999999951</v>
      </c>
      <c r="BZ52" s="23">
        <f t="shared" si="53"/>
        <v>-2.60662341713679E-2</v>
      </c>
      <c r="CA52" s="23">
        <f t="shared" si="91"/>
        <v>0.17737507138498329</v>
      </c>
      <c r="CB52" s="25">
        <f t="shared" si="68"/>
        <v>0.34651208460400218</v>
      </c>
      <c r="CC52" s="23">
        <f t="shared" si="76"/>
        <v>0.46760751859190736</v>
      </c>
      <c r="CD52" s="117">
        <v>3</v>
      </c>
      <c r="CE52" s="117">
        <f t="shared" si="92"/>
        <v>116.03803099999999</v>
      </c>
      <c r="CF52" s="117">
        <f t="shared" si="33"/>
        <v>30.961969000000011</v>
      </c>
      <c r="CG52" s="23">
        <f t="shared" si="69"/>
        <v>0.17574065827057075</v>
      </c>
      <c r="CH52" s="26">
        <f t="shared" si="93"/>
        <v>0.83680997297297322</v>
      </c>
      <c r="CI52" s="23">
        <f t="shared" si="94"/>
        <v>0.24789113592027578</v>
      </c>
      <c r="CJ52" s="117">
        <v>9</v>
      </c>
      <c r="CK52" s="117">
        <v>10</v>
      </c>
      <c r="CL52" s="117">
        <f t="shared" si="95"/>
        <v>21.509998100000001</v>
      </c>
      <c r="CM52" s="117">
        <f t="shared" si="96"/>
        <v>16.01013024602026</v>
      </c>
      <c r="CN52" s="117">
        <f t="shared" si="34"/>
        <v>-11.509998100000001</v>
      </c>
      <c r="CO52" s="117">
        <f t="shared" si="97"/>
        <v>-7.0101302460202604</v>
      </c>
      <c r="CP52" s="23">
        <f t="shared" si="35"/>
        <v>-0.45167880209543021</v>
      </c>
      <c r="CQ52" s="23">
        <f t="shared" si="70"/>
        <v>-0.36541495506668303</v>
      </c>
      <c r="CR52" s="23">
        <f t="shared" si="36"/>
        <v>-0.13246937615238347</v>
      </c>
      <c r="CS52" s="23">
        <f t="shared" si="37"/>
        <v>8.2261734287895585E-2</v>
      </c>
      <c r="CT52" s="26">
        <f t="shared" si="98"/>
        <v>4.1677564772066703E-2</v>
      </c>
      <c r="CU52" s="117">
        <v>5</v>
      </c>
      <c r="CV52" s="117">
        <f t="shared" si="77"/>
        <v>-2</v>
      </c>
      <c r="CW52" s="23">
        <v>-0.24199999999999999</v>
      </c>
      <c r="CX52" s="23">
        <v>0.26100000000000001</v>
      </c>
      <c r="CY52" s="23">
        <f t="shared" si="78"/>
        <v>0.29020563894393053</v>
      </c>
      <c r="CZ52" s="34">
        <v>50580</v>
      </c>
      <c r="DA52" s="75">
        <v>50580</v>
      </c>
      <c r="DB52" s="34">
        <v>36119</v>
      </c>
      <c r="DC52" s="34">
        <v>50580</v>
      </c>
      <c r="DD52" s="34">
        <v>50580</v>
      </c>
      <c r="DE52" s="34">
        <f t="shared" si="99"/>
        <v>91301.089000000007</v>
      </c>
      <c r="DF52" s="34">
        <f t="shared" si="100"/>
        <v>69660.933429811863</v>
      </c>
      <c r="DG52" s="34">
        <f t="shared" si="38"/>
        <v>-40721.089000000007</v>
      </c>
      <c r="DH52" s="34">
        <f t="shared" si="39"/>
        <v>-19080.933429811863</v>
      </c>
      <c r="DI52" s="36">
        <f t="shared" si="71"/>
        <v>-8.9836438995182205E-2</v>
      </c>
      <c r="DJ52" s="36">
        <f t="shared" si="40"/>
        <v>-0.18033208690083596</v>
      </c>
      <c r="DK52" s="36">
        <f t="shared" si="72"/>
        <v>-1.0928036734832867E-2</v>
      </c>
      <c r="DL52" s="34">
        <v>32446.44</v>
      </c>
      <c r="DM52">
        <f t="shared" si="79"/>
        <v>14461</v>
      </c>
      <c r="DN52" s="34">
        <f t="shared" si="80"/>
        <v>18133.560000000001</v>
      </c>
      <c r="DO52" s="23">
        <v>9.0999999999999998E-2</v>
      </c>
      <c r="DP52" s="23">
        <f t="shared" si="81"/>
        <v>0.10795924469724007</v>
      </c>
      <c r="DQ52" s="23">
        <f t="shared" si="43"/>
        <v>-0.15161446045176447</v>
      </c>
      <c r="DR52" s="23">
        <f t="shared" si="44"/>
        <v>1.3422464974664462E-2</v>
      </c>
    </row>
    <row r="53" spans="1:122" x14ac:dyDescent="0.25">
      <c r="A53" s="7" t="s">
        <v>114</v>
      </c>
      <c r="B53" s="7" t="s">
        <v>117</v>
      </c>
      <c r="C53" s="10">
        <f t="shared" si="83"/>
        <v>29</v>
      </c>
      <c r="D53" s="15">
        <v>18</v>
      </c>
      <c r="E53" s="15">
        <v>0</v>
      </c>
      <c r="F53">
        <v>0</v>
      </c>
      <c r="G53">
        <v>9</v>
      </c>
      <c r="H53" s="12">
        <v>2</v>
      </c>
      <c r="I53">
        <v>0</v>
      </c>
      <c r="J53" s="12">
        <v>0</v>
      </c>
      <c r="K53" s="15"/>
      <c r="L53" s="38">
        <v>23.5</v>
      </c>
      <c r="M53" s="23">
        <f t="shared" si="84"/>
        <v>0.81034482758620685</v>
      </c>
      <c r="N53" s="23">
        <f>M53/M75</f>
        <v>1.257502673175729E-2</v>
      </c>
      <c r="O53" s="33">
        <v>2.5</v>
      </c>
      <c r="P53" s="23">
        <f t="shared" si="85"/>
        <v>8.6206896551724144E-2</v>
      </c>
      <c r="Q53" s="40">
        <f>P53/P75</f>
        <v>5.7690751426377812E-3</v>
      </c>
      <c r="R53" s="23">
        <f t="shared" si="86"/>
        <v>0.62931034482758619</v>
      </c>
      <c r="S53" s="40">
        <f>R53/R75</f>
        <v>1.2086703185670816E-2</v>
      </c>
      <c r="T53" s="40">
        <f t="shared" si="87"/>
        <v>1.0873538834477413E-2</v>
      </c>
      <c r="U53" s="34"/>
      <c r="V53" s="34">
        <f t="shared" si="82"/>
        <v>0</v>
      </c>
      <c r="W53" s="34"/>
      <c r="X53" s="40">
        <f>V53/V75</f>
        <v>0</v>
      </c>
      <c r="Y53" s="47">
        <f t="shared" si="88"/>
        <v>6.5241233006864477E-3</v>
      </c>
      <c r="Z53" s="47">
        <v>-0.187</v>
      </c>
      <c r="AA53" s="135">
        <v>-0.20300000000000001</v>
      </c>
      <c r="AB53" s="218">
        <v>23</v>
      </c>
      <c r="AC53" s="226">
        <v>-6.9011671712928255E-2</v>
      </c>
      <c r="AD53" s="135">
        <f t="shared" si="64"/>
        <v>-0.19355740109257019</v>
      </c>
      <c r="AE53" s="298"/>
      <c r="AF53" s="298"/>
      <c r="AG53" s="23"/>
      <c r="AH53" s="23"/>
      <c r="AI53" s="53"/>
      <c r="AJ53" s="68"/>
      <c r="AK53" s="79"/>
      <c r="AL53" s="68"/>
      <c r="AM53" s="298"/>
      <c r="AN53" s="68"/>
      <c r="AO53" s="68"/>
      <c r="AP53" s="23"/>
      <c r="AQ53" s="23"/>
      <c r="AR53" s="23"/>
      <c r="AS53" s="23"/>
      <c r="AT53" s="23"/>
      <c r="AU53" s="23"/>
      <c r="AV53" s="23"/>
      <c r="AW53" s="26"/>
      <c r="AX53" s="26"/>
      <c r="AY53" s="26"/>
      <c r="AZ53" s="26"/>
      <c r="BA53" s="26"/>
      <c r="BF53">
        <v>68</v>
      </c>
      <c r="BG53">
        <v>68</v>
      </c>
      <c r="BH53">
        <f t="shared" si="65"/>
        <v>0</v>
      </c>
      <c r="BI53">
        <v>66</v>
      </c>
      <c r="BJ53">
        <v>95</v>
      </c>
      <c r="BK53" s="117">
        <v>66.112949999999998</v>
      </c>
      <c r="BL53">
        <f t="shared" si="74"/>
        <v>2</v>
      </c>
      <c r="BM53">
        <v>122</v>
      </c>
      <c r="BN53">
        <v>87</v>
      </c>
      <c r="BO53" s="117">
        <f t="shared" si="26"/>
        <v>50.03857</v>
      </c>
      <c r="BP53" s="34">
        <f t="shared" si="89"/>
        <v>98.051644999999994</v>
      </c>
      <c r="BQ53" s="117">
        <f t="shared" si="90"/>
        <v>75.27424023154849</v>
      </c>
      <c r="BR53" s="117">
        <v>72.130179999999996</v>
      </c>
      <c r="BS53" s="117">
        <f t="shared" si="66"/>
        <v>19.72575976845151</v>
      </c>
      <c r="BT53" s="117">
        <f t="shared" si="67"/>
        <v>22.869820000000004</v>
      </c>
      <c r="BU53" s="117">
        <f t="shared" si="75"/>
        <v>1.8870500000000021</v>
      </c>
      <c r="BV53" s="23">
        <v>-5.3999999999999999E-2</v>
      </c>
      <c r="BW53" s="117">
        <f t="shared" si="30"/>
        <v>36.96143</v>
      </c>
      <c r="BX53" s="25">
        <f t="shared" si="31"/>
        <v>0.32129565596531845</v>
      </c>
      <c r="BY53" s="34">
        <f t="shared" si="32"/>
        <v>23.948355000000006</v>
      </c>
      <c r="BZ53" s="23">
        <f t="shared" si="53"/>
        <v>0.12328277670714179</v>
      </c>
      <c r="CA53" s="23">
        <f t="shared" si="91"/>
        <v>0.13505633106236992</v>
      </c>
      <c r="CB53" s="23">
        <f t="shared" si="68"/>
        <v>-2.4094073399539246E-2</v>
      </c>
      <c r="CC53" s="23">
        <f t="shared" si="76"/>
        <v>-2.1312314610375943E-2</v>
      </c>
      <c r="CD53" s="117">
        <v>5</v>
      </c>
      <c r="CE53" s="117">
        <f t="shared" si="92"/>
        <v>72.131748999999999</v>
      </c>
      <c r="CF53" s="117">
        <f t="shared" si="33"/>
        <v>22.868251000000001</v>
      </c>
      <c r="CG53" s="23">
        <f t="shared" si="69"/>
        <v>0.12010669840325705</v>
      </c>
      <c r="CH53" s="26">
        <f t="shared" si="93"/>
        <v>0.99427178260869564</v>
      </c>
      <c r="CI53" s="25">
        <f t="shared" si="94"/>
        <v>0.30134807633802702</v>
      </c>
      <c r="CJ53" s="117">
        <v>3</v>
      </c>
      <c r="CK53" s="117">
        <v>6</v>
      </c>
      <c r="CL53" s="117">
        <f t="shared" si="95"/>
        <v>13.3710799</v>
      </c>
      <c r="CM53" s="117">
        <f t="shared" si="96"/>
        <v>9.9522431259044861</v>
      </c>
      <c r="CN53" s="117">
        <f t="shared" si="34"/>
        <v>-7.3710798999999998</v>
      </c>
      <c r="CO53" s="117">
        <f t="shared" si="97"/>
        <v>-6.9522431259044861</v>
      </c>
      <c r="CP53" s="23">
        <f t="shared" si="35"/>
        <v>-0.32092695788461739</v>
      </c>
      <c r="CQ53" s="23">
        <f t="shared" si="70"/>
        <v>-0.36239749053268894</v>
      </c>
      <c r="CR53" s="23">
        <f t="shared" si="36"/>
        <v>1.2230343059201995E-2</v>
      </c>
      <c r="CS53" s="26">
        <f t="shared" si="37"/>
        <v>0.1503723693408166</v>
      </c>
      <c r="CT53" s="26">
        <f t="shared" si="98"/>
        <v>1.0692875663605203E-2</v>
      </c>
      <c r="CU53" s="117">
        <v>9</v>
      </c>
      <c r="CV53" s="117">
        <f t="shared" si="77"/>
        <v>-4</v>
      </c>
      <c r="CW53" s="23">
        <v>-0.32200000000000001</v>
      </c>
      <c r="CX53" s="23">
        <v>-0.121</v>
      </c>
      <c r="CY53" s="23">
        <f t="shared" si="78"/>
        <v>-9.6484235957781966E-2</v>
      </c>
      <c r="CZ53" s="34">
        <v>2817</v>
      </c>
      <c r="DA53" s="75">
        <v>2817</v>
      </c>
      <c r="DB53" s="34">
        <v>65316</v>
      </c>
      <c r="DC53" s="34">
        <v>2817</v>
      </c>
      <c r="DD53" s="34">
        <v>2817</v>
      </c>
      <c r="DE53" s="34">
        <f t="shared" si="99"/>
        <v>56754.731000000007</v>
      </c>
      <c r="DF53" s="34">
        <f t="shared" si="100"/>
        <v>43302.742402315489</v>
      </c>
      <c r="DG53" s="34">
        <f t="shared" si="38"/>
        <v>-53937.731000000007</v>
      </c>
      <c r="DH53" s="34">
        <f t="shared" si="39"/>
        <v>-40485.742402315489</v>
      </c>
      <c r="DI53" s="36">
        <f t="shared" si="71"/>
        <v>-0.19061409866970738</v>
      </c>
      <c r="DJ53" s="36">
        <f t="shared" si="40"/>
        <v>-0.23434603021751835</v>
      </c>
      <c r="DK53" s="36">
        <f t="shared" si="72"/>
        <v>-6.9829914069719834E-2</v>
      </c>
      <c r="DL53" s="34">
        <v>59674.06</v>
      </c>
      <c r="DM53">
        <f t="shared" si="79"/>
        <v>-62499</v>
      </c>
      <c r="DN53" s="34">
        <f t="shared" si="80"/>
        <v>-56857.06</v>
      </c>
      <c r="DO53" s="23">
        <v>-0.32700000000000001</v>
      </c>
      <c r="DP53" s="23">
        <f t="shared" si="81"/>
        <v>-0.33916714879475257</v>
      </c>
      <c r="DQ53" s="23">
        <f t="shared" si="43"/>
        <v>-8.6400206251486145E-2</v>
      </c>
      <c r="DR53" s="23">
        <f t="shared" si="44"/>
        <v>1.3977782136606998E-2</v>
      </c>
    </row>
    <row r="54" spans="1:122" x14ac:dyDescent="0.25">
      <c r="A54" s="9" t="s">
        <v>118</v>
      </c>
      <c r="B54" s="9" t="s">
        <v>119</v>
      </c>
      <c r="C54" s="10">
        <f t="shared" si="83"/>
        <v>32</v>
      </c>
      <c r="D54" s="8">
        <v>26</v>
      </c>
      <c r="E54" s="8">
        <v>6</v>
      </c>
      <c r="F54">
        <v>0</v>
      </c>
      <c r="G54">
        <v>0</v>
      </c>
      <c r="H54" s="8">
        <v>0</v>
      </c>
      <c r="I54">
        <v>0</v>
      </c>
      <c r="J54">
        <v>0</v>
      </c>
      <c r="L54" s="38">
        <v>10.5</v>
      </c>
      <c r="M54" s="23">
        <f t="shared" si="84"/>
        <v>0.328125</v>
      </c>
      <c r="N54" s="23">
        <f>M54/M75</f>
        <v>5.0918824997607647E-3</v>
      </c>
      <c r="O54" s="33">
        <v>5.5</v>
      </c>
      <c r="P54" s="23">
        <f t="shared" si="85"/>
        <v>0.171875</v>
      </c>
      <c r="Q54" s="40">
        <f>P54/P75</f>
        <v>1.1502093565634076E-2</v>
      </c>
      <c r="R54" s="23">
        <f t="shared" si="86"/>
        <v>0.2890625</v>
      </c>
      <c r="S54" s="40">
        <f>R54/R75</f>
        <v>5.5518118656784181E-3</v>
      </c>
      <c r="T54" s="40">
        <f t="shared" si="87"/>
        <v>6.6944352662290929E-3</v>
      </c>
      <c r="U54" s="34"/>
      <c r="V54" s="34">
        <f t="shared" si="82"/>
        <v>0</v>
      </c>
      <c r="W54" s="34"/>
      <c r="X54" s="40">
        <f>V54/V75</f>
        <v>0</v>
      </c>
      <c r="Y54" s="47">
        <f t="shared" si="88"/>
        <v>4.0166611597374554E-3</v>
      </c>
      <c r="Z54" s="47">
        <v>-0.32600000000000001</v>
      </c>
      <c r="AA54" s="135">
        <v>-0.42899999999999999</v>
      </c>
      <c r="AB54" s="218">
        <v>26</v>
      </c>
      <c r="AC54" s="226">
        <v>-0.16664053256311911</v>
      </c>
      <c r="AD54" s="135">
        <f t="shared" si="64"/>
        <v>-0.42753034923270988</v>
      </c>
      <c r="AE54" s="298"/>
      <c r="AF54" s="298"/>
      <c r="AG54" s="23"/>
      <c r="AH54" s="23"/>
      <c r="AI54" s="53"/>
      <c r="AJ54" s="68"/>
      <c r="AK54" s="79"/>
      <c r="AL54" s="68"/>
      <c r="AM54" s="298"/>
      <c r="AN54" s="68"/>
      <c r="AO54" s="68"/>
      <c r="AP54" s="23"/>
      <c r="AQ54" s="23"/>
      <c r="AR54" s="23"/>
      <c r="AS54" s="23"/>
      <c r="AT54" s="23"/>
      <c r="AU54" s="23"/>
      <c r="AV54" s="23"/>
      <c r="AW54" s="26"/>
      <c r="AX54" s="26"/>
      <c r="AY54" s="26"/>
      <c r="AZ54" s="26"/>
      <c r="BA54" s="26"/>
      <c r="BF54">
        <v>21</v>
      </c>
      <c r="BG54">
        <v>21</v>
      </c>
      <c r="BH54">
        <f t="shared" si="65"/>
        <v>0</v>
      </c>
      <c r="BI54">
        <v>72</v>
      </c>
      <c r="BJ54">
        <v>41</v>
      </c>
      <c r="BK54" s="117">
        <v>72.952219999999997</v>
      </c>
      <c r="BL54">
        <f t="shared" si="74"/>
        <v>-51</v>
      </c>
      <c r="BM54">
        <v>52</v>
      </c>
      <c r="BN54">
        <v>15</v>
      </c>
      <c r="BO54" s="117">
        <f t="shared" si="26"/>
        <v>56.565340000000006</v>
      </c>
      <c r="BP54" s="34">
        <f t="shared" si="89"/>
        <v>110.84099000000001</v>
      </c>
      <c r="BQ54" s="117">
        <f t="shared" si="90"/>
        <v>85.092619392185242</v>
      </c>
      <c r="BR54" s="117">
        <v>81.538460000000001</v>
      </c>
      <c r="BS54" s="117">
        <f t="shared" si="66"/>
        <v>-44.092619392185242</v>
      </c>
      <c r="BT54" s="117">
        <f t="shared" si="67"/>
        <v>-40.538460000000001</v>
      </c>
      <c r="BU54" s="117">
        <f t="shared" si="75"/>
        <v>-51.952219999999997</v>
      </c>
      <c r="BV54" s="23">
        <v>-0.52700000000000002</v>
      </c>
      <c r="BW54" s="117">
        <f t="shared" si="30"/>
        <v>-41.565340000000006</v>
      </c>
      <c r="BX54" s="23">
        <f t="shared" si="31"/>
        <v>-0.42433412336599452</v>
      </c>
      <c r="BY54" s="34">
        <f t="shared" si="32"/>
        <v>-58.840990000000005</v>
      </c>
      <c r="BZ54" s="23">
        <f t="shared" si="53"/>
        <v>-0.32335358274994103</v>
      </c>
      <c r="CA54" s="23">
        <f t="shared" si="91"/>
        <v>-0.30188887383502333</v>
      </c>
      <c r="CB54" s="23">
        <f t="shared" si="68"/>
        <v>-0.39416868872052258</v>
      </c>
      <c r="CC54" s="23">
        <f t="shared" si="76"/>
        <v>-0.50953091348591151</v>
      </c>
      <c r="CD54" s="117">
        <v>7</v>
      </c>
      <c r="CE54" s="117">
        <f t="shared" si="92"/>
        <v>81.540237999999988</v>
      </c>
      <c r="CF54" s="117">
        <f t="shared" si="33"/>
        <v>-40.540237999999988</v>
      </c>
      <c r="CG54" s="23">
        <f t="shared" si="69"/>
        <v>-0.31574556779541668</v>
      </c>
      <c r="CH54" s="26">
        <f t="shared" si="93"/>
        <v>-1.5592399230769227</v>
      </c>
      <c r="CI54" s="23">
        <f t="shared" si="94"/>
        <v>-0.56554735324364092</v>
      </c>
      <c r="CJ54" s="117">
        <v>19</v>
      </c>
      <c r="CK54" s="117">
        <v>21</v>
      </c>
      <c r="CL54" s="117">
        <f t="shared" si="95"/>
        <v>15.115133800000001</v>
      </c>
      <c r="CM54" s="117">
        <f t="shared" si="96"/>
        <v>11.250361794500723</v>
      </c>
      <c r="CN54" s="117">
        <f t="shared" si="34"/>
        <v>5.8848661999999994</v>
      </c>
      <c r="CO54" s="117">
        <f t="shared" si="97"/>
        <v>7.7496382054992772</v>
      </c>
      <c r="CP54" s="23">
        <f t="shared" si="35"/>
        <v>9.783932730897052E-2</v>
      </c>
      <c r="CQ54" s="23">
        <f t="shared" si="70"/>
        <v>0.40396306448845742</v>
      </c>
      <c r="CR54" s="23">
        <f t="shared" si="36"/>
        <v>-0.21805535523521316</v>
      </c>
      <c r="CS54" s="23">
        <f t="shared" si="37"/>
        <v>-0.21725982640238153</v>
      </c>
      <c r="CT54" s="26">
        <f t="shared" si="98"/>
        <v>-0.12542588925415313</v>
      </c>
      <c r="CU54" s="117">
        <v>10</v>
      </c>
      <c r="CV54" s="117">
        <f t="shared" si="77"/>
        <v>-3</v>
      </c>
      <c r="CW54" s="23">
        <v>-0.28199999999999997</v>
      </c>
      <c r="CX54" s="23">
        <v>-0.46600000000000003</v>
      </c>
      <c r="CY54" s="23">
        <f t="shared" si="78"/>
        <v>-0.45264818511443361</v>
      </c>
      <c r="CZ54" s="34">
        <v>0</v>
      </c>
      <c r="DA54" s="75">
        <v>0</v>
      </c>
      <c r="DB54" s="34">
        <v>71357</v>
      </c>
      <c r="DC54" s="34">
        <v>0</v>
      </c>
      <c r="DD54" s="34">
        <v>0</v>
      </c>
      <c r="DE54" s="34">
        <f t="shared" si="99"/>
        <v>64157.522000000004</v>
      </c>
      <c r="DF54" s="34">
        <f t="shared" si="100"/>
        <v>48950.926193921856</v>
      </c>
      <c r="DG54" s="34">
        <f t="shared" si="38"/>
        <v>-64157.522000000004</v>
      </c>
      <c r="DH54" s="34">
        <f t="shared" si="39"/>
        <v>-48950.926193921856</v>
      </c>
      <c r="DI54" s="36">
        <f t="shared" si="71"/>
        <v>-0.23046969431313022</v>
      </c>
      <c r="DJ54" s="36">
        <f t="shared" si="40"/>
        <v>-0.2761124041408145</v>
      </c>
      <c r="DK54" s="36">
        <f t="shared" si="72"/>
        <v>-0.16744341127774398</v>
      </c>
      <c r="DL54" s="34">
        <v>65358.03</v>
      </c>
      <c r="DM54">
        <f t="shared" si="79"/>
        <v>-71357</v>
      </c>
      <c r="DN54" s="34">
        <f t="shared" si="80"/>
        <v>-65358.03</v>
      </c>
      <c r="DO54" s="23">
        <v>-0.375</v>
      </c>
      <c r="DP54" s="23">
        <f t="shared" si="81"/>
        <v>-0.38985359541012427</v>
      </c>
      <c r="DQ54" s="23">
        <f t="shared" si="43"/>
        <v>-0.2412781747974537</v>
      </c>
      <c r="DR54" s="23">
        <f t="shared" si="44"/>
        <v>-0.22254377356668104</v>
      </c>
    </row>
    <row r="55" spans="1:122" x14ac:dyDescent="0.25">
      <c r="A55" s="7" t="s">
        <v>118</v>
      </c>
      <c r="B55" s="7" t="s">
        <v>120</v>
      </c>
      <c r="C55" s="10">
        <f t="shared" si="83"/>
        <v>69</v>
      </c>
      <c r="D55" s="8">
        <v>0</v>
      </c>
      <c r="E55" s="8">
        <v>0</v>
      </c>
      <c r="F55">
        <v>0</v>
      </c>
      <c r="G55">
        <v>69</v>
      </c>
      <c r="H55" s="8">
        <v>0</v>
      </c>
      <c r="I55">
        <v>0</v>
      </c>
      <c r="J55">
        <v>0</v>
      </c>
      <c r="L55" s="38">
        <v>174</v>
      </c>
      <c r="M55" s="25">
        <f t="shared" si="84"/>
        <v>2.5217391304347827</v>
      </c>
      <c r="N55" s="23">
        <f>M55/M75</f>
        <v>3.9132645629631382E-2</v>
      </c>
      <c r="O55" s="33">
        <v>18.5</v>
      </c>
      <c r="P55" s="23">
        <f t="shared" si="85"/>
        <v>0.26811594202898553</v>
      </c>
      <c r="Q55" s="40">
        <f>P55/P75</f>
        <v>1.7942659791450259E-2</v>
      </c>
      <c r="R55" s="23">
        <f t="shared" si="86"/>
        <v>1.9583333333333333</v>
      </c>
      <c r="S55" s="42">
        <f>R55/R75</f>
        <v>3.7612274981893429E-2</v>
      </c>
      <c r="T55" s="42">
        <f t="shared" si="87"/>
        <v>3.38351491700861E-2</v>
      </c>
      <c r="U55" s="34">
        <v>80256</v>
      </c>
      <c r="V55" s="70">
        <f>U55/C55</f>
        <v>1163.1304347826087</v>
      </c>
      <c r="W55" s="70"/>
      <c r="X55" s="40">
        <f>V55/V75</f>
        <v>1.4936227925758739E-2</v>
      </c>
      <c r="Y55" s="46">
        <f t="shared" si="88"/>
        <v>2.6275580672355154E-2</v>
      </c>
      <c r="Z55" s="46">
        <v>2.1720000000000002</v>
      </c>
      <c r="AA55" s="137">
        <v>1.3839999999999999</v>
      </c>
      <c r="AB55" s="218">
        <v>67</v>
      </c>
      <c r="AC55" s="227">
        <v>1.0705336695070193</v>
      </c>
      <c r="AD55" s="137">
        <f t="shared" si="64"/>
        <v>1.4238594612840425</v>
      </c>
      <c r="AE55" s="298">
        <v>401408.73960272537</v>
      </c>
      <c r="AF55" s="298">
        <f>AO55*BE$33</f>
        <v>218940.92511078826</v>
      </c>
      <c r="AG55" s="23">
        <f>C55*AV55</f>
        <v>6.8002563554795978</v>
      </c>
      <c r="AH55" s="66" t="e">
        <f>AP55*BE$9</f>
        <v>#DIV/0!</v>
      </c>
      <c r="AI55" s="65" t="e">
        <f>AQ55*BE$17</f>
        <v>#DIV/0!</v>
      </c>
      <c r="AJ55" s="65" t="e">
        <f>SUM(AK55:AL55)</f>
        <v>#DIV/0!</v>
      </c>
      <c r="AK55" s="65" t="e">
        <f>AR55*BE$25</f>
        <v>#DIV/0!</v>
      </c>
      <c r="AL55" s="68"/>
      <c r="AM55" s="298">
        <f>AVERAGE(AE55:AF55)</f>
        <v>310174.83235675679</v>
      </c>
      <c r="AN55" s="65">
        <f>AM55+(AM$74*AZ55)</f>
        <v>316747.51237745292</v>
      </c>
      <c r="AO55" s="68">
        <f>AB55*AZ55</f>
        <v>3.8802790445995483</v>
      </c>
      <c r="AP55" s="23" t="e">
        <f>AB55*BA55</f>
        <v>#DIV/0!</v>
      </c>
      <c r="AQ55" s="23" t="e">
        <f>AB55*AW55</f>
        <v>#DIV/0!</v>
      </c>
      <c r="AR55" s="23" t="e">
        <f t="shared" ref="AR55:AR56" si="102">AB55*AX55</f>
        <v>#DIV/0!</v>
      </c>
      <c r="AS55" s="23"/>
      <c r="AT55" s="23"/>
      <c r="AU55" s="23"/>
      <c r="AV55" s="23">
        <f>AA55/BB$2</f>
        <v>9.8554439934486926E-2</v>
      </c>
      <c r="AW55" s="26" t="e">
        <f>DQ55/BE$15</f>
        <v>#DIV/0!</v>
      </c>
      <c r="AX55" s="26" t="e">
        <f>CR55/BE$20</f>
        <v>#DIV/0!</v>
      </c>
      <c r="AY55" s="26"/>
      <c r="AZ55" s="26">
        <f>DR55/BE$30</f>
        <v>5.7914612605963409E-2</v>
      </c>
      <c r="BA55" s="236" t="e">
        <f>AC55/BE$5</f>
        <v>#DIV/0!</v>
      </c>
      <c r="BF55">
        <v>528</v>
      </c>
      <c r="BG55">
        <v>528</v>
      </c>
      <c r="BH55">
        <f t="shared" si="65"/>
        <v>0</v>
      </c>
      <c r="BI55">
        <v>156</v>
      </c>
      <c r="BJ55">
        <v>595</v>
      </c>
      <c r="BK55" s="117">
        <v>157.30323000000001</v>
      </c>
      <c r="BL55">
        <f t="shared" si="74"/>
        <v>372</v>
      </c>
      <c r="BM55">
        <v>832</v>
      </c>
      <c r="BN55">
        <v>335</v>
      </c>
      <c r="BO55" s="117">
        <f t="shared" si="26"/>
        <v>145.76453000000001</v>
      </c>
      <c r="BP55" s="34">
        <f t="shared" si="89"/>
        <v>285.62870500000002</v>
      </c>
      <c r="BQ55" s="117">
        <f t="shared" si="90"/>
        <v>219.27713458755429</v>
      </c>
      <c r="BR55" s="117">
        <v>210.11833999999999</v>
      </c>
      <c r="BS55" s="117">
        <f t="shared" si="66"/>
        <v>375.72286541244569</v>
      </c>
      <c r="BT55" s="117">
        <f t="shared" si="67"/>
        <v>384.88166000000001</v>
      </c>
      <c r="BU55" s="117">
        <f t="shared" si="75"/>
        <v>370.69677000000001</v>
      </c>
      <c r="BV55" s="23">
        <v>3.2519999999999998</v>
      </c>
      <c r="BW55" s="117">
        <f t="shared" si="30"/>
        <v>189.23546999999999</v>
      </c>
      <c r="BX55" s="25">
        <f t="shared" si="31"/>
        <v>1.7671727605894805</v>
      </c>
      <c r="BY55" s="34">
        <f t="shared" si="32"/>
        <v>546.37129499999992</v>
      </c>
      <c r="BZ55" s="25">
        <f t="shared" si="53"/>
        <v>2.941677825230185</v>
      </c>
      <c r="CA55" s="25">
        <f t="shared" si="91"/>
        <v>2.5724612027366751</v>
      </c>
      <c r="CB55" s="25">
        <f t="shared" si="68"/>
        <v>2.5109907309754007</v>
      </c>
      <c r="CC55" s="23">
        <f t="shared" si="76"/>
        <v>3.3230823019971405</v>
      </c>
      <c r="CD55" s="117">
        <v>28</v>
      </c>
      <c r="CE55" s="117">
        <f t="shared" si="92"/>
        <v>210.12292099999999</v>
      </c>
      <c r="CF55" s="117">
        <f t="shared" si="33"/>
        <v>384.87707899999998</v>
      </c>
      <c r="CG55" s="25">
        <f t="shared" si="69"/>
        <v>2.6084544031991541</v>
      </c>
      <c r="CH55" s="26">
        <f t="shared" si="93"/>
        <v>5.744434014925373</v>
      </c>
      <c r="CI55" s="25">
        <f t="shared" si="94"/>
        <v>1.9139876110611018</v>
      </c>
      <c r="CJ55" s="117">
        <v>38</v>
      </c>
      <c r="CK55" s="117">
        <v>56</v>
      </c>
      <c r="CL55" s="117">
        <f t="shared" si="95"/>
        <v>38.950537099999998</v>
      </c>
      <c r="CM55" s="117">
        <f t="shared" si="96"/>
        <v>28.991316931982634</v>
      </c>
      <c r="CN55" s="117">
        <f t="shared" si="34"/>
        <v>17.049462900000002</v>
      </c>
      <c r="CO55" s="117">
        <f t="shared" si="97"/>
        <v>9.0086830680173655</v>
      </c>
      <c r="CP55" s="23">
        <f t="shared" si="35"/>
        <v>0.45053815774126926</v>
      </c>
      <c r="CQ55" s="23">
        <f t="shared" si="70"/>
        <v>0.4695929181028286</v>
      </c>
      <c r="CR55" s="25">
        <f t="shared" si="36"/>
        <v>2.3188929083579559</v>
      </c>
      <c r="CS55" s="25">
        <f t="shared" si="37"/>
        <v>1.4427777999678175</v>
      </c>
      <c r="CT55" s="25">
        <f t="shared" si="98"/>
        <v>2.0467441315782136</v>
      </c>
      <c r="CU55" s="117">
        <v>22</v>
      </c>
      <c r="CV55" s="117">
        <f t="shared" si="77"/>
        <v>6</v>
      </c>
      <c r="CW55" s="23">
        <v>7.6999999999999999E-2</v>
      </c>
      <c r="CX55" s="23">
        <v>2.4580000000000002</v>
      </c>
      <c r="CY55" s="23">
        <f t="shared" si="78"/>
        <v>2.5115617264978556</v>
      </c>
      <c r="CZ55" s="34">
        <v>98152</v>
      </c>
      <c r="DA55" s="75">
        <v>98152.82</v>
      </c>
      <c r="DB55" s="34">
        <v>142334</v>
      </c>
      <c r="DC55" s="34">
        <v>40932</v>
      </c>
      <c r="DD55" s="34">
        <v>98153</v>
      </c>
      <c r="DE55" s="34">
        <f t="shared" si="99"/>
        <v>165328.99900000001</v>
      </c>
      <c r="DF55" s="34">
        <f t="shared" si="100"/>
        <v>126142.77134587555</v>
      </c>
      <c r="DG55" s="34">
        <f t="shared" si="38"/>
        <v>-67175.999000000011</v>
      </c>
      <c r="DH55" s="34">
        <f t="shared" si="39"/>
        <v>-85210.771345875546</v>
      </c>
      <c r="DI55" s="36">
        <f t="shared" si="71"/>
        <v>-0.40118751474631847</v>
      </c>
      <c r="DJ55" s="36">
        <f t="shared" si="40"/>
        <v>-0.28844835495046112</v>
      </c>
      <c r="DK55" s="225">
        <f t="shared" si="72"/>
        <v>1.0675714730484007</v>
      </c>
      <c r="DL55" s="34">
        <v>132959.60999999999</v>
      </c>
      <c r="DM55">
        <f t="shared" si="79"/>
        <v>-44182</v>
      </c>
      <c r="DN55" s="34">
        <f t="shared" si="80"/>
        <v>-34806.789999999979</v>
      </c>
      <c r="DO55" s="23">
        <v>-0.22700000000000001</v>
      </c>
      <c r="DP55" s="23">
        <f t="shared" si="81"/>
        <v>-0.20769393653667698</v>
      </c>
      <c r="DQ55" s="25">
        <f t="shared" si="43"/>
        <v>1.2759564030345889</v>
      </c>
      <c r="DR55" s="25">
        <f t="shared" si="44"/>
        <v>0.7051916740821631</v>
      </c>
    </row>
    <row r="56" spans="1:122" x14ac:dyDescent="0.25">
      <c r="A56" s="9" t="s">
        <v>118</v>
      </c>
      <c r="B56" s="9" t="s">
        <v>121</v>
      </c>
      <c r="C56" s="10">
        <f t="shared" si="83"/>
        <v>24</v>
      </c>
      <c r="D56" s="8">
        <v>0</v>
      </c>
      <c r="E56" s="8">
        <v>0</v>
      </c>
      <c r="F56">
        <v>0</v>
      </c>
      <c r="G56">
        <v>0</v>
      </c>
      <c r="H56" s="8">
        <v>24</v>
      </c>
      <c r="I56">
        <v>0</v>
      </c>
      <c r="J56">
        <v>0</v>
      </c>
      <c r="L56" s="38">
        <v>11.5</v>
      </c>
      <c r="M56" s="23">
        <f t="shared" si="84"/>
        <v>0.47916666666666669</v>
      </c>
      <c r="N56" s="23">
        <f>M56/M75</f>
        <v>7.4357649202855614E-3</v>
      </c>
      <c r="O56" s="33">
        <v>5</v>
      </c>
      <c r="P56" s="23">
        <f t="shared" si="85"/>
        <v>0.20833333333333334</v>
      </c>
      <c r="Q56" s="40">
        <f>P56/P75</f>
        <v>1.3941931594707972E-2</v>
      </c>
      <c r="R56" s="23">
        <f t="shared" si="86"/>
        <v>0.41145833333333331</v>
      </c>
      <c r="S56" s="40">
        <f>R56/R75</f>
        <v>7.9025790520467574E-3</v>
      </c>
      <c r="T56" s="40">
        <f t="shared" si="87"/>
        <v>9.0623065888911641E-3</v>
      </c>
      <c r="U56" s="34"/>
      <c r="V56" s="34">
        <f t="shared" si="82"/>
        <v>0</v>
      </c>
      <c r="W56" s="34"/>
      <c r="X56" s="40">
        <f>V56/V75</f>
        <v>0</v>
      </c>
      <c r="Y56" s="47">
        <f t="shared" si="88"/>
        <v>5.4373839533346981E-3</v>
      </c>
      <c r="Z56" s="47">
        <v>-0.217</v>
      </c>
      <c r="AA56" s="137">
        <v>0.314</v>
      </c>
      <c r="AB56" s="218">
        <v>24</v>
      </c>
      <c r="AC56" s="227">
        <v>0.75937557776161735</v>
      </c>
      <c r="AD56" s="137">
        <f t="shared" si="64"/>
        <v>0.38002034267927343</v>
      </c>
      <c r="AE56" s="298">
        <v>37772.854564454989</v>
      </c>
      <c r="AF56" s="298">
        <f>AO56*BE$33</f>
        <v>84100.804575875023</v>
      </c>
      <c r="AG56" s="23">
        <f>C56*AV56</f>
        <v>0.5366374706259347</v>
      </c>
      <c r="AH56" s="66" t="e">
        <f>AP56*BE$9</f>
        <v>#DIV/0!</v>
      </c>
      <c r="AI56" s="65" t="e">
        <f>AQ56*BE$17</f>
        <v>#DIV/0!</v>
      </c>
      <c r="AJ56" s="65" t="e">
        <f>SUM(AK56:AL56)</f>
        <v>#DIV/0!</v>
      </c>
      <c r="AK56" s="65" t="e">
        <f>AR56*BE$25</f>
        <v>#DIV/0!</v>
      </c>
      <c r="AL56" s="65" t="e">
        <f>AS56*BE$27</f>
        <v>#DIV/0!</v>
      </c>
      <c r="AM56" s="298">
        <f>AVERAGE(AE56:AF56)</f>
        <v>60936.829570165006</v>
      </c>
      <c r="AN56" s="65">
        <f>AM56+(AM$74*AZ56)</f>
        <v>67985.046344583548</v>
      </c>
      <c r="AO56" s="68">
        <f>AB56*AZ56</f>
        <v>1.4905143452033838</v>
      </c>
      <c r="AP56" s="23" t="e">
        <f>AB56*BA56</f>
        <v>#DIV/0!</v>
      </c>
      <c r="AQ56" s="23" t="e">
        <f>AB56*AW56</f>
        <v>#DIV/0!</v>
      </c>
      <c r="AR56" s="23" t="e">
        <f t="shared" si="102"/>
        <v>#DIV/0!</v>
      </c>
      <c r="AS56" s="23" t="e">
        <f>AB56*AY56</f>
        <v>#DIV/0!</v>
      </c>
      <c r="AT56" s="23"/>
      <c r="AU56" s="23"/>
      <c r="AV56" s="23">
        <f>AA56/BB$2</f>
        <v>2.2359894609413945E-2</v>
      </c>
      <c r="AW56" s="26" t="e">
        <f>DQ56/BE$15</f>
        <v>#DIV/0!</v>
      </c>
      <c r="AX56" s="26" t="e">
        <f>CR56/BE$20</f>
        <v>#DIV/0!</v>
      </c>
      <c r="AY56" s="26" t="e">
        <f>DJ56/BE$22</f>
        <v>#DIV/0!</v>
      </c>
      <c r="AZ56" s="26">
        <f>DR56/BE$30</f>
        <v>6.2104764383474322E-2</v>
      </c>
      <c r="BA56" s="236" t="e">
        <f>AC56/BE$5</f>
        <v>#DIV/0!</v>
      </c>
      <c r="BF56">
        <v>31</v>
      </c>
      <c r="BG56">
        <v>31</v>
      </c>
      <c r="BH56">
        <f t="shared" si="65"/>
        <v>0</v>
      </c>
      <c r="BI56">
        <v>54</v>
      </c>
      <c r="BJ56">
        <v>205</v>
      </c>
      <c r="BK56" s="117">
        <v>54.714170000000003</v>
      </c>
      <c r="BL56">
        <f t="shared" si="74"/>
        <v>-23</v>
      </c>
      <c r="BM56">
        <v>220</v>
      </c>
      <c r="BN56">
        <v>146</v>
      </c>
      <c r="BO56" s="117">
        <f t="shared" si="26"/>
        <v>52.214160000000007</v>
      </c>
      <c r="BP56" s="34">
        <f t="shared" si="89"/>
        <v>102.31476000000001</v>
      </c>
      <c r="BQ56" s="117">
        <f t="shared" si="90"/>
        <v>78.547033285094074</v>
      </c>
      <c r="BR56" s="117">
        <v>75.266270000000006</v>
      </c>
      <c r="BS56" s="117">
        <f t="shared" si="66"/>
        <v>126.45296671490593</v>
      </c>
      <c r="BT56" s="117">
        <f t="shared" si="67"/>
        <v>129.73372999999998</v>
      </c>
      <c r="BU56" s="117">
        <f t="shared" si="75"/>
        <v>-23.714170000000003</v>
      </c>
      <c r="BV56" s="23">
        <v>-0.27700000000000002</v>
      </c>
      <c r="BW56" s="117">
        <f t="shared" si="30"/>
        <v>93.785839999999993</v>
      </c>
      <c r="BX56" s="25">
        <f t="shared" si="31"/>
        <v>0.86085652532148893</v>
      </c>
      <c r="BY56" s="34">
        <f t="shared" si="32"/>
        <v>117.68523999999999</v>
      </c>
      <c r="BZ56" s="25">
        <f t="shared" si="53"/>
        <v>0.62897950692341809</v>
      </c>
      <c r="CA56" s="25">
        <f t="shared" si="91"/>
        <v>0.86578534550448039</v>
      </c>
      <c r="CB56" s="23">
        <f t="shared" si="68"/>
        <v>-0.20006900105453657</v>
      </c>
      <c r="CC56" s="23">
        <f t="shared" si="76"/>
        <v>-0.25346612646377481</v>
      </c>
      <c r="CD56" s="117">
        <v>3</v>
      </c>
      <c r="CE56" s="117">
        <f t="shared" si="92"/>
        <v>75.267911999999995</v>
      </c>
      <c r="CF56" s="117">
        <f t="shared" si="33"/>
        <v>129.732088</v>
      </c>
      <c r="CG56" s="25">
        <f t="shared" si="69"/>
        <v>0.85465890530312005</v>
      </c>
      <c r="CH56" s="26">
        <f t="shared" si="93"/>
        <v>5.4055036666666672</v>
      </c>
      <c r="CI56" s="25">
        <f t="shared" si="94"/>
        <v>1.7989236506344528</v>
      </c>
      <c r="CJ56" s="117">
        <v>1</v>
      </c>
      <c r="CK56" s="117">
        <v>4</v>
      </c>
      <c r="CL56" s="117">
        <f t="shared" si="95"/>
        <v>13.952431199999999</v>
      </c>
      <c r="CM56" s="117">
        <f t="shared" si="96"/>
        <v>10.384949348769899</v>
      </c>
      <c r="CN56" s="117">
        <f t="shared" si="34"/>
        <v>-9.9524311999999995</v>
      </c>
      <c r="CO56" s="117">
        <f t="shared" si="97"/>
        <v>-9.3849493487698989</v>
      </c>
      <c r="CP56" s="23">
        <f t="shared" si="35"/>
        <v>-0.40247397735240464</v>
      </c>
      <c r="CQ56" s="23">
        <f t="shared" si="70"/>
        <v>-0.48920643757379012</v>
      </c>
      <c r="CR56" s="25">
        <f t="shared" si="36"/>
        <v>0.3711161358544624</v>
      </c>
      <c r="CS56" s="25">
        <f t="shared" si="37"/>
        <v>0.5233407845976692</v>
      </c>
      <c r="CT56" s="25">
        <f t="shared" si="98"/>
        <v>0.5270373997349127</v>
      </c>
      <c r="CU56" s="117">
        <v>8</v>
      </c>
      <c r="CV56" s="117">
        <f t="shared" si="77"/>
        <v>-5</v>
      </c>
      <c r="CW56" s="23">
        <v>-0.36099999999999999</v>
      </c>
      <c r="CX56" s="23">
        <v>-0.29799999999999999</v>
      </c>
      <c r="CY56" s="23">
        <f t="shared" si="78"/>
        <v>-0.28034959484783112</v>
      </c>
      <c r="CZ56" s="34">
        <v>279994</v>
      </c>
      <c r="DA56" s="75">
        <v>279994</v>
      </c>
      <c r="DB56" s="34">
        <v>55101</v>
      </c>
      <c r="DC56" s="34">
        <v>279994</v>
      </c>
      <c r="DD56" s="34">
        <v>279994</v>
      </c>
      <c r="DE56" s="34">
        <f t="shared" si="99"/>
        <v>59222.328000000009</v>
      </c>
      <c r="DF56" s="34">
        <f t="shared" si="100"/>
        <v>45185.470332850942</v>
      </c>
      <c r="DG56" s="34">
        <f t="shared" si="38"/>
        <v>220771.67199999999</v>
      </c>
      <c r="DH56" s="34">
        <f t="shared" si="39"/>
        <v>234808.52966714907</v>
      </c>
      <c r="DI56" s="36">
        <f t="shared" si="71"/>
        <v>1.1055204520567974</v>
      </c>
      <c r="DJ56" s="225">
        <f t="shared" si="40"/>
        <v>0.88833990787490003</v>
      </c>
      <c r="DK56" s="225">
        <f t="shared" si="72"/>
        <v>0.75843062066366662</v>
      </c>
      <c r="DL56" s="34">
        <v>50098.49</v>
      </c>
      <c r="DM56">
        <f t="shared" si="79"/>
        <v>224893</v>
      </c>
      <c r="DN56" s="34">
        <f t="shared" si="80"/>
        <v>229895.51</v>
      </c>
      <c r="DO56" s="23">
        <v>1.2330000000000001</v>
      </c>
      <c r="DP56" s="23">
        <f t="shared" si="81"/>
        <v>1.3705752489699301</v>
      </c>
      <c r="DQ56" s="25">
        <f t="shared" si="43"/>
        <v>0.57800564466263749</v>
      </c>
      <c r="DR56" s="25">
        <f t="shared" si="44"/>
        <v>0.75621265158132045</v>
      </c>
    </row>
    <row r="57" spans="1:122" x14ac:dyDescent="0.25">
      <c r="A57" s="7" t="s">
        <v>118</v>
      </c>
      <c r="B57" s="7" t="s">
        <v>100</v>
      </c>
      <c r="C57" s="10">
        <f t="shared" si="83"/>
        <v>83</v>
      </c>
      <c r="D57" s="8">
        <v>43</v>
      </c>
      <c r="E57" s="8">
        <v>40</v>
      </c>
      <c r="F57">
        <v>0</v>
      </c>
      <c r="G57">
        <v>0</v>
      </c>
      <c r="H57" s="8">
        <v>0</v>
      </c>
      <c r="I57">
        <v>0</v>
      </c>
      <c r="J57">
        <v>0</v>
      </c>
      <c r="L57" s="38">
        <v>38</v>
      </c>
      <c r="M57" s="23">
        <f t="shared" si="84"/>
        <v>0.45783132530120479</v>
      </c>
      <c r="N57" s="23">
        <f>M57/M75</f>
        <v>7.1046805733896608E-3</v>
      </c>
      <c r="O57" s="33">
        <v>9.5</v>
      </c>
      <c r="P57" s="23">
        <f t="shared" si="85"/>
        <v>0.1144578313253012</v>
      </c>
      <c r="Q57" s="40">
        <f>P57/P75</f>
        <v>7.6596636231166682E-3</v>
      </c>
      <c r="R57" s="23">
        <f t="shared" si="86"/>
        <v>0.37198795180722893</v>
      </c>
      <c r="S57" s="40">
        <f>R57/R75</f>
        <v>7.1445003233999056E-3</v>
      </c>
      <c r="T57" s="40">
        <f t="shared" si="87"/>
        <v>7.2434263358214131E-3</v>
      </c>
      <c r="U57" s="34"/>
      <c r="V57" s="34">
        <f t="shared" si="82"/>
        <v>0</v>
      </c>
      <c r="W57" s="34"/>
      <c r="X57" s="40">
        <f>V57/V75</f>
        <v>0</v>
      </c>
      <c r="Y57" s="47">
        <f t="shared" si="88"/>
        <v>4.3460558014928475E-3</v>
      </c>
      <c r="Z57" s="47">
        <v>-0.13200000000000001</v>
      </c>
      <c r="AA57" s="135">
        <v>-0.89400000000000002</v>
      </c>
      <c r="AB57" s="218">
        <v>75</v>
      </c>
      <c r="AC57" s="226">
        <v>-0.52389960875926356</v>
      </c>
      <c r="AD57" s="135">
        <f t="shared" si="64"/>
        <v>-0.90725518220801016</v>
      </c>
      <c r="AE57" s="298"/>
      <c r="AF57" s="298"/>
      <c r="AG57" s="23"/>
      <c r="AH57" s="23"/>
      <c r="AI57" s="53"/>
      <c r="AJ57" s="68"/>
      <c r="AK57" s="79"/>
      <c r="AL57" s="68"/>
      <c r="AM57" s="298"/>
      <c r="AN57" s="68"/>
      <c r="AO57" s="68"/>
      <c r="AP57" s="23"/>
      <c r="AQ57" s="23"/>
      <c r="AR57" s="23"/>
      <c r="AS57" s="23"/>
      <c r="AT57" s="23"/>
      <c r="AU57" s="23"/>
      <c r="AV57" s="23"/>
      <c r="AW57" s="26"/>
      <c r="AX57" s="26"/>
      <c r="AY57" s="26"/>
      <c r="AZ57" s="26"/>
      <c r="BA57" s="26"/>
      <c r="BF57">
        <v>81</v>
      </c>
      <c r="BG57">
        <v>81</v>
      </c>
      <c r="BH57">
        <f t="shared" si="65"/>
        <v>0</v>
      </c>
      <c r="BI57">
        <v>188</v>
      </c>
      <c r="BJ57">
        <v>190</v>
      </c>
      <c r="BK57" s="117">
        <v>189.21983</v>
      </c>
      <c r="BL57">
        <f t="shared" si="74"/>
        <v>-107</v>
      </c>
      <c r="BM57">
        <v>213</v>
      </c>
      <c r="BN57">
        <v>116</v>
      </c>
      <c r="BO57" s="117">
        <f t="shared" si="26"/>
        <v>163.16925000000001</v>
      </c>
      <c r="BP57" s="34">
        <f t="shared" si="89"/>
        <v>319.73362500000002</v>
      </c>
      <c r="BQ57" s="117">
        <f t="shared" si="90"/>
        <v>245.45947901591896</v>
      </c>
      <c r="BR57" s="117">
        <v>235.2071</v>
      </c>
      <c r="BS57" s="117">
        <f t="shared" si="66"/>
        <v>-55.459479015918959</v>
      </c>
      <c r="BT57" s="117">
        <f t="shared" si="67"/>
        <v>-45.207099999999997</v>
      </c>
      <c r="BU57" s="117">
        <f t="shared" si="75"/>
        <v>-108.21983</v>
      </c>
      <c r="BV57" s="23">
        <v>-1.028</v>
      </c>
      <c r="BW57" s="117">
        <f t="shared" si="30"/>
        <v>-47.169250000000005</v>
      </c>
      <c r="BX57" s="23">
        <f t="shared" si="31"/>
        <v>-0.47754454035745536</v>
      </c>
      <c r="BY57" s="34">
        <f t="shared" si="32"/>
        <v>-106.73362500000002</v>
      </c>
      <c r="BZ57" s="23">
        <f t="shared" si="53"/>
        <v>-0.58172731600277527</v>
      </c>
      <c r="CA57" s="23">
        <f t="shared" si="91"/>
        <v>-0.37971433528760279</v>
      </c>
      <c r="CB57" s="23">
        <f t="shared" si="68"/>
        <v>-0.78093496779119187</v>
      </c>
      <c r="CC57" s="23">
        <f t="shared" si="76"/>
        <v>-1.0197698843388794</v>
      </c>
      <c r="CD57" s="117">
        <v>19</v>
      </c>
      <c r="CE57" s="117">
        <f t="shared" si="92"/>
        <v>235.21222499999999</v>
      </c>
      <c r="CF57" s="117">
        <f t="shared" si="33"/>
        <v>-45.212224999999989</v>
      </c>
      <c r="CG57" s="23">
        <f t="shared" si="69"/>
        <v>-0.34785950322763842</v>
      </c>
      <c r="CH57" s="26">
        <f t="shared" si="93"/>
        <v>-0.60282966666666649</v>
      </c>
      <c r="CI57" s="23">
        <f t="shared" si="94"/>
        <v>-0.24085423425734412</v>
      </c>
      <c r="CJ57" s="117">
        <v>21</v>
      </c>
      <c r="CK57" s="117">
        <v>27</v>
      </c>
      <c r="CL57" s="117">
        <f t="shared" si="95"/>
        <v>43.601347500000003</v>
      </c>
      <c r="CM57" s="117">
        <f t="shared" si="96"/>
        <v>32.452966714905934</v>
      </c>
      <c r="CN57" s="117">
        <f t="shared" si="34"/>
        <v>-16.601347500000003</v>
      </c>
      <c r="CO57" s="117">
        <f t="shared" si="97"/>
        <v>-11.452966714905934</v>
      </c>
      <c r="CP57" s="23">
        <f t="shared" si="35"/>
        <v>-0.61251873451342664</v>
      </c>
      <c r="CQ57" s="23">
        <f t="shared" si="70"/>
        <v>-0.59700535805072863</v>
      </c>
      <c r="CR57" s="23">
        <f t="shared" si="36"/>
        <v>-0.58942517063043809</v>
      </c>
      <c r="CS57" s="23">
        <f t="shared" si="37"/>
        <v>-0.50740974478077372</v>
      </c>
      <c r="CT57" s="26">
        <f t="shared" si="98"/>
        <v>-0.43403709097838422</v>
      </c>
      <c r="CU57" s="117">
        <v>27</v>
      </c>
      <c r="CV57" s="117">
        <f t="shared" si="77"/>
        <v>-8</v>
      </c>
      <c r="CW57" s="23">
        <v>-0.48099999999999998</v>
      </c>
      <c r="CX57" s="23">
        <v>-0.89100000000000001</v>
      </c>
      <c r="CY57" s="23">
        <f t="shared" si="78"/>
        <v>-0.88507741325415945</v>
      </c>
      <c r="CZ57" s="34">
        <v>0</v>
      </c>
      <c r="DA57" s="75">
        <v>0</v>
      </c>
      <c r="DB57" s="34">
        <v>168037</v>
      </c>
      <c r="DC57" s="34">
        <v>0</v>
      </c>
      <c r="DD57" s="34">
        <v>0</v>
      </c>
      <c r="DE57" s="34">
        <f t="shared" si="99"/>
        <v>185069.77500000002</v>
      </c>
      <c r="DF57" s="34">
        <f t="shared" si="100"/>
        <v>141204.5947901592</v>
      </c>
      <c r="DG57" s="34">
        <f t="shared" si="38"/>
        <v>-185069.77500000002</v>
      </c>
      <c r="DH57" s="34">
        <f t="shared" si="39"/>
        <v>-141204.5947901592</v>
      </c>
      <c r="DI57" s="36">
        <f t="shared" si="71"/>
        <v>-0.66481642590326029</v>
      </c>
      <c r="DJ57" s="36">
        <f t="shared" si="40"/>
        <v>-0.7702581621808946</v>
      </c>
      <c r="DK57" s="36">
        <f t="shared" si="72"/>
        <v>-0.52634882494833457</v>
      </c>
      <c r="DL57" s="34">
        <v>157714.35999999999</v>
      </c>
      <c r="DM57">
        <f t="shared" si="79"/>
        <v>-168037</v>
      </c>
      <c r="DN57" s="34">
        <f t="shared" si="80"/>
        <v>-157714.35999999999</v>
      </c>
      <c r="DO57" s="23">
        <v>-0.9</v>
      </c>
      <c r="DP57" s="23">
        <f t="shared" si="81"/>
        <v>-0.94052183563878633</v>
      </c>
      <c r="DQ57" s="23">
        <f t="shared" si="43"/>
        <v>-0.66175836725062065</v>
      </c>
      <c r="DR57" s="23">
        <f t="shared" si="44"/>
        <v>-0.57037241722976839</v>
      </c>
    </row>
    <row r="58" spans="1:122" x14ac:dyDescent="0.25">
      <c r="A58" s="7" t="s">
        <v>118</v>
      </c>
      <c r="B58" s="7" t="s">
        <v>107</v>
      </c>
      <c r="C58" s="10">
        <f t="shared" si="83"/>
        <v>57</v>
      </c>
      <c r="D58" s="8">
        <v>57</v>
      </c>
      <c r="E58" s="8">
        <v>0</v>
      </c>
      <c r="F58">
        <v>0</v>
      </c>
      <c r="G58">
        <v>0</v>
      </c>
      <c r="H58" s="8">
        <v>0</v>
      </c>
      <c r="I58">
        <v>0</v>
      </c>
      <c r="J58">
        <v>0</v>
      </c>
      <c r="L58" s="38">
        <v>12</v>
      </c>
      <c r="M58" s="23">
        <f t="shared" si="84"/>
        <v>0.21052631578947367</v>
      </c>
      <c r="N58" s="23">
        <f>M58/M75</f>
        <v>3.2669722304229467E-3</v>
      </c>
      <c r="O58" s="33">
        <v>8</v>
      </c>
      <c r="P58" s="23">
        <f t="shared" si="85"/>
        <v>0.14035087719298245</v>
      </c>
      <c r="Q58" s="40">
        <f>P58/P75</f>
        <v>9.3924591795927388E-3</v>
      </c>
      <c r="R58" s="23">
        <f t="shared" si="86"/>
        <v>0.19298245614035087</v>
      </c>
      <c r="S58" s="40">
        <f>R58/R75</f>
        <v>3.7064727865695648E-3</v>
      </c>
      <c r="T58" s="40">
        <f t="shared" si="87"/>
        <v>4.7983439677153948E-3</v>
      </c>
      <c r="U58" s="34"/>
      <c r="V58" s="34">
        <f t="shared" si="82"/>
        <v>0</v>
      </c>
      <c r="W58" s="34"/>
      <c r="X58" s="40">
        <f>V58/V75</f>
        <v>0</v>
      </c>
      <c r="Y58" s="47">
        <f t="shared" si="88"/>
        <v>2.8790063806292368E-3</v>
      </c>
      <c r="Z58" s="47">
        <v>-0.435</v>
      </c>
      <c r="AA58" s="135">
        <v>-0.80400000000000005</v>
      </c>
      <c r="AB58" s="218">
        <v>57</v>
      </c>
      <c r="AC58" s="226">
        <v>-0.44934554079477329</v>
      </c>
      <c r="AD58" s="135">
        <f t="shared" si="64"/>
        <v>-0.81041419688289862</v>
      </c>
      <c r="AE58" s="298"/>
      <c r="AF58" s="298"/>
      <c r="AG58" s="23"/>
      <c r="AH58" s="23"/>
      <c r="AI58" s="53"/>
      <c r="AJ58" s="68"/>
      <c r="AK58" s="79"/>
      <c r="AL58" s="68"/>
      <c r="AM58" s="298"/>
      <c r="AN58" s="68"/>
      <c r="AO58" s="68"/>
      <c r="AP58" s="23"/>
      <c r="AQ58" s="23"/>
      <c r="AR58" s="23"/>
      <c r="AS58" s="23"/>
      <c r="AT58" s="23"/>
      <c r="AU58" s="23"/>
      <c r="AV58" s="23"/>
      <c r="AW58" s="26"/>
      <c r="AX58" s="26"/>
      <c r="AY58" s="26"/>
      <c r="AZ58" s="26"/>
      <c r="BA58" s="26"/>
      <c r="BF58">
        <v>14</v>
      </c>
      <c r="BG58">
        <v>14</v>
      </c>
      <c r="BH58">
        <f t="shared" si="65"/>
        <v>0</v>
      </c>
      <c r="BI58">
        <v>129</v>
      </c>
      <c r="BJ58">
        <v>94</v>
      </c>
      <c r="BK58" s="117">
        <v>129.94614999999999</v>
      </c>
      <c r="BL58">
        <f t="shared" si="74"/>
        <v>-115</v>
      </c>
      <c r="BM58">
        <v>102</v>
      </c>
      <c r="BN58">
        <v>45</v>
      </c>
      <c r="BO58" s="117">
        <f t="shared" si="26"/>
        <v>124.00863000000001</v>
      </c>
      <c r="BP58" s="34">
        <f t="shared" si="89"/>
        <v>242.99755500000001</v>
      </c>
      <c r="BQ58" s="117">
        <f t="shared" si="90"/>
        <v>186.54920405209842</v>
      </c>
      <c r="BR58" s="117">
        <v>178.75739999999999</v>
      </c>
      <c r="BS58" s="117">
        <f t="shared" si="66"/>
        <v>-92.549204052098418</v>
      </c>
      <c r="BT58" s="117">
        <f t="shared" si="67"/>
        <v>-84.75739999999999</v>
      </c>
      <c r="BU58" s="117">
        <f t="shared" si="75"/>
        <v>-115.94614999999999</v>
      </c>
      <c r="BV58" s="23">
        <v>-1.099</v>
      </c>
      <c r="BW58" s="117">
        <f t="shared" si="30"/>
        <v>-79.008630000000011</v>
      </c>
      <c r="BX58" s="23">
        <f t="shared" si="31"/>
        <v>-0.77986679152665317</v>
      </c>
      <c r="BY58" s="34">
        <f t="shared" si="32"/>
        <v>-140.99755500000001</v>
      </c>
      <c r="BZ58" s="23">
        <f t="shared" si="53"/>
        <v>-0.76657618702467201</v>
      </c>
      <c r="CA58" s="23">
        <f t="shared" si="91"/>
        <v>-0.63365650239794191</v>
      </c>
      <c r="CB58" s="23">
        <f t="shared" si="68"/>
        <v>-0.83404331977751733</v>
      </c>
      <c r="CC58" s="23">
        <f t="shared" si="76"/>
        <v>-1.0898327422651481</v>
      </c>
      <c r="CD58" s="117">
        <v>13</v>
      </c>
      <c r="CE58" s="117">
        <f t="shared" si="92"/>
        <v>178.761291</v>
      </c>
      <c r="CF58" s="117">
        <f t="shared" si="33"/>
        <v>-84.761291</v>
      </c>
      <c r="CG58" s="23">
        <f t="shared" si="69"/>
        <v>-0.61970875108057066</v>
      </c>
      <c r="CH58" s="26">
        <f t="shared" si="93"/>
        <v>-1.4870401929824562</v>
      </c>
      <c r="CI58" s="23">
        <f t="shared" si="94"/>
        <v>-0.54103616110907515</v>
      </c>
      <c r="CJ58" s="117">
        <v>23</v>
      </c>
      <c r="CK58" s="117">
        <v>27</v>
      </c>
      <c r="CL58" s="117">
        <f t="shared" si="95"/>
        <v>33.137024099999998</v>
      </c>
      <c r="CM58" s="117">
        <f t="shared" si="96"/>
        <v>24.66425470332851</v>
      </c>
      <c r="CN58" s="117">
        <f t="shared" si="34"/>
        <v>-6.1370240999999979</v>
      </c>
      <c r="CO58" s="117">
        <f t="shared" si="97"/>
        <v>-1.6642547033285098</v>
      </c>
      <c r="CP58" s="23">
        <f t="shared" si="35"/>
        <v>-0.28194211597374069</v>
      </c>
      <c r="CQ58" s="23">
        <f t="shared" si="70"/>
        <v>-8.67521053523298E-2</v>
      </c>
      <c r="CR58" s="23">
        <f t="shared" si="36"/>
        <v>-0.64541766926193922</v>
      </c>
      <c r="CS58" s="23">
        <f t="shared" si="37"/>
        <v>-0.60658811998307227</v>
      </c>
      <c r="CT58" s="26">
        <f t="shared" si="98"/>
        <v>-0.49693040313653891</v>
      </c>
      <c r="CU58" s="117">
        <v>18</v>
      </c>
      <c r="CV58" s="117">
        <f t="shared" si="77"/>
        <v>-5</v>
      </c>
      <c r="CW58" s="23">
        <v>-0.36099999999999999</v>
      </c>
      <c r="CX58" s="23">
        <v>-0.91500000000000004</v>
      </c>
      <c r="CY58" s="23">
        <f t="shared" si="78"/>
        <v>-0.907624556698861</v>
      </c>
      <c r="CZ58" s="34">
        <v>0</v>
      </c>
      <c r="DA58" s="75">
        <v>0</v>
      </c>
      <c r="DB58" s="34">
        <v>119880</v>
      </c>
      <c r="DC58" s="34">
        <v>26103</v>
      </c>
      <c r="DD58" s="34">
        <v>26103</v>
      </c>
      <c r="DE58" s="34">
        <f t="shared" si="99"/>
        <v>140653.02900000001</v>
      </c>
      <c r="DF58" s="34">
        <f t="shared" si="100"/>
        <v>107315.49204052099</v>
      </c>
      <c r="DG58" s="34">
        <f t="shared" si="38"/>
        <v>-114550.02900000001</v>
      </c>
      <c r="DH58" s="34">
        <f t="shared" si="39"/>
        <v>-81212.492040520985</v>
      </c>
      <c r="DI58" s="36">
        <f t="shared" si="71"/>
        <v>-0.38236290240633791</v>
      </c>
      <c r="DJ58" s="36">
        <f t="shared" si="40"/>
        <v>-0.48205715294187301</v>
      </c>
      <c r="DK58" s="36">
        <f t="shared" si="72"/>
        <v>-0.45110340284445855</v>
      </c>
      <c r="DL58" s="34">
        <v>111437.4</v>
      </c>
      <c r="DM58">
        <f t="shared" si="79"/>
        <v>-119880</v>
      </c>
      <c r="DN58" s="34">
        <f t="shared" si="80"/>
        <v>-111437.4</v>
      </c>
      <c r="DO58" s="23">
        <v>-0.63800000000000001</v>
      </c>
      <c r="DP58" s="23">
        <f t="shared" si="81"/>
        <v>-0.66459865715895516</v>
      </c>
      <c r="DQ58" s="23">
        <f t="shared" si="43"/>
        <v>-0.58007346273391269</v>
      </c>
      <c r="DR58" s="23">
        <f t="shared" si="44"/>
        <v>-0.51689803295237846</v>
      </c>
    </row>
    <row r="59" spans="1:122" x14ac:dyDescent="0.25">
      <c r="A59" s="9" t="s">
        <v>118</v>
      </c>
      <c r="B59" s="9" t="s">
        <v>124</v>
      </c>
      <c r="C59" s="10">
        <f t="shared" si="83"/>
        <v>12</v>
      </c>
      <c r="D59" s="8">
        <v>0</v>
      </c>
      <c r="E59" s="8">
        <v>12</v>
      </c>
      <c r="F59">
        <v>0</v>
      </c>
      <c r="G59">
        <v>0</v>
      </c>
      <c r="H59" s="8">
        <v>0</v>
      </c>
      <c r="I59">
        <v>0</v>
      </c>
      <c r="J59">
        <v>0</v>
      </c>
      <c r="L59" s="38">
        <v>2.5</v>
      </c>
      <c r="M59" s="23">
        <f t="shared" si="84"/>
        <v>0.20833333333333334</v>
      </c>
      <c r="N59" s="23">
        <f>M59/M75</f>
        <v>3.2329412696893746E-3</v>
      </c>
      <c r="O59" s="33">
        <v>2.5</v>
      </c>
      <c r="P59" s="23">
        <f t="shared" si="85"/>
        <v>0.20833333333333334</v>
      </c>
      <c r="Q59" s="40">
        <f>P59/P75</f>
        <v>1.3941931594707972E-2</v>
      </c>
      <c r="R59" s="23">
        <f t="shared" si="86"/>
        <v>0.20833333333333334</v>
      </c>
      <c r="S59" s="40">
        <f>R59/R75</f>
        <v>4.0013058491375989E-3</v>
      </c>
      <c r="T59" s="40">
        <f t="shared" si="87"/>
        <v>5.9101888509440238E-3</v>
      </c>
      <c r="U59" s="34"/>
      <c r="V59" s="34">
        <f t="shared" si="82"/>
        <v>0</v>
      </c>
      <c r="W59" s="34"/>
      <c r="X59" s="40">
        <f>V59/V75</f>
        <v>0</v>
      </c>
      <c r="Y59" s="47">
        <f t="shared" si="88"/>
        <v>3.5461133105664142E-3</v>
      </c>
      <c r="Z59" s="47">
        <v>-0.313</v>
      </c>
      <c r="AA59" s="135">
        <v>-0.17</v>
      </c>
      <c r="AB59" s="218">
        <v>7</v>
      </c>
      <c r="AC59" s="226">
        <v>4.177679290339717E-2</v>
      </c>
      <c r="AD59" s="135">
        <f t="shared" si="64"/>
        <v>-0.16191811263647216</v>
      </c>
      <c r="AE59" s="298"/>
      <c r="AF59" s="298"/>
      <c r="AG59" s="23"/>
      <c r="AH59" s="23"/>
      <c r="AI59" s="53"/>
      <c r="AJ59" s="68"/>
      <c r="AK59" s="79"/>
      <c r="AL59" s="68"/>
      <c r="AM59" s="298"/>
      <c r="AN59" s="68"/>
      <c r="AO59" s="68"/>
      <c r="AP59" s="23"/>
      <c r="AQ59" s="23"/>
      <c r="AR59" s="23"/>
      <c r="AS59" s="23"/>
      <c r="AT59" s="23"/>
      <c r="AU59" s="23"/>
      <c r="AV59" s="23"/>
      <c r="AW59" s="26"/>
      <c r="AX59" s="26"/>
      <c r="AY59" s="26"/>
      <c r="AZ59" s="26"/>
      <c r="BA59" s="26"/>
      <c r="BF59">
        <v>6</v>
      </c>
      <c r="BG59">
        <v>6</v>
      </c>
      <c r="BH59">
        <f t="shared" si="65"/>
        <v>0</v>
      </c>
      <c r="BI59">
        <v>27</v>
      </c>
      <c r="BJ59">
        <v>9</v>
      </c>
      <c r="BK59" s="117">
        <v>27.35708</v>
      </c>
      <c r="BL59">
        <f t="shared" si="74"/>
        <v>-21</v>
      </c>
      <c r="BM59">
        <v>12</v>
      </c>
      <c r="BN59">
        <v>7</v>
      </c>
      <c r="BO59" s="117">
        <f t="shared" si="26"/>
        <v>15.229130000000001</v>
      </c>
      <c r="BP59" s="34">
        <f t="shared" si="89"/>
        <v>29.841805000000001</v>
      </c>
      <c r="BQ59" s="117">
        <f t="shared" si="90"/>
        <v>22.909551374819102</v>
      </c>
      <c r="BR59" s="117">
        <v>21.952660000000002</v>
      </c>
      <c r="BS59" s="117">
        <f t="shared" si="66"/>
        <v>-13.909551374819102</v>
      </c>
      <c r="BT59" s="117">
        <f t="shared" si="67"/>
        <v>-12.952660000000002</v>
      </c>
      <c r="BU59" s="117">
        <f t="shared" si="75"/>
        <v>-21.35708</v>
      </c>
      <c r="BV59" s="23">
        <v>-0.25900000000000001</v>
      </c>
      <c r="BW59" s="117">
        <f t="shared" si="30"/>
        <v>-8.2291300000000014</v>
      </c>
      <c r="BX59" s="23">
        <f t="shared" si="31"/>
        <v>-0.10779912637016355</v>
      </c>
      <c r="BY59" s="34">
        <f t="shared" si="32"/>
        <v>-17.841805000000001</v>
      </c>
      <c r="BZ59" s="23">
        <f t="shared" si="53"/>
        <v>-0.10216900001036944</v>
      </c>
      <c r="CA59" s="23">
        <f t="shared" si="91"/>
        <v>-9.5234505411097709E-2</v>
      </c>
      <c r="CB59" s="23">
        <f t="shared" si="68"/>
        <v>-0.18386708793374315</v>
      </c>
      <c r="CC59" s="23">
        <f t="shared" si="76"/>
        <v>-0.23209185491025006</v>
      </c>
      <c r="CD59" s="117">
        <v>9</v>
      </c>
      <c r="CE59" s="117">
        <f t="shared" si="92"/>
        <v>21.953140999999999</v>
      </c>
      <c r="CF59" s="117">
        <f t="shared" si="33"/>
        <v>-12.953140999999999</v>
      </c>
      <c r="CG59" s="23">
        <f t="shared" si="69"/>
        <v>-0.1261195581724365</v>
      </c>
      <c r="CH59" s="26">
        <f t="shared" si="93"/>
        <v>-1.850448714285714</v>
      </c>
      <c r="CI59" s="23">
        <f t="shared" si="94"/>
        <v>-0.66441025236049511</v>
      </c>
      <c r="CJ59" s="117">
        <v>17</v>
      </c>
      <c r="CK59" s="117">
        <v>20</v>
      </c>
      <c r="CL59" s="117">
        <f t="shared" si="95"/>
        <v>4.0694591000000004</v>
      </c>
      <c r="CM59" s="117">
        <f t="shared" si="96"/>
        <v>3.0289435600578871</v>
      </c>
      <c r="CN59" s="117">
        <f t="shared" si="34"/>
        <v>15.9305409</v>
      </c>
      <c r="CO59" s="117">
        <f t="shared" si="97"/>
        <v>13.971056439942114</v>
      </c>
      <c r="CP59" s="23">
        <f t="shared" si="35"/>
        <v>0.41519048765973654</v>
      </c>
      <c r="CQ59" s="23">
        <f t="shared" si="70"/>
        <v>0.7282650652794711</v>
      </c>
      <c r="CR59" s="23">
        <f t="shared" si="36"/>
        <v>2.7170871907157057E-2</v>
      </c>
      <c r="CS59" s="23">
        <f t="shared" si="37"/>
        <v>0.10121692154224511</v>
      </c>
      <c r="CT59" s="25">
        <f t="shared" si="98"/>
        <v>0.11064038726154449</v>
      </c>
      <c r="CU59" s="117">
        <v>4</v>
      </c>
      <c r="CV59" s="117">
        <f t="shared" si="77"/>
        <v>5</v>
      </c>
      <c r="CW59" s="23">
        <v>3.6999999999999998E-2</v>
      </c>
      <c r="CX59" s="23">
        <v>-0.185</v>
      </c>
      <c r="CY59" s="23">
        <f t="shared" si="78"/>
        <v>-0.16481889118268753</v>
      </c>
      <c r="CZ59" s="34">
        <v>0</v>
      </c>
      <c r="DA59" s="75">
        <v>0</v>
      </c>
      <c r="DB59" s="34">
        <v>29556</v>
      </c>
      <c r="DC59" s="34">
        <v>0</v>
      </c>
      <c r="DD59" s="34">
        <v>0</v>
      </c>
      <c r="DE59" s="34">
        <f t="shared" si="99"/>
        <v>17273.179</v>
      </c>
      <c r="DF59" s="34">
        <f t="shared" si="100"/>
        <v>13179.095513748191</v>
      </c>
      <c r="DG59" s="34">
        <f t="shared" si="38"/>
        <v>-17273.179</v>
      </c>
      <c r="DH59" s="34">
        <f t="shared" si="39"/>
        <v>-13179.095513748191</v>
      </c>
      <c r="DI59" s="36">
        <f t="shared" si="71"/>
        <v>-6.2049533084304283E-2</v>
      </c>
      <c r="DJ59" s="36">
        <f t="shared" si="40"/>
        <v>-8.4504865308946714E-2</v>
      </c>
      <c r="DK59" s="36">
        <f t="shared" si="72"/>
        <v>4.1564419123204965E-2</v>
      </c>
      <c r="DL59" s="34">
        <v>26399.65</v>
      </c>
      <c r="DM59">
        <f t="shared" si="79"/>
        <v>-29556</v>
      </c>
      <c r="DN59" s="34">
        <f t="shared" si="80"/>
        <v>-26399.65</v>
      </c>
      <c r="DO59" s="23">
        <v>-0.14799999999999999</v>
      </c>
      <c r="DP59" s="23">
        <f t="shared" si="81"/>
        <v>-0.15756694481714908</v>
      </c>
      <c r="DQ59" s="23">
        <f t="shared" si="43"/>
        <v>-1.7499422979284456E-2</v>
      </c>
      <c r="DR59" s="23">
        <f t="shared" si="44"/>
        <v>3.5910339691625354E-2</v>
      </c>
    </row>
    <row r="60" spans="1:122" x14ac:dyDescent="0.25">
      <c r="A60" s="9" t="s">
        <v>118</v>
      </c>
      <c r="B60" s="9" t="s">
        <v>144</v>
      </c>
      <c r="C60" s="10">
        <f t="shared" si="83"/>
        <v>13</v>
      </c>
      <c r="D60" s="8">
        <v>13</v>
      </c>
      <c r="E60" s="8">
        <v>0</v>
      </c>
      <c r="F60">
        <v>0</v>
      </c>
      <c r="G60">
        <v>0</v>
      </c>
      <c r="H60" s="8">
        <v>0</v>
      </c>
      <c r="I60">
        <v>0</v>
      </c>
      <c r="J60">
        <v>0</v>
      </c>
      <c r="L60" s="38">
        <v>1.5</v>
      </c>
      <c r="M60" s="23">
        <f t="shared" si="84"/>
        <v>0.11538461538461539</v>
      </c>
      <c r="N60" s="23">
        <f>M60/M75</f>
        <v>1.7905520878279612E-3</v>
      </c>
      <c r="O60" s="33">
        <v>1</v>
      </c>
      <c r="P60" s="23">
        <f t="shared" si="85"/>
        <v>7.6923076923076927E-2</v>
      </c>
      <c r="Q60" s="40">
        <f>P60/P75</f>
        <v>5.14779012727679E-3</v>
      </c>
      <c r="R60" s="23">
        <f t="shared" si="86"/>
        <v>0.10576923076923077</v>
      </c>
      <c r="S60" s="40">
        <f>R60/R75</f>
        <v>2.0314322003313961E-3</v>
      </c>
      <c r="T60" s="40">
        <f t="shared" si="87"/>
        <v>2.6298615976901685E-3</v>
      </c>
      <c r="U60" s="34"/>
      <c r="V60" s="34">
        <f t="shared" si="82"/>
        <v>0</v>
      </c>
      <c r="W60" s="34"/>
      <c r="X60" s="40">
        <f>V60/V75</f>
        <v>0</v>
      </c>
      <c r="Y60" s="47">
        <f t="shared" si="88"/>
        <v>1.577916958614101E-3</v>
      </c>
      <c r="Z60" s="47">
        <v>-0.76300000000000001</v>
      </c>
      <c r="AA60" s="135">
        <v>-0.247</v>
      </c>
      <c r="AB60" s="218">
        <v>10</v>
      </c>
      <c r="AC60" s="226">
        <v>-0.12194957287237718</v>
      </c>
      <c r="AD60" s="135">
        <f t="shared" si="64"/>
        <v>-0.24022807007364946</v>
      </c>
      <c r="AE60" s="298"/>
      <c r="AF60" s="298"/>
      <c r="AG60" s="23"/>
      <c r="AH60" s="23"/>
      <c r="AI60" s="53"/>
      <c r="AJ60" s="65" t="e">
        <f>SUM(AK60:AL60)</f>
        <v>#DIV/0!</v>
      </c>
      <c r="AK60" s="79"/>
      <c r="AL60" s="65" t="e">
        <f>AS60*BE$27</f>
        <v>#DIV/0!</v>
      </c>
      <c r="AM60" s="298"/>
      <c r="AN60" s="68"/>
      <c r="AO60" s="68"/>
      <c r="AP60" s="23"/>
      <c r="AQ60" s="23"/>
      <c r="AR60" s="23"/>
      <c r="AS60" s="23" t="e">
        <f>AB60*AY60</f>
        <v>#DIV/0!</v>
      </c>
      <c r="AT60" s="23"/>
      <c r="AU60" s="23"/>
      <c r="AV60" s="23"/>
      <c r="AW60" s="26"/>
      <c r="AX60" s="26"/>
      <c r="AY60" s="26" t="e">
        <f>DJ60/BE$22</f>
        <v>#DIV/0!</v>
      </c>
      <c r="AZ60" s="26"/>
      <c r="BA60" s="26"/>
      <c r="BF60">
        <v>2</v>
      </c>
      <c r="BG60">
        <v>2</v>
      </c>
      <c r="BH60">
        <f t="shared" si="65"/>
        <v>0</v>
      </c>
      <c r="BI60">
        <v>29</v>
      </c>
      <c r="BJ60">
        <v>13</v>
      </c>
      <c r="BK60" s="117">
        <v>29.636839999999999</v>
      </c>
      <c r="BL60">
        <f t="shared" si="74"/>
        <v>-27</v>
      </c>
      <c r="BM60">
        <v>13</v>
      </c>
      <c r="BN60">
        <v>7</v>
      </c>
      <c r="BO60" s="117">
        <f t="shared" si="26"/>
        <v>21.7559</v>
      </c>
      <c r="BP60" s="34">
        <f t="shared" si="89"/>
        <v>42.631149999999998</v>
      </c>
      <c r="BQ60" s="117">
        <f t="shared" si="90"/>
        <v>32.727930535455862</v>
      </c>
      <c r="BR60" s="117">
        <v>31.360949999999999</v>
      </c>
      <c r="BS60" s="117">
        <f t="shared" si="66"/>
        <v>-19.727930535455862</v>
      </c>
      <c r="BT60" s="117">
        <f t="shared" si="67"/>
        <v>-18.360949999999999</v>
      </c>
      <c r="BU60" s="117">
        <f t="shared" si="75"/>
        <v>-27.636839999999999</v>
      </c>
      <c r="BV60" s="23">
        <v>-0.313</v>
      </c>
      <c r="BW60" s="117">
        <f t="shared" si="30"/>
        <v>-14.7559</v>
      </c>
      <c r="BX60" s="23">
        <f t="shared" si="31"/>
        <v>-0.16977231175453925</v>
      </c>
      <c r="BY60" s="34">
        <f t="shared" si="32"/>
        <v>-29.631149999999998</v>
      </c>
      <c r="BZ60" s="23">
        <f t="shared" si="53"/>
        <v>-0.16577078513360674</v>
      </c>
      <c r="CA60" s="23">
        <f t="shared" si="91"/>
        <v>-0.13507119364969924</v>
      </c>
      <c r="CB60" s="23">
        <f t="shared" si="68"/>
        <v>-0.22703223052033653</v>
      </c>
      <c r="CC60" s="23">
        <f t="shared" si="76"/>
        <v>-0.28903719663710914</v>
      </c>
      <c r="CD60" s="117">
        <v>1</v>
      </c>
      <c r="CE60" s="117">
        <f t="shared" si="92"/>
        <v>31.361629999999998</v>
      </c>
      <c r="CF60" s="117">
        <f t="shared" si="33"/>
        <v>-18.361629999999998</v>
      </c>
      <c r="CG60" s="23">
        <f t="shared" si="69"/>
        <v>-0.16329600291251853</v>
      </c>
      <c r="CH60" s="26">
        <f t="shared" si="93"/>
        <v>-1.8361629999999998</v>
      </c>
      <c r="CI60" s="23">
        <f t="shared" si="94"/>
        <v>-0.65956037429061165</v>
      </c>
      <c r="CJ60" s="117">
        <v>1</v>
      </c>
      <c r="CK60" s="117">
        <v>2</v>
      </c>
      <c r="CL60" s="117">
        <f t="shared" si="95"/>
        <v>5.8135130000000004</v>
      </c>
      <c r="CM60" s="117">
        <f t="shared" si="96"/>
        <v>4.3270622286541247</v>
      </c>
      <c r="CN60" s="117">
        <f t="shared" si="34"/>
        <v>-3.8135130000000004</v>
      </c>
      <c r="CO60" s="117">
        <f t="shared" si="97"/>
        <v>-3.3270622286541247</v>
      </c>
      <c r="CP60" s="23">
        <f t="shared" si="35"/>
        <v>-0.20854048137045381</v>
      </c>
      <c r="CQ60" s="23">
        <f t="shared" si="70"/>
        <v>-0.17342877409130972</v>
      </c>
      <c r="CR60" s="23">
        <f t="shared" si="36"/>
        <v>-0.17646320919281849</v>
      </c>
      <c r="CS60" s="23">
        <f t="shared" si="37"/>
        <v>-0.17068642733873188</v>
      </c>
      <c r="CT60" s="26">
        <f t="shared" si="98"/>
        <v>-0.14466058876010188</v>
      </c>
      <c r="CU60" s="117">
        <v>4</v>
      </c>
      <c r="CV60" s="117">
        <f t="shared" si="77"/>
        <v>-3</v>
      </c>
      <c r="CW60" s="23">
        <v>-0.28199999999999997</v>
      </c>
      <c r="CX60" s="23">
        <v>-0.30499999999999999</v>
      </c>
      <c r="CY60" s="23">
        <f t="shared" si="78"/>
        <v>-0.28727789747783183</v>
      </c>
      <c r="CZ60" s="34">
        <v>0</v>
      </c>
      <c r="DA60" s="75">
        <v>0</v>
      </c>
      <c r="DB60" s="34">
        <v>31760</v>
      </c>
      <c r="DC60" s="34">
        <v>0</v>
      </c>
      <c r="DD60" s="34">
        <v>84410</v>
      </c>
      <c r="DE60" s="34">
        <f t="shared" si="99"/>
        <v>24675.97</v>
      </c>
      <c r="DF60" s="34">
        <f t="shared" si="100"/>
        <v>18827.279305354561</v>
      </c>
      <c r="DG60" s="34">
        <f t="shared" si="38"/>
        <v>59734.03</v>
      </c>
      <c r="DH60" s="34">
        <f t="shared" si="39"/>
        <v>-18827.279305354561</v>
      </c>
      <c r="DI60" s="36">
        <f t="shared" si="71"/>
        <v>-8.86421901204347E-2</v>
      </c>
      <c r="DJ60" s="225">
        <f t="shared" si="40"/>
        <v>0.23020919155223732</v>
      </c>
      <c r="DK60" s="36">
        <f t="shared" si="72"/>
        <v>-0.122253229304235</v>
      </c>
      <c r="DL60" s="34">
        <v>28426.74</v>
      </c>
      <c r="DM60">
        <f t="shared" si="79"/>
        <v>-31760</v>
      </c>
      <c r="DN60" s="34">
        <f t="shared" si="80"/>
        <v>-28426.74</v>
      </c>
      <c r="DO60" s="23">
        <v>-0.16</v>
      </c>
      <c r="DP60" s="23">
        <f t="shared" si="81"/>
        <v>-0.16965332896737592</v>
      </c>
      <c r="DQ60" s="23">
        <f t="shared" si="43"/>
        <v>-1.3794248894796163E-2</v>
      </c>
      <c r="DR60" s="23">
        <f t="shared" si="44"/>
        <v>-0.13786873245141301</v>
      </c>
    </row>
    <row r="61" spans="1:122" x14ac:dyDescent="0.25">
      <c r="A61" s="7" t="s">
        <v>129</v>
      </c>
      <c r="B61" s="7" t="s">
        <v>130</v>
      </c>
      <c r="C61" s="10">
        <f t="shared" si="83"/>
        <v>27</v>
      </c>
      <c r="D61">
        <v>0</v>
      </c>
      <c r="E61">
        <v>0</v>
      </c>
      <c r="F61">
        <v>0</v>
      </c>
      <c r="G61">
        <v>27</v>
      </c>
      <c r="H61">
        <v>0</v>
      </c>
      <c r="I61">
        <v>0</v>
      </c>
      <c r="J61">
        <v>0</v>
      </c>
      <c r="L61" s="38">
        <v>86</v>
      </c>
      <c r="M61" s="25">
        <f t="shared" si="84"/>
        <v>3.1851851851851851</v>
      </c>
      <c r="N61" s="23">
        <f>M61/M75</f>
        <v>4.9428079856584213E-2</v>
      </c>
      <c r="O61" s="33">
        <v>0.5</v>
      </c>
      <c r="P61" s="23">
        <f t="shared" si="85"/>
        <v>1.8518518518518517E-2</v>
      </c>
      <c r="Q61" s="40">
        <f>P61/P75</f>
        <v>1.2392828084184862E-3</v>
      </c>
      <c r="R61" s="23">
        <f t="shared" si="86"/>
        <v>2.3935185185185186</v>
      </c>
      <c r="S61" s="42">
        <f>R61/R75</f>
        <v>4.5970558311203079E-2</v>
      </c>
      <c r="T61" s="42">
        <f t="shared" si="87"/>
        <v>3.7380880594542781E-2</v>
      </c>
      <c r="U61" s="34"/>
      <c r="V61" s="34">
        <f t="shared" si="82"/>
        <v>0</v>
      </c>
      <c r="W61" s="34"/>
      <c r="X61" s="40">
        <f>V61/V75</f>
        <v>0</v>
      </c>
      <c r="Y61" s="46">
        <f t="shared" si="88"/>
        <v>2.2428528356725669E-2</v>
      </c>
      <c r="Z61" s="46">
        <v>0.64600000000000002</v>
      </c>
      <c r="AA61" s="137">
        <v>0.33</v>
      </c>
      <c r="AB61" s="218">
        <v>26</v>
      </c>
      <c r="AC61" s="227">
        <v>0.17376899560241721</v>
      </c>
      <c r="AD61" s="137">
        <f t="shared" si="64"/>
        <v>0.34605830003395932</v>
      </c>
      <c r="AE61" s="298">
        <v>37199.265187124824</v>
      </c>
      <c r="AF61" s="298">
        <f>AO61*BE$33</f>
        <v>28642.306078348996</v>
      </c>
      <c r="AG61" s="23">
        <f>C61*AV61</f>
        <v>0.63447981200598169</v>
      </c>
      <c r="AH61" s="66" t="e">
        <f>AP61*BE$9</f>
        <v>#DIV/0!</v>
      </c>
      <c r="AI61" s="65" t="e">
        <f>AQ61*BE$17</f>
        <v>#DIV/0!</v>
      </c>
      <c r="AJ61" s="65" t="e">
        <f>SUM(AK61:AL61)</f>
        <v>#DIV/0!</v>
      </c>
      <c r="AK61" s="65" t="e">
        <f>AR61*BE$25</f>
        <v>#DIV/0!</v>
      </c>
      <c r="AL61" s="68"/>
      <c r="AM61" s="298">
        <f>AVERAGE(AE61:AF61)</f>
        <v>32920.785632736908</v>
      </c>
      <c r="AN61" s="65">
        <f>AM61+(AM$74*AZ61)</f>
        <v>35136.557159382202</v>
      </c>
      <c r="AO61" s="68">
        <f>AB61*AZ61</f>
        <v>0.5076261553594188</v>
      </c>
      <c r="AP61" s="23" t="e">
        <f>AB61*BA61</f>
        <v>#DIV/0!</v>
      </c>
      <c r="AQ61" s="23" t="e">
        <f>AB61*AW61</f>
        <v>#DIV/0!</v>
      </c>
      <c r="AR61" s="23" t="e">
        <f>AB61*AX61</f>
        <v>#DIV/0!</v>
      </c>
      <c r="AS61" s="23"/>
      <c r="AT61" s="23"/>
      <c r="AU61" s="23"/>
      <c r="AV61" s="23">
        <f>AA61/BB$2</f>
        <v>2.349925229651784E-2</v>
      </c>
      <c r="AW61" s="26" t="e">
        <f>DQ61/BE$15</f>
        <v>#DIV/0!</v>
      </c>
      <c r="AX61" s="26" t="e">
        <f>CR61/BE$20</f>
        <v>#DIV/0!</v>
      </c>
      <c r="AY61" s="26"/>
      <c r="AZ61" s="26">
        <f>DR61/BE$30</f>
        <v>1.9524082898439186E-2</v>
      </c>
      <c r="BA61" s="236" t="e">
        <f>AC61/BE$5</f>
        <v>#DIV/0!</v>
      </c>
      <c r="BF61">
        <v>198</v>
      </c>
      <c r="BG61">
        <v>198</v>
      </c>
      <c r="BH61">
        <f t="shared" si="65"/>
        <v>0</v>
      </c>
      <c r="BI61">
        <v>61</v>
      </c>
      <c r="BJ61">
        <v>192</v>
      </c>
      <c r="BK61" s="117">
        <v>61.553440000000002</v>
      </c>
      <c r="BL61">
        <f t="shared" si="74"/>
        <v>137</v>
      </c>
      <c r="BM61">
        <v>315</v>
      </c>
      <c r="BN61">
        <v>152</v>
      </c>
      <c r="BO61" s="117">
        <f t="shared" si="26"/>
        <v>56.565340000000006</v>
      </c>
      <c r="BP61" s="34">
        <f t="shared" si="89"/>
        <v>110.84099000000001</v>
      </c>
      <c r="BQ61" s="117">
        <f t="shared" si="90"/>
        <v>85.092619392185242</v>
      </c>
      <c r="BR61" s="117">
        <v>81.538460000000001</v>
      </c>
      <c r="BS61" s="117">
        <f t="shared" si="66"/>
        <v>106.90738060781476</v>
      </c>
      <c r="BT61" s="117">
        <f t="shared" si="67"/>
        <v>110.46154</v>
      </c>
      <c r="BU61" s="117">
        <f t="shared" si="75"/>
        <v>136.44656000000001</v>
      </c>
      <c r="BV61" s="23">
        <v>1.153</v>
      </c>
      <c r="BW61" s="117">
        <f t="shared" si="30"/>
        <v>95.434659999999994</v>
      </c>
      <c r="BX61" s="25">
        <f t="shared" si="31"/>
        <v>0.87651245122748322</v>
      </c>
      <c r="BY61" s="34">
        <f t="shared" si="32"/>
        <v>204.15900999999999</v>
      </c>
      <c r="BZ61" s="25">
        <f t="shared" si="53"/>
        <v>1.0954927982331766</v>
      </c>
      <c r="CA61" s="25">
        <f t="shared" si="91"/>
        <v>0.73196260919045175</v>
      </c>
      <c r="CB61" s="25">
        <f t="shared" si="68"/>
        <v>0.90082669356163991</v>
      </c>
      <c r="CC61" s="23">
        <f t="shared" si="76"/>
        <v>1.1988835654150891</v>
      </c>
      <c r="CD61" s="117">
        <v>3</v>
      </c>
      <c r="CE61" s="117">
        <f t="shared" si="92"/>
        <v>81.540237999999988</v>
      </c>
      <c r="CF61" s="117">
        <f t="shared" si="33"/>
        <v>110.45976200000001</v>
      </c>
      <c r="CG61" s="25">
        <f t="shared" si="69"/>
        <v>0.7221863122088481</v>
      </c>
      <c r="CH61" s="26">
        <f t="shared" si="93"/>
        <v>4.2484523846153852</v>
      </c>
      <c r="CI61" s="25">
        <f t="shared" si="94"/>
        <v>1.406114615935883</v>
      </c>
      <c r="CJ61" s="117">
        <v>3</v>
      </c>
      <c r="CK61" s="117">
        <v>4</v>
      </c>
      <c r="CL61" s="117">
        <f t="shared" si="95"/>
        <v>15.115133800000001</v>
      </c>
      <c r="CM61" s="117">
        <f t="shared" si="96"/>
        <v>11.250361794500723</v>
      </c>
      <c r="CN61" s="117">
        <f t="shared" si="34"/>
        <v>-11.115133800000001</v>
      </c>
      <c r="CO61" s="117">
        <f t="shared" si="97"/>
        <v>-8.2503617945007228</v>
      </c>
      <c r="CP61" s="23">
        <f t="shared" si="35"/>
        <v>-0.43920471274570311</v>
      </c>
      <c r="CQ61" s="23">
        <f t="shared" si="70"/>
        <v>-0.43006413270750615</v>
      </c>
      <c r="CR61" s="25">
        <f t="shared" si="36"/>
        <v>0.71181842048845667</v>
      </c>
      <c r="CS61" s="25">
        <f t="shared" si="37"/>
        <v>0.54986830524373587</v>
      </c>
      <c r="CT61" s="25">
        <f t="shared" si="98"/>
        <v>0.44145592371596232</v>
      </c>
      <c r="CU61" s="117">
        <v>9</v>
      </c>
      <c r="CV61" s="117">
        <f t="shared" si="77"/>
        <v>-6</v>
      </c>
      <c r="CW61" s="23">
        <v>-0.40100000000000002</v>
      </c>
      <c r="CX61" s="23">
        <v>0.76400000000000001</v>
      </c>
      <c r="CY61" s="23">
        <f t="shared" si="78"/>
        <v>0.79891267406131683</v>
      </c>
      <c r="CZ61" s="34">
        <v>0</v>
      </c>
      <c r="DA61" s="75">
        <v>0</v>
      </c>
      <c r="DB61" s="34">
        <v>61253</v>
      </c>
      <c r="DC61" s="34">
        <v>0</v>
      </c>
      <c r="DD61" s="34">
        <v>0</v>
      </c>
      <c r="DE61" s="34">
        <f t="shared" si="99"/>
        <v>64157.522000000004</v>
      </c>
      <c r="DF61" s="34">
        <f t="shared" si="100"/>
        <v>48950.926193921856</v>
      </c>
      <c r="DG61" s="34">
        <f t="shared" si="38"/>
        <v>-64157.522000000004</v>
      </c>
      <c r="DH61" s="34">
        <f t="shared" si="39"/>
        <v>-48950.926193921856</v>
      </c>
      <c r="DI61" s="36">
        <f t="shared" si="71"/>
        <v>-0.23046969431313022</v>
      </c>
      <c r="DJ61" s="36">
        <f t="shared" si="40"/>
        <v>-0.2761124041408145</v>
      </c>
      <c r="DK61" s="225">
        <f t="shared" si="72"/>
        <v>0.17268567650432526</v>
      </c>
      <c r="DL61" s="34">
        <v>55860.17</v>
      </c>
      <c r="DM61">
        <f t="shared" si="79"/>
        <v>-61253</v>
      </c>
      <c r="DN61" s="34">
        <f t="shared" si="80"/>
        <v>-55860.17</v>
      </c>
      <c r="DO61" s="23">
        <v>-0.32</v>
      </c>
      <c r="DP61" s="23">
        <f t="shared" si="81"/>
        <v>-0.33322326100707683</v>
      </c>
      <c r="DQ61" s="25">
        <f t="shared" si="43"/>
        <v>0.3166460906367482</v>
      </c>
      <c r="DR61" s="25">
        <f t="shared" si="44"/>
        <v>0.23773310542098941</v>
      </c>
    </row>
    <row r="62" spans="1:122" x14ac:dyDescent="0.25">
      <c r="A62" s="7" t="s">
        <v>129</v>
      </c>
      <c r="B62" s="7" t="s">
        <v>145</v>
      </c>
      <c r="C62" s="10">
        <f t="shared" si="83"/>
        <v>9</v>
      </c>
      <c r="D62">
        <v>0</v>
      </c>
      <c r="E62">
        <v>9</v>
      </c>
      <c r="F62">
        <v>0</v>
      </c>
      <c r="G62">
        <v>0</v>
      </c>
      <c r="H62">
        <v>0</v>
      </c>
      <c r="I62">
        <v>0</v>
      </c>
      <c r="J62">
        <v>0</v>
      </c>
      <c r="L62" s="38">
        <v>2</v>
      </c>
      <c r="M62" s="23">
        <f t="shared" si="84"/>
        <v>0.22222222222222221</v>
      </c>
      <c r="N62" s="23">
        <f>M62/M75</f>
        <v>3.4484706876686659E-3</v>
      </c>
      <c r="O62" s="33">
        <v>1</v>
      </c>
      <c r="P62" s="23">
        <f t="shared" si="85"/>
        <v>0.1111111111111111</v>
      </c>
      <c r="Q62" s="40">
        <f>P62/P75</f>
        <v>7.4356968505109172E-3</v>
      </c>
      <c r="R62" s="23">
        <f t="shared" si="86"/>
        <v>0.19444444444444442</v>
      </c>
      <c r="S62" s="40">
        <f>R62/R75</f>
        <v>3.7345521258617584E-3</v>
      </c>
      <c r="T62" s="40">
        <f t="shared" si="87"/>
        <v>4.4452772283792288E-3</v>
      </c>
      <c r="U62" s="34"/>
      <c r="V62" s="34">
        <f t="shared" si="82"/>
        <v>0</v>
      </c>
      <c r="W62" s="34"/>
      <c r="X62" s="40">
        <f>V62/V75</f>
        <v>0</v>
      </c>
      <c r="Y62" s="47">
        <f t="shared" si="88"/>
        <v>2.6671663370275373E-3</v>
      </c>
      <c r="Z62" s="47">
        <v>-0.67300000000000004</v>
      </c>
      <c r="AA62" s="135">
        <v>-0.158</v>
      </c>
      <c r="AB62" s="218">
        <v>7</v>
      </c>
      <c r="AC62" s="226">
        <v>-6.8895234403194491E-2</v>
      </c>
      <c r="AD62" s="135">
        <f t="shared" si="64"/>
        <v>-0.14955122555168035</v>
      </c>
      <c r="AE62" s="298"/>
      <c r="AF62" s="298"/>
      <c r="AG62" s="23"/>
      <c r="AH62" s="23"/>
      <c r="AI62" s="53"/>
      <c r="AJ62" s="68"/>
      <c r="AK62" s="79"/>
      <c r="AL62" s="68"/>
      <c r="AM62" s="298"/>
      <c r="AN62" s="68"/>
      <c r="AO62" s="68"/>
      <c r="AP62" s="23"/>
      <c r="AQ62" s="23"/>
      <c r="AR62" s="23"/>
      <c r="AS62" s="23"/>
      <c r="AT62" s="23"/>
      <c r="AU62" s="23"/>
      <c r="AV62" s="23"/>
      <c r="AW62" s="26"/>
      <c r="AX62" s="26"/>
      <c r="AY62" s="26"/>
      <c r="AZ62" s="26"/>
      <c r="BA62" s="26"/>
      <c r="BF62">
        <v>3</v>
      </c>
      <c r="BG62">
        <v>3</v>
      </c>
      <c r="BH62">
        <f t="shared" si="65"/>
        <v>0</v>
      </c>
      <c r="BI62">
        <v>20</v>
      </c>
      <c r="BJ62">
        <v>1</v>
      </c>
      <c r="BK62" s="117">
        <v>20.517810000000001</v>
      </c>
      <c r="BL62">
        <f t="shared" si="74"/>
        <v>-17</v>
      </c>
      <c r="BM62">
        <v>4</v>
      </c>
      <c r="BN62">
        <v>1</v>
      </c>
      <c r="BO62" s="117">
        <f t="shared" si="26"/>
        <v>15.229130000000001</v>
      </c>
      <c r="BP62" s="34">
        <f t="shared" si="89"/>
        <v>29.841805000000001</v>
      </c>
      <c r="BQ62" s="117">
        <f t="shared" si="90"/>
        <v>22.909551374819102</v>
      </c>
      <c r="BR62" s="117">
        <v>21.952660000000002</v>
      </c>
      <c r="BS62" s="117">
        <f t="shared" si="66"/>
        <v>-21.909551374819102</v>
      </c>
      <c r="BT62" s="117">
        <f t="shared" si="67"/>
        <v>-20.952660000000002</v>
      </c>
      <c r="BU62" s="117">
        <f t="shared" si="75"/>
        <v>-17.517810000000001</v>
      </c>
      <c r="BV62" s="23">
        <v>-0.224</v>
      </c>
      <c r="BW62" s="117">
        <f t="shared" si="30"/>
        <v>-14.229130000000001</v>
      </c>
      <c r="BX62" s="23">
        <f t="shared" si="31"/>
        <v>-0.16477050919907499</v>
      </c>
      <c r="BY62" s="34">
        <f t="shared" si="32"/>
        <v>-25.841805000000001</v>
      </c>
      <c r="BZ62" s="23">
        <f t="shared" si="53"/>
        <v>-0.14532782528742244</v>
      </c>
      <c r="CA62" s="23">
        <f t="shared" si="91"/>
        <v>-0.15000809391575862</v>
      </c>
      <c r="CB62" s="23">
        <f t="shared" si="68"/>
        <v>-0.15747712446723641</v>
      </c>
      <c r="CC62" s="23">
        <f t="shared" si="76"/>
        <v>-0.19727706228574238</v>
      </c>
      <c r="CD62" s="117">
        <v>5</v>
      </c>
      <c r="CE62" s="117">
        <f t="shared" si="92"/>
        <v>21.953140999999999</v>
      </c>
      <c r="CF62" s="117">
        <f t="shared" si="33"/>
        <v>-20.953140999999999</v>
      </c>
      <c r="CG62" s="23">
        <f t="shared" si="69"/>
        <v>-0.18110932664948365</v>
      </c>
      <c r="CH62" s="26">
        <f t="shared" si="93"/>
        <v>-2.993305857142857</v>
      </c>
      <c r="CI62" s="23">
        <f t="shared" si="94"/>
        <v>-1.0524004979511679</v>
      </c>
      <c r="CJ62" s="117">
        <v>6</v>
      </c>
      <c r="CK62" s="117">
        <v>8</v>
      </c>
      <c r="CL62" s="117">
        <f t="shared" si="95"/>
        <v>4.0694591000000004</v>
      </c>
      <c r="CM62" s="117">
        <f t="shared" si="96"/>
        <v>3.0289435600578871</v>
      </c>
      <c r="CN62" s="117">
        <f t="shared" si="34"/>
        <v>3.9305408999999996</v>
      </c>
      <c r="CO62" s="117">
        <f t="shared" si="97"/>
        <v>2.9710564399421129</v>
      </c>
      <c r="CP62" s="23">
        <f t="shared" si="35"/>
        <v>3.6100577032908053E-2</v>
      </c>
      <c r="CQ62" s="23">
        <f t="shared" si="70"/>
        <v>0.15487136720724612</v>
      </c>
      <c r="CR62" s="23">
        <f t="shared" si="36"/>
        <v>-9.9970724707339823E-2</v>
      </c>
      <c r="CS62" s="23">
        <f t="shared" si="37"/>
        <v>-8.4860040097494704E-2</v>
      </c>
      <c r="CT62" s="26">
        <f t="shared" si="98"/>
        <v>-7.3788228635007419E-2</v>
      </c>
      <c r="CU62" s="117">
        <v>3</v>
      </c>
      <c r="CV62" s="117">
        <f t="shared" si="77"/>
        <v>2</v>
      </c>
      <c r="CW62" s="23">
        <v>-8.3000000000000004E-2</v>
      </c>
      <c r="CX62" s="23">
        <v>-0.188</v>
      </c>
      <c r="CY62" s="23">
        <f t="shared" si="78"/>
        <v>-0.16870779671430677</v>
      </c>
      <c r="CZ62" s="34">
        <v>0</v>
      </c>
      <c r="DA62" s="75">
        <v>0</v>
      </c>
      <c r="DB62" s="34">
        <v>22823</v>
      </c>
      <c r="DC62" s="34">
        <v>0</v>
      </c>
      <c r="DD62" s="34">
        <v>0</v>
      </c>
      <c r="DE62" s="34">
        <f t="shared" si="99"/>
        <v>17273.179</v>
      </c>
      <c r="DF62" s="34">
        <f t="shared" si="100"/>
        <v>13179.095513748191</v>
      </c>
      <c r="DG62" s="34">
        <f t="shared" si="38"/>
        <v>-17273.179</v>
      </c>
      <c r="DH62" s="34">
        <f t="shared" si="39"/>
        <v>-13179.095513748191</v>
      </c>
      <c r="DI62" s="36">
        <f t="shared" si="71"/>
        <v>-6.2049533084304283E-2</v>
      </c>
      <c r="DJ62" s="36">
        <f t="shared" si="40"/>
        <v>-8.4504865308946714E-2</v>
      </c>
      <c r="DK62" s="36">
        <f t="shared" si="72"/>
        <v>-6.9092750414726165E-2</v>
      </c>
      <c r="DL62" s="34">
        <v>20235.96</v>
      </c>
      <c r="DM62">
        <f t="shared" si="79"/>
        <v>-22823</v>
      </c>
      <c r="DN62" s="34">
        <f t="shared" si="80"/>
        <v>-20235.96</v>
      </c>
      <c r="DO62" s="23">
        <v>-0.111</v>
      </c>
      <c r="DP62" s="23">
        <f t="shared" si="81"/>
        <v>-0.1208163688077407</v>
      </c>
      <c r="DQ62" s="23">
        <f t="shared" si="43"/>
        <v>-9.3784380947982582E-2</v>
      </c>
      <c r="DR62" s="23">
        <f t="shared" si="44"/>
        <v>-7.5735837292218541E-2</v>
      </c>
    </row>
    <row r="63" spans="1:122" x14ac:dyDescent="0.25">
      <c r="A63" s="9" t="s">
        <v>135</v>
      </c>
      <c r="B63" s="9" t="s">
        <v>100</v>
      </c>
      <c r="C63" s="10">
        <f t="shared" si="83"/>
        <v>19</v>
      </c>
      <c r="D63" s="8">
        <v>6</v>
      </c>
      <c r="E63" s="8">
        <v>13</v>
      </c>
      <c r="F63">
        <v>0</v>
      </c>
      <c r="G63" s="8">
        <v>0</v>
      </c>
      <c r="H63">
        <v>0</v>
      </c>
      <c r="I63">
        <v>0</v>
      </c>
      <c r="J63">
        <v>0</v>
      </c>
      <c r="L63" s="38">
        <v>12</v>
      </c>
      <c r="M63" s="23">
        <f t="shared" si="84"/>
        <v>0.63157894736842102</v>
      </c>
      <c r="N63" s="23">
        <f>M63/M75</f>
        <v>9.8009166912688406E-3</v>
      </c>
      <c r="O63" s="33">
        <v>6</v>
      </c>
      <c r="P63" s="23">
        <f t="shared" si="85"/>
        <v>0.31578947368421051</v>
      </c>
      <c r="Q63" s="40">
        <f>P63/P75</f>
        <v>2.1133033154083661E-2</v>
      </c>
      <c r="R63" s="23">
        <f t="shared" si="86"/>
        <v>0.55263157894736836</v>
      </c>
      <c r="S63" s="40">
        <f>R63/R75</f>
        <v>1.0613990252449208E-2</v>
      </c>
      <c r="T63" s="40">
        <f t="shared" si="87"/>
        <v>1.2633945806972545E-2</v>
      </c>
      <c r="U63" s="34"/>
      <c r="V63" s="34">
        <f t="shared" si="82"/>
        <v>0</v>
      </c>
      <c r="W63" s="34"/>
      <c r="X63" s="40">
        <f>V63/V75</f>
        <v>0</v>
      </c>
      <c r="Y63" s="47">
        <f t="shared" si="88"/>
        <v>7.5803674841835268E-3</v>
      </c>
      <c r="Z63" s="47">
        <v>-0.59399999999999997</v>
      </c>
      <c r="AA63" s="135">
        <v>-0.113</v>
      </c>
      <c r="AB63" s="218">
        <v>16</v>
      </c>
      <c r="AC63" s="226">
        <v>-7.806754556051447E-2</v>
      </c>
      <c r="AD63" s="135">
        <f t="shared" si="64"/>
        <v>-0.10424787855594984</v>
      </c>
      <c r="AE63" s="298"/>
      <c r="AF63" s="298"/>
      <c r="AG63" s="23"/>
      <c r="AH63" s="23"/>
      <c r="AI63" s="53"/>
      <c r="AJ63" s="68"/>
      <c r="AK63" s="79"/>
      <c r="AL63" s="68"/>
      <c r="AM63" s="298"/>
      <c r="AN63" s="68"/>
      <c r="AO63" s="68"/>
      <c r="AP63" s="23"/>
      <c r="AQ63" s="23"/>
      <c r="AR63" s="23"/>
      <c r="AS63" s="23"/>
      <c r="AT63" s="23"/>
      <c r="AU63" s="23"/>
      <c r="AV63" s="23"/>
      <c r="AW63" s="26"/>
      <c r="AX63" s="26"/>
      <c r="AY63" s="26"/>
      <c r="AZ63" s="26"/>
      <c r="BA63" s="26"/>
      <c r="BF63">
        <v>34</v>
      </c>
      <c r="BG63">
        <v>34</v>
      </c>
      <c r="BH63">
        <f t="shared" si="65"/>
        <v>0</v>
      </c>
      <c r="BI63">
        <v>43</v>
      </c>
      <c r="BJ63">
        <v>40</v>
      </c>
      <c r="BK63" s="117">
        <v>43.315379999999998</v>
      </c>
      <c r="BL63">
        <f t="shared" si="74"/>
        <v>-9</v>
      </c>
      <c r="BM63">
        <v>56</v>
      </c>
      <c r="BN63">
        <v>33</v>
      </c>
      <c r="BO63" s="117">
        <f t="shared" si="26"/>
        <v>34.809440000000002</v>
      </c>
      <c r="BP63" s="34">
        <f t="shared" si="89"/>
        <v>68.20984</v>
      </c>
      <c r="BQ63" s="117">
        <f t="shared" si="90"/>
        <v>52.36468885672938</v>
      </c>
      <c r="BR63" s="117">
        <v>50.177509999999998</v>
      </c>
      <c r="BS63" s="117">
        <f t="shared" si="66"/>
        <v>-12.36468885672938</v>
      </c>
      <c r="BT63" s="117">
        <f t="shared" si="67"/>
        <v>-10.177509999999998</v>
      </c>
      <c r="BU63" s="117">
        <f t="shared" si="75"/>
        <v>-9.3153799999999976</v>
      </c>
      <c r="BV63" s="23">
        <v>-0.152</v>
      </c>
      <c r="BW63" s="117">
        <f t="shared" si="30"/>
        <v>-1.8094400000000022</v>
      </c>
      <c r="BX63" s="23">
        <f t="shared" si="31"/>
        <v>-4.6842690264674483E-2</v>
      </c>
      <c r="BY63" s="34">
        <f t="shared" si="32"/>
        <v>-12.20984</v>
      </c>
      <c r="BZ63" s="23">
        <f t="shared" si="53"/>
        <v>-7.1785375835184712E-2</v>
      </c>
      <c r="CA63" s="23">
        <f t="shared" si="91"/>
        <v>-8.4657297428332612E-2</v>
      </c>
      <c r="CB63" s="23">
        <f t="shared" si="68"/>
        <v>-0.10109613848902213</v>
      </c>
      <c r="CC63" s="23">
        <f t="shared" si="76"/>
        <v>-0.12289680263558998</v>
      </c>
      <c r="CD63" s="117">
        <v>18</v>
      </c>
      <c r="CE63" s="117">
        <f t="shared" si="92"/>
        <v>50.178607999999997</v>
      </c>
      <c r="CF63" s="117">
        <f t="shared" si="33"/>
        <v>-10.178607999999997</v>
      </c>
      <c r="CG63" s="23">
        <f t="shared" si="69"/>
        <v>-0.10704819225969563</v>
      </c>
      <c r="CH63" s="26">
        <f t="shared" si="93"/>
        <v>-0.63616299999999981</v>
      </c>
      <c r="CI63" s="23">
        <f t="shared" si="94"/>
        <v>-0.25217061642040539</v>
      </c>
      <c r="CJ63" s="117">
        <v>9</v>
      </c>
      <c r="CK63" s="117">
        <v>27</v>
      </c>
      <c r="CL63" s="117">
        <f t="shared" si="95"/>
        <v>9.3016208000000002</v>
      </c>
      <c r="CM63" s="117">
        <f t="shared" si="96"/>
        <v>6.923299565846599</v>
      </c>
      <c r="CN63" s="117">
        <f t="shared" si="34"/>
        <v>17.698379199999998</v>
      </c>
      <c r="CO63" s="117">
        <f t="shared" si="97"/>
        <v>2.076700434153401</v>
      </c>
      <c r="CP63" s="23">
        <f t="shared" si="35"/>
        <v>0.47103795958887679</v>
      </c>
      <c r="CQ63" s="23">
        <f t="shared" si="70"/>
        <v>0.10825154015703761</v>
      </c>
      <c r="CR63" s="23">
        <f t="shared" si="36"/>
        <v>6.3920458020830656E-2</v>
      </c>
      <c r="CS63" s="23">
        <f t="shared" si="37"/>
        <v>-8.0691326592464627E-3</v>
      </c>
      <c r="CT63" s="26">
        <f t="shared" si="98"/>
        <v>-3.6430088031990056E-2</v>
      </c>
      <c r="CU63" s="117">
        <v>6</v>
      </c>
      <c r="CV63" s="117">
        <f t="shared" si="77"/>
        <v>12</v>
      </c>
      <c r="CW63" s="23">
        <v>0.316</v>
      </c>
      <c r="CX63" s="23">
        <v>-3.5000000000000003E-2</v>
      </c>
      <c r="CY63" s="23">
        <f t="shared" si="78"/>
        <v>-1.3172601976692483E-2</v>
      </c>
      <c r="CZ63" s="34">
        <v>0</v>
      </c>
      <c r="DA63" s="75">
        <v>0</v>
      </c>
      <c r="DB63" s="34">
        <v>44667</v>
      </c>
      <c r="DC63" s="34">
        <v>0</v>
      </c>
      <c r="DD63" s="34">
        <v>0</v>
      </c>
      <c r="DE63" s="34">
        <f t="shared" si="99"/>
        <v>39481.552000000003</v>
      </c>
      <c r="DF63" s="34">
        <f t="shared" si="100"/>
        <v>30123.646888567295</v>
      </c>
      <c r="DG63" s="34">
        <f t="shared" si="38"/>
        <v>-39481.552000000003</v>
      </c>
      <c r="DH63" s="34">
        <f t="shared" si="39"/>
        <v>-30123.646888567295</v>
      </c>
      <c r="DI63" s="36">
        <f t="shared" si="71"/>
        <v>-0.14182750419269552</v>
      </c>
      <c r="DJ63" s="36">
        <f t="shared" si="40"/>
        <v>-0.1752663310714104</v>
      </c>
      <c r="DK63" s="36">
        <f t="shared" si="72"/>
        <v>-7.8589054496272237E-2</v>
      </c>
      <c r="DL63" s="34">
        <v>40369.43</v>
      </c>
      <c r="DM63">
        <f t="shared" si="79"/>
        <v>-44667</v>
      </c>
      <c r="DN63" s="34">
        <f t="shared" si="80"/>
        <v>-40369.43</v>
      </c>
      <c r="DO63" s="23">
        <v>-0.23</v>
      </c>
      <c r="DP63" s="23">
        <f t="shared" si="81"/>
        <v>-0.24086079342483588</v>
      </c>
      <c r="DQ63" s="23">
        <f t="shared" si="43"/>
        <v>-3.1754257616065776E-2</v>
      </c>
      <c r="DR63" s="23">
        <f t="shared" si="44"/>
        <v>-6.1572481272626087E-2</v>
      </c>
    </row>
    <row r="64" spans="1:122" x14ac:dyDescent="0.25">
      <c r="A64" s="7" t="s">
        <v>135</v>
      </c>
      <c r="B64" s="7" t="s">
        <v>136</v>
      </c>
      <c r="C64" s="10">
        <f t="shared" si="83"/>
        <v>43</v>
      </c>
      <c r="D64" s="8">
        <v>0</v>
      </c>
      <c r="E64" s="8">
        <v>43</v>
      </c>
      <c r="F64">
        <v>0</v>
      </c>
      <c r="G64" s="8">
        <v>0</v>
      </c>
      <c r="H64">
        <v>0</v>
      </c>
      <c r="I64">
        <v>0</v>
      </c>
      <c r="J64">
        <v>0</v>
      </c>
      <c r="L64" s="38">
        <v>34.5</v>
      </c>
      <c r="M64" s="23">
        <f t="shared" si="84"/>
        <v>0.80232558139534882</v>
      </c>
      <c r="N64" s="23">
        <f>M64/M75</f>
        <v>1.2450583122338614E-2</v>
      </c>
      <c r="O64" s="33">
        <v>3</v>
      </c>
      <c r="P64" s="23">
        <f t="shared" si="85"/>
        <v>6.9767441860465115E-2</v>
      </c>
      <c r="Q64" s="40">
        <f>P64/P75</f>
        <v>4.6689259293905766E-3</v>
      </c>
      <c r="R64" s="23">
        <f t="shared" si="86"/>
        <v>0.6191860465116279</v>
      </c>
      <c r="S64" s="40">
        <f>R64/R75</f>
        <v>1.1892253198134538E-2</v>
      </c>
      <c r="T64" s="40">
        <f t="shared" si="87"/>
        <v>1.0505168824101605E-2</v>
      </c>
      <c r="U64" s="34">
        <v>41945</v>
      </c>
      <c r="V64" s="34">
        <f>U64/C64</f>
        <v>975.46511627906978</v>
      </c>
      <c r="W64" s="34"/>
      <c r="X64" s="40">
        <f>V64/V75</f>
        <v>1.2526341736637693E-2</v>
      </c>
      <c r="Y64" s="47">
        <f t="shared" si="88"/>
        <v>1.131363798911604E-2</v>
      </c>
      <c r="Z64" s="47">
        <v>8.9999999999999993E-3</v>
      </c>
      <c r="AA64" s="135">
        <v>-0.46</v>
      </c>
      <c r="AB64" s="218">
        <v>39</v>
      </c>
      <c r="AC64" s="226">
        <v>-0.39021173557172451</v>
      </c>
      <c r="AD64" s="135">
        <f t="shared" si="64"/>
        <v>-0.46328310742438217</v>
      </c>
      <c r="AE64" s="298"/>
      <c r="AF64" s="298"/>
      <c r="AG64" s="23"/>
      <c r="AH64" s="23"/>
      <c r="AI64" s="53"/>
      <c r="AJ64" s="68"/>
      <c r="AK64" s="79"/>
      <c r="AL64" s="68"/>
      <c r="AM64" s="298"/>
      <c r="AN64" s="68"/>
      <c r="AO64" s="68"/>
      <c r="AP64" s="23"/>
      <c r="AQ64" s="23"/>
      <c r="AR64" s="23"/>
      <c r="AS64" s="23"/>
      <c r="AT64" s="23"/>
      <c r="AU64" s="23"/>
      <c r="AV64" s="23"/>
      <c r="AW64" s="26"/>
      <c r="AX64" s="26"/>
      <c r="AY64" s="26"/>
      <c r="AZ64" s="26"/>
      <c r="BA64" s="26"/>
      <c r="BF64">
        <v>62</v>
      </c>
      <c r="BG64">
        <v>61</v>
      </c>
      <c r="BH64">
        <f t="shared" si="65"/>
        <v>1</v>
      </c>
      <c r="BI64">
        <v>97</v>
      </c>
      <c r="BJ64">
        <v>68</v>
      </c>
      <c r="BK64" s="117">
        <v>98.02955</v>
      </c>
      <c r="BL64">
        <f t="shared" si="74"/>
        <v>-35</v>
      </c>
      <c r="BM64">
        <v>93</v>
      </c>
      <c r="BN64">
        <v>50</v>
      </c>
      <c r="BO64" s="117">
        <f t="shared" si="26"/>
        <v>84.848010000000002</v>
      </c>
      <c r="BP64" s="34">
        <f t="shared" si="89"/>
        <v>166.26148499999999</v>
      </c>
      <c r="BQ64" s="117">
        <f t="shared" si="90"/>
        <v>127.63892908827786</v>
      </c>
      <c r="BR64" s="117">
        <v>122.30768999999999</v>
      </c>
      <c r="BS64" s="117">
        <f t="shared" si="66"/>
        <v>-59.638929088277862</v>
      </c>
      <c r="BT64" s="117">
        <f t="shared" si="67"/>
        <v>-54.307689999999994</v>
      </c>
      <c r="BU64" s="117">
        <f t="shared" si="75"/>
        <v>-37.02955</v>
      </c>
      <c r="BV64" s="23">
        <v>-0.38400000000000001</v>
      </c>
      <c r="BW64" s="117">
        <f t="shared" si="30"/>
        <v>-34.848010000000002</v>
      </c>
      <c r="BX64" s="23">
        <f t="shared" si="31"/>
        <v>-0.36055152686297254</v>
      </c>
      <c r="BY64" s="34">
        <f t="shared" si="32"/>
        <v>-73.261484999999993</v>
      </c>
      <c r="BZ64" s="23">
        <f t="shared" si="53"/>
        <v>-0.40115003576414304</v>
      </c>
      <c r="CA64" s="23">
        <f t="shared" si="91"/>
        <v>-0.40832977009249799</v>
      </c>
      <c r="CB64" s="23">
        <f t="shared" si="68"/>
        <v>-0.29159483584673773</v>
      </c>
      <c r="CC64" s="23">
        <f t="shared" si="76"/>
        <v>-0.37421100593735096</v>
      </c>
      <c r="CD64" s="117">
        <v>3</v>
      </c>
      <c r="CE64" s="117">
        <f t="shared" si="92"/>
        <v>122.310357</v>
      </c>
      <c r="CF64" s="117">
        <f t="shared" ref="CF64:CF72" si="103">BJ64-CE64</f>
        <v>-54.310356999999996</v>
      </c>
      <c r="CG64" s="23">
        <f t="shared" si="69"/>
        <v>-0.41039752475934022</v>
      </c>
      <c r="CH64" s="26">
        <f t="shared" si="93"/>
        <v>-1.3925732564102564</v>
      </c>
      <c r="CI64" s="23">
        <f t="shared" ref="CI64:CI74" si="104">(CH64-CH$73)/CH$74</f>
        <v>-0.50896544242833464</v>
      </c>
      <c r="CJ64" s="117">
        <v>8</v>
      </c>
      <c r="CK64" s="117">
        <v>9</v>
      </c>
      <c r="CL64" s="117">
        <f t="shared" si="95"/>
        <v>22.6727007</v>
      </c>
      <c r="CM64" s="117">
        <f t="shared" si="96"/>
        <v>16.875542691751086</v>
      </c>
      <c r="CN64" s="117">
        <f t="shared" si="34"/>
        <v>-13.6727007</v>
      </c>
      <c r="CO64" s="117">
        <f t="shared" si="97"/>
        <v>-8.875542691751086</v>
      </c>
      <c r="CP64" s="23">
        <f t="shared" si="35"/>
        <v>-0.52000036337429767</v>
      </c>
      <c r="CQ64" s="23">
        <f t="shared" si="70"/>
        <v>-0.46265274967464226</v>
      </c>
      <c r="CR64" s="23">
        <f t="shared" si="36"/>
        <v>-0.43086261766668166</v>
      </c>
      <c r="CS64" s="23">
        <f t="shared" si="37"/>
        <v>-0.38607683256588998</v>
      </c>
      <c r="CT64" s="26">
        <f t="shared" si="98"/>
        <v>-0.42191051498803406</v>
      </c>
      <c r="CU64" s="117">
        <v>14</v>
      </c>
      <c r="CV64" s="117">
        <f t="shared" si="77"/>
        <v>-11</v>
      </c>
      <c r="CW64" s="23">
        <v>-0.6</v>
      </c>
      <c r="CX64" s="23">
        <v>-0.438</v>
      </c>
      <c r="CY64" s="23">
        <f t="shared" si="78"/>
        <v>-0.4306582544530132</v>
      </c>
      <c r="CZ64" s="34">
        <v>0</v>
      </c>
      <c r="DA64" s="75">
        <v>0</v>
      </c>
      <c r="DB64" s="34">
        <v>93056</v>
      </c>
      <c r="DC64" s="34">
        <v>0</v>
      </c>
      <c r="DD64" s="34">
        <v>0</v>
      </c>
      <c r="DE64" s="34">
        <f t="shared" si="99"/>
        <v>96236.28300000001</v>
      </c>
      <c r="DF64" s="34">
        <f t="shared" si="100"/>
        <v>73426.389290882784</v>
      </c>
      <c r="DG64" s="34">
        <f t="shared" si="38"/>
        <v>-96236.28300000001</v>
      </c>
      <c r="DH64" s="34">
        <f t="shared" ref="DH64:DH72" si="105">DC64-DF64</f>
        <v>-73426.389290882784</v>
      </c>
      <c r="DI64" s="36">
        <f t="shared" si="71"/>
        <v>-0.34570454146969531</v>
      </c>
      <c r="DJ64" s="36">
        <f t="shared" si="40"/>
        <v>-0.40721229913103979</v>
      </c>
      <c r="DK64" s="36">
        <f t="shared" si="72"/>
        <v>-0.39142812558069856</v>
      </c>
      <c r="DL64" s="34">
        <v>85881</v>
      </c>
      <c r="DM64">
        <f t="shared" si="79"/>
        <v>-93056</v>
      </c>
      <c r="DN64" s="34">
        <f t="shared" si="80"/>
        <v>-85881</v>
      </c>
      <c r="DO64" s="23">
        <v>-0.49299999999999999</v>
      </c>
      <c r="DP64" s="23">
        <f t="shared" si="81"/>
        <v>-0.51222038688143567</v>
      </c>
      <c r="DQ64" s="23">
        <f t="shared" si="43"/>
        <v>-0.42140249025242488</v>
      </c>
      <c r="DR64" s="23">
        <f t="shared" si="44"/>
        <v>-0.3699279161274121</v>
      </c>
    </row>
    <row r="65" spans="1:122" x14ac:dyDescent="0.25">
      <c r="A65" s="9" t="s">
        <v>135</v>
      </c>
      <c r="B65" s="9" t="s">
        <v>137</v>
      </c>
      <c r="C65" s="10">
        <f t="shared" ref="C65:C72" si="106">SUM(D65:J65)</f>
        <v>75</v>
      </c>
      <c r="D65" s="8">
        <v>0</v>
      </c>
      <c r="E65" s="8">
        <v>75</v>
      </c>
      <c r="F65">
        <v>0</v>
      </c>
      <c r="G65" s="8">
        <v>0</v>
      </c>
      <c r="H65">
        <v>0</v>
      </c>
      <c r="I65">
        <v>0</v>
      </c>
      <c r="J65">
        <v>0</v>
      </c>
      <c r="L65" s="38">
        <v>34</v>
      </c>
      <c r="M65" s="23">
        <f t="shared" ref="M65:M73" si="107">L65/C65</f>
        <v>0.45333333333333331</v>
      </c>
      <c r="N65" s="23">
        <f>M65/M75</f>
        <v>7.0348802028440786E-3</v>
      </c>
      <c r="O65" s="33">
        <v>11.5</v>
      </c>
      <c r="P65" s="23">
        <f t="shared" ref="P65:P73" si="108">O65/C65</f>
        <v>0.15333333333333332</v>
      </c>
      <c r="Q65" s="40">
        <f>P65/P75</f>
        <v>1.0261261653705066E-2</v>
      </c>
      <c r="R65" s="23">
        <f t="shared" ref="R65:R73" si="109">(0.75*M65)+(0.25*P65)</f>
        <v>0.3783333333333333</v>
      </c>
      <c r="S65" s="40">
        <f>R65/R75</f>
        <v>7.266371422033879E-3</v>
      </c>
      <c r="T65" s="40">
        <f t="shared" ref="T65:T72" si="110">(0.75*N65)+(0.25*Q65)</f>
        <v>7.8414755655593256E-3</v>
      </c>
      <c r="U65" s="34"/>
      <c r="V65" s="34">
        <f t="shared" si="82"/>
        <v>0</v>
      </c>
      <c r="W65" s="34"/>
      <c r="X65" s="40">
        <f>V65/V75</f>
        <v>0</v>
      </c>
      <c r="Y65" s="47">
        <f t="shared" ref="Y65:Y72" si="111">(0.6*T65)+(0.4*X65)</f>
        <v>4.704885339335595E-3</v>
      </c>
      <c r="Z65" s="47">
        <v>-0.312</v>
      </c>
      <c r="AA65" s="135">
        <v>-0.64100000000000001</v>
      </c>
      <c r="AB65" s="218">
        <v>85</v>
      </c>
      <c r="AC65" s="226">
        <v>-0.76558958318512782</v>
      </c>
      <c r="AD65" s="135">
        <f t="shared" si="64"/>
        <v>-0.63934284009310738</v>
      </c>
      <c r="AE65" s="297"/>
      <c r="AF65" s="297"/>
      <c r="AG65" s="23"/>
      <c r="AH65" s="23"/>
      <c r="AI65" s="53"/>
      <c r="AJ65" s="68"/>
      <c r="AK65" s="79"/>
      <c r="AL65" s="68"/>
      <c r="AM65" s="298"/>
      <c r="AN65" s="68"/>
      <c r="AO65" s="68"/>
      <c r="AP65" s="23"/>
      <c r="AQ65" s="23"/>
      <c r="AR65" s="23"/>
      <c r="AS65" s="23"/>
      <c r="AT65" s="23"/>
      <c r="AU65" s="23"/>
      <c r="AV65" s="23"/>
      <c r="AW65" s="26"/>
      <c r="AX65" s="26"/>
      <c r="AY65" s="26"/>
      <c r="AZ65" s="26"/>
      <c r="BA65" s="26"/>
      <c r="BF65">
        <v>82</v>
      </c>
      <c r="BG65">
        <v>82</v>
      </c>
      <c r="BH65">
        <f t="shared" si="65"/>
        <v>0</v>
      </c>
      <c r="BI65">
        <v>170</v>
      </c>
      <c r="BJ65">
        <v>118</v>
      </c>
      <c r="BK65" s="117">
        <v>170.98177000000001</v>
      </c>
      <c r="BL65">
        <f t="shared" si="74"/>
        <v>-88</v>
      </c>
      <c r="BM65">
        <v>151</v>
      </c>
      <c r="BN65">
        <v>86</v>
      </c>
      <c r="BO65" s="117">
        <f t="shared" si="26"/>
        <v>184.92515</v>
      </c>
      <c r="BP65" s="34">
        <f t="shared" si="89"/>
        <v>362.36477500000001</v>
      </c>
      <c r="BQ65" s="117">
        <f t="shared" si="90"/>
        <v>278.18740955137486</v>
      </c>
      <c r="BR65" s="117">
        <v>266.56805000000003</v>
      </c>
      <c r="BS65" s="117">
        <f t="shared" si="66"/>
        <v>-160.18740955137486</v>
      </c>
      <c r="BT65" s="117">
        <f t="shared" si="67"/>
        <v>-148.56805000000003</v>
      </c>
      <c r="BU65" s="117">
        <f t="shared" si="75"/>
        <v>-88.981770000000012</v>
      </c>
      <c r="BV65" s="23">
        <v>-0.85799999999999998</v>
      </c>
      <c r="BW65" s="117">
        <f t="shared" si="30"/>
        <v>-98.925150000000002</v>
      </c>
      <c r="BX65" s="23">
        <f t="shared" si="31"/>
        <v>-0.96897873911659826</v>
      </c>
      <c r="BY65" s="34">
        <f t="shared" si="32"/>
        <v>-211.36477500000001</v>
      </c>
      <c r="BZ65" s="23">
        <f t="shared" si="53"/>
        <v>-1.1461970061761657</v>
      </c>
      <c r="CA65" s="23">
        <f t="shared" si="91"/>
        <v>-1.0967549067993247</v>
      </c>
      <c r="CB65" s="23">
        <f t="shared" si="68"/>
        <v>-0.64869844872208127</v>
      </c>
      <c r="CC65" s="23">
        <f t="shared" si="76"/>
        <v>-0.84531769176116656</v>
      </c>
      <c r="CD65" s="117">
        <v>22</v>
      </c>
      <c r="CE65" s="117">
        <f t="shared" si="92"/>
        <v>266.57385499999998</v>
      </c>
      <c r="CF65" s="117">
        <f t="shared" si="103"/>
        <v>-148.57385499999998</v>
      </c>
      <c r="CG65" s="23">
        <f t="shared" si="69"/>
        <v>-1.0583385161164145</v>
      </c>
      <c r="CH65" s="26">
        <f t="shared" si="93"/>
        <v>-1.7479277058823528</v>
      </c>
      <c r="CI65" s="23">
        <f t="shared" si="104"/>
        <v>-0.62960524503544946</v>
      </c>
      <c r="CJ65" s="117">
        <v>36</v>
      </c>
      <c r="CK65" s="117">
        <v>46</v>
      </c>
      <c r="CL65" s="117">
        <f t="shared" si="95"/>
        <v>49.414860500000003</v>
      </c>
      <c r="CM65" s="117">
        <f t="shared" si="96"/>
        <v>36.780028943560055</v>
      </c>
      <c r="CN65" s="117">
        <f t="shared" si="34"/>
        <v>-3.4148605000000032</v>
      </c>
      <c r="CO65" s="117">
        <f t="shared" si="97"/>
        <v>-0.7800289435600547</v>
      </c>
      <c r="CP65" s="23">
        <f t="shared" si="35"/>
        <v>-0.19594671965410709</v>
      </c>
      <c r="CQ65" s="23">
        <f t="shared" si="70"/>
        <v>-4.0660334595570058E-2</v>
      </c>
      <c r="CR65" s="23">
        <f t="shared" si="36"/>
        <v>-0.90863443454565107</v>
      </c>
      <c r="CS65" s="23">
        <f t="shared" si="37"/>
        <v>-0.73689913798634121</v>
      </c>
      <c r="CT65" s="26">
        <f t="shared" si="98"/>
        <v>-0.83273126374838613</v>
      </c>
      <c r="CU65" s="117">
        <v>24</v>
      </c>
      <c r="CV65" s="117">
        <f t="shared" si="77"/>
        <v>-2</v>
      </c>
      <c r="CW65" s="23">
        <v>-0.24199999999999999</v>
      </c>
      <c r="CX65" s="23">
        <v>-0.70399999999999996</v>
      </c>
      <c r="CY65" s="23">
        <f t="shared" si="78"/>
        <v>-0.69448826882087489</v>
      </c>
      <c r="CZ65" s="34">
        <v>50283</v>
      </c>
      <c r="DA65" s="75">
        <v>50283</v>
      </c>
      <c r="DB65" s="34">
        <v>153409</v>
      </c>
      <c r="DC65" s="34">
        <v>17440</v>
      </c>
      <c r="DD65" s="34">
        <v>159407</v>
      </c>
      <c r="DE65" s="34">
        <f t="shared" si="99"/>
        <v>209745.74500000002</v>
      </c>
      <c r="DF65" s="34">
        <f t="shared" si="100"/>
        <v>160031.87409551375</v>
      </c>
      <c r="DG65" s="34">
        <f t="shared" si="38"/>
        <v>-50338.745000000024</v>
      </c>
      <c r="DH65" s="34">
        <f t="shared" si="105"/>
        <v>-142591.87409551375</v>
      </c>
      <c r="DI65" s="36">
        <f t="shared" si="71"/>
        <v>-0.67134798439033327</v>
      </c>
      <c r="DJ65" s="36">
        <f t="shared" si="40"/>
        <v>-0.21963764772508701</v>
      </c>
      <c r="DK65" s="36">
        <f t="shared" si="72"/>
        <v>-0.76817795200516503</v>
      </c>
      <c r="DL65" s="34">
        <v>143611.35</v>
      </c>
      <c r="DM65">
        <f t="shared" si="79"/>
        <v>-103126</v>
      </c>
      <c r="DN65" s="34">
        <f t="shared" si="80"/>
        <v>-93328.35</v>
      </c>
      <c r="DO65" s="23">
        <v>-0.54700000000000004</v>
      </c>
      <c r="DP65" s="23">
        <f t="shared" si="81"/>
        <v>-0.556624697001456</v>
      </c>
      <c r="DQ65" s="23">
        <f t="shared" si="43"/>
        <v>-0.63303571981742535</v>
      </c>
      <c r="DR65" s="23">
        <f t="shared" si="44"/>
        <v>-0.71067867654793804</v>
      </c>
    </row>
    <row r="66" spans="1:122" x14ac:dyDescent="0.25">
      <c r="A66" s="9" t="s">
        <v>135</v>
      </c>
      <c r="B66" s="219" t="s">
        <v>312</v>
      </c>
      <c r="C66" s="10">
        <v>0</v>
      </c>
      <c r="D66" s="8"/>
      <c r="E66" s="8"/>
      <c r="G66" s="8"/>
      <c r="L66" s="38"/>
      <c r="M66" s="23"/>
      <c r="N66" s="23"/>
      <c r="O66" s="33"/>
      <c r="P66" s="23"/>
      <c r="Q66" s="40"/>
      <c r="R66" s="23"/>
      <c r="S66" s="40"/>
      <c r="T66" s="40"/>
      <c r="U66" s="34"/>
      <c r="V66" s="34"/>
      <c r="W66" s="34"/>
      <c r="X66" s="40"/>
      <c r="Y66" s="47"/>
      <c r="Z66" s="47"/>
      <c r="AA66" s="135"/>
      <c r="AB66" s="218">
        <v>5</v>
      </c>
      <c r="AC66" s="226">
        <v>-8.184008258262826E-2</v>
      </c>
      <c r="AD66" s="135"/>
      <c r="AE66" s="297"/>
      <c r="AF66" s="297"/>
      <c r="AG66" s="23"/>
      <c r="AH66" s="23"/>
      <c r="AI66" s="53"/>
      <c r="AJ66" s="68"/>
      <c r="AK66" s="79"/>
      <c r="AL66" s="68"/>
      <c r="AM66" s="298"/>
      <c r="AN66" s="68"/>
      <c r="AO66" s="68"/>
      <c r="AP66" s="23"/>
      <c r="AQ66" s="23"/>
      <c r="AR66" s="23"/>
      <c r="AS66" s="23"/>
      <c r="AT66" s="23"/>
      <c r="AU66" s="23"/>
      <c r="AV66" s="23"/>
      <c r="AW66" s="26"/>
      <c r="AX66" s="26"/>
      <c r="AY66" s="26"/>
      <c r="AZ66" s="26"/>
      <c r="BA66" s="26"/>
      <c r="BJ66">
        <v>42</v>
      </c>
      <c r="BK66" s="117"/>
      <c r="BM66">
        <v>42</v>
      </c>
      <c r="BN66">
        <v>11</v>
      </c>
      <c r="BO66" s="117">
        <f t="shared" si="26"/>
        <v>10.87795</v>
      </c>
      <c r="BP66" s="34">
        <f t="shared" si="89"/>
        <v>21.315574999999999</v>
      </c>
      <c r="BQ66" s="117">
        <f t="shared" si="90"/>
        <v>16.363965267727931</v>
      </c>
      <c r="BR66" s="117">
        <v>15.68047</v>
      </c>
      <c r="BS66" s="117">
        <f t="shared" si="66"/>
        <v>25.636034732272069</v>
      </c>
      <c r="BT66" s="117">
        <f t="shared" si="67"/>
        <v>26.31953</v>
      </c>
      <c r="BU66" s="117"/>
      <c r="BV66" s="23"/>
      <c r="BW66" s="117">
        <f t="shared" si="30"/>
        <v>0.12204999999999977</v>
      </c>
      <c r="BX66" s="23">
        <f t="shared" si="31"/>
        <v>-2.8502747561305435E-2</v>
      </c>
      <c r="BY66" s="34">
        <f t="shared" si="32"/>
        <v>20.684425000000001</v>
      </c>
      <c r="BZ66" s="23">
        <f t="shared" si="53"/>
        <v>0.10567435363382531</v>
      </c>
      <c r="CA66" s="23">
        <f t="shared" si="91"/>
        <v>0.17552220216458328</v>
      </c>
      <c r="CB66" s="23">
        <f t="shared" si="68"/>
        <v>-3.7065075845179062E-2</v>
      </c>
      <c r="CC66" s="23"/>
      <c r="CD66" s="117"/>
      <c r="CE66" s="117">
        <f t="shared" si="92"/>
        <v>15.680814999999999</v>
      </c>
      <c r="CF66" s="117">
        <f t="shared" si="103"/>
        <v>26.319185000000001</v>
      </c>
      <c r="CG66" s="23">
        <f t="shared" si="69"/>
        <v>0.14382745611445333</v>
      </c>
      <c r="CH66" s="26">
        <f t="shared" si="93"/>
        <v>5.2638370000000005</v>
      </c>
      <c r="CI66" s="23">
        <f t="shared" si="104"/>
        <v>1.7508290264414423</v>
      </c>
      <c r="CJ66" s="117">
        <v>0</v>
      </c>
      <c r="CK66" s="117">
        <v>0</v>
      </c>
      <c r="CL66" s="117">
        <f t="shared" si="95"/>
        <v>2.9067565000000002</v>
      </c>
      <c r="CM66" s="117">
        <f t="shared" si="96"/>
        <v>2.1635311143270624</v>
      </c>
      <c r="CN66" s="117">
        <f t="shared" si="34"/>
        <v>-2.9067565000000002</v>
      </c>
      <c r="CO66" s="117">
        <f t="shared" si="97"/>
        <v>-2.1635311143270624</v>
      </c>
      <c r="CP66" s="23">
        <f t="shared" si="35"/>
        <v>-0.17989529465834581</v>
      </c>
      <c r="CQ66" s="23">
        <f t="shared" si="70"/>
        <v>-0.11277773695802873</v>
      </c>
      <c r="CR66" s="23">
        <f t="shared" si="36"/>
        <v>3.4281941560782528E-2</v>
      </c>
      <c r="CS66" s="23">
        <f t="shared" si="37"/>
        <v>-4.9571494910486257E-2</v>
      </c>
      <c r="CT66" s="26">
        <f t="shared" si="98"/>
        <v>0.10344721738393028</v>
      </c>
      <c r="CU66" s="117"/>
      <c r="CV66" s="117"/>
      <c r="CW66" s="23"/>
      <c r="CX66" s="23"/>
      <c r="CY66" s="23"/>
      <c r="CZ66" s="34"/>
      <c r="DA66" s="75"/>
      <c r="DB66" s="34"/>
      <c r="DC66" s="34">
        <v>0</v>
      </c>
      <c r="DD66" s="34">
        <v>0</v>
      </c>
      <c r="DE66" s="34">
        <f t="shared" si="99"/>
        <v>12337.985000000001</v>
      </c>
      <c r="DF66" s="34">
        <f t="shared" si="100"/>
        <v>9413.6396526772805</v>
      </c>
      <c r="DG66" s="34">
        <f t="shared" si="38"/>
        <v>-12337.985000000001</v>
      </c>
      <c r="DH66" s="34">
        <f t="shared" si="105"/>
        <v>-9413.6396526772805</v>
      </c>
      <c r="DI66" s="36">
        <f t="shared" si="71"/>
        <v>-4.432109506021735E-2</v>
      </c>
      <c r="DJ66" s="36">
        <f t="shared" si="40"/>
        <v>-6.4335650695065902E-2</v>
      </c>
      <c r="DK66" s="36">
        <f t="shared" si="72"/>
        <v>4.4339892406271231E-2</v>
      </c>
      <c r="DL66" s="34"/>
      <c r="DN66" s="34"/>
      <c r="DO66" s="23"/>
      <c r="DP66" s="23"/>
      <c r="DQ66" s="23">
        <f t="shared" si="43"/>
        <v>-5.1650953415568433E-3</v>
      </c>
      <c r="DR66" s="23">
        <f t="shared" si="44"/>
        <v>-4.7471334970378691E-2</v>
      </c>
    </row>
    <row r="67" spans="1:122" x14ac:dyDescent="0.25">
      <c r="A67" s="9" t="s">
        <v>135</v>
      </c>
      <c r="B67" s="219" t="s">
        <v>313</v>
      </c>
      <c r="C67" s="10">
        <f t="shared" si="106"/>
        <v>6</v>
      </c>
      <c r="D67" s="8">
        <v>0</v>
      </c>
      <c r="E67" s="8">
        <v>0</v>
      </c>
      <c r="F67">
        <v>0</v>
      </c>
      <c r="G67" s="8">
        <v>6</v>
      </c>
      <c r="H67">
        <v>0</v>
      </c>
      <c r="I67">
        <v>0</v>
      </c>
      <c r="J67">
        <v>0</v>
      </c>
      <c r="L67" s="38">
        <v>5</v>
      </c>
      <c r="M67" s="23">
        <f t="shared" si="107"/>
        <v>0.83333333333333337</v>
      </c>
      <c r="N67" s="23">
        <f>M67/M75</f>
        <v>1.2931765078757498E-2</v>
      </c>
      <c r="O67" s="33">
        <v>0</v>
      </c>
      <c r="P67" s="23">
        <f t="shared" si="108"/>
        <v>0</v>
      </c>
      <c r="Q67" s="40">
        <f>P67/P75</f>
        <v>0</v>
      </c>
      <c r="R67" s="23">
        <f t="shared" si="109"/>
        <v>0.625</v>
      </c>
      <c r="S67" s="40">
        <f>R67/R75</f>
        <v>1.2003917547412797E-2</v>
      </c>
      <c r="T67" s="40">
        <f t="shared" si="110"/>
        <v>9.6988238090681238E-3</v>
      </c>
      <c r="U67" s="34"/>
      <c r="V67" s="34">
        <f t="shared" si="82"/>
        <v>0</v>
      </c>
      <c r="W67" s="34"/>
      <c r="X67" s="40">
        <f>V67/V75</f>
        <v>0</v>
      </c>
      <c r="Y67" s="47">
        <f t="shared" si="111"/>
        <v>5.8192942854408741E-3</v>
      </c>
      <c r="Z67" s="47">
        <v>-0.36299999999999999</v>
      </c>
      <c r="AA67" s="135">
        <v>-4.5999999999999999E-2</v>
      </c>
      <c r="AB67" s="218">
        <v>10</v>
      </c>
      <c r="AC67" s="226">
        <v>-4.2553565460634157E-2</v>
      </c>
      <c r="AD67" s="135">
        <f t="shared" ref="AD67:AD72" si="112">(0.6*CY67)+(0.4*DP67)</f>
        <v>-3.2473614590423146E-2</v>
      </c>
      <c r="AE67" s="297"/>
      <c r="AF67" s="297"/>
      <c r="AG67" s="23"/>
      <c r="AH67" s="23"/>
      <c r="AI67" s="53"/>
      <c r="AJ67" s="68"/>
      <c r="AK67" s="79"/>
      <c r="AL67" s="68"/>
      <c r="AM67" s="298"/>
      <c r="AN67" s="68"/>
      <c r="AO67" s="68"/>
      <c r="AP67" s="23"/>
      <c r="AQ67" s="23"/>
      <c r="AR67" s="23"/>
      <c r="AS67" s="23"/>
      <c r="AT67" s="23"/>
      <c r="AU67" s="23"/>
      <c r="AV67" s="23"/>
      <c r="AW67" s="26"/>
      <c r="AX67" s="26"/>
      <c r="AY67" s="26"/>
      <c r="AZ67" s="26"/>
      <c r="BA67" s="26"/>
      <c r="BF67">
        <v>27</v>
      </c>
      <c r="BG67">
        <v>27</v>
      </c>
      <c r="BI67">
        <v>14</v>
      </c>
      <c r="BJ67">
        <v>21</v>
      </c>
      <c r="BK67" s="117">
        <v>13.67854</v>
      </c>
      <c r="BL67">
        <f t="shared" ref="BL67:BL72" si="113">BF67-BI67</f>
        <v>13</v>
      </c>
      <c r="BM67">
        <v>21</v>
      </c>
      <c r="BN67">
        <v>13</v>
      </c>
      <c r="BO67" s="117">
        <f t="shared" si="26"/>
        <v>21.7559</v>
      </c>
      <c r="BP67" s="34">
        <f t="shared" ref="BP67:BP72" si="114">AB67*BM$77</f>
        <v>42.631149999999998</v>
      </c>
      <c r="BQ67" s="117">
        <f t="shared" ref="BQ67:BQ72" si="115">AB67*BJ$74</f>
        <v>32.727930535455862</v>
      </c>
      <c r="BR67" s="117">
        <v>31.360949999999999</v>
      </c>
      <c r="BS67" s="117">
        <f t="shared" si="66"/>
        <v>-11.727930535455862</v>
      </c>
      <c r="BT67" s="117">
        <f t="shared" si="67"/>
        <v>-10.360949999999999</v>
      </c>
      <c r="BU67" s="117">
        <f t="shared" ref="BU67:BU72" si="116">BG67-BK67</f>
        <v>13.32146</v>
      </c>
      <c r="BV67" s="23">
        <v>4.4999999999999998E-2</v>
      </c>
      <c r="BW67" s="117">
        <f t="shared" si="30"/>
        <v>-8.7559000000000005</v>
      </c>
      <c r="BX67" s="23">
        <f t="shared" si="31"/>
        <v>-0.11280092892562782</v>
      </c>
      <c r="BY67" s="34">
        <f t="shared" si="32"/>
        <v>-21.631149999999998</v>
      </c>
      <c r="BZ67" s="23">
        <f t="shared" si="53"/>
        <v>-0.12261195985655372</v>
      </c>
      <c r="CA67" s="23">
        <f t="shared" ref="CA67:CA72" si="117">(BS67-BS$73)/BS$74</f>
        <v>-8.0297605145038323E-2</v>
      </c>
      <c r="CB67" s="23">
        <f t="shared" si="68"/>
        <v>5.4502551000687655E-2</v>
      </c>
      <c r="CC67" s="23">
        <f t="shared" ref="CC67:CC72" si="118">(BU67-BU$74)/BU$75</f>
        <v>8.237578571432036E-2</v>
      </c>
      <c r="CD67" s="117">
        <v>0</v>
      </c>
      <c r="CE67" s="117">
        <f t="shared" ref="CE67:CE72" si="119">AB67*BJ$77</f>
        <v>31.361629999999998</v>
      </c>
      <c r="CF67" s="117">
        <f t="shared" si="103"/>
        <v>-10.361629999999998</v>
      </c>
      <c r="CG67" s="23">
        <f t="shared" si="69"/>
        <v>-0.1083062344354714</v>
      </c>
      <c r="CH67" s="26">
        <f t="shared" ref="CH67:CH72" si="120">CF67/AB67</f>
        <v>-1.0361629999999997</v>
      </c>
      <c r="CI67" s="23">
        <f t="shared" si="104"/>
        <v>-0.38796720237714077</v>
      </c>
      <c r="CJ67" s="117">
        <v>8</v>
      </c>
      <c r="CK67" s="117">
        <v>8</v>
      </c>
      <c r="CL67" s="117">
        <f t="shared" ref="CL67:CL72" si="121">AB67*CK$76</f>
        <v>5.8135130000000004</v>
      </c>
      <c r="CM67" s="117">
        <f t="shared" ref="CM67:CM72" si="122">AB67*CJ$74</f>
        <v>4.3270622286541247</v>
      </c>
      <c r="CN67" s="117">
        <f t="shared" si="34"/>
        <v>2.1864869999999996</v>
      </c>
      <c r="CO67" s="117">
        <f t="shared" ref="CO67:CO72" si="123">CJ67-CM67</f>
        <v>3.6729377713458753</v>
      </c>
      <c r="CP67" s="23">
        <f t="shared" si="35"/>
        <v>-1.899552605703958E-2</v>
      </c>
      <c r="CQ67" s="23">
        <f t="shared" si="70"/>
        <v>0.19145812468192433</v>
      </c>
      <c r="CR67" s="23">
        <f t="shared" si="36"/>
        <v>-9.6707851406675191E-2</v>
      </c>
      <c r="CS67" s="23">
        <f t="shared" si="37"/>
        <v>-3.6736165523739782E-2</v>
      </c>
      <c r="CT67" s="26">
        <f t="shared" ref="CT67:CT72" si="124">(0.75*CA67)+(0.25*CQ67)</f>
        <v>-1.2358672688297663E-2</v>
      </c>
      <c r="CU67" s="117">
        <v>2</v>
      </c>
      <c r="CV67" s="117">
        <f t="shared" ref="CV67:CV72" si="125">CD67-CU67</f>
        <v>-2</v>
      </c>
      <c r="CW67" s="23">
        <v>-0.24199999999999999</v>
      </c>
      <c r="CX67" s="23">
        <v>-2.7E-2</v>
      </c>
      <c r="CY67" s="23">
        <f t="shared" ref="CY67:CY72" si="126">(0.75*CC67)+(0.25*CW67)</f>
        <v>1.2818392857402716E-3</v>
      </c>
      <c r="CZ67" s="34">
        <v>0</v>
      </c>
      <c r="DA67" s="75">
        <v>0</v>
      </c>
      <c r="DB67" s="34">
        <v>15854</v>
      </c>
      <c r="DC67" s="34">
        <v>0</v>
      </c>
      <c r="DD67" s="34">
        <v>0</v>
      </c>
      <c r="DE67" s="34">
        <f t="shared" ref="DE67:DE72" si="127">AB67*DD$76</f>
        <v>24675.97</v>
      </c>
      <c r="DF67" s="34">
        <f t="shared" ref="DF67:DF72" si="128">AB67*DC$74</f>
        <v>18827.279305354561</v>
      </c>
      <c r="DG67" s="34">
        <f t="shared" si="38"/>
        <v>-24675.97</v>
      </c>
      <c r="DH67" s="34">
        <f t="shared" si="105"/>
        <v>-18827.279305354561</v>
      </c>
      <c r="DI67" s="36">
        <f t="shared" si="71"/>
        <v>-8.86421901204347E-2</v>
      </c>
      <c r="DJ67" s="36">
        <f t="shared" si="40"/>
        <v>-0.11475868722976794</v>
      </c>
      <c r="DK67" s="36">
        <f t="shared" si="72"/>
        <v>-4.2872079661152473E-2</v>
      </c>
      <c r="DL67" s="34">
        <v>13911.43</v>
      </c>
      <c r="DM67">
        <f t="shared" ref="DM67:DM72" si="129">CZ67-DB67</f>
        <v>-15854</v>
      </c>
      <c r="DN67" s="34">
        <f t="shared" ref="DN67:DN72" si="130">DA67-DL67</f>
        <v>-13911.43</v>
      </c>
      <c r="DO67" s="23">
        <v>-7.3999999999999996E-2</v>
      </c>
      <c r="DP67" s="23">
        <f t="shared" ref="DP67:DP72" si="131">(DN67-DN$74)/DN$75</f>
        <v>-8.3106795404668268E-2</v>
      </c>
      <c r="DQ67" s="23">
        <f t="shared" si="43"/>
        <v>-0.10392818573591228</v>
      </c>
      <c r="DR67" s="23">
        <f t="shared" si="44"/>
        <v>-5.7498575362417745E-2</v>
      </c>
    </row>
    <row r="68" spans="1:122" x14ac:dyDescent="0.25">
      <c r="A68" s="9" t="s">
        <v>138</v>
      </c>
      <c r="B68" s="9" t="s">
        <v>107</v>
      </c>
      <c r="C68" s="10">
        <f t="shared" si="106"/>
        <v>86</v>
      </c>
      <c r="D68">
        <v>57</v>
      </c>
      <c r="E68">
        <v>13</v>
      </c>
      <c r="F68">
        <v>0</v>
      </c>
      <c r="G68">
        <v>10</v>
      </c>
      <c r="H68">
        <v>6</v>
      </c>
      <c r="I68">
        <v>0</v>
      </c>
      <c r="J68">
        <v>0</v>
      </c>
      <c r="L68" s="38">
        <v>32</v>
      </c>
      <c r="M68" s="23">
        <f t="shared" si="107"/>
        <v>0.37209302325581395</v>
      </c>
      <c r="N68" s="23">
        <f>M68/M75</f>
        <v>5.7741834770266036E-3</v>
      </c>
      <c r="O68" s="33">
        <v>19.5</v>
      </c>
      <c r="P68" s="23">
        <f t="shared" si="108"/>
        <v>0.22674418604651161</v>
      </c>
      <c r="Q68" s="40">
        <f>P68/P75</f>
        <v>1.5174009270519373E-2</v>
      </c>
      <c r="R68" s="23">
        <f t="shared" si="109"/>
        <v>0.33575581395348836</v>
      </c>
      <c r="S68" s="40">
        <f>R68/R75</f>
        <v>6.4486161708194323E-3</v>
      </c>
      <c r="T68" s="40">
        <f t="shared" si="110"/>
        <v>8.1241399253997957E-3</v>
      </c>
      <c r="U68" s="34"/>
      <c r="V68" s="34">
        <f t="shared" si="82"/>
        <v>0</v>
      </c>
      <c r="W68" s="34"/>
      <c r="X68" s="40">
        <f>V68/V75</f>
        <v>0</v>
      </c>
      <c r="Y68" s="47">
        <f t="shared" si="111"/>
        <v>4.8744839552398774E-3</v>
      </c>
      <c r="Z68" s="47">
        <v>-0.76800000000000002</v>
      </c>
      <c r="AA68" s="135">
        <v>-1.0049999999999999</v>
      </c>
      <c r="AB68" s="218">
        <v>76</v>
      </c>
      <c r="AC68" s="226">
        <v>-0.83639256658962702</v>
      </c>
      <c r="AD68" s="135">
        <f t="shared" si="112"/>
        <v>-1.0192444916478092</v>
      </c>
      <c r="AE68" s="297"/>
      <c r="AF68" s="297"/>
      <c r="AG68" s="23"/>
      <c r="AH68" s="23"/>
      <c r="AI68" s="53"/>
      <c r="AJ68" s="68"/>
      <c r="AK68" s="79"/>
      <c r="AL68" s="68"/>
      <c r="AM68" s="298"/>
      <c r="AN68" s="68"/>
      <c r="AO68" s="68"/>
      <c r="AP68" s="23"/>
      <c r="AQ68" s="23"/>
      <c r="AR68" s="23"/>
      <c r="AS68" s="23"/>
      <c r="AT68" s="23"/>
      <c r="AU68" s="23"/>
      <c r="AV68" s="23"/>
      <c r="AW68" s="26"/>
      <c r="AX68" s="26"/>
      <c r="AY68" s="26"/>
      <c r="AZ68" s="26"/>
      <c r="BA68" s="26"/>
      <c r="BF68">
        <v>62</v>
      </c>
      <c r="BG68">
        <v>62</v>
      </c>
      <c r="BI68">
        <v>195</v>
      </c>
      <c r="BJ68">
        <v>84</v>
      </c>
      <c r="BK68" s="117">
        <v>196.0591</v>
      </c>
      <c r="BL68">
        <f t="shared" si="113"/>
        <v>-133</v>
      </c>
      <c r="BM68">
        <v>110</v>
      </c>
      <c r="BN68">
        <v>58</v>
      </c>
      <c r="BO68" s="117">
        <f t="shared" ref="BO68:BO72" si="132">AB68*BN$77</f>
        <v>165.34484</v>
      </c>
      <c r="BP68" s="34">
        <f t="shared" si="114"/>
        <v>323.99673999999999</v>
      </c>
      <c r="BQ68" s="117">
        <f t="shared" si="115"/>
        <v>248.73227206946456</v>
      </c>
      <c r="BR68" s="117">
        <v>238.34318999999999</v>
      </c>
      <c r="BS68" s="117">
        <f t="shared" si="66"/>
        <v>-164.73227206946456</v>
      </c>
      <c r="BT68" s="117">
        <f t="shared" si="67"/>
        <v>-154.34318999999999</v>
      </c>
      <c r="BU68" s="117">
        <f t="shared" si="116"/>
        <v>-134.0591</v>
      </c>
      <c r="BV68" s="23">
        <v>-1.26</v>
      </c>
      <c r="BW68" s="117">
        <f t="shared" ref="BW68:BW72" si="133">BN68-BO68</f>
        <v>-107.34484</v>
      </c>
      <c r="BX68" s="23">
        <f t="shared" ref="BX68:BX72" si="134">(BW68-BW$73)/BW$74</f>
        <v>-1.0489256361650579</v>
      </c>
      <c r="BY68" s="34">
        <f t="shared" ref="BY68:BY72" si="135">BM68-BP68</f>
        <v>-213.99673999999999</v>
      </c>
      <c r="BZ68" s="23">
        <f t="shared" si="53"/>
        <v>-1.1603960708724554</v>
      </c>
      <c r="CA68" s="23">
        <f t="shared" si="117"/>
        <v>-1.1278722104713375</v>
      </c>
      <c r="CB68" s="23">
        <f t="shared" si="68"/>
        <v>-0.95854617807366838</v>
      </c>
      <c r="CC68" s="23">
        <f t="shared" si="118"/>
        <v>-1.2540823517138393</v>
      </c>
      <c r="CD68" s="117">
        <v>21</v>
      </c>
      <c r="CE68" s="117">
        <f t="shared" si="119"/>
        <v>238.348388</v>
      </c>
      <c r="CF68" s="117">
        <f t="shared" si="103"/>
        <v>-154.348388</v>
      </c>
      <c r="CG68" s="23">
        <f t="shared" si="69"/>
        <v>-1.0980310452080482</v>
      </c>
      <c r="CH68" s="26">
        <f t="shared" si="120"/>
        <v>-2.0308998421052631</v>
      </c>
      <c r="CI68" s="23">
        <f t="shared" si="104"/>
        <v>-0.72567187008533818</v>
      </c>
      <c r="CJ68" s="117">
        <v>25</v>
      </c>
      <c r="CK68" s="117">
        <v>34</v>
      </c>
      <c r="CL68" s="117">
        <f t="shared" si="121"/>
        <v>44.182698800000004</v>
      </c>
      <c r="CM68" s="117">
        <f t="shared" si="122"/>
        <v>32.885672937771346</v>
      </c>
      <c r="CN68" s="117">
        <f t="shared" ref="CN68:CN72" si="136">CK68-CL68</f>
        <v>-10.182698800000004</v>
      </c>
      <c r="CO68" s="117">
        <f t="shared" si="123"/>
        <v>-7.8856729377713464</v>
      </c>
      <c r="CP68" s="23">
        <f t="shared" ref="CP68:CP72" si="137">(CN68-CN$73)/CN$74</f>
        <v>-0.40974832101109265</v>
      </c>
      <c r="CQ68" s="23">
        <f t="shared" si="70"/>
        <v>-0.41105410614334348</v>
      </c>
      <c r="CR68" s="23">
        <f t="shared" ref="CR68:CR72" si="138">(0.75*BZ68)+(0.25*CP68)</f>
        <v>-0.97273413340711479</v>
      </c>
      <c r="CS68" s="23">
        <f t="shared" ref="CS68:CS72" si="139">(0.75*BX68)+(0.25*CQ68)</f>
        <v>-0.8894577536596292</v>
      </c>
      <c r="CT68" s="26">
        <f t="shared" si="124"/>
        <v>-0.94866768438933902</v>
      </c>
      <c r="CU68" s="117">
        <v>28</v>
      </c>
      <c r="CV68" s="117">
        <f t="shared" si="125"/>
        <v>-7</v>
      </c>
      <c r="CW68" s="23">
        <v>-0.441</v>
      </c>
      <c r="CX68" s="23">
        <v>-1.0549999999999999</v>
      </c>
      <c r="CY68" s="23">
        <f t="shared" si="126"/>
        <v>-1.0508117637853795</v>
      </c>
      <c r="CZ68" s="34">
        <v>0</v>
      </c>
      <c r="DA68" s="75">
        <v>0</v>
      </c>
      <c r="DB68" s="34">
        <v>173485</v>
      </c>
      <c r="DC68" s="34">
        <v>0</v>
      </c>
      <c r="DD68" s="34">
        <v>0</v>
      </c>
      <c r="DE68" s="34">
        <f t="shared" si="127"/>
        <v>187537.372</v>
      </c>
      <c r="DF68" s="34">
        <f t="shared" si="128"/>
        <v>143087.32272069465</v>
      </c>
      <c r="DG68" s="34">
        <f t="shared" ref="DG68:DG72" si="140">DD68-DE68</f>
        <v>-187537.372</v>
      </c>
      <c r="DH68" s="34">
        <f t="shared" si="105"/>
        <v>-143087.32272069465</v>
      </c>
      <c r="DI68" s="36">
        <f t="shared" si="71"/>
        <v>-0.67368064491530366</v>
      </c>
      <c r="DJ68" s="36">
        <f t="shared" ref="DJ68:DJ72" si="141">(DG68-DG$73)/DG$74</f>
        <v>-0.78034276948783488</v>
      </c>
      <c r="DK68" s="36">
        <f t="shared" si="72"/>
        <v>-0.8386728685997249</v>
      </c>
      <c r="DL68" s="34">
        <v>162975.93</v>
      </c>
      <c r="DM68">
        <f t="shared" si="129"/>
        <v>-173485</v>
      </c>
      <c r="DN68" s="34">
        <f t="shared" si="130"/>
        <v>-162975.93</v>
      </c>
      <c r="DO68" s="23">
        <v>-0.92900000000000005</v>
      </c>
      <c r="DP68" s="23">
        <f t="shared" si="131"/>
        <v>-0.97189358344145382</v>
      </c>
      <c r="DQ68" s="23">
        <f t="shared" ref="DQ68:DQ72" si="142">(0.6*CR68)+(0.4*DJ68)</f>
        <v>-0.89577758783940276</v>
      </c>
      <c r="DR68" s="23">
        <f t="shared" ref="DR68:DR72" si="143">(0.6*CS68)+(0.4*DI68)</f>
        <v>-0.80314691016189887</v>
      </c>
    </row>
    <row r="69" spans="1:122" x14ac:dyDescent="0.25">
      <c r="A69" s="7" t="s">
        <v>138</v>
      </c>
      <c r="B69" s="7" t="s">
        <v>108</v>
      </c>
      <c r="C69" s="10">
        <f t="shared" si="106"/>
        <v>18</v>
      </c>
      <c r="D69">
        <v>7</v>
      </c>
      <c r="E69">
        <v>11</v>
      </c>
      <c r="F69">
        <v>0</v>
      </c>
      <c r="G69">
        <v>0</v>
      </c>
      <c r="H69">
        <v>0</v>
      </c>
      <c r="I69">
        <v>0</v>
      </c>
      <c r="J69">
        <v>0</v>
      </c>
      <c r="L69" s="38">
        <v>3.5</v>
      </c>
      <c r="M69" s="23">
        <f t="shared" si="107"/>
        <v>0.19444444444444445</v>
      </c>
      <c r="N69" s="23">
        <f>M69/M75</f>
        <v>3.0174118517100829E-3</v>
      </c>
      <c r="O69" s="33">
        <v>7.5</v>
      </c>
      <c r="P69" s="23">
        <f t="shared" si="108"/>
        <v>0.41666666666666669</v>
      </c>
      <c r="Q69" s="40">
        <f>P69/P75</f>
        <v>2.7883863189415943E-2</v>
      </c>
      <c r="R69" s="23">
        <f t="shared" si="109"/>
        <v>0.25</v>
      </c>
      <c r="S69" s="40">
        <f>R69/R75</f>
        <v>4.8015670189651182E-3</v>
      </c>
      <c r="T69" s="40">
        <f t="shared" si="110"/>
        <v>9.2340246861365473E-3</v>
      </c>
      <c r="U69" s="34">
        <v>31200</v>
      </c>
      <c r="V69" s="70">
        <f>U69/C69</f>
        <v>1733.3333333333333</v>
      </c>
      <c r="W69" s="70"/>
      <c r="X69" s="40">
        <f>V69/V75</f>
        <v>2.2258433760974194E-2</v>
      </c>
      <c r="Y69" s="47">
        <f t="shared" si="111"/>
        <v>1.4443788316071605E-2</v>
      </c>
      <c r="Z69" s="47">
        <v>-0.47599999999999998</v>
      </c>
      <c r="AA69" s="135">
        <v>-0.24099999999999999</v>
      </c>
      <c r="AB69" s="218">
        <v>19</v>
      </c>
      <c r="AC69" s="226">
        <v>-0.19447410442196197</v>
      </c>
      <c r="AD69" s="135">
        <f t="shared" si="112"/>
        <v>-0.17641321209042096</v>
      </c>
      <c r="AE69" s="297"/>
      <c r="AF69" s="297"/>
      <c r="AG69" s="23"/>
      <c r="AH69" s="23"/>
      <c r="AI69" s="53"/>
      <c r="AJ69" s="68"/>
      <c r="AK69" s="79"/>
      <c r="AL69" s="68"/>
      <c r="AM69" s="298"/>
      <c r="AN69" s="68"/>
      <c r="AO69" s="68"/>
      <c r="AP69" s="23"/>
      <c r="AQ69" s="23"/>
      <c r="AR69" s="23"/>
      <c r="AS69" s="23"/>
      <c r="AT69" s="23"/>
      <c r="AU69" s="23"/>
      <c r="AV69" s="23"/>
      <c r="AW69" s="26"/>
      <c r="AX69" s="26"/>
      <c r="AY69" s="26"/>
      <c r="AZ69" s="26"/>
      <c r="BA69" s="26"/>
      <c r="BF69">
        <v>10</v>
      </c>
      <c r="BG69">
        <v>10</v>
      </c>
      <c r="BI69">
        <v>41</v>
      </c>
      <c r="BJ69">
        <v>9</v>
      </c>
      <c r="BK69" s="117">
        <v>41.035629999999998</v>
      </c>
      <c r="BL69">
        <f t="shared" si="113"/>
        <v>-31</v>
      </c>
      <c r="BM69">
        <v>14</v>
      </c>
      <c r="BN69">
        <v>6</v>
      </c>
      <c r="BO69" s="117">
        <f t="shared" si="132"/>
        <v>41.336210000000001</v>
      </c>
      <c r="BP69" s="34">
        <f t="shared" si="114"/>
        <v>80.999184999999997</v>
      </c>
      <c r="BQ69" s="117">
        <f t="shared" si="115"/>
        <v>62.183068017366139</v>
      </c>
      <c r="BR69" s="117">
        <v>59.585799999999999</v>
      </c>
      <c r="BS69" s="117">
        <f t="shared" si="66"/>
        <v>-53.183068017366139</v>
      </c>
      <c r="BT69" s="117">
        <f t="shared" si="67"/>
        <v>-50.585799999999999</v>
      </c>
      <c r="BU69" s="117">
        <f t="shared" si="116"/>
        <v>-31.035629999999998</v>
      </c>
      <c r="BV69" s="23">
        <v>-0.34899999999999998</v>
      </c>
      <c r="BW69" s="117">
        <f t="shared" si="133"/>
        <v>-35.336210000000001</v>
      </c>
      <c r="BX69" s="23">
        <f t="shared" si="134"/>
        <v>-0.36518709837915164</v>
      </c>
      <c r="BY69" s="34">
        <f t="shared" si="135"/>
        <v>-66.999184999999997</v>
      </c>
      <c r="BZ69" s="23">
        <f t="shared" si="53"/>
        <v>-0.36736584682258194</v>
      </c>
      <c r="CA69" s="23">
        <f t="shared" si="117"/>
        <v>-0.3641284353748257</v>
      </c>
      <c r="CB69" s="23">
        <f t="shared" si="68"/>
        <v>-0.25039446967786605</v>
      </c>
      <c r="CC69" s="23">
        <f t="shared" si="118"/>
        <v>-0.31985768309006773</v>
      </c>
      <c r="CD69" s="117">
        <v>6</v>
      </c>
      <c r="CE69" s="117">
        <f t="shared" si="119"/>
        <v>59.587097</v>
      </c>
      <c r="CF69" s="117">
        <f t="shared" si="103"/>
        <v>-50.587097</v>
      </c>
      <c r="CG69" s="23">
        <f t="shared" si="69"/>
        <v>-0.38480487408685893</v>
      </c>
      <c r="CH69" s="26">
        <f t="shared" si="120"/>
        <v>-2.6624787894736843</v>
      </c>
      <c r="CI69" s="23">
        <f t="shared" si="104"/>
        <v>-0.9400875321222889</v>
      </c>
      <c r="CJ69" s="117">
        <v>7</v>
      </c>
      <c r="CK69" s="117">
        <v>8</v>
      </c>
      <c r="CL69" s="117">
        <f t="shared" si="121"/>
        <v>11.045674700000001</v>
      </c>
      <c r="CM69" s="117">
        <f t="shared" si="122"/>
        <v>8.2214182344428366</v>
      </c>
      <c r="CN69" s="117">
        <f t="shared" si="136"/>
        <v>-3.0456747000000011</v>
      </c>
      <c r="CO69" s="117">
        <f t="shared" si="123"/>
        <v>-1.2214182344428366</v>
      </c>
      <c r="CP69" s="23">
        <f t="shared" si="137"/>
        <v>-0.1842838353268825</v>
      </c>
      <c r="CQ69" s="23">
        <f t="shared" si="70"/>
        <v>-6.3668501667275085E-2</v>
      </c>
      <c r="CR69" s="23">
        <f t="shared" si="138"/>
        <v>-0.32159534394865708</v>
      </c>
      <c r="CS69" s="23">
        <f t="shared" si="139"/>
        <v>-0.28980744920118251</v>
      </c>
      <c r="CT69" s="26">
        <f t="shared" si="124"/>
        <v>-0.28901345194793804</v>
      </c>
      <c r="CU69" s="117">
        <v>6</v>
      </c>
      <c r="CV69" s="117">
        <f t="shared" si="125"/>
        <v>0</v>
      </c>
      <c r="CW69" s="23">
        <v>-0.16200000000000001</v>
      </c>
      <c r="CX69" s="23">
        <v>-0.30199999999999999</v>
      </c>
      <c r="CY69" s="23">
        <f t="shared" si="126"/>
        <v>-0.2803932623175508</v>
      </c>
      <c r="CZ69" s="34">
        <v>12800</v>
      </c>
      <c r="DA69" s="75">
        <v>35000</v>
      </c>
      <c r="DB69" s="34">
        <v>42549</v>
      </c>
      <c r="DC69" s="34">
        <v>24300</v>
      </c>
      <c r="DD69" s="34">
        <v>24300</v>
      </c>
      <c r="DE69" s="34">
        <f t="shared" si="127"/>
        <v>46884.343000000001</v>
      </c>
      <c r="DF69" s="34">
        <f t="shared" si="128"/>
        <v>35771.830680173662</v>
      </c>
      <c r="DG69" s="34">
        <f t="shared" si="140"/>
        <v>-22584.343000000001</v>
      </c>
      <c r="DH69" s="34">
        <f t="shared" si="105"/>
        <v>-11471.830680173662</v>
      </c>
      <c r="DI69" s="36">
        <f t="shared" si="71"/>
        <v>-5.4011425638763537E-2</v>
      </c>
      <c r="DJ69" s="36">
        <f t="shared" si="141"/>
        <v>-0.10621059897727216</v>
      </c>
      <c r="DK69" s="36">
        <f t="shared" si="72"/>
        <v>-0.19501264142426822</v>
      </c>
      <c r="DL69" s="34">
        <v>38401.68</v>
      </c>
      <c r="DM69">
        <f t="shared" si="129"/>
        <v>-29749</v>
      </c>
      <c r="DN69" s="34">
        <f t="shared" si="130"/>
        <v>-3401.6800000000003</v>
      </c>
      <c r="DO69" s="23">
        <v>-0.14899999999999999</v>
      </c>
      <c r="DP69" s="23">
        <f t="shared" si="131"/>
        <v>-2.0443136749726226E-2</v>
      </c>
      <c r="DQ69" s="23">
        <f t="shared" si="142"/>
        <v>-0.23544144596010311</v>
      </c>
      <c r="DR69" s="23">
        <f t="shared" si="143"/>
        <v>-0.1954890397762149</v>
      </c>
    </row>
    <row r="70" spans="1:122" x14ac:dyDescent="0.25">
      <c r="A70" s="9" t="s">
        <v>138</v>
      </c>
      <c r="B70" s="9" t="s">
        <v>100</v>
      </c>
      <c r="C70" s="10">
        <f t="shared" si="106"/>
        <v>8</v>
      </c>
      <c r="D70">
        <v>0</v>
      </c>
      <c r="E70">
        <v>8</v>
      </c>
      <c r="F70">
        <v>0</v>
      </c>
      <c r="G70">
        <v>0</v>
      </c>
      <c r="H70">
        <v>0</v>
      </c>
      <c r="I70">
        <v>0</v>
      </c>
      <c r="J70">
        <v>0</v>
      </c>
      <c r="L70" s="38">
        <v>17.5</v>
      </c>
      <c r="M70" s="25">
        <f t="shared" si="107"/>
        <v>2.1875</v>
      </c>
      <c r="N70" s="23">
        <f>M70/M75</f>
        <v>3.3945883331738431E-2</v>
      </c>
      <c r="O70" s="33">
        <v>1</v>
      </c>
      <c r="P70" s="23">
        <f t="shared" si="108"/>
        <v>0.125</v>
      </c>
      <c r="Q70" s="40">
        <f>P70/P75</f>
        <v>8.3651589568247836E-3</v>
      </c>
      <c r="R70" s="23">
        <f t="shared" si="109"/>
        <v>1.671875</v>
      </c>
      <c r="S70" s="42">
        <f>R70/R75</f>
        <v>3.211047943932923E-2</v>
      </c>
      <c r="T70" s="42">
        <f t="shared" si="110"/>
        <v>2.7550702238010021E-2</v>
      </c>
      <c r="U70" s="34"/>
      <c r="V70" s="34">
        <f t="shared" si="82"/>
        <v>0</v>
      </c>
      <c r="W70" s="34"/>
      <c r="X70" s="40">
        <f>V70/V75</f>
        <v>0</v>
      </c>
      <c r="Y70" s="47">
        <f t="shared" si="111"/>
        <v>1.6530421342806013E-2</v>
      </c>
      <c r="Z70" s="47">
        <v>-0.153</v>
      </c>
      <c r="AA70" s="135">
        <v>-3.5999999999999997E-2</v>
      </c>
      <c r="AB70" s="218">
        <v>37</v>
      </c>
      <c r="AC70" s="226">
        <v>-0.47259461110151435</v>
      </c>
      <c r="AD70" s="135">
        <f t="shared" si="112"/>
        <v>-2.4701386019221821E-2</v>
      </c>
      <c r="AE70" s="297"/>
      <c r="AF70" s="297"/>
      <c r="AG70" s="23"/>
      <c r="AH70" s="23"/>
      <c r="AI70" s="53"/>
      <c r="AJ70" s="68"/>
      <c r="AK70" s="79"/>
      <c r="AL70" s="68"/>
      <c r="AM70" s="298"/>
      <c r="AN70" s="68"/>
      <c r="AO70" s="68"/>
      <c r="AP70" s="23"/>
      <c r="AQ70" s="23"/>
      <c r="AR70" s="23"/>
      <c r="AS70" s="23"/>
      <c r="AT70" s="23"/>
      <c r="AU70" s="23"/>
      <c r="AV70" s="23"/>
      <c r="AW70" s="26"/>
      <c r="AX70" s="26"/>
      <c r="AY70" s="26"/>
      <c r="AZ70" s="26"/>
      <c r="BA70" s="26"/>
      <c r="BF70">
        <v>33</v>
      </c>
      <c r="BG70">
        <v>33</v>
      </c>
      <c r="BI70">
        <v>18</v>
      </c>
      <c r="BJ70">
        <v>17</v>
      </c>
      <c r="BK70" s="117">
        <v>18.238060000000001</v>
      </c>
      <c r="BL70">
        <f t="shared" si="113"/>
        <v>15</v>
      </c>
      <c r="BM70">
        <v>33</v>
      </c>
      <c r="BN70">
        <v>15</v>
      </c>
      <c r="BO70" s="117">
        <f t="shared" si="132"/>
        <v>80.496830000000003</v>
      </c>
      <c r="BP70" s="34">
        <f t="shared" si="114"/>
        <v>157.735255</v>
      </c>
      <c r="BQ70" s="117">
        <f t="shared" si="115"/>
        <v>121.09334298118669</v>
      </c>
      <c r="BR70" s="117">
        <v>116.0355</v>
      </c>
      <c r="BS70" s="117">
        <f t="shared" si="66"/>
        <v>-104.09334298118669</v>
      </c>
      <c r="BT70" s="117">
        <f t="shared" si="67"/>
        <v>-99.035499999999999</v>
      </c>
      <c r="BU70" s="117">
        <f t="shared" si="116"/>
        <v>14.761939999999999</v>
      </c>
      <c r="BV70" s="23">
        <v>6.2E-2</v>
      </c>
      <c r="BW70" s="117">
        <f t="shared" si="133"/>
        <v>-65.496830000000003</v>
      </c>
      <c r="BX70" s="23">
        <f t="shared" si="134"/>
        <v>-0.65156913644203884</v>
      </c>
      <c r="BY70" s="34">
        <f t="shared" si="135"/>
        <v>-124.735255</v>
      </c>
      <c r="BZ70" s="23">
        <f t="shared" si="53"/>
        <v>-0.67884346648679461</v>
      </c>
      <c r="CA70" s="23">
        <f t="shared" si="117"/>
        <v>-0.71269574181575679</v>
      </c>
      <c r="CB70" s="23">
        <f t="shared" si="68"/>
        <v>6.4403968346754381E-2</v>
      </c>
      <c r="CC70" s="23">
        <f t="shared" si="118"/>
        <v>9.5438168010889946E-2</v>
      </c>
      <c r="CD70" s="117">
        <v>3</v>
      </c>
      <c r="CE70" s="117">
        <f t="shared" si="119"/>
        <v>116.03803099999999</v>
      </c>
      <c r="CF70" s="117">
        <f t="shared" si="103"/>
        <v>-99.038030999999989</v>
      </c>
      <c r="CG70" s="23">
        <f t="shared" si="69"/>
        <v>-0.71784307948144532</v>
      </c>
      <c r="CH70" s="26">
        <f t="shared" si="120"/>
        <v>-2.6767035405405402</v>
      </c>
      <c r="CI70" s="23">
        <f t="shared" si="104"/>
        <v>-0.94491671369969754</v>
      </c>
      <c r="CJ70" s="117">
        <v>10</v>
      </c>
      <c r="CK70" s="117">
        <v>11</v>
      </c>
      <c r="CL70" s="117">
        <f t="shared" si="121"/>
        <v>21.509998100000001</v>
      </c>
      <c r="CM70" s="117">
        <f t="shared" si="122"/>
        <v>16.01013024602026</v>
      </c>
      <c r="CN70" s="117">
        <f t="shared" si="136"/>
        <v>-10.509998100000001</v>
      </c>
      <c r="CO70" s="117">
        <f t="shared" si="123"/>
        <v>-6.0101302460202604</v>
      </c>
      <c r="CP70" s="23">
        <f t="shared" si="137"/>
        <v>-0.42008797620986116</v>
      </c>
      <c r="CQ70" s="23">
        <f t="shared" si="70"/>
        <v>-0.31328825524193527</v>
      </c>
      <c r="CR70" s="23">
        <f t="shared" si="138"/>
        <v>-0.61415459391756122</v>
      </c>
      <c r="CS70" s="23">
        <f t="shared" si="139"/>
        <v>-0.56699891614201292</v>
      </c>
      <c r="CT70" s="26">
        <f t="shared" si="124"/>
        <v>-0.61284387017230135</v>
      </c>
      <c r="CU70" s="117">
        <v>3</v>
      </c>
      <c r="CV70" s="117">
        <f t="shared" si="125"/>
        <v>0</v>
      </c>
      <c r="CW70" s="23">
        <v>-0.16200000000000001</v>
      </c>
      <c r="CX70" s="23">
        <v>6.0000000000000001E-3</v>
      </c>
      <c r="CY70" s="23">
        <f t="shared" si="126"/>
        <v>3.1078626008167458E-2</v>
      </c>
      <c r="CZ70" s="34">
        <v>0</v>
      </c>
      <c r="DA70" s="75">
        <v>0</v>
      </c>
      <c r="DB70" s="34">
        <v>20531</v>
      </c>
      <c r="DC70" s="34">
        <v>13403</v>
      </c>
      <c r="DD70" s="34">
        <v>13403</v>
      </c>
      <c r="DE70" s="34">
        <f t="shared" si="127"/>
        <v>91301.089000000007</v>
      </c>
      <c r="DF70" s="34">
        <f t="shared" si="128"/>
        <v>69660.933429811863</v>
      </c>
      <c r="DG70" s="34">
        <f t="shared" si="140"/>
        <v>-77898.089000000007</v>
      </c>
      <c r="DH70" s="34">
        <f t="shared" si="105"/>
        <v>-56257.933429811863</v>
      </c>
      <c r="DI70" s="36">
        <f t="shared" si="71"/>
        <v>-0.26487238809113894</v>
      </c>
      <c r="DJ70" s="36">
        <f t="shared" si="141"/>
        <v>-0.33226753091787903</v>
      </c>
      <c r="DK70" s="36">
        <f t="shared" si="72"/>
        <v>-0.47365527733983637</v>
      </c>
      <c r="DL70" s="34">
        <v>18148.73</v>
      </c>
      <c r="DM70">
        <f t="shared" si="129"/>
        <v>-20531</v>
      </c>
      <c r="DN70" s="34">
        <f t="shared" si="130"/>
        <v>-18148.73</v>
      </c>
      <c r="DO70" s="23">
        <v>-9.9000000000000005E-2</v>
      </c>
      <c r="DP70" s="23">
        <f t="shared" si="131"/>
        <v>-0.10837140406030574</v>
      </c>
      <c r="DQ70" s="23">
        <f t="shared" si="142"/>
        <v>-0.50139976871768832</v>
      </c>
      <c r="DR70" s="23">
        <f t="shared" si="143"/>
        <v>-0.44614830492166335</v>
      </c>
    </row>
    <row r="71" spans="1:122" x14ac:dyDescent="0.25">
      <c r="A71" s="9" t="s">
        <v>139</v>
      </c>
      <c r="B71" s="9" t="s">
        <v>107</v>
      </c>
      <c r="C71" s="10">
        <f t="shared" si="106"/>
        <v>48</v>
      </c>
      <c r="D71" s="8">
        <v>48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L71" s="38">
        <v>14.5</v>
      </c>
      <c r="M71" s="23">
        <f t="shared" si="107"/>
        <v>0.30208333333333331</v>
      </c>
      <c r="N71" s="23">
        <f>M71/M75</f>
        <v>4.6877648410495925E-3</v>
      </c>
      <c r="O71" s="33">
        <v>1</v>
      </c>
      <c r="P71" s="23">
        <f t="shared" si="108"/>
        <v>2.0833333333333332E-2</v>
      </c>
      <c r="Q71" s="40">
        <f>P71/P75</f>
        <v>1.394193159470797E-3</v>
      </c>
      <c r="R71" s="23">
        <f t="shared" si="109"/>
        <v>0.23177083333333334</v>
      </c>
      <c r="S71" s="40">
        <f>R71/R75</f>
        <v>4.4514527571655792E-3</v>
      </c>
      <c r="T71" s="40">
        <f t="shared" si="110"/>
        <v>3.8643719206548936E-3</v>
      </c>
      <c r="U71" s="34"/>
      <c r="V71" s="34">
        <f t="shared" si="82"/>
        <v>0</v>
      </c>
      <c r="W71" s="34"/>
      <c r="X71" s="40">
        <f>V71/V75</f>
        <v>0</v>
      </c>
      <c r="Y71" s="47">
        <f t="shared" si="111"/>
        <v>2.3186231523929361E-3</v>
      </c>
      <c r="Z71" s="47">
        <v>-0.76100000000000001</v>
      </c>
      <c r="AA71" s="135">
        <v>-0.16</v>
      </c>
      <c r="AB71" s="218">
        <v>53</v>
      </c>
      <c r="AC71" s="226">
        <v>-0.18987269588624933</v>
      </c>
      <c r="AD71" s="135">
        <f t="shared" si="112"/>
        <v>-0.1110021073459877</v>
      </c>
      <c r="AE71" s="297"/>
      <c r="AF71" s="297"/>
      <c r="AG71" s="23"/>
      <c r="AH71" s="23"/>
      <c r="AI71" s="53"/>
      <c r="AJ71" s="65" t="e">
        <f>SUM(AK71:AL71)</f>
        <v>#DIV/0!</v>
      </c>
      <c r="AK71" s="79"/>
      <c r="AL71" s="65" t="e">
        <f>AS71*BE$27</f>
        <v>#DIV/0!</v>
      </c>
      <c r="AM71" s="298"/>
      <c r="AN71" s="68"/>
      <c r="AO71" s="68"/>
      <c r="AP71" s="23"/>
      <c r="AQ71" s="23"/>
      <c r="AR71" s="23"/>
      <c r="AS71" s="23" t="e">
        <f>AB71*AY71</f>
        <v>#DIV/0!</v>
      </c>
      <c r="AT71" s="23"/>
      <c r="AU71" s="23"/>
      <c r="AV71" s="23"/>
      <c r="AW71" s="26"/>
      <c r="AX71" s="26"/>
      <c r="AY71" s="26" t="e">
        <f>DJ71/BE$22</f>
        <v>#DIV/0!</v>
      </c>
      <c r="AZ71" s="26"/>
      <c r="BA71" s="26"/>
      <c r="BF71">
        <v>35</v>
      </c>
      <c r="BG71">
        <v>35</v>
      </c>
      <c r="BI71">
        <v>109</v>
      </c>
      <c r="BJ71">
        <v>48</v>
      </c>
      <c r="BK71" s="117">
        <v>109.42833</v>
      </c>
      <c r="BL71">
        <f t="shared" si="113"/>
        <v>-74</v>
      </c>
      <c r="BM71">
        <v>57</v>
      </c>
      <c r="BN71">
        <v>37</v>
      </c>
      <c r="BO71" s="117">
        <f t="shared" si="132"/>
        <v>115.30627000000001</v>
      </c>
      <c r="BP71" s="34">
        <f t="shared" si="114"/>
        <v>225.94509500000001</v>
      </c>
      <c r="BQ71" s="117">
        <f t="shared" si="115"/>
        <v>173.45803183791608</v>
      </c>
      <c r="BR71" s="117">
        <v>166.21302</v>
      </c>
      <c r="BS71" s="117">
        <f t="shared" si="66"/>
        <v>-125.45803183791608</v>
      </c>
      <c r="BT71" s="117">
        <f t="shared" si="67"/>
        <v>-118.21302</v>
      </c>
      <c r="BU71" s="117">
        <f t="shared" si="116"/>
        <v>-74.428330000000003</v>
      </c>
      <c r="BV71" s="23">
        <v>-0.73299999999999998</v>
      </c>
      <c r="BW71" s="117">
        <f t="shared" si="133"/>
        <v>-78.306270000000012</v>
      </c>
      <c r="BX71" s="23">
        <f t="shared" si="134"/>
        <v>-0.77319772145270083</v>
      </c>
      <c r="BY71" s="34">
        <f t="shared" si="135"/>
        <v>-168.94509500000001</v>
      </c>
      <c r="BZ71" s="23">
        <f t="shared" si="53"/>
        <v>-0.91734906149760331</v>
      </c>
      <c r="CA71" s="23">
        <f t="shared" si="117"/>
        <v>-0.85897332631183299</v>
      </c>
      <c r="CB71" s="23">
        <f t="shared" si="68"/>
        <v>-0.54866256952838099</v>
      </c>
      <c r="CC71" s="23">
        <f t="shared" si="118"/>
        <v>-0.71334598996024723</v>
      </c>
      <c r="CD71" s="117">
        <v>1</v>
      </c>
      <c r="CE71" s="117">
        <f t="shared" si="119"/>
        <v>166.21663899999999</v>
      </c>
      <c r="CF71" s="117">
        <f t="shared" si="103"/>
        <v>-118.21663899999999</v>
      </c>
      <c r="CG71" s="23">
        <f t="shared" si="69"/>
        <v>-0.84967148118545077</v>
      </c>
      <c r="CH71" s="26">
        <f t="shared" si="120"/>
        <v>-2.230502622641509</v>
      </c>
      <c r="CI71" s="23">
        <f t="shared" si="104"/>
        <v>-0.79343531044607252</v>
      </c>
      <c r="CJ71" s="117">
        <v>3</v>
      </c>
      <c r="CK71" s="117">
        <v>3</v>
      </c>
      <c r="CL71" s="117">
        <f t="shared" si="121"/>
        <v>30.811618899999999</v>
      </c>
      <c r="CM71" s="117">
        <f t="shared" si="122"/>
        <v>22.933429811866858</v>
      </c>
      <c r="CN71" s="117">
        <f t="shared" si="136"/>
        <v>-27.811618899999999</v>
      </c>
      <c r="CO71" s="117">
        <f t="shared" si="123"/>
        <v>-19.933429811866858</v>
      </c>
      <c r="CP71" s="23">
        <f t="shared" si="137"/>
        <v>-0.96666046644080084</v>
      </c>
      <c r="CQ71" s="23">
        <f t="shared" si="70"/>
        <v>-1.0390639122808611</v>
      </c>
      <c r="CR71" s="23">
        <f t="shared" si="138"/>
        <v>-0.92967691273340269</v>
      </c>
      <c r="CS71" s="23">
        <f t="shared" si="139"/>
        <v>-0.83966426915974091</v>
      </c>
      <c r="CT71" s="26">
        <f t="shared" si="124"/>
        <v>-0.90399597280409005</v>
      </c>
      <c r="CU71" s="117">
        <v>15</v>
      </c>
      <c r="CV71" s="117">
        <f t="shared" si="125"/>
        <v>-14</v>
      </c>
      <c r="CW71" s="23">
        <v>-0.72</v>
      </c>
      <c r="CX71" s="23">
        <v>-0.73</v>
      </c>
      <c r="CY71" s="23">
        <f t="shared" si="126"/>
        <v>-0.7150094924701853</v>
      </c>
      <c r="CZ71" s="34">
        <v>228435</v>
      </c>
      <c r="DA71" s="75">
        <v>228435</v>
      </c>
      <c r="DB71" s="34">
        <v>102725</v>
      </c>
      <c r="DC71" s="34">
        <v>286196</v>
      </c>
      <c r="DD71" s="34">
        <v>287724</v>
      </c>
      <c r="DE71" s="34">
        <f t="shared" si="127"/>
        <v>130782.64100000002</v>
      </c>
      <c r="DF71" s="34">
        <f t="shared" si="128"/>
        <v>99784.580318379158</v>
      </c>
      <c r="DG71" s="34">
        <f t="shared" si="140"/>
        <v>156941.359</v>
      </c>
      <c r="DH71" s="34">
        <f t="shared" si="105"/>
        <v>186411.41968162084</v>
      </c>
      <c r="DI71" s="36">
        <f t="shared" si="71"/>
        <v>0.87765822326430898</v>
      </c>
      <c r="DJ71" s="225">
        <f t="shared" si="141"/>
        <v>0.62747735986398356</v>
      </c>
      <c r="DK71" s="36">
        <f t="shared" si="72"/>
        <v>-0.19133429437673044</v>
      </c>
      <c r="DL71" s="34">
        <v>95071.64</v>
      </c>
      <c r="DM71">
        <f t="shared" si="129"/>
        <v>125710</v>
      </c>
      <c r="DN71" s="34">
        <f t="shared" si="130"/>
        <v>133363.35999999999</v>
      </c>
      <c r="DO71" s="23">
        <v>0.69499999999999995</v>
      </c>
      <c r="DP71" s="23">
        <f t="shared" si="131"/>
        <v>0.7950089703403086</v>
      </c>
      <c r="DQ71" s="23">
        <f t="shared" si="142"/>
        <v>-0.30681520369444809</v>
      </c>
      <c r="DR71" s="23">
        <f t="shared" si="143"/>
        <v>-0.15273527219012095</v>
      </c>
    </row>
    <row r="72" spans="1:122" x14ac:dyDescent="0.25">
      <c r="A72" s="7" t="s">
        <v>139</v>
      </c>
      <c r="B72" s="7" t="s">
        <v>140</v>
      </c>
      <c r="C72" s="10">
        <f t="shared" si="106"/>
        <v>17</v>
      </c>
      <c r="D72" s="8">
        <v>0</v>
      </c>
      <c r="E72">
        <v>0</v>
      </c>
      <c r="F72">
        <v>0</v>
      </c>
      <c r="G72">
        <v>17</v>
      </c>
      <c r="H72">
        <v>0</v>
      </c>
      <c r="I72">
        <v>0</v>
      </c>
      <c r="J72">
        <v>0</v>
      </c>
      <c r="L72" s="38">
        <v>27</v>
      </c>
      <c r="M72" s="25">
        <f t="shared" si="107"/>
        <v>1.588235294117647</v>
      </c>
      <c r="N72" s="23">
        <f>M72/M75</f>
        <v>2.4646422855984878E-2</v>
      </c>
      <c r="O72" s="33">
        <v>1</v>
      </c>
      <c r="P72" s="23">
        <f t="shared" si="108"/>
        <v>5.8823529411764705E-2</v>
      </c>
      <c r="Q72" s="40">
        <f>P72/P75</f>
        <v>3.9365453914469569E-3</v>
      </c>
      <c r="R72" s="23">
        <f t="shared" si="109"/>
        <v>1.2058823529411764</v>
      </c>
      <c r="S72" s="42">
        <f>R72/R75</f>
        <v>2.3160499738537628E-2</v>
      </c>
      <c r="T72" s="42">
        <f t="shared" si="110"/>
        <v>1.9468953489850397E-2</v>
      </c>
      <c r="U72" s="34">
        <v>120147</v>
      </c>
      <c r="V72" s="70">
        <f>U72/C72</f>
        <v>7067.4705882352937</v>
      </c>
      <c r="W72" s="70"/>
      <c r="X72" s="40">
        <f>V72/V75</f>
        <v>9.0756245738001132E-2</v>
      </c>
      <c r="Y72" s="46">
        <f t="shared" si="111"/>
        <v>4.7983870389110693E-2</v>
      </c>
      <c r="Z72" s="46">
        <v>0.30199999999999999</v>
      </c>
      <c r="AA72" s="135">
        <v>0.25700000000000001</v>
      </c>
      <c r="AB72" s="218">
        <v>18</v>
      </c>
      <c r="AC72" s="226">
        <v>8.0661371944512256E-2</v>
      </c>
      <c r="AD72" s="137">
        <f t="shared" si="112"/>
        <v>0.25961483167024391</v>
      </c>
      <c r="AE72" s="298">
        <v>17877.042176830346</v>
      </c>
      <c r="AF72" s="298">
        <v>0</v>
      </c>
      <c r="AG72" s="23"/>
      <c r="AH72" s="23"/>
      <c r="AI72" s="65" t="e">
        <f>AQ72*BE$17</f>
        <v>#DIV/0!</v>
      </c>
      <c r="AJ72" s="65" t="e">
        <f>SUM(AK72:AL72)</f>
        <v>#DIV/0!</v>
      </c>
      <c r="AK72" s="68"/>
      <c r="AL72" s="65" t="e">
        <f>AS72*BE$27</f>
        <v>#DIV/0!</v>
      </c>
      <c r="AM72" s="298">
        <f>AVERAGE(AE72:AF72)</f>
        <v>8938.5210884151729</v>
      </c>
      <c r="AN72" s="65">
        <f>AM72+(AM$74*AZ72)</f>
        <v>8938.5210884151729</v>
      </c>
      <c r="AO72" s="68"/>
      <c r="AP72" s="23"/>
      <c r="AQ72" s="23" t="e">
        <f>AB72*AW72</f>
        <v>#DIV/0!</v>
      </c>
      <c r="AR72" s="23"/>
      <c r="AS72" s="23" t="e">
        <f>AB72*AY72</f>
        <v>#DIV/0!</v>
      </c>
      <c r="AT72" s="23">
        <f>Y72/AU2</f>
        <v>7.6189060636885825E-2</v>
      </c>
      <c r="AU72" s="23"/>
      <c r="AV72" s="23"/>
      <c r="AW72" s="26" t="e">
        <f>DQ72/BE$15</f>
        <v>#DIV/0!</v>
      </c>
      <c r="AX72" s="26"/>
      <c r="AY72" s="26" t="e">
        <f>DJ72/BE$22</f>
        <v>#DIV/0!</v>
      </c>
      <c r="AZ72" s="26"/>
      <c r="BA72" s="26"/>
      <c r="BF72">
        <v>66</v>
      </c>
      <c r="BG72">
        <v>66</v>
      </c>
      <c r="BI72">
        <v>38</v>
      </c>
      <c r="BJ72">
        <v>108</v>
      </c>
      <c r="BK72" s="117">
        <v>38.755870000000002</v>
      </c>
      <c r="BL72">
        <f t="shared" si="113"/>
        <v>28</v>
      </c>
      <c r="BM72">
        <v>125</v>
      </c>
      <c r="BN72">
        <v>89</v>
      </c>
      <c r="BO72" s="117">
        <f t="shared" si="132"/>
        <v>39.160620000000002</v>
      </c>
      <c r="BP72" s="34">
        <f t="shared" si="114"/>
        <v>76.736069999999998</v>
      </c>
      <c r="BQ72" s="117">
        <f t="shared" si="115"/>
        <v>58.910274963820555</v>
      </c>
      <c r="BR72" s="117">
        <v>56.4497</v>
      </c>
      <c r="BS72" s="117">
        <f t="shared" si="66"/>
        <v>49.089725036179445</v>
      </c>
      <c r="BT72" s="117">
        <f t="shared" si="67"/>
        <v>51.5503</v>
      </c>
      <c r="BU72" s="117">
        <f t="shared" si="116"/>
        <v>27.244129999999998</v>
      </c>
      <c r="BV72" s="23">
        <v>0.17899999999999999</v>
      </c>
      <c r="BW72" s="117">
        <f t="shared" si="133"/>
        <v>49.839379999999998</v>
      </c>
      <c r="BX72" s="25">
        <f t="shared" si="134"/>
        <v>0.44357475921558176</v>
      </c>
      <c r="BY72" s="34">
        <f t="shared" si="135"/>
        <v>48.263930000000002</v>
      </c>
      <c r="BZ72" s="25">
        <f t="shared" si="53"/>
        <v>0.25446173332415151</v>
      </c>
      <c r="CA72" s="25">
        <f t="shared" si="117"/>
        <v>0.33610254986733057</v>
      </c>
      <c r="CB72" s="25">
        <f t="shared" si="68"/>
        <v>0.15020271083738293</v>
      </c>
      <c r="CC72" s="23">
        <f t="shared" si="118"/>
        <v>0.20862761713786029</v>
      </c>
      <c r="CD72" s="117">
        <v>4</v>
      </c>
      <c r="CE72" s="117">
        <f t="shared" si="119"/>
        <v>56.450933999999997</v>
      </c>
      <c r="CF72" s="117">
        <f t="shared" si="103"/>
        <v>51.549066000000003</v>
      </c>
      <c r="CG72" s="25">
        <f t="shared" si="69"/>
        <v>0.31725062047613467</v>
      </c>
      <c r="CH72" s="26">
        <f t="shared" si="120"/>
        <v>2.8638370000000002</v>
      </c>
      <c r="CI72" s="25">
        <f t="shared" si="104"/>
        <v>0.93604951070102971</v>
      </c>
      <c r="CJ72" s="117">
        <v>4</v>
      </c>
      <c r="CK72" s="117">
        <v>4</v>
      </c>
      <c r="CL72" s="117">
        <f t="shared" si="121"/>
        <v>10.4643234</v>
      </c>
      <c r="CM72" s="117">
        <f t="shared" si="122"/>
        <v>7.7887120115774238</v>
      </c>
      <c r="CN72" s="117">
        <f t="shared" si="136"/>
        <v>-6.4643233999999996</v>
      </c>
      <c r="CO72" s="117">
        <f t="shared" si="123"/>
        <v>-3.7887120115774238</v>
      </c>
      <c r="CP72" s="23">
        <f t="shared" si="137"/>
        <v>-0.29228177117250936</v>
      </c>
      <c r="CQ72" s="23">
        <f t="shared" si="70"/>
        <v>-0.19749305374991249</v>
      </c>
      <c r="CR72" s="23">
        <f t="shared" si="138"/>
        <v>0.1177758571999863</v>
      </c>
      <c r="CS72" s="25">
        <f t="shared" si="139"/>
        <v>0.28330780597420818</v>
      </c>
      <c r="CT72" s="25">
        <f t="shared" si="124"/>
        <v>0.20270364896301979</v>
      </c>
      <c r="CU72" s="117">
        <v>5</v>
      </c>
      <c r="CV72" s="117">
        <f t="shared" si="125"/>
        <v>-1</v>
      </c>
      <c r="CW72" s="23">
        <v>-0.20200000000000001</v>
      </c>
      <c r="CX72" s="23">
        <v>8.3000000000000004E-2</v>
      </c>
      <c r="CY72" s="23">
        <f t="shared" si="126"/>
        <v>0.10597071285339522</v>
      </c>
      <c r="CZ72" s="34">
        <v>133444</v>
      </c>
      <c r="DA72" s="75">
        <v>118647.44</v>
      </c>
      <c r="DB72" s="34">
        <v>40418</v>
      </c>
      <c r="DC72" s="34">
        <v>11768</v>
      </c>
      <c r="DD72" s="34">
        <v>130416</v>
      </c>
      <c r="DE72" s="34">
        <f t="shared" si="127"/>
        <v>44416.746000000006</v>
      </c>
      <c r="DF72" s="34">
        <f t="shared" si="128"/>
        <v>33889.102749638208</v>
      </c>
      <c r="DG72" s="34">
        <f t="shared" si="140"/>
        <v>85999.253999999986</v>
      </c>
      <c r="DH72" s="34">
        <f t="shared" si="105"/>
        <v>-22121.102749638208</v>
      </c>
      <c r="DI72" s="36">
        <f t="shared" si="71"/>
        <v>-0.10415009857794072</v>
      </c>
      <c r="DJ72" s="225">
        <f t="shared" si="141"/>
        <v>0.33755024840585912</v>
      </c>
      <c r="DK72" s="36">
        <f t="shared" si="72"/>
        <v>7.9962149946635586E-2</v>
      </c>
      <c r="DL72" s="34">
        <v>36425.629999999997</v>
      </c>
      <c r="DM72">
        <f t="shared" si="129"/>
        <v>93026</v>
      </c>
      <c r="DN72" s="34">
        <f t="shared" si="130"/>
        <v>82221.81</v>
      </c>
      <c r="DO72" s="23">
        <v>0.51700000000000002</v>
      </c>
      <c r="DP72" s="23">
        <f t="shared" si="131"/>
        <v>0.49008100989551684</v>
      </c>
      <c r="DQ72" s="25">
        <f t="shared" si="142"/>
        <v>0.20568561368233546</v>
      </c>
      <c r="DR72" s="26">
        <f t="shared" si="143"/>
        <v>0.1283246441533486</v>
      </c>
    </row>
    <row r="73" spans="1:122" x14ac:dyDescent="0.25">
      <c r="C73" s="1">
        <f t="shared" ref="C73:J73" si="144">SUM(C3:C72)</f>
        <v>2725</v>
      </c>
      <c r="D73" s="1">
        <f t="shared" si="144"/>
        <v>693</v>
      </c>
      <c r="E73" s="1">
        <f t="shared" si="144"/>
        <v>526</v>
      </c>
      <c r="F73" s="1">
        <f t="shared" si="144"/>
        <v>286</v>
      </c>
      <c r="G73" s="1">
        <f t="shared" si="144"/>
        <v>1022</v>
      </c>
      <c r="H73" s="1">
        <f t="shared" si="144"/>
        <v>139</v>
      </c>
      <c r="I73" s="1">
        <f t="shared" si="144"/>
        <v>0</v>
      </c>
      <c r="J73" s="1">
        <f t="shared" si="144"/>
        <v>59</v>
      </c>
      <c r="K73" s="61"/>
      <c r="L73" s="17">
        <f>SUM(L3:L72)</f>
        <v>2372.5</v>
      </c>
      <c r="M73" s="31">
        <f t="shared" si="107"/>
        <v>0.87064220183486241</v>
      </c>
      <c r="N73" s="31">
        <f>SUM(N3:N72)</f>
        <v>1</v>
      </c>
      <c r="O73" s="17">
        <f>SUM(O3:O72)</f>
        <v>652</v>
      </c>
      <c r="P73" s="31">
        <f t="shared" si="108"/>
        <v>0.23926605504587156</v>
      </c>
      <c r="Q73" s="31">
        <f>SUM(Q3:Q72)</f>
        <v>1</v>
      </c>
      <c r="R73" s="31">
        <f t="shared" si="109"/>
        <v>0.71279816513761474</v>
      </c>
      <c r="S73" s="41">
        <f>SUM(S3:S72)</f>
        <v>0.99999999999999978</v>
      </c>
      <c r="T73" s="41">
        <f>SUM(T3:T72)</f>
        <v>1</v>
      </c>
      <c r="U73" s="35">
        <f>SUM(U3:U72)</f>
        <v>3261352</v>
      </c>
      <c r="V73" s="35">
        <f>U73/C73</f>
        <v>1196.8264220183487</v>
      </c>
      <c r="W73" s="35"/>
      <c r="X73" s="41">
        <f>SUM(X3:X72)</f>
        <v>1.0000000000000004</v>
      </c>
      <c r="Y73" s="48">
        <f>SUM(Y3:Y72)</f>
        <v>1.0000000000000002</v>
      </c>
      <c r="Z73" s="48"/>
      <c r="AB73" s="218">
        <f>SUM(AB3:AB13,AB14,AB15:AB24,AB25,AB26:AB72)</f>
        <v>2764</v>
      </c>
      <c r="AE73" s="300">
        <f>SUM(AE3:AE72)</f>
        <v>2923508.2749242471</v>
      </c>
      <c r="AF73" s="300">
        <f>SUM(AF3:AF72)</f>
        <v>3150486.5702092419</v>
      </c>
      <c r="AG73" s="53">
        <f t="shared" ref="AG73:AS73" si="145">SUM(AG3:AG72)</f>
        <v>49.448978138574383</v>
      </c>
      <c r="AH73" s="60" t="e">
        <f t="shared" si="145"/>
        <v>#DIV/0!</v>
      </c>
      <c r="AI73" s="60" t="e">
        <f t="shared" si="145"/>
        <v>#DIV/0!</v>
      </c>
      <c r="AJ73" s="68" t="e">
        <f t="shared" si="145"/>
        <v>#DIV/0!</v>
      </c>
      <c r="AK73" s="68" t="e">
        <f t="shared" si="145"/>
        <v>#DIV/0!</v>
      </c>
      <c r="AL73" s="68" t="e">
        <f t="shared" si="145"/>
        <v>#DIV/0!</v>
      </c>
      <c r="AM73" s="68">
        <f>SUM(AM3:AM72)</f>
        <v>3036997.4225667459</v>
      </c>
      <c r="AN73" s="68">
        <f>SUM(AN3:AN72)</f>
        <v>3150486.5702092415</v>
      </c>
      <c r="AO73" s="68">
        <f>SUM(AO3:AO72)</f>
        <v>55.835915612804072</v>
      </c>
      <c r="AP73" s="53" t="e">
        <f t="shared" si="145"/>
        <v>#DIV/0!</v>
      </c>
      <c r="AQ73" s="53" t="e">
        <f t="shared" si="145"/>
        <v>#DIV/0!</v>
      </c>
      <c r="AR73" s="53" t="e">
        <f t="shared" si="145"/>
        <v>#DIV/0!</v>
      </c>
      <c r="AS73" s="53" t="e">
        <f t="shared" si="145"/>
        <v>#DIV/0!</v>
      </c>
      <c r="AT73" s="53">
        <f>SUM(AT4:AT72)</f>
        <v>3150486.6463983036</v>
      </c>
      <c r="AU73" s="23"/>
      <c r="AV73" s="23">
        <f>SUM(AV4:AV72)</f>
        <v>0.94887132379121275</v>
      </c>
      <c r="AW73" s="26"/>
      <c r="AX73" s="26"/>
      <c r="AY73" s="26"/>
      <c r="AZ73" s="26"/>
      <c r="BA73" s="26"/>
      <c r="BF73" s="1">
        <f>SUM(BF3:BF72)</f>
        <v>6502</v>
      </c>
      <c r="BG73" s="1">
        <f>SUM(BG3:BG72)</f>
        <v>6492</v>
      </c>
      <c r="BH73" s="1"/>
      <c r="BJ73" s="54">
        <f>SUM(BJ3:BJ13,BJ14,BJ15:BJ24,BJ25,BJ26:BJ72)</f>
        <v>9046</v>
      </c>
      <c r="BK73" s="34"/>
      <c r="BL73" s="34"/>
      <c r="BM73" s="54">
        <f>SUM(BM3:BM72)</f>
        <v>11860</v>
      </c>
      <c r="BN73" s="54">
        <f>SUM(BN3:BN72)</f>
        <v>6232</v>
      </c>
      <c r="BO73" s="54"/>
      <c r="BP73" s="1"/>
      <c r="BS73" s="23">
        <f>AVERAGE(BS3:BS13,BS14,BS15:BS24,BS25,BS26:BS72)</f>
        <v>-9.7445860904242312E-15</v>
      </c>
      <c r="BT73" s="23">
        <f>AVERAGE(BT26:BT72,BT3:BT13,BT14,BT15:BT24,BT25)</f>
        <v>5.3923088571428561</v>
      </c>
      <c r="BW73" s="23">
        <f>AVERAGE(BW3:BW13,BW14,BW15:BW24,BW25,BW26:BW72)</f>
        <v>3.1238462857142788</v>
      </c>
      <c r="BX73" s="23"/>
      <c r="BY73" s="23">
        <f>AVERAGE(BY3:BY13,BY14,BY15:BY24,BY25,BY26:BY72)</f>
        <v>1.096430571428564</v>
      </c>
      <c r="BZ73" s="23"/>
      <c r="CD73" s="153">
        <f>SUM(CD3:CD72)</f>
        <v>1139</v>
      </c>
      <c r="CE73" s="153"/>
      <c r="CF73" s="23">
        <f>AVERAGE(CF3:CF13,CF14,CF15:CF24,CF25,CF26:CF72)</f>
        <v>5.3949352571428726</v>
      </c>
      <c r="CG73" s="153"/>
      <c r="CH73" s="23">
        <f>AVERAGE(CH3:CH13,CH14,CH15:CH24,CH25,CH26:CH72)</f>
        <v>0.10662626717862141</v>
      </c>
      <c r="CI73" s="23">
        <f t="shared" si="104"/>
        <v>0</v>
      </c>
      <c r="CJ73" s="153">
        <f>SUM(CJ3:CJ13,CJ14,CJ15:CJ24,CJ25,CJ26:CJ72)</f>
        <v>1196</v>
      </c>
      <c r="CK73" s="153">
        <f>SUM(CK3:CK72)</f>
        <v>1802</v>
      </c>
      <c r="CL73" s="153"/>
      <c r="CM73" s="153"/>
      <c r="CN73" s="53">
        <f>AVERAGE(CN3:CN13,CN14,CN15:CN24,CN25,CN26:CN72)</f>
        <v>2.7877858114285701</v>
      </c>
      <c r="CO73" s="53">
        <f>AVERAGE(CO3:CO13,CO14,CO15:CO24,CO25,CO26:CO72)</f>
        <v>0</v>
      </c>
      <c r="CP73" s="53"/>
      <c r="CQ73" s="153"/>
      <c r="CR73" s="153"/>
      <c r="CS73" s="153"/>
      <c r="CT73" s="218"/>
      <c r="CZ73" s="54">
        <f>SUM(CZ3:CZ72)</f>
        <v>5635669</v>
      </c>
      <c r="DA73" s="54">
        <f>SUM(DA3:DA72)</f>
        <v>5354514.08</v>
      </c>
      <c r="DC73" s="54">
        <f>SUM(DC26:DC72,DC25,DC15:DC24,DC14,DC3:DC13)</f>
        <v>5203860</v>
      </c>
      <c r="DD73" s="54">
        <f>SUM(DD3:DD72)</f>
        <v>7058737</v>
      </c>
      <c r="DE73" s="54"/>
      <c r="DF73" s="54"/>
      <c r="DG73" s="54">
        <f>AVERAGE(DG26:DG72,DG25,DG15:DG24,DG14,DG3:DG13)</f>
        <v>3404.2698857142741</v>
      </c>
      <c r="DH73" s="54">
        <f>AVERAGE(DH26:DH72,DH25,DH15:DH24,DH14,DH3:DH13)</f>
        <v>0</v>
      </c>
      <c r="DI73" s="54"/>
      <c r="DJ73" s="54"/>
      <c r="DK73" s="54"/>
    </row>
    <row r="74" spans="1:122" x14ac:dyDescent="0.25">
      <c r="C74" s="1">
        <v>756</v>
      </c>
      <c r="M74" s="39" t="s">
        <v>158</v>
      </c>
      <c r="P74" s="39" t="s">
        <v>158</v>
      </c>
      <c r="R74" s="39" t="s">
        <v>158</v>
      </c>
      <c r="V74" s="39" t="s">
        <v>158</v>
      </c>
      <c r="W74" s="39"/>
      <c r="AM74" s="67">
        <f>AF73-AM73</f>
        <v>113489.14764249604</v>
      </c>
      <c r="AN74" s="68"/>
      <c r="BG74" s="155">
        <f>(BG73/BF73)*100</f>
        <v>99.846201168871119</v>
      </c>
      <c r="BJ74">
        <f>BJ73/AB73</f>
        <v>3.2727930535455863</v>
      </c>
      <c r="BL74" s="1" t="s">
        <v>300</v>
      </c>
      <c r="BM74" s="1"/>
      <c r="BN74" s="1"/>
      <c r="BO74" s="1"/>
      <c r="BP74" s="1"/>
      <c r="BQ74" s="1"/>
      <c r="BR74" s="1"/>
      <c r="BS74" s="221">
        <f>STDEV(BS3:BS13,BS14,BS15:BS24,BS25,BS26:BS72)</f>
        <v>146.05579474346919</v>
      </c>
      <c r="BT74" s="221">
        <f>STDEV(BT3:BT13,BT14,BT15:BT24,BT25,BT26:BT72)</f>
        <v>145.48220215888799</v>
      </c>
      <c r="BU74" s="117">
        <f>AVERAGE(BU3:BU14,BU15:BU16,BU17:BU24,BU25:BU65,BU67:BU72)</f>
        <v>4.2373075757575753</v>
      </c>
      <c r="BW74" s="221">
        <f>STDEV(BW3:BW13,BW14,BW15:BW24,BW25,BW26:BW72)</f>
        <v>105.31603240206348</v>
      </c>
      <c r="BX74" s="221"/>
      <c r="BY74" s="221">
        <f>STDEV(BY3:BY13,BY14,BY15:BY24,BY25,BY26:BY72)</f>
        <v>185.36185701637939</v>
      </c>
      <c r="BZ74" s="221"/>
      <c r="CD74" s="153">
        <f>BF73+CD73</f>
        <v>7641</v>
      </c>
      <c r="CE74" s="153"/>
      <c r="CF74" s="221">
        <f>STDEV(CF3:CF13,CF14,CF15:CF24,CF25,CF26:CF72)</f>
        <v>145.48160906222435</v>
      </c>
      <c r="CG74" s="153"/>
      <c r="CH74" s="221">
        <f>STDEV(CH3:CH13,CH14,CH15:CH24,CH25,CH26:CH72)</f>
        <v>2.9455821527607426</v>
      </c>
      <c r="CI74" s="23">
        <f t="shared" si="104"/>
        <v>0.96380129235958123</v>
      </c>
      <c r="CJ74" s="222">
        <f>CJ73/AB73</f>
        <v>0.43270622286541244</v>
      </c>
      <c r="CK74" s="222">
        <f>CK73/AB73</f>
        <v>0.65195369030390737</v>
      </c>
      <c r="CL74" s="222"/>
      <c r="CM74" s="224"/>
      <c r="CN74" s="224">
        <f>STDEV(CN26:CN72,CN25,CN15:CN24,CN14,CN3:CN13)</f>
        <v>31.654759632504849</v>
      </c>
      <c r="CO74" s="224">
        <f>STDEV(CO26:CO72,CO25,CO15:CO24,CO14,CO3:CO13)</f>
        <v>19.184026676579265</v>
      </c>
      <c r="CP74" s="224"/>
      <c r="CQ74" s="224"/>
      <c r="CR74" s="224"/>
      <c r="CS74" s="224"/>
      <c r="CT74" s="224" t="s">
        <v>400</v>
      </c>
      <c r="DC74" s="138">
        <f>DC73/AB73</f>
        <v>1882.7279305354559</v>
      </c>
      <c r="DD74" s="138">
        <f>DD73/AB73</f>
        <v>2553.8122286541243</v>
      </c>
      <c r="DE74" s="138"/>
      <c r="DF74" s="26"/>
      <c r="DG74" s="79">
        <f>STDEV(DG26:DG72,DG25,DG15:DG24,DG14,DG3:DG13)</f>
        <v>244689.44847279828</v>
      </c>
      <c r="DH74" s="79">
        <f>STDEV(DH26:DH72,DH25,DH15:DH24,DH14,DH3:DH13)</f>
        <v>212396.36881460925</v>
      </c>
      <c r="DI74" s="79"/>
      <c r="DJ74" s="79"/>
      <c r="DK74" s="79"/>
      <c r="DM74" s="1" t="s">
        <v>270</v>
      </c>
      <c r="DN74" s="34">
        <f>AVERAGE(DN3:DN14,DN15:DN16,DN17:DN24,DN25:DN65,DN67:DN72)</f>
        <v>26.978030303033215</v>
      </c>
    </row>
    <row r="75" spans="1:122" ht="18.75" x14ac:dyDescent="0.3">
      <c r="A75" s="14"/>
      <c r="C75" s="1">
        <f>C74/C73</f>
        <v>0.27743119266055044</v>
      </c>
      <c r="M75" s="23">
        <f>SUM(M3:M72)</f>
        <v>64.440803576165891</v>
      </c>
      <c r="P75" s="23">
        <f>SUM(P3:P72)</f>
        <v>14.942931825344184</v>
      </c>
      <c r="R75" s="23">
        <f>SUM(R3:R72)</f>
        <v>52.06633563846048</v>
      </c>
      <c r="V75" s="34">
        <f>SUM(V3:V72)</f>
        <v>77873.104278001527</v>
      </c>
      <c r="W75" s="34"/>
      <c r="BL75" s="1" t="s">
        <v>267</v>
      </c>
      <c r="BM75" s="1"/>
      <c r="BN75" s="1"/>
      <c r="BO75" s="1"/>
      <c r="BP75" s="1"/>
      <c r="BQ75" s="1"/>
      <c r="BR75" s="1"/>
      <c r="BS75" s="153"/>
      <c r="BT75" s="1"/>
      <c r="BU75">
        <f>STDEV(BU3:BU14,BU15:BU16,BU17:BU24,BU25:BU65,BU67:BU72)</f>
        <v>110.27697454378539</v>
      </c>
      <c r="DC75" s="37"/>
      <c r="DD75" s="37"/>
      <c r="DE75" s="37"/>
      <c r="DM75" s="1" t="s">
        <v>267</v>
      </c>
      <c r="DN75">
        <f>STDEV(DN3:DN14,DN15:DN16,DN17:DN24,DN25:DN65,DN67:DN72)</f>
        <v>167716.82703482136</v>
      </c>
    </row>
    <row r="76" spans="1:122" ht="18.75" x14ac:dyDescent="0.3">
      <c r="A76" s="14"/>
      <c r="BE76" s="290" t="s">
        <v>400</v>
      </c>
      <c r="BG76" t="s">
        <v>343</v>
      </c>
      <c r="BJ76">
        <f>BJ73/AB73</f>
        <v>3.2727930535455863</v>
      </c>
      <c r="BM76">
        <f>BM73/AB73</f>
        <v>4.2908827785817651</v>
      </c>
      <c r="BN76">
        <f>BN73/AB73</f>
        <v>2.2547033285094065</v>
      </c>
      <c r="BS76" s="117"/>
      <c r="CC76" s="223" t="s">
        <v>314</v>
      </c>
      <c r="CI76" s="278" t="s">
        <v>432</v>
      </c>
      <c r="CJ76" s="211">
        <v>0.39566000000000001</v>
      </c>
      <c r="CK76" s="211">
        <v>0.58135130000000002</v>
      </c>
      <c r="CL76" s="211"/>
      <c r="CM76" s="61"/>
      <c r="CN76" s="61"/>
      <c r="CO76" s="61"/>
      <c r="CP76" s="61"/>
      <c r="CQ76" s="61"/>
      <c r="CR76" s="61"/>
      <c r="CS76" s="61"/>
      <c r="CT76" s="61" t="s">
        <v>432</v>
      </c>
      <c r="DA76" s="223"/>
      <c r="DC76" s="138">
        <v>1755.66</v>
      </c>
      <c r="DD76" s="138">
        <v>2467.5970000000002</v>
      </c>
      <c r="DE76" s="138"/>
      <c r="DF76" s="16"/>
      <c r="DG76" s="16"/>
      <c r="DH76" s="16"/>
      <c r="DI76" s="16"/>
      <c r="DJ76" s="16"/>
      <c r="DK76" s="16"/>
    </row>
    <row r="77" spans="1:122" ht="18.75" x14ac:dyDescent="0.3">
      <c r="A77" s="14"/>
      <c r="BE77" s="290" t="s">
        <v>432</v>
      </c>
      <c r="BG77" s="273" t="s">
        <v>344</v>
      </c>
      <c r="BJ77">
        <v>3.1361629999999998</v>
      </c>
      <c r="BM77">
        <v>4.263115</v>
      </c>
      <c r="BN77">
        <v>2.1755900000000001</v>
      </c>
      <c r="BS77" s="117"/>
    </row>
    <row r="78" spans="1:122" ht="18.75" x14ac:dyDescent="0.3">
      <c r="A78" s="14"/>
      <c r="BG78" t="s">
        <v>395</v>
      </c>
      <c r="BS78" s="117"/>
    </row>
    <row r="79" spans="1:122" ht="18.75" x14ac:dyDescent="0.3">
      <c r="A79" s="14"/>
      <c r="BS79" s="117"/>
    </row>
    <row r="80" spans="1:122" ht="18.75" x14ac:dyDescent="0.3">
      <c r="A80" s="14"/>
      <c r="BS80" s="117"/>
    </row>
    <row r="81" spans="1:71" ht="18.75" x14ac:dyDescent="0.3">
      <c r="A81" s="14"/>
      <c r="BS81" s="117"/>
    </row>
    <row r="82" spans="1:71" ht="18.75" x14ac:dyDescent="0.3">
      <c r="A82" s="14"/>
      <c r="BS82" s="117"/>
    </row>
    <row r="83" spans="1:71" ht="18.75" x14ac:dyDescent="0.3">
      <c r="A83" s="14"/>
      <c r="BS83" s="117"/>
    </row>
    <row r="84" spans="1:71" ht="18.75" x14ac:dyDescent="0.3">
      <c r="A84" s="14"/>
      <c r="BS84" s="117"/>
    </row>
    <row r="85" spans="1:71" ht="18.75" x14ac:dyDescent="0.3">
      <c r="A85" s="14"/>
      <c r="BS85" s="117"/>
    </row>
    <row r="86" spans="1:71" ht="18.75" x14ac:dyDescent="0.3">
      <c r="A86" s="14"/>
      <c r="BS86" s="117"/>
    </row>
    <row r="87" spans="1:71" ht="18.75" x14ac:dyDescent="0.3">
      <c r="A87" s="14"/>
      <c r="BS87" s="117"/>
    </row>
    <row r="88" spans="1:71" ht="18.75" x14ac:dyDescent="0.3">
      <c r="A88" s="14"/>
      <c r="BS88" s="117"/>
    </row>
    <row r="89" spans="1:71" ht="18.75" x14ac:dyDescent="0.3">
      <c r="A89" s="14"/>
      <c r="BS89" s="117"/>
    </row>
    <row r="90" spans="1:71" ht="18.75" x14ac:dyDescent="0.3">
      <c r="A90" s="14"/>
      <c r="BS90" s="117"/>
    </row>
    <row r="91" spans="1:71" ht="18.75" x14ac:dyDescent="0.3">
      <c r="A91" s="14"/>
      <c r="BS91" s="117"/>
    </row>
    <row r="92" spans="1:71" ht="18.75" x14ac:dyDescent="0.3">
      <c r="A92" s="14"/>
      <c r="BS92" s="117"/>
    </row>
    <row r="93" spans="1:71" ht="18.75" x14ac:dyDescent="0.3">
      <c r="A93" s="14"/>
      <c r="BS93" s="117"/>
    </row>
    <row r="94" spans="1:71" ht="18.75" x14ac:dyDescent="0.3">
      <c r="A94" s="14"/>
    </row>
    <row r="95" spans="1:71" ht="18.75" x14ac:dyDescent="0.3">
      <c r="A95" s="14"/>
    </row>
    <row r="96" spans="1:71" ht="18.75" x14ac:dyDescent="0.3">
      <c r="A96" s="14"/>
    </row>
    <row r="97" spans="1:1" ht="18.75" x14ac:dyDescent="0.3">
      <c r="A97" s="14"/>
    </row>
    <row r="98" spans="1:1" ht="18.75" x14ac:dyDescent="0.3">
      <c r="A98" s="14"/>
    </row>
    <row r="99" spans="1:1" ht="18.75" x14ac:dyDescent="0.3">
      <c r="A99" s="14"/>
    </row>
  </sheetData>
  <dataValidations disablePrompts="1" count="1">
    <dataValidation type="list" showInputMessage="1" showErrorMessage="1" sqref="D1:J1">
      <formula1>$A$75:$A$99</formula1>
    </dataValidation>
  </dataValidations>
  <pageMargins left="0.75" right="0.75" top="1" bottom="1" header="0.5" footer="0.5"/>
  <pageSetup paperSize="9" orientation="portrait" r:id="rId1"/>
  <ignoredErrors>
    <ignoredError sqref="R3:R7 R9:R13 R14 R67:R72 R25 R27:R28 R30:R65 CH3:CH13 CH14 R15:R24 CH15:CH24 CH25 CH26:CH74" formula="1"/>
    <ignoredError sqref="C76 C3:C7 C9:C13 C14 C67:C73 C25 C27:C28 C30:C65 C15:C2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5"/>
  <sheetViews>
    <sheetView workbookViewId="0">
      <pane ySplit="2" topLeftCell="A29" activePane="bottomLeft" state="frozen"/>
      <selection pane="bottomLeft" activeCell="D46" sqref="D46"/>
    </sheetView>
  </sheetViews>
  <sheetFormatPr defaultRowHeight="15" x14ac:dyDescent="0.25"/>
  <cols>
    <col min="1" max="1" width="39.85546875" bestFit="1" customWidth="1"/>
    <col min="2" max="2" width="57.140625" bestFit="1" customWidth="1"/>
    <col min="3" max="4" width="9.140625" customWidth="1"/>
    <col min="5" max="7" width="9.140625" hidden="1" customWidth="1"/>
    <col min="8" max="8" width="16.5703125" hidden="1" customWidth="1"/>
    <col min="9" max="9" width="6.42578125" style="16" hidden="1" customWidth="1"/>
    <col min="10" max="10" width="14.85546875" hidden="1" customWidth="1"/>
    <col min="11" max="11" width="11.42578125" hidden="1" customWidth="1"/>
    <col min="12" max="12" width="8.7109375" hidden="1" customWidth="1"/>
    <col min="13" max="13" width="10" hidden="1" customWidth="1"/>
    <col min="14" max="14" width="12.140625" hidden="1" customWidth="1"/>
    <col min="15" max="15" width="12.85546875" hidden="1" customWidth="1"/>
    <col min="16" max="17" width="8.7109375" hidden="1" customWidth="1"/>
    <col min="18" max="18" width="9.5703125" bestFit="1" customWidth="1"/>
    <col min="19" max="19" width="9.5703125" customWidth="1"/>
    <col min="20" max="20" width="11.85546875" hidden="1" customWidth="1"/>
    <col min="21" max="21" width="11.85546875" style="16" hidden="1" customWidth="1"/>
    <col min="22" max="22" width="15.28515625" style="16" hidden="1" customWidth="1"/>
    <col min="23" max="23" width="14.5703125" style="16" hidden="1" customWidth="1"/>
    <col min="24" max="24" width="13.42578125" style="16" bestFit="1" customWidth="1"/>
    <col min="25" max="25" width="11.140625" hidden="1" customWidth="1"/>
    <col min="26" max="26" width="11.5703125" hidden="1" customWidth="1"/>
    <col min="27" max="27" width="12.7109375" hidden="1" customWidth="1"/>
    <col min="28" max="28" width="16.5703125" hidden="1" customWidth="1"/>
    <col min="29" max="29" width="14.28515625" hidden="1" customWidth="1"/>
    <col min="30" max="31" width="0" hidden="1" customWidth="1"/>
    <col min="32" max="32" width="10" hidden="1" customWidth="1"/>
    <col min="33" max="34" width="0" hidden="1" customWidth="1"/>
    <col min="35" max="37" width="14.7109375" hidden="1" customWidth="1"/>
    <col min="38" max="38" width="14.7109375" customWidth="1"/>
    <col min="39" max="39" width="12.7109375" hidden="1" customWidth="1"/>
    <col min="40" max="40" width="17.5703125" hidden="1" customWidth="1"/>
    <col min="41" max="43" width="15.7109375" hidden="1" customWidth="1"/>
    <col min="44" max="44" width="15.140625" bestFit="1" customWidth="1"/>
    <col min="45" max="45" width="18.42578125" bestFit="1" customWidth="1"/>
    <col min="46" max="46" width="0" hidden="1" customWidth="1"/>
    <col min="47" max="47" width="12.140625" bestFit="1" customWidth="1"/>
    <col min="48" max="48" width="10" hidden="1" customWidth="1"/>
    <col min="49" max="49" width="19.140625" hidden="1" customWidth="1"/>
    <col min="50" max="50" width="7.140625" hidden="1" customWidth="1"/>
    <col min="51" max="51" width="0" hidden="1" customWidth="1"/>
    <col min="52" max="52" width="11.85546875" bestFit="1" customWidth="1"/>
    <col min="53" max="53" width="12" hidden="1" customWidth="1"/>
    <col min="54" max="54" width="9.5703125" bestFit="1" customWidth="1"/>
    <col min="55" max="55" width="14" bestFit="1" customWidth="1"/>
    <col min="56" max="56" width="12.42578125" bestFit="1" customWidth="1"/>
    <col min="57" max="57" width="13.140625" bestFit="1" customWidth="1"/>
    <col min="58" max="58" width="14.7109375" hidden="1" customWidth="1"/>
    <col min="59" max="59" width="18.140625" hidden="1" customWidth="1"/>
    <col min="60" max="60" width="18" hidden="1" customWidth="1"/>
    <col min="61" max="61" width="18.85546875" hidden="1" customWidth="1"/>
    <col min="62" max="62" width="18.7109375" hidden="1" customWidth="1"/>
    <col min="63" max="63" width="12.7109375" hidden="1" customWidth="1"/>
    <col min="64" max="64" width="17.42578125" hidden="1" customWidth="1"/>
    <col min="65" max="65" width="16.7109375" hidden="1" customWidth="1"/>
    <col min="66" max="66" width="18.42578125" hidden="1" customWidth="1"/>
    <col min="67" max="67" width="11.85546875" hidden="1" customWidth="1"/>
    <col min="68" max="68" width="15.7109375" hidden="1" customWidth="1"/>
    <col min="69" max="69" width="12.28515625" style="23" hidden="1" customWidth="1"/>
    <col min="70" max="70" width="18.28515625" style="23" hidden="1" customWidth="1"/>
    <col min="71" max="71" width="10.42578125" hidden="1" customWidth="1"/>
    <col min="72" max="72" width="11.28515625" bestFit="1" customWidth="1"/>
    <col min="73" max="74" width="10.42578125" customWidth="1"/>
    <col min="75" max="75" width="10.42578125" hidden="1" customWidth="1"/>
    <col min="76" max="76" width="12.85546875" hidden="1" customWidth="1"/>
    <col min="77" max="77" width="13.7109375" hidden="1" customWidth="1"/>
    <col min="78" max="78" width="16.85546875" hidden="1" customWidth="1"/>
    <col min="79" max="79" width="17.7109375" hidden="1" customWidth="1"/>
    <col min="80" max="80" width="11.7109375" hidden="1" customWidth="1"/>
    <col min="81" max="81" width="15.85546875" hidden="1" customWidth="1"/>
    <col min="82" max="82" width="10" style="16" bestFit="1" customWidth="1"/>
    <col min="83" max="83" width="8.28515625" style="16" bestFit="1" customWidth="1"/>
    <col min="84" max="84" width="9.85546875" style="16" bestFit="1" customWidth="1"/>
    <col min="85" max="85" width="11.140625" style="16" hidden="1" customWidth="1"/>
    <col min="86" max="86" width="7.7109375" style="16" hidden="1" customWidth="1"/>
    <col min="87" max="88" width="0" hidden="1" customWidth="1"/>
    <col min="89" max="89" width="10.5703125" style="23" hidden="1" customWidth="1"/>
    <col min="90" max="90" width="6.28515625" hidden="1" customWidth="1"/>
    <col min="91" max="91" width="12.5703125" hidden="1" customWidth="1"/>
    <col min="92" max="92" width="0" hidden="1" customWidth="1"/>
    <col min="93" max="93" width="15.85546875" hidden="1" customWidth="1"/>
    <col min="94" max="94" width="0" hidden="1" customWidth="1"/>
    <col min="95" max="95" width="7.140625" style="34" bestFit="1" customWidth="1"/>
    <col min="96" max="96" width="10.7109375" style="34" hidden="1" customWidth="1"/>
    <col min="97" max="97" width="9.5703125" style="34" bestFit="1" customWidth="1"/>
    <col min="98" max="98" width="13.5703125" style="34" hidden="1" customWidth="1"/>
    <col min="99" max="99" width="14.28515625" style="34" hidden="1" customWidth="1"/>
    <col min="100" max="100" width="10.7109375" style="34" bestFit="1" customWidth="1"/>
    <col min="101" max="101" width="12.28515625" style="34" hidden="1" customWidth="1"/>
    <col min="102" max="102" width="10.7109375" style="34" customWidth="1"/>
    <col min="103" max="103" width="14.85546875" hidden="1" customWidth="1"/>
    <col min="104" max="104" width="11.85546875" hidden="1" customWidth="1"/>
    <col min="105" max="105" width="15.5703125" hidden="1" customWidth="1"/>
    <col min="106" max="106" width="0" hidden="1" customWidth="1"/>
    <col min="107" max="107" width="13.85546875" hidden="1" customWidth="1"/>
    <col min="108" max="108" width="0" style="16" hidden="1" customWidth="1"/>
    <col min="109" max="109" width="11.7109375" hidden="1" customWidth="1"/>
    <col min="110" max="110" width="10.42578125" bestFit="1" customWidth="1"/>
  </cols>
  <sheetData>
    <row r="1" spans="1:110" ht="60" x14ac:dyDescent="0.25">
      <c r="C1" s="2" t="s">
        <v>142</v>
      </c>
      <c r="D1" s="2" t="s">
        <v>142</v>
      </c>
      <c r="E1" s="3" t="s">
        <v>6</v>
      </c>
      <c r="F1" s="4" t="s">
        <v>7</v>
      </c>
      <c r="G1" s="3" t="s">
        <v>8</v>
      </c>
      <c r="H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Y1" s="16"/>
      <c r="Z1" s="16"/>
      <c r="AA1" s="16"/>
      <c r="AB1" s="16"/>
      <c r="AC1" s="16"/>
      <c r="AD1" s="16"/>
      <c r="AE1" s="16"/>
      <c r="AH1" s="64">
        <v>7.2700000000000001E-2</v>
      </c>
      <c r="AI1" s="64"/>
      <c r="AJ1" s="64"/>
      <c r="AK1" s="64"/>
      <c r="AL1" s="64"/>
      <c r="AM1" s="64"/>
      <c r="AN1" s="64"/>
      <c r="AO1" s="64"/>
      <c r="AP1" s="64"/>
      <c r="AQ1" s="64"/>
      <c r="AR1" s="61"/>
      <c r="AS1" s="61"/>
      <c r="AT1" s="1"/>
      <c r="AU1" s="61"/>
      <c r="AV1" s="1"/>
      <c r="AW1" s="1"/>
      <c r="AX1" s="1"/>
    </row>
    <row r="2" spans="1:110" x14ac:dyDescent="0.25">
      <c r="A2" s="5" t="s">
        <v>0</v>
      </c>
      <c r="B2" s="5" t="s">
        <v>1</v>
      </c>
      <c r="C2" s="6" t="s">
        <v>330</v>
      </c>
      <c r="D2" s="6" t="s">
        <v>329</v>
      </c>
      <c r="H2" s="61" t="s">
        <v>204</v>
      </c>
      <c r="I2" s="61" t="s">
        <v>353</v>
      </c>
      <c r="J2" s="61" t="s">
        <v>302</v>
      </c>
      <c r="K2" s="145" t="s">
        <v>155</v>
      </c>
      <c r="L2" s="61" t="s">
        <v>164</v>
      </c>
      <c r="M2" s="61" t="s">
        <v>393</v>
      </c>
      <c r="N2" s="61" t="s">
        <v>244</v>
      </c>
      <c r="O2" s="211" t="s">
        <v>292</v>
      </c>
      <c r="P2" s="145" t="s">
        <v>159</v>
      </c>
      <c r="Q2" s="61"/>
      <c r="R2" s="61" t="s">
        <v>431</v>
      </c>
      <c r="S2" s="61" t="s">
        <v>393</v>
      </c>
      <c r="T2" s="61" t="s">
        <v>429</v>
      </c>
      <c r="U2" s="61" t="s">
        <v>430</v>
      </c>
      <c r="V2" s="61" t="s">
        <v>442</v>
      </c>
      <c r="W2" s="61" t="s">
        <v>445</v>
      </c>
      <c r="X2" s="61" t="s">
        <v>466</v>
      </c>
      <c r="Y2" s="61" t="s">
        <v>391</v>
      </c>
      <c r="Z2" s="61" t="s">
        <v>305</v>
      </c>
      <c r="AA2" s="61" t="s">
        <v>178</v>
      </c>
      <c r="AB2" s="61" t="s">
        <v>162</v>
      </c>
      <c r="AC2" s="61" t="s">
        <v>161</v>
      </c>
      <c r="AD2" s="61" t="s">
        <v>153</v>
      </c>
      <c r="AE2" s="61" t="s">
        <v>154</v>
      </c>
      <c r="AF2" s="1" t="s">
        <v>155</v>
      </c>
      <c r="AG2" s="1" t="s">
        <v>159</v>
      </c>
      <c r="AH2" s="1"/>
      <c r="AI2" s="1" t="s">
        <v>427</v>
      </c>
      <c r="AJ2" s="1" t="s">
        <v>441</v>
      </c>
      <c r="AK2" s="1" t="s">
        <v>444</v>
      </c>
      <c r="AL2" s="1" t="s">
        <v>465</v>
      </c>
      <c r="AM2" s="1" t="s">
        <v>390</v>
      </c>
      <c r="AN2" s="1" t="s">
        <v>304</v>
      </c>
      <c r="AO2" s="1" t="s">
        <v>426</v>
      </c>
      <c r="AP2" s="1" t="s">
        <v>440</v>
      </c>
      <c r="AQ2" s="1" t="s">
        <v>443</v>
      </c>
      <c r="AR2" s="67"/>
      <c r="AS2" s="67"/>
      <c r="AT2" s="213" t="s">
        <v>303</v>
      </c>
      <c r="AU2" s="306"/>
      <c r="AV2" s="1" t="s">
        <v>225</v>
      </c>
      <c r="AW2" s="1" t="s">
        <v>333</v>
      </c>
      <c r="AX2" s="1" t="s">
        <v>238</v>
      </c>
      <c r="AY2" s="1" t="s">
        <v>226</v>
      </c>
      <c r="AZ2" s="1" t="s">
        <v>354</v>
      </c>
      <c r="BA2" s="1" t="s">
        <v>409</v>
      </c>
      <c r="BB2" s="1" t="s">
        <v>455</v>
      </c>
      <c r="BC2" s="1" t="s">
        <v>413</v>
      </c>
      <c r="BD2" s="1" t="s">
        <v>456</v>
      </c>
      <c r="BE2" s="1" t="s">
        <v>462</v>
      </c>
      <c r="BF2" s="1" t="s">
        <v>415</v>
      </c>
      <c r="BG2" s="1" t="s">
        <v>315</v>
      </c>
      <c r="BH2" s="1" t="s">
        <v>316</v>
      </c>
      <c r="BI2" s="1" t="s">
        <v>317</v>
      </c>
      <c r="BJ2" s="1" t="s">
        <v>318</v>
      </c>
      <c r="BK2" s="1" t="s">
        <v>414</v>
      </c>
      <c r="BL2" s="1" t="s">
        <v>337</v>
      </c>
      <c r="BM2" s="1" t="s">
        <v>338</v>
      </c>
      <c r="BN2" s="1" t="s">
        <v>334</v>
      </c>
      <c r="BO2" s="1" t="s">
        <v>227</v>
      </c>
      <c r="BP2" s="1" t="s">
        <v>240</v>
      </c>
      <c r="BQ2" s="53" t="s">
        <v>228</v>
      </c>
      <c r="BR2" s="53" t="s">
        <v>241</v>
      </c>
      <c r="BS2" s="1" t="s">
        <v>339</v>
      </c>
      <c r="BT2" s="1" t="s">
        <v>463</v>
      </c>
      <c r="BU2" s="1" t="s">
        <v>320</v>
      </c>
      <c r="BV2" s="1" t="s">
        <v>322</v>
      </c>
      <c r="BW2" s="1" t="s">
        <v>433</v>
      </c>
      <c r="BX2" s="1" t="s">
        <v>447</v>
      </c>
      <c r="BY2" s="1" t="s">
        <v>448</v>
      </c>
      <c r="BZ2" s="1" t="s">
        <v>397</v>
      </c>
      <c r="CA2" s="1" t="s">
        <v>398</v>
      </c>
      <c r="CB2" s="1" t="s">
        <v>449</v>
      </c>
      <c r="CC2" s="1" t="s">
        <v>399</v>
      </c>
      <c r="CD2" s="61" t="s">
        <v>321</v>
      </c>
      <c r="CE2" s="61" t="s">
        <v>475</v>
      </c>
      <c r="CF2" s="61" t="s">
        <v>476</v>
      </c>
      <c r="CG2" s="61" t="s">
        <v>450</v>
      </c>
      <c r="CH2" s="61" t="s">
        <v>323</v>
      </c>
      <c r="CI2" s="1" t="s">
        <v>234</v>
      </c>
      <c r="CJ2" s="1" t="s">
        <v>236</v>
      </c>
      <c r="CK2" s="53" t="s">
        <v>235</v>
      </c>
      <c r="CL2" s="1" t="s">
        <v>237</v>
      </c>
      <c r="CM2" s="1" t="s">
        <v>285</v>
      </c>
      <c r="CN2" s="1" t="s">
        <v>229</v>
      </c>
      <c r="CO2" s="1" t="s">
        <v>279</v>
      </c>
      <c r="CP2" s="1" t="s">
        <v>230</v>
      </c>
      <c r="CQ2" s="54" t="s">
        <v>342</v>
      </c>
      <c r="CR2" s="54" t="s">
        <v>410</v>
      </c>
      <c r="CS2" s="54" t="s">
        <v>345</v>
      </c>
      <c r="CT2" s="54" t="s">
        <v>451</v>
      </c>
      <c r="CU2" s="54" t="s">
        <v>452</v>
      </c>
      <c r="CV2" s="54" t="s">
        <v>325</v>
      </c>
      <c r="CW2" s="54" t="s">
        <v>453</v>
      </c>
      <c r="CX2" s="54" t="s">
        <v>346</v>
      </c>
      <c r="CY2" s="1" t="s">
        <v>286</v>
      </c>
      <c r="CZ2" s="1" t="s">
        <v>231</v>
      </c>
      <c r="DA2" s="1" t="s">
        <v>287</v>
      </c>
      <c r="DB2" s="1" t="s">
        <v>232</v>
      </c>
      <c r="DC2" s="1" t="s">
        <v>288</v>
      </c>
      <c r="DD2" s="61" t="s">
        <v>327</v>
      </c>
      <c r="DE2" s="61" t="s">
        <v>446</v>
      </c>
      <c r="DF2" s="61" t="s">
        <v>473</v>
      </c>
    </row>
    <row r="3" spans="1:110" x14ac:dyDescent="0.25">
      <c r="A3" s="9" t="s">
        <v>3</v>
      </c>
      <c r="B3" s="9" t="s">
        <v>30</v>
      </c>
      <c r="C3" s="1">
        <f t="shared" ref="C3:C49" si="0">SUM(E3:G3)</f>
        <v>11</v>
      </c>
      <c r="D3" s="1">
        <v>9</v>
      </c>
      <c r="E3" s="8">
        <v>11</v>
      </c>
      <c r="F3" s="8">
        <v>0</v>
      </c>
      <c r="G3">
        <v>0</v>
      </c>
      <c r="H3" s="25">
        <v>0.52900000000000003</v>
      </c>
      <c r="I3" s="25">
        <v>0.23855958601995295</v>
      </c>
      <c r="J3" s="25">
        <f>(0.6*CM3)+(0.4*DC3)</f>
        <v>0.51251182351118219</v>
      </c>
      <c r="K3" s="66">
        <f>P3*AS$6</f>
        <v>0</v>
      </c>
      <c r="L3" s="40"/>
      <c r="M3" s="66" t="e">
        <f>Y3*AS$8</f>
        <v>#DIV/0!</v>
      </c>
      <c r="N3" s="37" t="e">
        <f>Z3*AS$2</f>
        <v>#DIV/0!</v>
      </c>
      <c r="O3" s="37" t="e">
        <f>N3-K3</f>
        <v>#DIV/0!</v>
      </c>
      <c r="P3" s="47">
        <f>C3*AA3</f>
        <v>1.003102913290812</v>
      </c>
      <c r="Q3" s="40"/>
      <c r="R3" s="37">
        <v>3930.5703494671129</v>
      </c>
      <c r="S3" s="65">
        <f>X3*AS$36</f>
        <v>1054.7530263027293</v>
      </c>
      <c r="T3" s="65" t="e">
        <f>AI3*AS$17</f>
        <v>#DIV/0!</v>
      </c>
      <c r="U3" s="65" t="e">
        <f>SUM(V3:W3)</f>
        <v>#DIV/0!</v>
      </c>
      <c r="V3" s="66" t="e">
        <f>AJ3*AS$31</f>
        <v>#DIV/0!</v>
      </c>
      <c r="W3" s="67"/>
      <c r="X3" s="67">
        <f>D3*AL3</f>
        <v>0.31230612289347537</v>
      </c>
      <c r="Y3" s="58" t="e">
        <f>D3*AM3</f>
        <v>#DIV/0!</v>
      </c>
      <c r="Z3" s="58" t="e">
        <f>C3*AN3</f>
        <v>#DIV/0!</v>
      </c>
      <c r="AA3" s="214">
        <f>H3/AT$3</f>
        <v>9.1191173935528363E-2</v>
      </c>
      <c r="AB3" s="58"/>
      <c r="AC3" s="58"/>
      <c r="AD3" s="58"/>
      <c r="AE3" s="58"/>
      <c r="AF3" s="58"/>
      <c r="AG3" s="58"/>
      <c r="AH3" s="58"/>
      <c r="AI3" s="58" t="e">
        <f>D3*AO3</f>
        <v>#DIV/0!</v>
      </c>
      <c r="AJ3" s="58" t="e">
        <f>D3*AP3</f>
        <v>#DIV/0!</v>
      </c>
      <c r="AK3" s="58"/>
      <c r="AL3" s="58">
        <f>DF3/AU$26</f>
        <v>3.4700680321497264E-2</v>
      </c>
      <c r="AM3" s="23" t="e">
        <f>I3/AU$6</f>
        <v>#DIV/0!</v>
      </c>
      <c r="AN3" s="23" t="e">
        <f>J3/AU$3</f>
        <v>#DIV/0!</v>
      </c>
      <c r="AO3" s="23" t="e">
        <f>DE3/AU$8</f>
        <v>#DIV/0!</v>
      </c>
      <c r="AP3" s="23" t="e">
        <f>CG3/AU$19</f>
        <v>#DIV/0!</v>
      </c>
      <c r="AQ3" s="23"/>
      <c r="AR3" s="1" t="s">
        <v>389</v>
      </c>
      <c r="AS3" s="1"/>
      <c r="AT3" s="76">
        <v>5.8010000000000002</v>
      </c>
      <c r="AU3" s="26"/>
      <c r="AV3">
        <v>6</v>
      </c>
      <c r="AW3">
        <v>6</v>
      </c>
      <c r="AX3">
        <f>AV3-AW3</f>
        <v>0</v>
      </c>
      <c r="AY3">
        <v>7</v>
      </c>
      <c r="AZ3">
        <v>10</v>
      </c>
      <c r="BA3">
        <v>12</v>
      </c>
      <c r="BB3">
        <v>8</v>
      </c>
      <c r="BC3" s="117">
        <f t="shared" ref="BC3:BC49" si="1">D3*BA$54</f>
        <v>12.928374</v>
      </c>
      <c r="BD3" s="117">
        <f t="shared" ref="BD3:BD49" si="2">D3*BB$54</f>
        <v>7.4657402999999993</v>
      </c>
      <c r="BE3" s="117">
        <f>BB3-BD3</f>
        <v>0.53425970000000067</v>
      </c>
      <c r="BF3" s="117">
        <f>BA3-BC3</f>
        <v>-0.92837399999999981</v>
      </c>
      <c r="BG3" s="117">
        <f>D3*AZ$53</f>
        <v>8.6479438314944836</v>
      </c>
      <c r="BH3">
        <v>9</v>
      </c>
      <c r="BI3" s="117">
        <f>AZ3-BG3</f>
        <v>1.3520561685055164</v>
      </c>
      <c r="BJ3">
        <f>AZ3-BH3</f>
        <v>1</v>
      </c>
      <c r="BK3" s="23">
        <f>(BF3-BF$50)/BF$51</f>
        <v>8.4586789437754994E-3</v>
      </c>
      <c r="BL3" s="23">
        <f t="shared" ref="BL3:BM5" si="3">(BI3-BI$50)/BI$51</f>
        <v>6.3463363906265308E-2</v>
      </c>
      <c r="BM3" s="23">
        <f t="shared" si="3"/>
        <v>6.7471453300771575E-2</v>
      </c>
      <c r="BN3" s="117">
        <v>7.7280319999999998</v>
      </c>
      <c r="BO3">
        <f>AV3-AY3</f>
        <v>-1</v>
      </c>
      <c r="BP3" s="117">
        <f>AW3-BN3</f>
        <v>-1.7280319999999998</v>
      </c>
      <c r="BQ3" s="23">
        <v>-0.20499999999999999</v>
      </c>
      <c r="BR3" s="23">
        <f>(BP3-BP$51)/BP$52</f>
        <v>-0.21981511670378459</v>
      </c>
      <c r="BS3">
        <v>8</v>
      </c>
      <c r="BT3" s="23">
        <f>(BE3-BE$50)/BE$51</f>
        <v>-2.3186058194118037E-2</v>
      </c>
      <c r="BU3">
        <v>15</v>
      </c>
      <c r="BV3" s="117">
        <f t="shared" ref="BV3:BV49" si="4">D3*BU$54</f>
        <v>4.9710177</v>
      </c>
      <c r="BW3">
        <v>17</v>
      </c>
      <c r="BX3" s="117">
        <f t="shared" ref="BX3:BX49" si="5">D3*BW$54</f>
        <v>6.3733455000000001</v>
      </c>
      <c r="BY3" s="117">
        <f>BW3-BX3</f>
        <v>10.626654500000001</v>
      </c>
      <c r="BZ3" s="117">
        <f>D3*BU$53</f>
        <v>3.2136409227683047</v>
      </c>
      <c r="CA3" s="117">
        <f>BU3-BZ3</f>
        <v>11.786359077231696</v>
      </c>
      <c r="CB3" s="25">
        <f>(BY3-BY$50)/BY$51</f>
        <v>0.8718891495449006</v>
      </c>
      <c r="CC3" s="25">
        <f>(CA3-CA$50)/CA$51</f>
        <v>1.072447379625312</v>
      </c>
      <c r="CD3" s="217">
        <f>BU3-BV3</f>
        <v>10.028982299999999</v>
      </c>
      <c r="CE3" s="26">
        <f>(CD3-CD$50)/CD$51</f>
        <v>0.9125050509371303</v>
      </c>
      <c r="CF3" s="25">
        <f>(0.6*BT3)+(0.4*CE3)</f>
        <v>0.35109038545838134</v>
      </c>
      <c r="CG3" s="25">
        <f>(0.6*BK3)+(0.4*CB3)</f>
        <v>0.35383086718422557</v>
      </c>
      <c r="CH3" s="25">
        <f>(0.6*BL3)+(0.4*CC3)</f>
        <v>0.46705697019388398</v>
      </c>
      <c r="CI3">
        <v>3</v>
      </c>
      <c r="CJ3">
        <f>BS3-CI3</f>
        <v>5</v>
      </c>
      <c r="CK3" s="23">
        <v>2.54</v>
      </c>
      <c r="CL3" s="23">
        <v>0.89300000000000002</v>
      </c>
      <c r="CM3" s="23">
        <f>(0.6*BR3)+(0.4*CK3)</f>
        <v>0.88411092997772922</v>
      </c>
      <c r="CN3" s="34">
        <v>0</v>
      </c>
      <c r="CO3" s="75">
        <v>0</v>
      </c>
      <c r="CP3">
        <v>1750</v>
      </c>
      <c r="CQ3" s="34">
        <v>0</v>
      </c>
      <c r="CR3" s="34">
        <v>0</v>
      </c>
      <c r="CS3" s="34">
        <f>D3*CQ$52</f>
        <v>2602.4804413239717</v>
      </c>
      <c r="CT3" s="34">
        <f t="shared" ref="CT3:CT49" si="6">D3*CR$53</f>
        <v>5940</v>
      </c>
      <c r="CU3" s="34">
        <f>CR3-CT3</f>
        <v>-5940</v>
      </c>
      <c r="CV3" s="34">
        <f>CQ3-CS3</f>
        <v>-2602.4804413239717</v>
      </c>
      <c r="CW3" s="36">
        <f>(CU3-CU$50)/CU$51</f>
        <v>-0.1671821480034085</v>
      </c>
      <c r="CX3" s="36">
        <f>(CV3-CV$50)/CV$51</f>
        <v>-8.93348310168499E-2</v>
      </c>
      <c r="CY3" s="34">
        <v>1918.2783999999999</v>
      </c>
      <c r="CZ3">
        <f>CN3-CP3</f>
        <v>-1750</v>
      </c>
      <c r="DA3" s="34">
        <f>CO3-CY3</f>
        <v>-1918.2783999999999</v>
      </c>
      <c r="DB3" s="23">
        <v>-1.6E-2</v>
      </c>
      <c r="DC3" s="23">
        <f>(DA3-DA$51)/DA$52</f>
        <v>-4.4886836188638396E-2</v>
      </c>
      <c r="DD3" s="25">
        <f>(0.6*CH3)+(0.4*CX3)</f>
        <v>0.24450024970959042</v>
      </c>
      <c r="DE3" s="25">
        <f>(0.6*CG3)+(0.4*CW3)</f>
        <v>0.14542566110917193</v>
      </c>
      <c r="DF3" s="25">
        <f>(0.6*CF3)+(0.4*CX3)</f>
        <v>0.17492029886828883</v>
      </c>
    </row>
    <row r="4" spans="1:110" x14ac:dyDescent="0.25">
      <c r="A4" s="9" t="s">
        <v>3</v>
      </c>
      <c r="B4" s="9" t="s">
        <v>31</v>
      </c>
      <c r="C4" s="1">
        <f t="shared" si="0"/>
        <v>191</v>
      </c>
      <c r="D4" s="1">
        <v>183</v>
      </c>
      <c r="E4" s="8">
        <v>139</v>
      </c>
      <c r="F4" s="8">
        <v>52</v>
      </c>
      <c r="G4">
        <v>0</v>
      </c>
      <c r="H4" s="25">
        <v>3.0009999999999999</v>
      </c>
      <c r="I4" s="25">
        <v>2.1372409957968852</v>
      </c>
      <c r="J4" s="25">
        <f>(0.6*CM4)+(0.4*DC4)</f>
        <v>3.0057789149417813</v>
      </c>
      <c r="K4" s="66">
        <f>P4*AS$6</f>
        <v>0</v>
      </c>
      <c r="L4" s="47" t="e">
        <f>C4*Q4</f>
        <v>#REF!</v>
      </c>
      <c r="M4" s="66" t="e">
        <f>Y4*AS$8</f>
        <v>#DIV/0!</v>
      </c>
      <c r="N4" s="37" t="e">
        <f>Z4*AS$2</f>
        <v>#DIV/0!</v>
      </c>
      <c r="O4" s="37" t="e">
        <f>N4-K4</f>
        <v>#DIV/0!</v>
      </c>
      <c r="P4" s="47">
        <f>C4*AA4</f>
        <v>98.808998448543349</v>
      </c>
      <c r="Q4" s="47" t="e">
        <f>#REF!/AT2</f>
        <v>#REF!</v>
      </c>
      <c r="R4" s="67">
        <v>403247.42159715749</v>
      </c>
      <c r="S4" s="65">
        <f>X4*AS$36</f>
        <v>328532.72680335667</v>
      </c>
      <c r="T4" s="65" t="e">
        <f>AI4*AS$17</f>
        <v>#DIV/0!</v>
      </c>
      <c r="U4" s="65" t="e">
        <f>SUM(V4:W4)</f>
        <v>#DIV/0!</v>
      </c>
      <c r="V4" s="66" t="e">
        <f>AJ4*AS$31</f>
        <v>#DIV/0!</v>
      </c>
      <c r="W4" s="66" t="e">
        <f>AK4*AS$32</f>
        <v>#DIV/0!</v>
      </c>
      <c r="X4" s="67">
        <f>D4*AL4</f>
        <v>97.27659422911124</v>
      </c>
      <c r="Y4" s="58" t="e">
        <f>D4*AM4</f>
        <v>#DIV/0!</v>
      </c>
      <c r="Z4" s="58" t="e">
        <f>C4*AN4</f>
        <v>#DIV/0!</v>
      </c>
      <c r="AA4" s="214">
        <f>H4/AT$3</f>
        <v>0.51732459920703322</v>
      </c>
      <c r="AB4" s="58"/>
      <c r="AC4" s="58"/>
      <c r="AD4" s="58"/>
      <c r="AE4" s="58"/>
      <c r="AF4" s="58"/>
      <c r="AG4" s="58"/>
      <c r="AH4" s="58"/>
      <c r="AI4" s="58" t="e">
        <f>D4*AO4</f>
        <v>#DIV/0!</v>
      </c>
      <c r="AJ4" s="58" t="e">
        <f>D4*AP4</f>
        <v>#DIV/0!</v>
      </c>
      <c r="AK4" s="58" t="e">
        <f>D4*AQ4</f>
        <v>#DIV/0!</v>
      </c>
      <c r="AL4" s="58">
        <f>DF4/AU$26</f>
        <v>0.53156608868366795</v>
      </c>
      <c r="AM4" s="23" t="e">
        <f>I4/AU$6</f>
        <v>#DIV/0!</v>
      </c>
      <c r="AN4" s="23" t="e">
        <f>J4/AU$3</f>
        <v>#DIV/0!</v>
      </c>
      <c r="AO4" s="23" t="e">
        <f>DE4/AU$8</f>
        <v>#DIV/0!</v>
      </c>
      <c r="AP4" s="23" t="e">
        <f>CG4/AU$19</f>
        <v>#DIV/0!</v>
      </c>
      <c r="AQ4" s="23" t="e">
        <f>CW4/AU$22</f>
        <v>#DIV/0!</v>
      </c>
      <c r="AR4" s="138">
        <v>296573.17</v>
      </c>
      <c r="AU4" s="16"/>
      <c r="AV4">
        <v>244</v>
      </c>
      <c r="AW4">
        <v>224</v>
      </c>
      <c r="AX4">
        <f>AV4-AW4</f>
        <v>20</v>
      </c>
      <c r="AY4">
        <v>130</v>
      </c>
      <c r="AZ4">
        <v>255</v>
      </c>
      <c r="BA4">
        <v>350</v>
      </c>
      <c r="BB4">
        <v>241</v>
      </c>
      <c r="BC4" s="117">
        <f t="shared" si="1"/>
        <v>262.876938</v>
      </c>
      <c r="BD4" s="117">
        <f t="shared" si="2"/>
        <v>151.80338609999998</v>
      </c>
      <c r="BE4" s="117">
        <f t="shared" ref="BE4:BE49" si="7">BB4-BD4</f>
        <v>89.196613900000017</v>
      </c>
      <c r="BF4" s="117">
        <f t="shared" ref="BF4:BF49" si="8">BA4-BC4</f>
        <v>87.123062000000004</v>
      </c>
      <c r="BG4" s="117">
        <f>D4*AZ$53</f>
        <v>175.84152457372116</v>
      </c>
      <c r="BH4">
        <v>177</v>
      </c>
      <c r="BI4" s="117">
        <f>AZ4-BG4</f>
        <v>79.158475426278841</v>
      </c>
      <c r="BJ4">
        <f>AZ4-BH4</f>
        <v>78</v>
      </c>
      <c r="BK4" s="25">
        <f t="shared" ref="BK4:BK49" si="9">(BF4-BF$50)/BF$51</f>
        <v>3.0586952186989067</v>
      </c>
      <c r="BL4" s="25">
        <f t="shared" si="3"/>
        <v>3.7155728062658517</v>
      </c>
      <c r="BM4" s="25">
        <f t="shared" si="3"/>
        <v>3.6921006887608265</v>
      </c>
      <c r="BN4" s="117">
        <v>134.18673699999999</v>
      </c>
      <c r="BO4">
        <f t="shared" ref="BO4:BO49" si="10">AV4-AY4</f>
        <v>114</v>
      </c>
      <c r="BP4" s="117">
        <f>AW4-BN4</f>
        <v>89.813263000000006</v>
      </c>
      <c r="BQ4" s="23">
        <v>4.2750000000000004</v>
      </c>
      <c r="BR4" s="23">
        <f>(BP4-BP$51)/BP$52</f>
        <v>3.8612795218981071</v>
      </c>
      <c r="BS4">
        <v>53</v>
      </c>
      <c r="BT4" s="25">
        <f t="shared" ref="BT4:BT49" si="11">(BE4-BE$50)/BE$51</f>
        <v>4.1064206898505988</v>
      </c>
      <c r="BU4">
        <v>43</v>
      </c>
      <c r="BV4" s="117">
        <f t="shared" si="4"/>
        <v>101.07735989999999</v>
      </c>
      <c r="BW4">
        <v>80</v>
      </c>
      <c r="BX4" s="117">
        <f t="shared" si="5"/>
        <v>129.59135849999998</v>
      </c>
      <c r="BY4" s="117">
        <f t="shared" ref="BY4:BY49" si="12">BW4-BX4</f>
        <v>-49.591358499999984</v>
      </c>
      <c r="BZ4" s="117">
        <f>D4*BU$53</f>
        <v>65.344032096288871</v>
      </c>
      <c r="CA4" s="117">
        <f>BU4-BZ4</f>
        <v>-22.344032096288871</v>
      </c>
      <c r="CB4" s="23">
        <f t="shared" ref="CB4:CB49" si="13">(BY4-BY$50)/BY$51</f>
        <v>-2.2236818910233378</v>
      </c>
      <c r="CC4" s="23">
        <f>(CA4-CA$50)/CA$51</f>
        <v>-2.0330959302113079</v>
      </c>
      <c r="CD4" s="217">
        <f t="shared" ref="CD4:CD49" si="14">BU4-BV4</f>
        <v>-58.07735989999999</v>
      </c>
      <c r="CE4" s="26">
        <f t="shared" ref="CE4:CE49" si="15">(CD4-CD$50)/CD$51</f>
        <v>-2.8498395232514615</v>
      </c>
      <c r="CF4" s="25">
        <f t="shared" ref="CF4:CF49" si="16">(0.6*BT4)+(0.4*CE4)</f>
        <v>1.3239166046097743</v>
      </c>
      <c r="CG4" s="25">
        <f t="shared" ref="CG4:CG49" si="17">(0.6*BK4)+(0.4*CB4)</f>
        <v>0.94574437481000873</v>
      </c>
      <c r="CH4" s="25">
        <f>(0.6*BL4)+(0.4*CC4)</f>
        <v>1.4161053116749875</v>
      </c>
      <c r="CI4">
        <v>60</v>
      </c>
      <c r="CJ4">
        <f>BS4-CI4</f>
        <v>-7</v>
      </c>
      <c r="CK4" s="23">
        <v>1.2949999999999999</v>
      </c>
      <c r="CL4" s="23">
        <v>3.0830000000000002</v>
      </c>
      <c r="CM4" s="23">
        <f>(0.6*BR4)+(0.4*CK4)</f>
        <v>2.8347677131388638</v>
      </c>
      <c r="CN4" s="34">
        <v>404291</v>
      </c>
      <c r="CO4" s="75">
        <v>404291.29000000004</v>
      </c>
      <c r="CP4">
        <v>239031</v>
      </c>
      <c r="CQ4" s="34">
        <v>190214</v>
      </c>
      <c r="CR4" s="34">
        <v>502541</v>
      </c>
      <c r="CS4" s="34">
        <f>D4*CQ$52</f>
        <v>52917.102306920759</v>
      </c>
      <c r="CT4" s="34">
        <f t="shared" si="6"/>
        <v>120780</v>
      </c>
      <c r="CU4" s="34">
        <f t="shared" ref="CU4:CU49" si="18">CR4-CT4</f>
        <v>381761</v>
      </c>
      <c r="CV4" s="34">
        <f>CQ4-CS4</f>
        <v>137296.89769307926</v>
      </c>
      <c r="CW4" s="225">
        <f t="shared" ref="CW4:CW49" si="19">(CU4-CU$50)/CU$51</f>
        <v>4.7364489308255822</v>
      </c>
      <c r="CX4" s="225">
        <f>(CV4-CV$50)/CV$51</f>
        <v>4.7129634328045631</v>
      </c>
      <c r="CY4" s="34">
        <v>213087.2291</v>
      </c>
      <c r="CZ4">
        <f>CN4-CP4</f>
        <v>165260</v>
      </c>
      <c r="DA4" s="34">
        <f t="shared" ref="DA4:DA5" si="20">CO4-CY4</f>
        <v>191204.06090000004</v>
      </c>
      <c r="DB4" s="23">
        <v>2.8780000000000001</v>
      </c>
      <c r="DC4" s="23">
        <f>(DA4-DA$51)/DA$52</f>
        <v>3.262295717646158</v>
      </c>
      <c r="DD4" s="25">
        <f>(0.6*CH4)+(0.4*CX4)</f>
        <v>2.7348485601268178</v>
      </c>
      <c r="DE4" s="25">
        <f t="shared" ref="DE4:DE49" si="21">(0.6*CG4)+(0.4*CW4)</f>
        <v>2.4620261972162383</v>
      </c>
      <c r="DF4" s="25">
        <f t="shared" ref="DF4:DF49" si="22">(0.6*CF4)+(0.4*CX4)</f>
        <v>2.6795353358876897</v>
      </c>
    </row>
    <row r="5" spans="1:110" x14ac:dyDescent="0.25">
      <c r="A5" s="7" t="s">
        <v>3</v>
      </c>
      <c r="B5" s="7" t="s">
        <v>32</v>
      </c>
      <c r="C5" s="1">
        <f t="shared" si="0"/>
        <v>6</v>
      </c>
      <c r="D5" s="1">
        <v>6</v>
      </c>
      <c r="E5" s="8">
        <v>6</v>
      </c>
      <c r="F5" s="8">
        <v>0</v>
      </c>
      <c r="G5">
        <v>0</v>
      </c>
      <c r="H5" s="26">
        <v>-0.11</v>
      </c>
      <c r="I5" s="26">
        <v>6.8684659376248985E-3</v>
      </c>
      <c r="J5" s="26">
        <f>(0.6*CM5)+(0.4*DC5)</f>
        <v>-0.1178461265595564</v>
      </c>
      <c r="K5" s="67"/>
      <c r="L5" s="47"/>
      <c r="M5" s="47"/>
      <c r="N5" s="67"/>
      <c r="O5" s="67"/>
      <c r="P5" s="47"/>
      <c r="Q5" s="47"/>
      <c r="R5" s="67"/>
      <c r="S5" s="68"/>
      <c r="T5" s="68"/>
      <c r="U5" s="68"/>
      <c r="V5" s="67"/>
      <c r="W5" s="67"/>
      <c r="X5" s="67"/>
      <c r="Y5" s="214"/>
      <c r="Z5" s="214"/>
      <c r="AA5" s="214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23"/>
      <c r="AN5" s="23"/>
      <c r="AO5" s="23"/>
      <c r="AP5" s="23"/>
      <c r="AQ5" s="23"/>
      <c r="AS5" s="47"/>
      <c r="AU5" s="309"/>
      <c r="AV5">
        <v>3</v>
      </c>
      <c r="AW5">
        <v>3</v>
      </c>
      <c r="AX5">
        <f>AV5-AW5</f>
        <v>0</v>
      </c>
      <c r="AY5">
        <v>4</v>
      </c>
      <c r="AZ5">
        <v>8</v>
      </c>
      <c r="BA5">
        <v>11</v>
      </c>
      <c r="BB5">
        <v>4</v>
      </c>
      <c r="BC5" s="117">
        <f t="shared" si="1"/>
        <v>8.6189159999999987</v>
      </c>
      <c r="BD5" s="117">
        <f t="shared" si="2"/>
        <v>4.9771602000000001</v>
      </c>
      <c r="BE5" s="117">
        <f t="shared" si="7"/>
        <v>-0.97716020000000015</v>
      </c>
      <c r="BF5" s="117">
        <f t="shared" si="8"/>
        <v>2.3810840000000013</v>
      </c>
      <c r="BG5" s="117">
        <f>D5*AZ$53</f>
        <v>5.7652958876629885</v>
      </c>
      <c r="BH5">
        <v>6</v>
      </c>
      <c r="BI5" s="117">
        <f>AZ5-BG5</f>
        <v>2.2347041123370115</v>
      </c>
      <c r="BJ5">
        <f>AZ5-BH5</f>
        <v>2</v>
      </c>
      <c r="BK5" s="23">
        <f t="shared" si="9"/>
        <v>0.12310337046686365</v>
      </c>
      <c r="BL5" s="26">
        <f t="shared" si="3"/>
        <v>0.10489345310323384</v>
      </c>
      <c r="BM5" s="23">
        <f t="shared" si="3"/>
        <v>0.11454456025479827</v>
      </c>
      <c r="BN5" s="117">
        <v>4.2152900000000004</v>
      </c>
      <c r="BO5">
        <f t="shared" si="10"/>
        <v>-1</v>
      </c>
      <c r="BP5" s="117">
        <f>AW5-BN5</f>
        <v>-1.2152900000000004</v>
      </c>
      <c r="BQ5" s="23">
        <v>-0.20499999999999999</v>
      </c>
      <c r="BR5" s="23">
        <f>(BP5-BP$51)/BP$52</f>
        <v>-0.19695604935952199</v>
      </c>
      <c r="BS5">
        <v>1</v>
      </c>
      <c r="BT5" s="23">
        <f t="shared" si="11"/>
        <v>-9.3583126651037879E-2</v>
      </c>
      <c r="BU5">
        <v>2</v>
      </c>
      <c r="BV5" s="117">
        <f t="shared" si="4"/>
        <v>3.3140117999999998</v>
      </c>
      <c r="BW5">
        <v>2</v>
      </c>
      <c r="BX5" s="117">
        <f t="shared" si="5"/>
        <v>4.2488969999999995</v>
      </c>
      <c r="BY5" s="117">
        <f t="shared" si="12"/>
        <v>-2.2488969999999995</v>
      </c>
      <c r="BZ5" s="117">
        <f>D5*BU$53</f>
        <v>2.1424272818455368</v>
      </c>
      <c r="CA5" s="117">
        <f>BU5-BZ5</f>
        <v>-0.14242728184553677</v>
      </c>
      <c r="CB5" s="23">
        <f t="shared" si="13"/>
        <v>0.21000772289030553</v>
      </c>
      <c r="CC5" s="26">
        <f>(CA5-CA$50)/CA$51</f>
        <v>-1.2959537733537099E-2</v>
      </c>
      <c r="CD5" s="217">
        <f t="shared" si="14"/>
        <v>-1.3140117999999998</v>
      </c>
      <c r="CE5" s="26">
        <f t="shared" si="15"/>
        <v>0.28589303612849748</v>
      </c>
      <c r="CF5" s="26">
        <f t="shared" si="16"/>
        <v>5.8207338460776276E-2</v>
      </c>
      <c r="CG5" s="26">
        <f t="shared" si="17"/>
        <v>0.15786511143624041</v>
      </c>
      <c r="CH5" s="26">
        <f>(0.6*BL5)+(0.4*CC5)</f>
        <v>5.7752256768525453E-2</v>
      </c>
      <c r="CI5">
        <v>2</v>
      </c>
      <c r="CJ5">
        <f>BS5-CI5</f>
        <v>-1</v>
      </c>
      <c r="CK5" s="23">
        <v>-0.157</v>
      </c>
      <c r="CL5" s="23">
        <v>-0.186</v>
      </c>
      <c r="CM5" s="23">
        <f>(0.6*BR5)+(0.4*CK5)</f>
        <v>-0.1809736296157132</v>
      </c>
      <c r="CN5" s="34">
        <v>0</v>
      </c>
      <c r="CO5" s="75">
        <v>0</v>
      </c>
      <c r="CP5">
        <v>616</v>
      </c>
      <c r="CQ5" s="34">
        <v>0</v>
      </c>
      <c r="CR5" s="34">
        <v>0</v>
      </c>
      <c r="CS5" s="34">
        <f>D5*CQ$52</f>
        <v>1734.986960882648</v>
      </c>
      <c r="CT5" s="34">
        <f t="shared" si="6"/>
        <v>3960</v>
      </c>
      <c r="CU5" s="34">
        <f t="shared" si="18"/>
        <v>-3960</v>
      </c>
      <c r="CV5" s="34">
        <f>CQ5-CS5</f>
        <v>-1734.986960882648</v>
      </c>
      <c r="CW5" s="36">
        <f t="shared" si="19"/>
        <v>-0.14213916504468155</v>
      </c>
      <c r="CX5" s="36">
        <f>(CV5-CV$50)/CV$51</f>
        <v>-5.9556554011233283E-2</v>
      </c>
      <c r="CY5" s="34">
        <v>649.24419999999998</v>
      </c>
      <c r="CZ5">
        <f>CN5-CP5</f>
        <v>-616</v>
      </c>
      <c r="DA5" s="34">
        <f t="shared" si="20"/>
        <v>-649.24419999999998</v>
      </c>
      <c r="DB5" s="23">
        <v>3.0000000000000001E-3</v>
      </c>
      <c r="DC5" s="23">
        <f>(DA5-DA$51)/DA$52</f>
        <v>-2.3154871975321224E-2</v>
      </c>
      <c r="DD5" s="26">
        <f>(0.6*CH5)+(0.4*CX5)</f>
        <v>1.0828732456621953E-2</v>
      </c>
      <c r="DE5" s="23">
        <f t="shared" si="21"/>
        <v>3.7863400843871617E-2</v>
      </c>
      <c r="DF5" s="23">
        <f t="shared" si="22"/>
        <v>1.1101781471972449E-2</v>
      </c>
    </row>
    <row r="6" spans="1:110" hidden="1" x14ac:dyDescent="0.25">
      <c r="A6" s="9" t="s">
        <v>3</v>
      </c>
      <c r="B6" s="9" t="s">
        <v>33</v>
      </c>
      <c r="C6" s="52">
        <f t="shared" si="0"/>
        <v>4</v>
      </c>
      <c r="D6" s="52">
        <v>3</v>
      </c>
      <c r="E6" s="8">
        <v>4</v>
      </c>
      <c r="F6" s="8">
        <v>0</v>
      </c>
      <c r="G6">
        <v>0</v>
      </c>
      <c r="H6" s="23"/>
      <c r="I6" s="26"/>
      <c r="J6" s="23"/>
      <c r="K6" s="67"/>
      <c r="L6" s="47"/>
      <c r="M6" s="47"/>
      <c r="N6" s="67"/>
      <c r="O6" s="67"/>
      <c r="P6" s="47"/>
      <c r="Q6" s="47"/>
      <c r="R6" s="67"/>
      <c r="S6" s="68"/>
      <c r="T6" s="68"/>
      <c r="U6" s="68"/>
      <c r="V6" s="67"/>
      <c r="W6" s="67"/>
      <c r="X6" s="67"/>
      <c r="Y6" s="214"/>
      <c r="Z6" s="214"/>
      <c r="AA6" s="214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23"/>
      <c r="AN6" s="23"/>
      <c r="AO6" s="23"/>
      <c r="AP6" s="23"/>
      <c r="AQ6" s="23"/>
      <c r="AR6" s="39" t="s">
        <v>179</v>
      </c>
      <c r="AS6" s="78"/>
      <c r="AU6" s="26"/>
      <c r="BC6" s="117">
        <f t="shared" si="1"/>
        <v>4.3094579999999993</v>
      </c>
      <c r="BD6" s="117">
        <f t="shared" si="2"/>
        <v>2.4885801000000001</v>
      </c>
      <c r="BE6" s="117">
        <f t="shared" si="7"/>
        <v>-2.4885801000000001</v>
      </c>
      <c r="BF6" s="117">
        <f t="shared" si="8"/>
        <v>-4.3094579999999993</v>
      </c>
      <c r="BG6" s="117"/>
      <c r="BK6" s="23">
        <f t="shared" si="9"/>
        <v>-0.10866724687055687</v>
      </c>
      <c r="BL6" s="23"/>
      <c r="BT6" s="23">
        <f t="shared" si="11"/>
        <v>-0.16398019510795767</v>
      </c>
      <c r="BV6" s="117">
        <f t="shared" si="4"/>
        <v>1.6570058999999999</v>
      </c>
      <c r="BX6" s="117">
        <f t="shared" si="5"/>
        <v>2.1244484999999997</v>
      </c>
      <c r="BY6" s="117">
        <f t="shared" si="12"/>
        <v>-2.1244484999999997</v>
      </c>
      <c r="BZ6" s="117"/>
      <c r="CA6" s="117"/>
      <c r="CB6" s="23">
        <f t="shared" si="13"/>
        <v>0.21640513046737314</v>
      </c>
      <c r="CC6" s="23"/>
      <c r="CD6" s="217">
        <f t="shared" si="14"/>
        <v>-1.6570058999999999</v>
      </c>
      <c r="CE6" s="26">
        <f t="shared" si="15"/>
        <v>0.26694528545758128</v>
      </c>
      <c r="CF6" s="26">
        <f t="shared" si="16"/>
        <v>8.3899971182579136E-3</v>
      </c>
      <c r="CG6" s="26">
        <f t="shared" si="17"/>
        <v>2.1361704064615142E-2</v>
      </c>
      <c r="CH6" s="26"/>
      <c r="CN6" s="34"/>
      <c r="CO6" s="75">
        <v>0</v>
      </c>
      <c r="CT6" s="34">
        <f t="shared" si="6"/>
        <v>1980</v>
      </c>
      <c r="CU6" s="34">
        <f t="shared" si="18"/>
        <v>-1980</v>
      </c>
      <c r="CW6" s="36">
        <f t="shared" si="19"/>
        <v>-0.11709618208595458</v>
      </c>
      <c r="CX6" s="36"/>
      <c r="DC6" s="23"/>
      <c r="DD6" s="26"/>
      <c r="DE6" s="23">
        <f t="shared" si="21"/>
        <v>-3.4021450395612746E-2</v>
      </c>
      <c r="DF6" s="23">
        <f t="shared" si="22"/>
        <v>5.0339982709547478E-3</v>
      </c>
    </row>
    <row r="7" spans="1:110" hidden="1" x14ac:dyDescent="0.25">
      <c r="A7" s="9" t="s">
        <v>3</v>
      </c>
      <c r="B7" s="9" t="s">
        <v>34</v>
      </c>
      <c r="C7" s="1">
        <f t="shared" si="0"/>
        <v>7</v>
      </c>
      <c r="D7" s="52">
        <v>0</v>
      </c>
      <c r="E7" s="8">
        <v>7</v>
      </c>
      <c r="F7" s="8">
        <v>0</v>
      </c>
      <c r="G7">
        <v>0</v>
      </c>
      <c r="H7" s="26">
        <v>-0.126</v>
      </c>
      <c r="I7" s="26"/>
      <c r="J7" s="26">
        <f>(0.6*CM7)+(0.4*DC7)</f>
        <v>-0.11985975372246466</v>
      </c>
      <c r="K7" s="67"/>
      <c r="L7" s="47"/>
      <c r="M7" s="47"/>
      <c r="N7" s="67"/>
      <c r="O7" s="67"/>
      <c r="P7" s="47"/>
      <c r="Q7" s="47"/>
      <c r="R7" s="67"/>
      <c r="S7" s="68"/>
      <c r="T7" s="68"/>
      <c r="U7" s="68"/>
      <c r="V7" s="67"/>
      <c r="W7" s="67"/>
      <c r="X7" s="67"/>
      <c r="Y7" s="214"/>
      <c r="Z7" s="214"/>
      <c r="AA7" s="214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23"/>
      <c r="AN7" s="23"/>
      <c r="AO7" s="23"/>
      <c r="AP7" s="23"/>
      <c r="AQ7" s="23"/>
      <c r="AS7" s="39"/>
      <c r="AU7" s="16"/>
      <c r="AV7">
        <v>3</v>
      </c>
      <c r="AW7">
        <v>3</v>
      </c>
      <c r="AX7">
        <f>AV7-AW7</f>
        <v>0</v>
      </c>
      <c r="AY7">
        <v>5</v>
      </c>
      <c r="BC7" s="117">
        <f t="shared" si="1"/>
        <v>0</v>
      </c>
      <c r="BD7" s="117">
        <f t="shared" si="2"/>
        <v>0</v>
      </c>
      <c r="BE7" s="117">
        <f t="shared" si="7"/>
        <v>0</v>
      </c>
      <c r="BF7" s="117">
        <f t="shared" si="8"/>
        <v>0</v>
      </c>
      <c r="BG7" s="117"/>
      <c r="BK7" s="23">
        <f t="shared" si="9"/>
        <v>4.0618975538582076E-2</v>
      </c>
      <c r="BL7" s="23"/>
      <c r="BN7" s="117">
        <v>4.9178389999999998</v>
      </c>
      <c r="BO7">
        <f t="shared" si="10"/>
        <v>-2</v>
      </c>
      <c r="BP7" s="117">
        <f>AW7-BN7</f>
        <v>-1.9178389999999998</v>
      </c>
      <c r="BQ7" s="23">
        <v>-0.24399999999999999</v>
      </c>
      <c r="BR7" s="23">
        <f>(BP7-BP$51)/BP$52</f>
        <v>-0.22827709367351295</v>
      </c>
      <c r="BT7" s="23">
        <f t="shared" si="11"/>
        <v>-4.8070153391404691E-2</v>
      </c>
      <c r="BV7" s="117">
        <f t="shared" si="4"/>
        <v>0</v>
      </c>
      <c r="BX7" s="117">
        <f t="shared" si="5"/>
        <v>0</v>
      </c>
      <c r="BY7" s="117">
        <f t="shared" si="12"/>
        <v>0</v>
      </c>
      <c r="BZ7" s="117"/>
      <c r="CA7" s="117"/>
      <c r="CB7" s="23">
        <f t="shared" si="13"/>
        <v>0.32561466638777348</v>
      </c>
      <c r="CC7" s="23"/>
      <c r="CD7" s="217">
        <f t="shared" si="14"/>
        <v>0</v>
      </c>
      <c r="CE7" s="26">
        <f t="shared" si="15"/>
        <v>0.35848194644806808</v>
      </c>
      <c r="CF7" s="26">
        <f t="shared" si="16"/>
        <v>0.11455068654438444</v>
      </c>
      <c r="CG7" s="26">
        <f t="shared" si="17"/>
        <v>0.15461725187825864</v>
      </c>
      <c r="CH7" s="26"/>
      <c r="CI7">
        <v>2</v>
      </c>
      <c r="CJ7">
        <f>BS7-CI7</f>
        <v>-2</v>
      </c>
      <c r="CK7" s="23">
        <v>-0.157</v>
      </c>
      <c r="CL7" s="23">
        <v>-0.20899999999999999</v>
      </c>
      <c r="CM7" s="23">
        <f>(0.6*BR7)+(0.4*CK7)</f>
        <v>-0.19976625620410776</v>
      </c>
      <c r="CN7" s="34">
        <v>0</v>
      </c>
      <c r="CO7" s="75">
        <v>0</v>
      </c>
      <c r="CP7">
        <v>803</v>
      </c>
      <c r="CT7" s="34">
        <f t="shared" si="6"/>
        <v>0</v>
      </c>
      <c r="CU7" s="34">
        <f t="shared" si="18"/>
        <v>0</v>
      </c>
      <c r="CW7" s="36">
        <f t="shared" si="19"/>
        <v>-9.205319912722762E-2</v>
      </c>
      <c r="CX7" s="36"/>
      <c r="CY7" s="34">
        <v>856.69269999999995</v>
      </c>
      <c r="CZ7">
        <f>CN7-CP7</f>
        <v>-803</v>
      </c>
      <c r="DA7" s="34"/>
      <c r="DB7" s="23">
        <v>0</v>
      </c>
      <c r="DC7" s="23"/>
      <c r="DD7" s="26"/>
      <c r="DE7" s="23">
        <f t="shared" si="21"/>
        <v>5.5949071476064136E-2</v>
      </c>
      <c r="DF7" s="23">
        <f t="shared" si="22"/>
        <v>6.8730411926630666E-2</v>
      </c>
    </row>
    <row r="8" spans="1:110" x14ac:dyDescent="0.25">
      <c r="A8" s="9" t="s">
        <v>3</v>
      </c>
      <c r="B8" s="9" t="s">
        <v>36</v>
      </c>
      <c r="C8" s="1">
        <f t="shared" si="0"/>
        <v>13</v>
      </c>
      <c r="D8" s="1">
        <v>16</v>
      </c>
      <c r="E8" s="8">
        <v>13</v>
      </c>
      <c r="F8" s="8">
        <v>0</v>
      </c>
      <c r="G8">
        <v>0</v>
      </c>
      <c r="H8" s="26">
        <v>-0.28399999999999997</v>
      </c>
      <c r="I8" s="26">
        <v>-0.45864179155714757</v>
      </c>
      <c r="J8" s="26">
        <f>(0.6*CM8)+(0.4*DC8)</f>
        <v>-0.29199553528112721</v>
      </c>
      <c r="K8" s="67"/>
      <c r="L8" s="47"/>
      <c r="M8" s="47"/>
      <c r="N8" s="67"/>
      <c r="O8" s="67"/>
      <c r="P8" s="47"/>
      <c r="Q8" s="47"/>
      <c r="R8" s="67"/>
      <c r="S8" s="68"/>
      <c r="T8" s="68"/>
      <c r="U8" s="68"/>
      <c r="V8" s="67"/>
      <c r="W8" s="67"/>
      <c r="X8" s="67"/>
      <c r="Y8" s="214"/>
      <c r="Z8" s="214"/>
      <c r="AA8" s="214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23"/>
      <c r="AN8" s="23"/>
      <c r="AO8" s="23"/>
      <c r="AP8" s="23"/>
      <c r="AQ8" s="23"/>
      <c r="AR8" s="39" t="s">
        <v>392</v>
      </c>
      <c r="AS8" s="78"/>
      <c r="AU8" s="26"/>
      <c r="AV8">
        <v>0</v>
      </c>
      <c r="AW8">
        <v>1</v>
      </c>
      <c r="AX8">
        <f>AV8-AW8</f>
        <v>-1</v>
      </c>
      <c r="AY8">
        <v>9</v>
      </c>
      <c r="AZ8">
        <v>0</v>
      </c>
      <c r="BA8">
        <v>0</v>
      </c>
      <c r="BB8">
        <v>0</v>
      </c>
      <c r="BC8" s="117">
        <f t="shared" si="1"/>
        <v>22.983775999999999</v>
      </c>
      <c r="BD8" s="117">
        <f t="shared" si="2"/>
        <v>13.272427199999999</v>
      </c>
      <c r="BE8" s="117">
        <f t="shared" si="7"/>
        <v>-13.272427199999999</v>
      </c>
      <c r="BF8" s="117">
        <f t="shared" si="8"/>
        <v>-22.983775999999999</v>
      </c>
      <c r="BG8" s="117">
        <f>D8*AZ$53</f>
        <v>15.374122367101304</v>
      </c>
      <c r="BH8">
        <v>16</v>
      </c>
      <c r="BI8" s="117">
        <f>AZ8-BG8</f>
        <v>-15.374122367101304</v>
      </c>
      <c r="BJ8">
        <f>AZ8-BH8</f>
        <v>-16</v>
      </c>
      <c r="BK8" s="23">
        <f t="shared" si="9"/>
        <v>-0.75557421064349239</v>
      </c>
      <c r="BL8" s="23">
        <f>(BI8-BI$50)/BI$51</f>
        <v>-0.72163682637628734</v>
      </c>
      <c r="BM8" s="23">
        <f>(BJ8-BJ$50)/BJ$51</f>
        <v>-0.73277136491768202</v>
      </c>
      <c r="BN8" s="117">
        <v>9.1331290000000003</v>
      </c>
      <c r="BO8">
        <f t="shared" si="10"/>
        <v>-9</v>
      </c>
      <c r="BP8" s="117">
        <f>AW8-BN8</f>
        <v>-8.1331290000000003</v>
      </c>
      <c r="BQ8" s="23">
        <v>-0.51700000000000002</v>
      </c>
      <c r="BR8" s="23">
        <f>(BP8-BP$51)/BP$52</f>
        <v>-0.50536719488254611</v>
      </c>
      <c r="BS8">
        <v>0</v>
      </c>
      <c r="BT8" s="23">
        <f t="shared" si="11"/>
        <v>-0.66625704254635376</v>
      </c>
      <c r="BU8">
        <v>0</v>
      </c>
      <c r="BV8" s="117">
        <f t="shared" si="4"/>
        <v>8.8373647999999996</v>
      </c>
      <c r="BW8">
        <v>0</v>
      </c>
      <c r="BX8" s="117">
        <f t="shared" si="5"/>
        <v>11.330392</v>
      </c>
      <c r="BY8" s="117">
        <f t="shared" si="12"/>
        <v>-11.330392</v>
      </c>
      <c r="BZ8" s="117">
        <f>D8*BU$53</f>
        <v>5.7131394182547641</v>
      </c>
      <c r="CA8" s="117">
        <f>BU8-BZ8</f>
        <v>-5.7131394182547641</v>
      </c>
      <c r="CB8" s="23">
        <f t="shared" si="13"/>
        <v>-0.25683619185436174</v>
      </c>
      <c r="CC8" s="23">
        <f>(CA8-CA$50)/CA$51</f>
        <v>-0.5198417389452622</v>
      </c>
      <c r="CD8" s="217">
        <f t="shared" si="14"/>
        <v>-8.8373647999999996</v>
      </c>
      <c r="CE8" s="26">
        <f t="shared" si="15"/>
        <v>-0.12971357883452819</v>
      </c>
      <c r="CF8" s="26">
        <f t="shared" si="16"/>
        <v>-0.45163965706162357</v>
      </c>
      <c r="CG8" s="26">
        <f t="shared" si="17"/>
        <v>-0.55607900312784009</v>
      </c>
      <c r="CH8" s="26">
        <f>(0.6*BL8)+(0.4*CC8)</f>
        <v>-0.64091879140387731</v>
      </c>
      <c r="CI8">
        <v>4</v>
      </c>
      <c r="CJ8">
        <f>BS8-CI8</f>
        <v>-4</v>
      </c>
      <c r="CK8" s="23">
        <v>-0.36499999999999999</v>
      </c>
      <c r="CL8" s="23">
        <v>-0.45600000000000002</v>
      </c>
      <c r="CM8" s="23">
        <f>(0.6*BR8)+(0.4*CK8)</f>
        <v>-0.44922031692952769</v>
      </c>
      <c r="CN8" s="34">
        <v>0</v>
      </c>
      <c r="CO8" s="75">
        <v>0</v>
      </c>
      <c r="CP8">
        <v>2333</v>
      </c>
      <c r="CQ8" s="34">
        <v>0</v>
      </c>
      <c r="CR8" s="34">
        <v>0</v>
      </c>
      <c r="CS8" s="34">
        <f>D8*CQ$52</f>
        <v>4626.6318956870609</v>
      </c>
      <c r="CT8" s="34">
        <f t="shared" si="6"/>
        <v>10560</v>
      </c>
      <c r="CU8" s="34">
        <f t="shared" si="18"/>
        <v>-10560</v>
      </c>
      <c r="CV8" s="34">
        <f>CQ8-CS8</f>
        <v>-4626.6318956870609</v>
      </c>
      <c r="CW8" s="36">
        <f t="shared" si="19"/>
        <v>-0.22561577490710472</v>
      </c>
      <c r="CX8" s="36">
        <f>(CV8-CV$50)/CV$51</f>
        <v>-0.15881747736328869</v>
      </c>
      <c r="CY8" s="34">
        <v>2576.4771999999998</v>
      </c>
      <c r="CZ8">
        <f>CN8-CP8</f>
        <v>-2333</v>
      </c>
      <c r="DA8" s="34">
        <f>CO8-CY8</f>
        <v>-2576.4771999999998</v>
      </c>
      <c r="DB8" s="23">
        <v>-2.7E-2</v>
      </c>
      <c r="DC8" s="23">
        <f>(DA8-DA$51)/DA$52</f>
        <v>-5.6158362808526423E-2</v>
      </c>
      <c r="DD8" s="26">
        <f>(0.6*CH8)+(0.4*CX8)</f>
        <v>-0.44807826578764187</v>
      </c>
      <c r="DE8" s="23">
        <f t="shared" si="21"/>
        <v>-0.42389371183954594</v>
      </c>
      <c r="DF8" s="23">
        <f t="shared" si="22"/>
        <v>-0.33451078518228961</v>
      </c>
    </row>
    <row r="9" spans="1:110" hidden="1" x14ac:dyDescent="0.25">
      <c r="A9" s="7" t="s">
        <v>3</v>
      </c>
      <c r="B9" s="7" t="s">
        <v>38</v>
      </c>
      <c r="C9" s="52">
        <f t="shared" si="0"/>
        <v>4</v>
      </c>
      <c r="D9" s="52">
        <v>0</v>
      </c>
      <c r="E9" s="8">
        <v>4</v>
      </c>
      <c r="F9" s="8">
        <v>0</v>
      </c>
      <c r="G9">
        <v>0</v>
      </c>
      <c r="H9" s="23"/>
      <c r="I9" s="26"/>
      <c r="J9" s="23"/>
      <c r="K9" s="67"/>
      <c r="L9" s="47"/>
      <c r="M9" s="47"/>
      <c r="N9" s="67"/>
      <c r="O9" s="67"/>
      <c r="P9" s="47"/>
      <c r="Q9" s="47"/>
      <c r="R9" s="67"/>
      <c r="S9" s="68"/>
      <c r="T9" s="68"/>
      <c r="U9" s="68"/>
      <c r="V9" s="67"/>
      <c r="W9" s="67"/>
      <c r="X9" s="67"/>
      <c r="Y9" s="214"/>
      <c r="Z9" s="214"/>
      <c r="AA9" s="214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23"/>
      <c r="AN9" s="23"/>
      <c r="AO9" s="23"/>
      <c r="AP9" s="23"/>
      <c r="AQ9" s="23"/>
      <c r="AU9" s="16"/>
      <c r="BC9" s="117">
        <f t="shared" si="1"/>
        <v>0</v>
      </c>
      <c r="BD9" s="117">
        <f t="shared" si="2"/>
        <v>0</v>
      </c>
      <c r="BE9" s="117">
        <f t="shared" si="7"/>
        <v>0</v>
      </c>
      <c r="BF9" s="117">
        <f t="shared" si="8"/>
        <v>0</v>
      </c>
      <c r="BG9" s="117"/>
      <c r="BK9" s="23">
        <f t="shared" si="9"/>
        <v>4.0618975538582076E-2</v>
      </c>
      <c r="BL9" s="23"/>
      <c r="BT9" s="23">
        <f t="shared" si="11"/>
        <v>-4.8070153391404691E-2</v>
      </c>
      <c r="BV9" s="117">
        <f t="shared" si="4"/>
        <v>0</v>
      </c>
      <c r="BX9" s="117">
        <f t="shared" si="5"/>
        <v>0</v>
      </c>
      <c r="BY9" s="117">
        <f t="shared" si="12"/>
        <v>0</v>
      </c>
      <c r="BZ9" s="117"/>
      <c r="CA9" s="117"/>
      <c r="CB9" s="23">
        <f t="shared" si="13"/>
        <v>0.32561466638777348</v>
      </c>
      <c r="CC9" s="23"/>
      <c r="CD9" s="217">
        <f t="shared" si="14"/>
        <v>0</v>
      </c>
      <c r="CE9" s="26">
        <f t="shared" si="15"/>
        <v>0.35848194644806808</v>
      </c>
      <c r="CF9" s="26">
        <f t="shared" si="16"/>
        <v>0.11455068654438444</v>
      </c>
      <c r="CG9" s="26">
        <f t="shared" si="17"/>
        <v>0.15461725187825864</v>
      </c>
      <c r="CH9" s="26"/>
      <c r="CN9" s="34"/>
      <c r="CO9" s="75">
        <v>0</v>
      </c>
      <c r="CT9" s="34">
        <f t="shared" si="6"/>
        <v>0</v>
      </c>
      <c r="CU9" s="34">
        <f t="shared" si="18"/>
        <v>0</v>
      </c>
      <c r="CW9" s="36">
        <f t="shared" si="19"/>
        <v>-9.205319912722762E-2</v>
      </c>
      <c r="CX9" s="36"/>
      <c r="DC9" s="23"/>
      <c r="DD9" s="26"/>
      <c r="DE9" s="23">
        <f t="shared" si="21"/>
        <v>5.5949071476064136E-2</v>
      </c>
      <c r="DF9" s="23">
        <f t="shared" si="22"/>
        <v>6.8730411926630666E-2</v>
      </c>
    </row>
    <row r="10" spans="1:110" x14ac:dyDescent="0.25">
      <c r="A10" s="9" t="s">
        <v>3</v>
      </c>
      <c r="B10" s="9" t="s">
        <v>39</v>
      </c>
      <c r="C10" s="1">
        <f t="shared" si="0"/>
        <v>14</v>
      </c>
      <c r="D10" s="1">
        <v>12</v>
      </c>
      <c r="E10" s="8">
        <v>14</v>
      </c>
      <c r="F10" s="8">
        <v>0</v>
      </c>
      <c r="G10">
        <v>0</v>
      </c>
      <c r="H10" s="26">
        <v>-0.11</v>
      </c>
      <c r="I10" s="26">
        <v>-0.12638651338147677</v>
      </c>
      <c r="J10" s="26">
        <f>(0.6*CM10)+(0.4*DC10)</f>
        <v>-0.11136156149124897</v>
      </c>
      <c r="K10" s="67"/>
      <c r="L10" s="47"/>
      <c r="M10" s="47"/>
      <c r="N10" s="67"/>
      <c r="O10" s="67"/>
      <c r="P10" s="47"/>
      <c r="Q10" s="47"/>
      <c r="R10" s="67"/>
      <c r="S10" s="68"/>
      <c r="T10" s="68"/>
      <c r="U10" s="68"/>
      <c r="V10" s="67"/>
      <c r="W10" s="67"/>
      <c r="X10" s="67"/>
      <c r="Y10" s="214"/>
      <c r="Z10" s="214"/>
      <c r="AA10" s="214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23"/>
      <c r="AN10" s="23"/>
      <c r="AO10" s="23"/>
      <c r="AP10" s="23"/>
      <c r="AQ10" s="23"/>
      <c r="AR10" s="288" t="s">
        <v>454</v>
      </c>
      <c r="AU10" s="16"/>
      <c r="AV10">
        <v>10</v>
      </c>
      <c r="AW10">
        <v>10</v>
      </c>
      <c r="AX10">
        <f>AV10-AW10</f>
        <v>0</v>
      </c>
      <c r="AY10">
        <v>10</v>
      </c>
      <c r="AZ10">
        <v>9</v>
      </c>
      <c r="BA10">
        <v>13</v>
      </c>
      <c r="BB10">
        <v>6</v>
      </c>
      <c r="BC10" s="117">
        <f t="shared" si="1"/>
        <v>17.237831999999997</v>
      </c>
      <c r="BD10" s="117">
        <f t="shared" si="2"/>
        <v>9.9543204000000003</v>
      </c>
      <c r="BE10" s="117">
        <f t="shared" si="7"/>
        <v>-3.9543204000000003</v>
      </c>
      <c r="BF10" s="117">
        <f t="shared" si="8"/>
        <v>-4.2378319999999974</v>
      </c>
      <c r="BG10" s="117">
        <f>D10*AZ$53</f>
        <v>11.530591775325977</v>
      </c>
      <c r="BH10">
        <v>12</v>
      </c>
      <c r="BI10" s="117">
        <f>AZ10-BG10</f>
        <v>-2.530591775325977</v>
      </c>
      <c r="BJ10">
        <f>AZ10-BH10</f>
        <v>-3</v>
      </c>
      <c r="BK10" s="23">
        <f t="shared" si="9"/>
        <v>-0.10618601257931252</v>
      </c>
      <c r="BL10" s="23">
        <f>(BI10-BI$50)/BI$51</f>
        <v>-0.1187819489135812</v>
      </c>
      <c r="BM10" s="23">
        <f>(BJ10-BJ$50)/BJ$51</f>
        <v>-0.12082097451533515</v>
      </c>
      <c r="BN10" s="117">
        <v>9.8356770000000004</v>
      </c>
      <c r="BO10">
        <f t="shared" si="10"/>
        <v>0</v>
      </c>
      <c r="BP10" s="117">
        <f>AW10-BN10</f>
        <v>0.16432299999999955</v>
      </c>
      <c r="BQ10" s="23">
        <v>-0.16600000000000001</v>
      </c>
      <c r="BR10" s="23">
        <f>(BP10-BP$51)/BP$52</f>
        <v>-0.13545013317551488</v>
      </c>
      <c r="BS10">
        <v>4</v>
      </c>
      <c r="BT10" s="23">
        <f t="shared" si="11"/>
        <v>-0.23224965499740743</v>
      </c>
      <c r="BU10">
        <v>3</v>
      </c>
      <c r="BV10" s="117">
        <f t="shared" si="4"/>
        <v>6.6280235999999997</v>
      </c>
      <c r="BW10">
        <v>4</v>
      </c>
      <c r="BX10" s="117">
        <f t="shared" si="5"/>
        <v>8.497793999999999</v>
      </c>
      <c r="BY10" s="117">
        <f t="shared" si="12"/>
        <v>-4.497793999999999</v>
      </c>
      <c r="BZ10" s="117">
        <f>D10*BU$53</f>
        <v>4.2848545636910735</v>
      </c>
      <c r="CA10" s="117">
        <f>BU10-BZ10</f>
        <v>-1.2848545636910735</v>
      </c>
      <c r="CB10" s="23">
        <f t="shared" si="13"/>
        <v>9.4400779392837586E-2</v>
      </c>
      <c r="CC10" s="23">
        <f>(CA10-CA$50)/CA$51</f>
        <v>-0.11690963265254233</v>
      </c>
      <c r="CD10" s="217">
        <f t="shared" si="14"/>
        <v>-3.6280235999999997</v>
      </c>
      <c r="CE10" s="26">
        <f t="shared" si="15"/>
        <v>0.15806191997822538</v>
      </c>
      <c r="CF10" s="26">
        <f t="shared" si="16"/>
        <v>-7.6125025007154304E-2</v>
      </c>
      <c r="CG10" s="26">
        <f t="shared" si="17"/>
        <v>-2.5951295790452467E-2</v>
      </c>
      <c r="CH10" s="26">
        <f>(0.6*BL10)+(0.4*CC10)</f>
        <v>-0.11803302240916565</v>
      </c>
      <c r="CI10">
        <v>4</v>
      </c>
      <c r="CJ10">
        <f>BS10-CI10</f>
        <v>0</v>
      </c>
      <c r="CK10" s="23">
        <v>-0.157</v>
      </c>
      <c r="CL10" s="23">
        <v>-0.16200000000000001</v>
      </c>
      <c r="CM10" s="23">
        <f>(0.6*BR10)+(0.4*CK10)</f>
        <v>-0.14407007990530893</v>
      </c>
      <c r="CN10" s="34">
        <v>0</v>
      </c>
      <c r="CO10" s="75">
        <v>0</v>
      </c>
      <c r="CP10">
        <v>2651</v>
      </c>
      <c r="CQ10" s="34">
        <v>0</v>
      </c>
      <c r="CR10" s="34">
        <v>0</v>
      </c>
      <c r="CS10" s="34">
        <f>D10*CQ$52</f>
        <v>3469.9739217652959</v>
      </c>
      <c r="CT10" s="34">
        <f t="shared" si="6"/>
        <v>7920</v>
      </c>
      <c r="CU10" s="34">
        <f t="shared" si="18"/>
        <v>-7920</v>
      </c>
      <c r="CV10" s="34">
        <f>CQ10-CS10</f>
        <v>-3469.9739217652959</v>
      </c>
      <c r="CW10" s="36">
        <f t="shared" si="19"/>
        <v>-0.19222513096213548</v>
      </c>
      <c r="CX10" s="36">
        <f>(CV10-CV$50)/CV$51</f>
        <v>-0.11911310802246652</v>
      </c>
      <c r="CY10" s="34">
        <v>2935.0459999999998</v>
      </c>
      <c r="CZ10">
        <f>CN10-CP10</f>
        <v>-2651</v>
      </c>
      <c r="DA10" s="34">
        <f>CO10-CY10</f>
        <v>-2935.0459999999998</v>
      </c>
      <c r="DB10" s="23">
        <v>-3.2000000000000001E-2</v>
      </c>
      <c r="DC10" s="23">
        <f>(DA10-DA$51)/DA$52</f>
        <v>-6.2298783870159025E-2</v>
      </c>
      <c r="DD10" s="26">
        <f>(0.6*CH10)+(0.4*CX10)</f>
        <v>-0.11846505665448599</v>
      </c>
      <c r="DE10" s="23">
        <f t="shared" si="21"/>
        <v>-9.2460829859125668E-2</v>
      </c>
      <c r="DF10" s="23">
        <f t="shared" si="22"/>
        <v>-9.3320258213279189E-2</v>
      </c>
    </row>
    <row r="11" spans="1:110" x14ac:dyDescent="0.25">
      <c r="A11" s="9" t="s">
        <v>3</v>
      </c>
      <c r="B11" s="9" t="s">
        <v>40</v>
      </c>
      <c r="C11" s="1">
        <f t="shared" si="0"/>
        <v>22</v>
      </c>
      <c r="D11" s="1">
        <v>16</v>
      </c>
      <c r="E11" s="8">
        <v>21</v>
      </c>
      <c r="F11" s="8">
        <v>1</v>
      </c>
      <c r="G11">
        <v>0</v>
      </c>
      <c r="H11" s="26">
        <v>-0.16500000000000001</v>
      </c>
      <c r="I11" s="26">
        <v>-0.15577466036044246</v>
      </c>
      <c r="J11" s="26">
        <f>(0.6*CM11)+(0.4*DC11)</f>
        <v>-0.20471751158530282</v>
      </c>
      <c r="K11" s="67"/>
      <c r="L11" s="47"/>
      <c r="M11" s="47"/>
      <c r="N11" s="67"/>
      <c r="O11" s="67"/>
      <c r="P11" s="47"/>
      <c r="Q11" s="47"/>
      <c r="R11" s="67"/>
      <c r="S11" s="68"/>
      <c r="T11" s="68"/>
      <c r="U11" s="68"/>
      <c r="V11" s="67"/>
      <c r="W11" s="67"/>
      <c r="X11" s="67"/>
      <c r="Y11" s="214"/>
      <c r="Z11" s="214"/>
      <c r="AA11" s="214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23"/>
      <c r="AN11" s="23"/>
      <c r="AO11" s="23"/>
      <c r="AP11" s="23"/>
      <c r="AQ11" s="23"/>
      <c r="AR11" s="138">
        <v>382486.44093909382</v>
      </c>
      <c r="AU11" s="16"/>
      <c r="AV11">
        <v>2</v>
      </c>
      <c r="AW11">
        <v>2</v>
      </c>
      <c r="AX11">
        <f>AV11-AW11</f>
        <v>0</v>
      </c>
      <c r="AY11">
        <v>15</v>
      </c>
      <c r="AZ11">
        <v>5</v>
      </c>
      <c r="BA11">
        <v>6</v>
      </c>
      <c r="BB11">
        <v>5</v>
      </c>
      <c r="BC11" s="117">
        <f t="shared" si="1"/>
        <v>22.983775999999999</v>
      </c>
      <c r="BD11" s="117">
        <f t="shared" si="2"/>
        <v>13.272427199999999</v>
      </c>
      <c r="BE11" s="117">
        <f t="shared" si="7"/>
        <v>-8.2724271999999992</v>
      </c>
      <c r="BF11" s="117">
        <f t="shared" si="8"/>
        <v>-16.983775999999999</v>
      </c>
      <c r="BG11" s="117">
        <f>D11*AZ$53</f>
        <v>15.374122367101304</v>
      </c>
      <c r="BH11">
        <v>16</v>
      </c>
      <c r="BI11" s="117">
        <f>AZ11-BG11</f>
        <v>-10.374122367101304</v>
      </c>
      <c r="BJ11">
        <f>AZ11-BH11</f>
        <v>-11</v>
      </c>
      <c r="BK11" s="23">
        <f t="shared" si="9"/>
        <v>-0.54772502532718725</v>
      </c>
      <c r="BL11" s="23">
        <f>(BI11-BI$50)/BI$51</f>
        <v>-0.48694478700482385</v>
      </c>
      <c r="BM11" s="23">
        <f>(BJ11-BJ$50)/BJ$51</f>
        <v>-0.49740583014754863</v>
      </c>
      <c r="BN11" s="117">
        <v>15.456064</v>
      </c>
      <c r="BO11">
        <f t="shared" si="10"/>
        <v>-13</v>
      </c>
      <c r="BP11" s="117">
        <f>AW11-BN11</f>
        <v>-13.456064</v>
      </c>
      <c r="BQ11" s="23">
        <v>-0.67200000000000004</v>
      </c>
      <c r="BR11" s="23">
        <f>(BP11-BP$51)/BP$52</f>
        <v>-0.7426743193898665</v>
      </c>
      <c r="BS11">
        <v>7</v>
      </c>
      <c r="BT11" s="23">
        <f t="shared" si="11"/>
        <v>-0.43337315482951283</v>
      </c>
      <c r="BU11">
        <v>10</v>
      </c>
      <c r="BV11" s="117">
        <f t="shared" si="4"/>
        <v>8.8373647999999996</v>
      </c>
      <c r="BW11">
        <v>14</v>
      </c>
      <c r="BX11" s="117">
        <f t="shared" si="5"/>
        <v>11.330392</v>
      </c>
      <c r="BY11" s="117">
        <f t="shared" si="12"/>
        <v>2.6696080000000002</v>
      </c>
      <c r="BZ11" s="117">
        <f>D11*BU$53</f>
        <v>5.7131394182547641</v>
      </c>
      <c r="CA11" s="117">
        <f>BU11-BZ11</f>
        <v>4.2868605817452359</v>
      </c>
      <c r="CB11" s="25">
        <f t="shared" si="13"/>
        <v>0.46284870654896737</v>
      </c>
      <c r="CC11" s="26">
        <f>(CA11-CA$50)/CA$51</f>
        <v>0.39006383290941904</v>
      </c>
      <c r="CD11" s="217">
        <f t="shared" si="14"/>
        <v>1.1626352000000004</v>
      </c>
      <c r="CE11" s="26">
        <f t="shared" si="15"/>
        <v>0.42270847947248691</v>
      </c>
      <c r="CF11" s="26">
        <f t="shared" si="16"/>
        <v>-9.0940501108712879E-2</v>
      </c>
      <c r="CG11" s="26">
        <f t="shared" si="17"/>
        <v>-0.14349553257672537</v>
      </c>
      <c r="CH11" s="26">
        <f>(0.6*BL11)+(0.4*CC11)</f>
        <v>-0.13614133903912665</v>
      </c>
      <c r="CI11">
        <v>7</v>
      </c>
      <c r="CJ11">
        <f>BS11-CI11</f>
        <v>0</v>
      </c>
      <c r="CK11" s="23">
        <v>0.46500000000000002</v>
      </c>
      <c r="CL11" s="23">
        <v>-0.217</v>
      </c>
      <c r="CM11" s="23">
        <f>(0.6*BR11)+(0.4*CK11)</f>
        <v>-0.25960459163391991</v>
      </c>
      <c r="CN11" s="34">
        <v>0</v>
      </c>
      <c r="CO11" s="75">
        <v>0</v>
      </c>
      <c r="CP11">
        <v>5775</v>
      </c>
      <c r="CQ11" s="34">
        <v>0</v>
      </c>
      <c r="CR11" s="34">
        <v>0</v>
      </c>
      <c r="CS11" s="34">
        <f>D11*CQ$52</f>
        <v>4626.6318956870609</v>
      </c>
      <c r="CT11" s="34">
        <f t="shared" si="6"/>
        <v>10560</v>
      </c>
      <c r="CU11" s="34">
        <f t="shared" si="18"/>
        <v>-10560</v>
      </c>
      <c r="CV11" s="34">
        <f>CQ11-CS11</f>
        <v>-4626.6318956870609</v>
      </c>
      <c r="CW11" s="36">
        <f t="shared" si="19"/>
        <v>-0.22561577490710472</v>
      </c>
      <c r="CX11" s="36">
        <f>(CV11-CV$50)/CV$51</f>
        <v>-0.15881747736328869</v>
      </c>
      <c r="CY11" s="34">
        <v>6443.8804</v>
      </c>
      <c r="CZ11">
        <f>CN11-CP11</f>
        <v>-5775</v>
      </c>
      <c r="DA11" s="34">
        <f>CO11-CY11</f>
        <v>-6443.8804</v>
      </c>
      <c r="DB11" s="23">
        <v>-8.5999999999999993E-2</v>
      </c>
      <c r="DC11" s="23">
        <f>(DA11-DA$51)/DA$52</f>
        <v>-0.12238689151237722</v>
      </c>
      <c r="DD11" s="26">
        <f>(0.6*CH11)+(0.4*CX11)</f>
        <v>-0.14521179436879147</v>
      </c>
      <c r="DE11" s="23">
        <f t="shared" si="21"/>
        <v>-0.17634362950887711</v>
      </c>
      <c r="DF11" s="23">
        <f t="shared" si="22"/>
        <v>-0.11809129161054321</v>
      </c>
    </row>
    <row r="12" spans="1:110" hidden="1" x14ac:dyDescent="0.25">
      <c r="A12" s="9" t="s">
        <v>43</v>
      </c>
      <c r="B12" s="9" t="s">
        <v>45</v>
      </c>
      <c r="C12" s="32">
        <f t="shared" si="0"/>
        <v>13</v>
      </c>
      <c r="D12" s="32">
        <v>0</v>
      </c>
      <c r="E12">
        <v>0</v>
      </c>
      <c r="F12">
        <v>0</v>
      </c>
      <c r="G12">
        <v>13</v>
      </c>
      <c r="H12" s="23"/>
      <c r="I12" s="26"/>
      <c r="J12" s="23"/>
      <c r="K12" s="67"/>
      <c r="L12" s="47"/>
      <c r="M12" s="47"/>
      <c r="N12" s="67"/>
      <c r="O12" s="67"/>
      <c r="P12" s="47"/>
      <c r="Q12" s="47"/>
      <c r="R12" s="67"/>
      <c r="S12" s="68"/>
      <c r="T12" s="68"/>
      <c r="U12" s="68"/>
      <c r="V12" s="67"/>
      <c r="W12" s="67"/>
      <c r="X12" s="67"/>
      <c r="Y12" s="214"/>
      <c r="Z12" s="214"/>
      <c r="AA12" s="214"/>
      <c r="AB12" s="155" t="e">
        <f>(0.6*AE12)+(0.4*#REF!)</f>
        <v>#REF!</v>
      </c>
      <c r="AC12" s="58">
        <v>8.06</v>
      </c>
      <c r="AD12" s="289">
        <f>AC12/(G12+G13)</f>
        <v>0.40300000000000002</v>
      </c>
      <c r="AE12" s="289">
        <f>AD12/AD51</f>
        <v>0.25974679784193949</v>
      </c>
      <c r="AF12" s="208" t="e">
        <f>AG12*#REF!</f>
        <v>#REF!</v>
      </c>
      <c r="AG12" s="58" t="e">
        <f>AH12*(G12+G13)</f>
        <v>#REF!</v>
      </c>
      <c r="AH12" s="58" t="e">
        <f>AB12/AY2</f>
        <v>#REF!</v>
      </c>
      <c r="AI12" s="58"/>
      <c r="AJ12" s="58"/>
      <c r="AK12" s="58"/>
      <c r="AL12" s="58"/>
      <c r="AM12" s="23"/>
      <c r="AN12" s="23"/>
      <c r="AO12" s="23"/>
      <c r="AP12" s="23"/>
      <c r="AQ12" s="23"/>
      <c r="AU12" s="16"/>
      <c r="BC12" s="117">
        <f t="shared" si="1"/>
        <v>0</v>
      </c>
      <c r="BD12" s="117">
        <f t="shared" si="2"/>
        <v>0</v>
      </c>
      <c r="BE12" s="117">
        <f t="shared" si="7"/>
        <v>0</v>
      </c>
      <c r="BF12" s="117">
        <f t="shared" si="8"/>
        <v>0</v>
      </c>
      <c r="BG12" s="117"/>
      <c r="BK12" s="23">
        <f t="shared" si="9"/>
        <v>4.0618975538582076E-2</v>
      </c>
      <c r="BL12" s="23"/>
      <c r="BT12" s="23">
        <f t="shared" si="11"/>
        <v>-4.8070153391404691E-2</v>
      </c>
      <c r="BV12" s="117">
        <f t="shared" si="4"/>
        <v>0</v>
      </c>
      <c r="BX12" s="117">
        <f t="shared" si="5"/>
        <v>0</v>
      </c>
      <c r="BY12" s="117">
        <f t="shared" si="12"/>
        <v>0</v>
      </c>
      <c r="BZ12" s="117"/>
      <c r="CA12" s="117"/>
      <c r="CB12" s="23">
        <f t="shared" si="13"/>
        <v>0.32561466638777348</v>
      </c>
      <c r="CC12" s="23"/>
      <c r="CD12" s="217">
        <f t="shared" si="14"/>
        <v>0</v>
      </c>
      <c r="CE12" s="26">
        <f t="shared" si="15"/>
        <v>0.35848194644806808</v>
      </c>
      <c r="CF12" s="26">
        <f t="shared" si="16"/>
        <v>0.11455068654438444</v>
      </c>
      <c r="CG12" s="26">
        <f t="shared" si="17"/>
        <v>0.15461725187825864</v>
      </c>
      <c r="CH12" s="26"/>
      <c r="CN12" s="34"/>
      <c r="CO12" s="75">
        <v>0</v>
      </c>
      <c r="CT12" s="34">
        <f t="shared" si="6"/>
        <v>0</v>
      </c>
      <c r="CU12" s="34">
        <f t="shared" si="18"/>
        <v>0</v>
      </c>
      <c r="CW12" s="36">
        <f t="shared" si="19"/>
        <v>-9.205319912722762E-2</v>
      </c>
      <c r="CX12" s="36"/>
      <c r="DC12" s="23"/>
      <c r="DD12" s="26"/>
      <c r="DE12" s="23">
        <f t="shared" si="21"/>
        <v>5.5949071476064136E-2</v>
      </c>
      <c r="DF12" s="23">
        <f t="shared" si="22"/>
        <v>6.8730411926630666E-2</v>
      </c>
    </row>
    <row r="13" spans="1:110" x14ac:dyDescent="0.25">
      <c r="A13" s="9" t="s">
        <v>43</v>
      </c>
      <c r="B13" s="9" t="s">
        <v>47</v>
      </c>
      <c r="C13" s="10">
        <v>9</v>
      </c>
      <c r="D13" s="10">
        <v>10</v>
      </c>
      <c r="E13">
        <v>9</v>
      </c>
      <c r="F13">
        <v>0</v>
      </c>
      <c r="G13">
        <v>7</v>
      </c>
      <c r="H13" s="26">
        <v>8.5000000000000006E-2</v>
      </c>
      <c r="I13" s="26">
        <v>6.8206014873425425E-2</v>
      </c>
      <c r="J13" s="26">
        <f>(0.6*CM13)+(0.4*DC13)</f>
        <v>0.10750655927904355</v>
      </c>
      <c r="K13" s="67"/>
      <c r="L13" s="47"/>
      <c r="M13" s="67"/>
      <c r="N13" s="67"/>
      <c r="O13" s="67"/>
      <c r="P13" s="47"/>
      <c r="Q13" s="47"/>
      <c r="R13" s="67"/>
      <c r="S13" s="68"/>
      <c r="T13" s="68"/>
      <c r="U13" s="68"/>
      <c r="V13" s="67"/>
      <c r="W13" s="67"/>
      <c r="X13" s="67"/>
      <c r="Y13" s="58"/>
      <c r="Z13" s="214"/>
      <c r="AA13" s="214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23"/>
      <c r="AN13" s="23"/>
      <c r="AO13" s="23"/>
      <c r="AP13" s="23"/>
      <c r="AQ13" s="23"/>
      <c r="AU13" s="16"/>
      <c r="AV13">
        <v>21</v>
      </c>
      <c r="AW13">
        <v>21</v>
      </c>
      <c r="AX13">
        <f>AV13-AW13</f>
        <v>0</v>
      </c>
      <c r="AY13">
        <v>6</v>
      </c>
      <c r="AZ13">
        <v>21</v>
      </c>
      <c r="BA13">
        <v>21</v>
      </c>
      <c r="BB13">
        <v>7</v>
      </c>
      <c r="BC13" s="117">
        <f t="shared" si="1"/>
        <v>14.36486</v>
      </c>
      <c r="BD13" s="117">
        <f t="shared" si="2"/>
        <v>8.2952669999999991</v>
      </c>
      <c r="BE13" s="117">
        <f t="shared" si="7"/>
        <v>-1.2952669999999991</v>
      </c>
      <c r="BF13" s="117">
        <f t="shared" si="8"/>
        <v>6.6351399999999998</v>
      </c>
      <c r="BG13" s="117">
        <f>D13*AZ$53</f>
        <v>9.6088264794383154</v>
      </c>
      <c r="BH13">
        <v>10</v>
      </c>
      <c r="BI13" s="117">
        <f>AZ13-BG13</f>
        <v>11.391173520561685</v>
      </c>
      <c r="BJ13">
        <f>AZ13-BH13</f>
        <v>11</v>
      </c>
      <c r="BK13" s="26">
        <f t="shared" si="9"/>
        <v>0.27047038278185359</v>
      </c>
      <c r="BL13" s="25">
        <f>(BI13-BI$50)/BI$51</f>
        <v>0.53468354887496705</v>
      </c>
      <c r="BM13" s="25">
        <f>(BJ13-BJ$50)/BJ$51</f>
        <v>0.53820252284103842</v>
      </c>
      <c r="BN13" s="117">
        <v>6.3229350000000002</v>
      </c>
      <c r="BO13">
        <f t="shared" si="10"/>
        <v>15</v>
      </c>
      <c r="BP13" s="117">
        <f>AW13-BN13</f>
        <v>14.677064999999999</v>
      </c>
      <c r="BQ13" s="23">
        <v>0.41799999999999998</v>
      </c>
      <c r="BR13" s="23">
        <f>(BP13-BP$51)/BP$52</f>
        <v>0.51155702974054929</v>
      </c>
      <c r="BS13">
        <v>0</v>
      </c>
      <c r="BT13" s="23">
        <f t="shared" si="11"/>
        <v>-0.10839951630967054</v>
      </c>
      <c r="BU13">
        <v>0</v>
      </c>
      <c r="BV13" s="117">
        <f t="shared" si="4"/>
        <v>5.5233530000000002</v>
      </c>
      <c r="BW13">
        <v>0</v>
      </c>
      <c r="BX13" s="117">
        <f t="shared" si="5"/>
        <v>7.0814950000000003</v>
      </c>
      <c r="BY13" s="117">
        <f t="shared" si="12"/>
        <v>-7.0814950000000003</v>
      </c>
      <c r="BZ13" s="117">
        <f>D13*BU$53</f>
        <v>3.5707121364092274</v>
      </c>
      <c r="CA13" s="117">
        <f>BU13-BZ13</f>
        <v>-3.5707121364092274</v>
      </c>
      <c r="CB13" s="23">
        <f t="shared" si="13"/>
        <v>-3.8417120013561054E-2</v>
      </c>
      <c r="CC13" s="23">
        <f>(CA13-CA$50)/CA$51</f>
        <v>-0.32490108684078889</v>
      </c>
      <c r="CD13" s="217">
        <f t="shared" si="14"/>
        <v>-5.5233530000000002</v>
      </c>
      <c r="CE13" s="26">
        <f t="shared" si="15"/>
        <v>5.3359743146445378E-2</v>
      </c>
      <c r="CF13" s="26">
        <f t="shared" si="16"/>
        <v>-4.3695812527224175E-2</v>
      </c>
      <c r="CG13" s="26">
        <f t="shared" si="17"/>
        <v>0.14691538166368773</v>
      </c>
      <c r="CH13" s="26">
        <f>(0.6*BL13)+(0.4*CC13)</f>
        <v>0.19084969458866466</v>
      </c>
      <c r="CI13">
        <v>3</v>
      </c>
      <c r="CJ13">
        <f>BS13-CI13</f>
        <v>-3</v>
      </c>
      <c r="CK13" s="23">
        <v>-0.26100000000000001</v>
      </c>
      <c r="CL13" s="23">
        <v>0.14699999999999999</v>
      </c>
      <c r="CM13" s="23">
        <f>(0.6*BR13)+(0.4*CK13)</f>
        <v>0.20253421784432957</v>
      </c>
      <c r="CN13" s="34">
        <v>0</v>
      </c>
      <c r="CO13" s="75">
        <v>0</v>
      </c>
      <c r="CP13">
        <v>1238</v>
      </c>
      <c r="CQ13" s="34">
        <v>0</v>
      </c>
      <c r="CR13" s="34">
        <v>0</v>
      </c>
      <c r="CS13" s="34">
        <f>D13*CQ$52</f>
        <v>2891.644934804413</v>
      </c>
      <c r="CT13" s="34">
        <f t="shared" si="6"/>
        <v>6600</v>
      </c>
      <c r="CU13" s="34">
        <f t="shared" si="18"/>
        <v>-6600</v>
      </c>
      <c r="CV13" s="34">
        <f>CQ13-CS13</f>
        <v>-2891.644934804413</v>
      </c>
      <c r="CW13" s="36">
        <f t="shared" si="19"/>
        <v>-0.17552980898965082</v>
      </c>
      <c r="CX13" s="36">
        <f>(CV13-CV$50)/CV$51</f>
        <v>-9.9260923352055441E-2</v>
      </c>
      <c r="CY13" s="34">
        <v>1342.9780000000001</v>
      </c>
      <c r="CZ13">
        <f>CN13-CP13</f>
        <v>-1238</v>
      </c>
      <c r="DA13" s="34">
        <f>CO13-CY13</f>
        <v>-1342.9780000000001</v>
      </c>
      <c r="DB13" s="23">
        <v>-8.0000000000000002E-3</v>
      </c>
      <c r="DC13" s="23">
        <f>(DA13-DA$51)/DA$52</f>
        <v>-3.5034928568885473E-2</v>
      </c>
      <c r="DD13" s="26">
        <f>(0.6*CH13)+(0.4*CX13)</f>
        <v>7.4805447412376616E-2</v>
      </c>
      <c r="DE13" s="23">
        <f t="shared" si="21"/>
        <v>1.7937305402352305E-2</v>
      </c>
      <c r="DF13" s="23">
        <f t="shared" si="22"/>
        <v>-6.592185685715668E-2</v>
      </c>
    </row>
    <row r="14" spans="1:110" hidden="1" x14ac:dyDescent="0.25">
      <c r="A14" s="7" t="s">
        <v>43</v>
      </c>
      <c r="B14" s="7" t="s">
        <v>48</v>
      </c>
      <c r="C14" s="10">
        <f t="shared" si="0"/>
        <v>5</v>
      </c>
      <c r="D14" s="32">
        <v>3</v>
      </c>
      <c r="E14">
        <v>5</v>
      </c>
      <c r="F14">
        <v>0</v>
      </c>
      <c r="G14">
        <v>0</v>
      </c>
      <c r="H14" s="26">
        <v>-0.123</v>
      </c>
      <c r="I14" s="26">
        <v>0</v>
      </c>
      <c r="J14" s="26">
        <f>(0.6*CM14)+(0.4*DC14)</f>
        <v>-0.13742186876678442</v>
      </c>
      <c r="K14" s="67"/>
      <c r="L14" s="47"/>
      <c r="M14" s="47"/>
      <c r="N14" s="67"/>
      <c r="O14" s="67"/>
      <c r="P14" s="47"/>
      <c r="Q14" s="47"/>
      <c r="R14" s="67"/>
      <c r="S14" s="68"/>
      <c r="T14" s="68"/>
      <c r="U14" s="68"/>
      <c r="V14" s="67"/>
      <c r="W14" s="67"/>
      <c r="X14" s="67"/>
      <c r="Y14" s="214"/>
      <c r="Z14" s="214"/>
      <c r="AA14" s="214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23"/>
      <c r="AN14" s="23"/>
      <c r="AO14" s="23"/>
      <c r="AP14" s="23"/>
      <c r="AQ14" s="23"/>
      <c r="AU14" s="16"/>
      <c r="AV14">
        <v>1</v>
      </c>
      <c r="AW14">
        <v>1</v>
      </c>
      <c r="AX14">
        <f>AV14-AW14</f>
        <v>0</v>
      </c>
      <c r="AY14">
        <v>3</v>
      </c>
      <c r="BC14" s="117">
        <f t="shared" si="1"/>
        <v>4.3094579999999993</v>
      </c>
      <c r="BD14" s="117">
        <f t="shared" si="2"/>
        <v>2.4885801000000001</v>
      </c>
      <c r="BE14" s="117">
        <f t="shared" si="7"/>
        <v>-2.4885801000000001</v>
      </c>
      <c r="BF14" s="117">
        <f t="shared" si="8"/>
        <v>-4.3094579999999993</v>
      </c>
      <c r="BG14" s="117"/>
      <c r="BK14" s="23">
        <f t="shared" si="9"/>
        <v>-0.10866724687055687</v>
      </c>
      <c r="BL14" s="23"/>
      <c r="BN14" s="117">
        <v>3.5127419999999998</v>
      </c>
      <c r="BO14">
        <f t="shared" si="10"/>
        <v>-2</v>
      </c>
      <c r="BP14" s="117">
        <f>AW14-BN14</f>
        <v>-2.5127419999999998</v>
      </c>
      <c r="BQ14" s="23">
        <v>-0.24399999999999999</v>
      </c>
      <c r="BR14" s="23">
        <f>(BP14-BP$51)/BP$52</f>
        <v>-0.25479906328065233</v>
      </c>
      <c r="BS14">
        <v>0</v>
      </c>
      <c r="BT14" s="23">
        <f t="shared" si="11"/>
        <v>-0.16398019510795767</v>
      </c>
      <c r="BV14" s="117">
        <f t="shared" si="4"/>
        <v>1.6570058999999999</v>
      </c>
      <c r="BX14" s="117">
        <f t="shared" si="5"/>
        <v>2.1244484999999997</v>
      </c>
      <c r="BY14" s="117">
        <f t="shared" si="12"/>
        <v>-2.1244484999999997</v>
      </c>
      <c r="BZ14" s="117"/>
      <c r="CA14" s="117"/>
      <c r="CB14" s="23">
        <f t="shared" si="13"/>
        <v>0.21640513046737314</v>
      </c>
      <c r="CC14" s="23"/>
      <c r="CD14" s="217">
        <f t="shared" si="14"/>
        <v>-1.6570058999999999</v>
      </c>
      <c r="CE14" s="26">
        <f t="shared" si="15"/>
        <v>0.26694528545758128</v>
      </c>
      <c r="CF14" s="26">
        <f t="shared" si="16"/>
        <v>8.3899971182579136E-3</v>
      </c>
      <c r="CG14" s="26">
        <f t="shared" si="17"/>
        <v>2.1361704064615142E-2</v>
      </c>
      <c r="CH14" s="26"/>
      <c r="CI14">
        <v>2</v>
      </c>
      <c r="CJ14">
        <f>BS14-CI14</f>
        <v>-2</v>
      </c>
      <c r="CK14" s="23">
        <v>-0.157</v>
      </c>
      <c r="CL14" s="23">
        <v>-0.20899999999999999</v>
      </c>
      <c r="CM14" s="23">
        <f>(0.6*BR14)+(0.4*CK14)</f>
        <v>-0.2156794379683914</v>
      </c>
      <c r="CN14" s="34">
        <v>0</v>
      </c>
      <c r="CO14" s="75">
        <v>0</v>
      </c>
      <c r="CP14">
        <v>450</v>
      </c>
      <c r="CT14" s="34">
        <f t="shared" si="6"/>
        <v>1980</v>
      </c>
      <c r="CU14" s="34">
        <f t="shared" si="18"/>
        <v>-1980</v>
      </c>
      <c r="CW14" s="36">
        <f t="shared" si="19"/>
        <v>-0.11709618208595458</v>
      </c>
      <c r="CX14" s="36"/>
      <c r="CY14" s="34">
        <v>467.0899</v>
      </c>
      <c r="CZ14">
        <f>CN14-CP14</f>
        <v>-450</v>
      </c>
      <c r="DA14" s="34">
        <f>CO14-CY14</f>
        <v>-467.0899</v>
      </c>
      <c r="DB14" s="23">
        <v>6.0000000000000001E-3</v>
      </c>
      <c r="DC14" s="23">
        <f>(DA14-DA$51)/DA$52</f>
        <v>-2.003551496437397E-2</v>
      </c>
      <c r="DD14" s="26">
        <f>(0.6*CH14)+(0.4*CX14)</f>
        <v>0</v>
      </c>
      <c r="DE14" s="23">
        <f t="shared" si="21"/>
        <v>-3.4021450395612746E-2</v>
      </c>
      <c r="DF14" s="23">
        <f t="shared" si="22"/>
        <v>5.0339982709547478E-3</v>
      </c>
    </row>
    <row r="15" spans="1:110" hidden="1" x14ac:dyDescent="0.25">
      <c r="A15" s="9" t="s">
        <v>43</v>
      </c>
      <c r="B15" s="9" t="s">
        <v>49</v>
      </c>
      <c r="C15" s="32">
        <f t="shared" si="0"/>
        <v>1</v>
      </c>
      <c r="D15" s="32">
        <v>4</v>
      </c>
      <c r="E15">
        <v>1</v>
      </c>
      <c r="F15">
        <v>0</v>
      </c>
      <c r="G15">
        <v>0</v>
      </c>
      <c r="H15" s="23"/>
      <c r="I15" s="26"/>
      <c r="J15" s="23"/>
      <c r="K15" s="67"/>
      <c r="L15" s="47"/>
      <c r="M15" s="47"/>
      <c r="N15" s="67"/>
      <c r="O15" s="67"/>
      <c r="P15" s="47"/>
      <c r="Q15" s="47"/>
      <c r="R15" s="67"/>
      <c r="S15" s="68"/>
      <c r="T15" s="68"/>
      <c r="U15" s="68"/>
      <c r="V15" s="67"/>
      <c r="W15" s="67"/>
      <c r="X15" s="67"/>
      <c r="Y15" s="214"/>
      <c r="Z15" s="214"/>
      <c r="AA15" s="214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23"/>
      <c r="AN15" s="23"/>
      <c r="AO15" s="23"/>
      <c r="AP15" s="23"/>
      <c r="AQ15" s="23"/>
      <c r="AU15" s="16"/>
      <c r="BC15" s="117">
        <f t="shared" si="1"/>
        <v>5.7459439999999997</v>
      </c>
      <c r="BD15" s="117">
        <f t="shared" si="2"/>
        <v>3.3181067999999998</v>
      </c>
      <c r="BE15" s="117">
        <f t="shared" si="7"/>
        <v>-3.3181067999999998</v>
      </c>
      <c r="BF15" s="117">
        <f t="shared" si="8"/>
        <v>-5.7459439999999997</v>
      </c>
      <c r="BG15" s="117"/>
      <c r="BK15" s="23">
        <f t="shared" si="9"/>
        <v>-0.15842932100693655</v>
      </c>
      <c r="BL15" s="23"/>
      <c r="BT15" s="23">
        <f t="shared" si="11"/>
        <v>-0.20261687568014197</v>
      </c>
      <c r="BV15" s="117">
        <f t="shared" si="4"/>
        <v>2.2093411999999999</v>
      </c>
      <c r="BX15" s="117">
        <f t="shared" si="5"/>
        <v>2.8325979999999999</v>
      </c>
      <c r="BY15" s="117">
        <f t="shared" si="12"/>
        <v>-2.8325979999999999</v>
      </c>
      <c r="BZ15" s="117"/>
      <c r="CA15" s="117"/>
      <c r="CB15" s="23">
        <f t="shared" si="13"/>
        <v>0.18000195182723969</v>
      </c>
      <c r="CC15" s="23"/>
      <c r="CD15" s="217">
        <f t="shared" si="14"/>
        <v>-2.2093411999999999</v>
      </c>
      <c r="CE15" s="26">
        <f t="shared" si="15"/>
        <v>0.23643306512741899</v>
      </c>
      <c r="CF15" s="26">
        <f t="shared" si="16"/>
        <v>-2.6996899357117576E-2</v>
      </c>
      <c r="CG15" s="26">
        <f t="shared" si="17"/>
        <v>-2.3056811873266053E-2</v>
      </c>
      <c r="CH15" s="26"/>
      <c r="CN15" s="34"/>
      <c r="CO15" s="75">
        <v>0</v>
      </c>
      <c r="CT15" s="34">
        <f t="shared" si="6"/>
        <v>2640</v>
      </c>
      <c r="CU15" s="34">
        <f t="shared" si="18"/>
        <v>-2640</v>
      </c>
      <c r="CW15" s="36">
        <f t="shared" si="19"/>
        <v>-0.12544384307219691</v>
      </c>
      <c r="CX15" s="36"/>
      <c r="DC15" s="23"/>
      <c r="DD15" s="26"/>
      <c r="DE15" s="23">
        <f t="shared" si="21"/>
        <v>-6.40116243528384E-2</v>
      </c>
      <c r="DF15" s="23">
        <f t="shared" si="22"/>
        <v>-1.6198139614270544E-2</v>
      </c>
    </row>
    <row r="16" spans="1:110" hidden="1" x14ac:dyDescent="0.25">
      <c r="A16" s="9" t="s">
        <v>43</v>
      </c>
      <c r="B16" s="9" t="s">
        <v>51</v>
      </c>
      <c r="C16" s="32">
        <f t="shared" si="0"/>
        <v>1</v>
      </c>
      <c r="D16" s="32">
        <v>1</v>
      </c>
      <c r="E16">
        <v>1</v>
      </c>
      <c r="F16">
        <v>0</v>
      </c>
      <c r="G16">
        <v>0</v>
      </c>
      <c r="H16" s="23"/>
      <c r="I16" s="26"/>
      <c r="J16" s="23"/>
      <c r="K16" s="67"/>
      <c r="L16" s="47"/>
      <c r="M16" s="47"/>
      <c r="N16" s="67"/>
      <c r="O16" s="67"/>
      <c r="P16" s="47"/>
      <c r="Q16" s="47"/>
      <c r="R16" s="67"/>
      <c r="S16" s="68"/>
      <c r="T16" s="68"/>
      <c r="U16" s="68"/>
      <c r="V16" s="67"/>
      <c r="W16" s="67"/>
      <c r="X16" s="67"/>
      <c r="Y16" s="214"/>
      <c r="Z16" s="214"/>
      <c r="AA16" s="214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23"/>
      <c r="AN16" s="23"/>
      <c r="AO16" s="23"/>
      <c r="AP16" s="23"/>
      <c r="AQ16" s="23"/>
      <c r="AU16" s="16"/>
      <c r="BC16" s="117">
        <f t="shared" si="1"/>
        <v>1.4364859999999999</v>
      </c>
      <c r="BD16" s="117">
        <f t="shared" si="2"/>
        <v>0.82952669999999995</v>
      </c>
      <c r="BE16" s="117">
        <f t="shared" si="7"/>
        <v>-0.82952669999999995</v>
      </c>
      <c r="BF16" s="117">
        <f t="shared" si="8"/>
        <v>-1.4364859999999999</v>
      </c>
      <c r="BG16" s="117"/>
      <c r="BK16" s="23">
        <f t="shared" si="9"/>
        <v>-9.1430985977975793E-3</v>
      </c>
      <c r="BL16" s="23"/>
      <c r="BT16" s="23">
        <f t="shared" si="11"/>
        <v>-8.6706833963589011E-2</v>
      </c>
      <c r="BV16" s="117">
        <f t="shared" si="4"/>
        <v>0.55233529999999997</v>
      </c>
      <c r="BX16" s="117">
        <f t="shared" si="5"/>
        <v>0.70814949999999999</v>
      </c>
      <c r="BY16" s="117">
        <f t="shared" si="12"/>
        <v>-0.70814949999999999</v>
      </c>
      <c r="BZ16" s="117"/>
      <c r="CA16" s="117"/>
      <c r="CB16" s="23">
        <f t="shared" si="13"/>
        <v>0.28921148774763999</v>
      </c>
      <c r="CC16" s="23"/>
      <c r="CD16" s="217">
        <f t="shared" si="14"/>
        <v>-0.55233529999999997</v>
      </c>
      <c r="CE16" s="26">
        <f t="shared" si="15"/>
        <v>0.32796972611790576</v>
      </c>
      <c r="CF16" s="26">
        <f t="shared" si="16"/>
        <v>7.9163790069008894E-2</v>
      </c>
      <c r="CG16" s="26">
        <f t="shared" si="17"/>
        <v>0.11019873594037745</v>
      </c>
      <c r="CH16" s="26"/>
      <c r="CN16" s="34"/>
      <c r="CO16" s="75">
        <v>0</v>
      </c>
      <c r="CT16" s="34">
        <f t="shared" si="6"/>
        <v>660</v>
      </c>
      <c r="CU16" s="34">
        <f t="shared" si="18"/>
        <v>-660</v>
      </c>
      <c r="CW16" s="36">
        <f t="shared" si="19"/>
        <v>-0.10040086011346995</v>
      </c>
      <c r="CX16" s="36"/>
      <c r="DC16" s="23"/>
      <c r="DD16" s="26"/>
      <c r="DE16" s="23">
        <f t="shared" si="21"/>
        <v>2.5958897518838481E-2</v>
      </c>
      <c r="DF16" s="23">
        <f t="shared" si="22"/>
        <v>4.7498274041405338E-2</v>
      </c>
    </row>
    <row r="17" spans="1:110" x14ac:dyDescent="0.25">
      <c r="A17" s="7" t="s">
        <v>52</v>
      </c>
      <c r="B17" s="7" t="s">
        <v>58</v>
      </c>
      <c r="C17" s="10">
        <f t="shared" si="0"/>
        <v>56</v>
      </c>
      <c r="D17" s="10">
        <v>57</v>
      </c>
      <c r="E17" s="8">
        <v>56</v>
      </c>
      <c r="F17">
        <v>0</v>
      </c>
      <c r="G17">
        <v>0</v>
      </c>
      <c r="H17" s="26">
        <v>-0.96599999999999997</v>
      </c>
      <c r="I17" s="26">
        <v>-1.3050492495256645</v>
      </c>
      <c r="J17" s="26">
        <f>(0.6*CM17)+(0.4*DC17)</f>
        <v>-1.0850246563051003</v>
      </c>
      <c r="K17" s="67"/>
      <c r="L17" s="47"/>
      <c r="M17" s="47"/>
      <c r="N17" s="67"/>
      <c r="O17" s="67"/>
      <c r="P17" s="47"/>
      <c r="Q17" s="47"/>
      <c r="R17" s="67"/>
      <c r="S17" s="68"/>
      <c r="T17" s="68"/>
      <c r="U17" s="68"/>
      <c r="V17" s="67"/>
      <c r="W17" s="67"/>
      <c r="X17" s="67"/>
      <c r="Y17" s="214"/>
      <c r="Z17" s="214"/>
      <c r="AA17" s="214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23"/>
      <c r="AN17" s="23"/>
      <c r="AO17" s="23"/>
      <c r="AP17" s="23"/>
      <c r="AQ17" s="23"/>
      <c r="AR17" s="288" t="s">
        <v>428</v>
      </c>
      <c r="AS17" s="78"/>
      <c r="AU17" s="16"/>
      <c r="AV17">
        <v>13</v>
      </c>
      <c r="AW17">
        <v>11</v>
      </c>
      <c r="AX17">
        <f>AV17-AW17</f>
        <v>2</v>
      </c>
      <c r="AY17">
        <v>38</v>
      </c>
      <c r="AZ17">
        <v>13</v>
      </c>
      <c r="BA17">
        <v>14</v>
      </c>
      <c r="BB17">
        <v>12</v>
      </c>
      <c r="BC17" s="117">
        <f t="shared" si="1"/>
        <v>81.879701999999995</v>
      </c>
      <c r="BD17" s="117">
        <f t="shared" si="2"/>
        <v>47.283021899999994</v>
      </c>
      <c r="BE17" s="117">
        <f t="shared" si="7"/>
        <v>-35.283021899999994</v>
      </c>
      <c r="BF17" s="117">
        <f t="shared" si="8"/>
        <v>-67.879701999999995</v>
      </c>
      <c r="BG17" s="117">
        <f>D17*AZ$53</f>
        <v>54.770310932798395</v>
      </c>
      <c r="BH17">
        <v>55</v>
      </c>
      <c r="BI17" s="117">
        <f>AZ17-BG17</f>
        <v>-41.770310932798395</v>
      </c>
      <c r="BJ17">
        <f>AZ17-BH17</f>
        <v>-42</v>
      </c>
      <c r="BK17" s="23">
        <f t="shared" si="9"/>
        <v>-2.3108378178303459</v>
      </c>
      <c r="BL17" s="23">
        <f t="shared" ref="BL17:BM19" si="23">(BI17-BI$50)/BI$51</f>
        <v>-1.9606318915997185</v>
      </c>
      <c r="BM17" s="23">
        <f t="shared" si="23"/>
        <v>-1.9566721457223759</v>
      </c>
      <c r="BN17" s="117">
        <v>39.342708000000002</v>
      </c>
      <c r="BO17">
        <f t="shared" si="10"/>
        <v>-25</v>
      </c>
      <c r="BP17" s="117">
        <f>AW17-BN17</f>
        <v>-28.342708000000002</v>
      </c>
      <c r="BQ17" s="23">
        <v>-1.1399999999999999</v>
      </c>
      <c r="BR17" s="23">
        <f>(BP17-BP$51)/BP$52</f>
        <v>-1.4063507838223943</v>
      </c>
      <c r="BS17">
        <v>2</v>
      </c>
      <c r="BT17" s="23">
        <f t="shared" si="11"/>
        <v>-1.6914396154854925</v>
      </c>
      <c r="BU17">
        <v>5</v>
      </c>
      <c r="BV17" s="117">
        <f t="shared" si="4"/>
        <v>31.4831121</v>
      </c>
      <c r="BW17">
        <v>6</v>
      </c>
      <c r="BX17" s="117">
        <f t="shared" si="5"/>
        <v>40.364521500000002</v>
      </c>
      <c r="BY17" s="117">
        <f t="shared" si="12"/>
        <v>-34.364521500000002</v>
      </c>
      <c r="BZ17" s="117">
        <f>D17*BU$53</f>
        <v>20.353059177532597</v>
      </c>
      <c r="CA17" s="117">
        <f>BU17-BZ17</f>
        <v>-15.353059177532597</v>
      </c>
      <c r="CB17" s="23">
        <f t="shared" si="13"/>
        <v>-1.4409301310698353</v>
      </c>
      <c r="CC17" s="23">
        <f>(CA17-CA$50)/CA$51</f>
        <v>-1.3969834090651561</v>
      </c>
      <c r="CD17" s="217">
        <f t="shared" si="14"/>
        <v>-26.4831121</v>
      </c>
      <c r="CE17" s="26">
        <f t="shared" si="15"/>
        <v>-1.1045035832176735</v>
      </c>
      <c r="CF17" s="26">
        <f t="shared" si="16"/>
        <v>-1.4566652025783648</v>
      </c>
      <c r="CG17" s="26">
        <f t="shared" si="17"/>
        <v>-1.9628747431261415</v>
      </c>
      <c r="CH17" s="26">
        <f>(0.6*BL17)+(0.4*CC17)</f>
        <v>-1.7351724985858936</v>
      </c>
      <c r="CI17">
        <v>18</v>
      </c>
      <c r="CJ17">
        <f>BS17-CI17</f>
        <v>-16</v>
      </c>
      <c r="CK17" s="23">
        <v>-1.506</v>
      </c>
      <c r="CL17" s="23">
        <v>-1.286</v>
      </c>
      <c r="CM17" s="23">
        <f>(0.6*BR17)+(0.4*CK17)</f>
        <v>-1.4462104702934366</v>
      </c>
      <c r="CN17" s="34">
        <v>0</v>
      </c>
      <c r="CO17" s="75">
        <v>0</v>
      </c>
      <c r="CP17">
        <v>28878</v>
      </c>
      <c r="CQ17" s="34">
        <v>0</v>
      </c>
      <c r="CR17" s="34">
        <v>0</v>
      </c>
      <c r="CS17" s="34">
        <f>D17*CQ$52</f>
        <v>16482.376128385156</v>
      </c>
      <c r="CT17" s="34">
        <f t="shared" si="6"/>
        <v>37620</v>
      </c>
      <c r="CU17" s="34">
        <f t="shared" si="18"/>
        <v>-37620</v>
      </c>
      <c r="CV17" s="34">
        <f>CQ17-CS17</f>
        <v>-16482.376128385156</v>
      </c>
      <c r="CW17" s="36">
        <f t="shared" si="19"/>
        <v>-0.5678698753430399</v>
      </c>
      <c r="CX17" s="36">
        <f>(CV17-CV$50)/CV$51</f>
        <v>-0.5657872631067159</v>
      </c>
      <c r="CY17" s="34">
        <v>31019.869699999999</v>
      </c>
      <c r="CZ17">
        <f>CN17-CP17</f>
        <v>-28878</v>
      </c>
      <c r="DA17" s="34">
        <f>CO17-CY17</f>
        <v>-31019.869699999999</v>
      </c>
      <c r="DB17" s="23">
        <v>-0.48699999999999999</v>
      </c>
      <c r="DC17" s="23">
        <f>(DA17-DA$51)/DA$52</f>
        <v>-0.54324593532259591</v>
      </c>
      <c r="DD17" s="26">
        <f>(0.6*CH17)+(0.4*CX17)</f>
        <v>-1.2674184043942227</v>
      </c>
      <c r="DE17" s="23">
        <f t="shared" si="21"/>
        <v>-1.4048727960129008</v>
      </c>
      <c r="DF17" s="23">
        <f t="shared" si="22"/>
        <v>-1.1003140267897051</v>
      </c>
    </row>
    <row r="18" spans="1:110" x14ac:dyDescent="0.25">
      <c r="A18" s="228" t="s">
        <v>331</v>
      </c>
      <c r="B18" s="228" t="s">
        <v>332</v>
      </c>
      <c r="C18" s="10">
        <v>0</v>
      </c>
      <c r="D18" s="10">
        <v>9</v>
      </c>
      <c r="E18" s="8"/>
      <c r="H18" s="26"/>
      <c r="I18" s="26"/>
      <c r="J18" s="26"/>
      <c r="K18" s="67"/>
      <c r="L18" s="47"/>
      <c r="M18" s="47"/>
      <c r="N18" s="67"/>
      <c r="O18" s="67"/>
      <c r="P18" s="47"/>
      <c r="Q18" s="47"/>
      <c r="R18" s="67"/>
      <c r="S18" s="68"/>
      <c r="T18" s="68"/>
      <c r="U18" s="68"/>
      <c r="V18" s="67"/>
      <c r="W18" s="67"/>
      <c r="X18" s="67"/>
      <c r="Y18" s="214"/>
      <c r="Z18" s="214"/>
      <c r="AA18" s="214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23"/>
      <c r="AN18" s="23"/>
      <c r="AO18" s="23"/>
      <c r="AP18" s="23"/>
      <c r="AQ18" s="23"/>
      <c r="AU18" s="16"/>
      <c r="AZ18">
        <v>0</v>
      </c>
      <c r="BA18">
        <v>0</v>
      </c>
      <c r="BB18">
        <v>0</v>
      </c>
      <c r="BC18" s="117">
        <f t="shared" si="1"/>
        <v>12.928374</v>
      </c>
      <c r="BD18" s="117">
        <f t="shared" si="2"/>
        <v>7.4657402999999993</v>
      </c>
      <c r="BE18" s="117">
        <f t="shared" si="7"/>
        <v>-7.4657402999999993</v>
      </c>
      <c r="BF18" s="117">
        <f t="shared" si="8"/>
        <v>-12.928374</v>
      </c>
      <c r="BG18" s="117">
        <f>D18*AZ$53</f>
        <v>8.6479438314944836</v>
      </c>
      <c r="BH18">
        <v>9</v>
      </c>
      <c r="BI18" s="117">
        <f>AZ18-BG18</f>
        <v>-8.6479438314944836</v>
      </c>
      <c r="BJ18">
        <f>AZ18-BH18</f>
        <v>-9</v>
      </c>
      <c r="BK18" s="23">
        <f t="shared" si="9"/>
        <v>-0.40723969168883478</v>
      </c>
      <c r="BL18" s="23">
        <f t="shared" si="23"/>
        <v>-0.40592071483666164</v>
      </c>
      <c r="BM18" s="23">
        <f t="shared" si="23"/>
        <v>-0.40325961623949524</v>
      </c>
      <c r="BN18" s="117"/>
      <c r="BP18" s="117"/>
      <c r="BT18" s="23">
        <f t="shared" si="11"/>
        <v>-0.39580027854106353</v>
      </c>
      <c r="BU18">
        <v>0</v>
      </c>
      <c r="BV18" s="117">
        <f t="shared" si="4"/>
        <v>4.9710177</v>
      </c>
      <c r="BW18">
        <v>0</v>
      </c>
      <c r="BX18" s="117">
        <f t="shared" si="5"/>
        <v>6.3733455000000001</v>
      </c>
      <c r="BY18" s="117">
        <f t="shared" si="12"/>
        <v>-6.3733455000000001</v>
      </c>
      <c r="BZ18" s="117">
        <f>D18*BU$53</f>
        <v>3.2136409227683047</v>
      </c>
      <c r="CA18" s="117">
        <f>BU18-BZ18</f>
        <v>-3.2136409227683047</v>
      </c>
      <c r="CB18" s="23">
        <f t="shared" si="13"/>
        <v>-2.0139413734275901E-3</v>
      </c>
      <c r="CC18" s="23">
        <f>(CA18-CA$50)/CA$51</f>
        <v>-0.29241097815670997</v>
      </c>
      <c r="CD18" s="217">
        <f t="shared" si="14"/>
        <v>-4.9710177</v>
      </c>
      <c r="CE18" s="26">
        <f t="shared" si="15"/>
        <v>8.387196347660765E-2</v>
      </c>
      <c r="CF18" s="26">
        <f t="shared" si="16"/>
        <v>-0.20393138173399503</v>
      </c>
      <c r="CG18" s="26">
        <f t="shared" si="17"/>
        <v>-0.24514939156267188</v>
      </c>
      <c r="CH18" s="26">
        <f>(0.6*BL18)+(0.4*CC18)</f>
        <v>-0.36051682016468095</v>
      </c>
      <c r="CL18" s="23"/>
      <c r="CM18" s="23"/>
      <c r="CN18" s="34"/>
      <c r="CO18" s="75"/>
      <c r="CQ18" s="34">
        <v>0</v>
      </c>
      <c r="CR18" s="34">
        <v>0</v>
      </c>
      <c r="CS18" s="34">
        <f>D18*CQ$52</f>
        <v>2602.4804413239717</v>
      </c>
      <c r="CT18" s="34">
        <f t="shared" si="6"/>
        <v>5940</v>
      </c>
      <c r="CU18" s="34">
        <f t="shared" si="18"/>
        <v>-5940</v>
      </c>
      <c r="CV18" s="34">
        <f>CQ18-CS18</f>
        <v>-2602.4804413239717</v>
      </c>
      <c r="CW18" s="36">
        <f t="shared" si="19"/>
        <v>-0.1671821480034085</v>
      </c>
      <c r="CX18" s="36">
        <f>(CV18-CV$50)/CV$51</f>
        <v>-8.93348310168499E-2</v>
      </c>
      <c r="CY18" s="34"/>
      <c r="DA18" s="34"/>
      <c r="DB18" s="23"/>
      <c r="DC18" s="23"/>
      <c r="DD18" s="26">
        <f>(0.6*CH18)+(0.4*CX18)</f>
        <v>-0.25204402450554853</v>
      </c>
      <c r="DE18" s="23">
        <f t="shared" si="21"/>
        <v>-0.21396249413896654</v>
      </c>
      <c r="DF18" s="23">
        <f t="shared" si="22"/>
        <v>-0.15809276144713696</v>
      </c>
    </row>
    <row r="19" spans="1:110" x14ac:dyDescent="0.25">
      <c r="A19" s="7" t="s">
        <v>68</v>
      </c>
      <c r="B19" s="7" t="s">
        <v>69</v>
      </c>
      <c r="C19" s="32">
        <f t="shared" si="0"/>
        <v>1</v>
      </c>
      <c r="D19" s="10">
        <v>9</v>
      </c>
      <c r="E19" s="8">
        <v>0</v>
      </c>
      <c r="F19" s="8">
        <v>0</v>
      </c>
      <c r="G19" s="29">
        <v>1</v>
      </c>
      <c r="H19" s="23"/>
      <c r="I19" s="26"/>
      <c r="J19" s="23"/>
      <c r="K19" s="67"/>
      <c r="L19" s="47"/>
      <c r="M19" s="47"/>
      <c r="N19" s="67"/>
      <c r="O19" s="67"/>
      <c r="P19" s="47"/>
      <c r="Q19" s="47"/>
      <c r="R19" s="67"/>
      <c r="S19" s="68"/>
      <c r="T19" s="68"/>
      <c r="U19" s="68"/>
      <c r="V19" s="67"/>
      <c r="W19" s="67"/>
      <c r="X19" s="67"/>
      <c r="Y19" s="214"/>
      <c r="Z19" s="214"/>
      <c r="AA19" s="214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23"/>
      <c r="AN19" s="23"/>
      <c r="AO19" s="23"/>
      <c r="AP19" s="23"/>
      <c r="AQ19" s="23"/>
      <c r="AS19" s="288"/>
      <c r="AU19" s="26"/>
      <c r="AZ19">
        <v>2</v>
      </c>
      <c r="BA19">
        <v>25</v>
      </c>
      <c r="BB19">
        <v>2</v>
      </c>
      <c r="BC19" s="117">
        <f t="shared" si="1"/>
        <v>12.928374</v>
      </c>
      <c r="BD19" s="117">
        <f t="shared" si="2"/>
        <v>7.4657402999999993</v>
      </c>
      <c r="BE19" s="117">
        <f t="shared" si="7"/>
        <v>-5.4657402999999993</v>
      </c>
      <c r="BF19" s="117">
        <f t="shared" si="8"/>
        <v>12.071626</v>
      </c>
      <c r="BG19" s="117">
        <f>D19*AZ$53</f>
        <v>8.6479438314944836</v>
      </c>
      <c r="BH19">
        <v>9</v>
      </c>
      <c r="BI19" s="117">
        <f>AZ19-BG19</f>
        <v>-6.6479438314944836</v>
      </c>
      <c r="BJ19">
        <f>AZ19-BH19</f>
        <v>-7</v>
      </c>
      <c r="BK19" s="25">
        <f t="shared" si="9"/>
        <v>0.45879858046243671</v>
      </c>
      <c r="BL19" s="23">
        <f t="shared" si="23"/>
        <v>-0.31204389908807628</v>
      </c>
      <c r="BM19" s="23">
        <f t="shared" si="23"/>
        <v>-0.30911340233144186</v>
      </c>
      <c r="BT19" s="23">
        <f t="shared" si="11"/>
        <v>-0.30264672345432719</v>
      </c>
      <c r="BU19">
        <v>1</v>
      </c>
      <c r="BV19" s="117">
        <f t="shared" si="4"/>
        <v>4.9710177</v>
      </c>
      <c r="BW19">
        <v>1</v>
      </c>
      <c r="BX19" s="117">
        <f t="shared" si="5"/>
        <v>6.3733455000000001</v>
      </c>
      <c r="BY19" s="117">
        <f t="shared" si="12"/>
        <v>-5.3733455000000001</v>
      </c>
      <c r="BZ19" s="117">
        <f>D19*BU$53</f>
        <v>3.2136409227683047</v>
      </c>
      <c r="CA19" s="117">
        <f>BU19-BZ19</f>
        <v>-2.2136409227683047</v>
      </c>
      <c r="CB19" s="23">
        <f t="shared" si="13"/>
        <v>4.9392122798238777E-2</v>
      </c>
      <c r="CC19" s="26">
        <f>(CA19-CA$50)/CA$51</f>
        <v>-0.20142042097124185</v>
      </c>
      <c r="CD19" s="217">
        <f t="shared" si="14"/>
        <v>-3.9710177</v>
      </c>
      <c r="CE19" s="26">
        <f t="shared" si="15"/>
        <v>0.13911416930730916</v>
      </c>
      <c r="CF19" s="26">
        <f t="shared" si="16"/>
        <v>-0.12594236634967262</v>
      </c>
      <c r="CG19" s="26">
        <f t="shared" si="17"/>
        <v>0.29503599739675757</v>
      </c>
      <c r="CH19" s="26">
        <f>(0.6*BL19)+(0.4*CC19)</f>
        <v>-0.26779450784134251</v>
      </c>
      <c r="CN19" s="34"/>
      <c r="CO19" s="75">
        <v>0</v>
      </c>
      <c r="CQ19" s="34">
        <v>0</v>
      </c>
      <c r="CR19" s="34">
        <v>0</v>
      </c>
      <c r="CS19" s="34">
        <f>D19*CQ$52</f>
        <v>2602.4804413239717</v>
      </c>
      <c r="CT19" s="34">
        <f t="shared" si="6"/>
        <v>5940</v>
      </c>
      <c r="CU19" s="34">
        <f t="shared" si="18"/>
        <v>-5940</v>
      </c>
      <c r="CV19" s="34">
        <f>CQ19-CS19</f>
        <v>-2602.4804413239717</v>
      </c>
      <c r="CW19" s="36">
        <f t="shared" si="19"/>
        <v>-0.1671821480034085</v>
      </c>
      <c r="CX19" s="36">
        <f>(CV19-CV$50)/CV$51</f>
        <v>-8.93348310168499E-2</v>
      </c>
      <c r="DC19" s="23"/>
      <c r="DD19" s="26">
        <f>(0.6*CH19)+(0.4*CX19)</f>
        <v>-0.19641063711154547</v>
      </c>
      <c r="DE19" s="23">
        <f t="shared" si="21"/>
        <v>0.11014873923669113</v>
      </c>
      <c r="DF19" s="23">
        <f t="shared" si="22"/>
        <v>-0.11129935221654352</v>
      </c>
    </row>
    <row r="20" spans="1:110" hidden="1" x14ac:dyDescent="0.25">
      <c r="A20" s="9" t="s">
        <v>68</v>
      </c>
      <c r="B20" s="9" t="s">
        <v>70</v>
      </c>
      <c r="C20" s="32">
        <f t="shared" si="0"/>
        <v>13</v>
      </c>
      <c r="D20" s="32">
        <v>0</v>
      </c>
      <c r="E20" s="8">
        <v>0</v>
      </c>
      <c r="F20" s="8">
        <v>0</v>
      </c>
      <c r="G20" s="8">
        <v>13</v>
      </c>
      <c r="K20" s="68"/>
      <c r="L20" s="47"/>
      <c r="M20" s="47"/>
      <c r="N20" s="67"/>
      <c r="O20" s="67"/>
      <c r="P20" s="47"/>
      <c r="Q20" s="47"/>
      <c r="R20" s="67"/>
      <c r="S20" s="68"/>
      <c r="T20" s="68"/>
      <c r="U20" s="68"/>
      <c r="V20" s="67"/>
      <c r="W20" s="67"/>
      <c r="X20" s="67"/>
      <c r="Y20" s="214"/>
      <c r="Z20" s="214"/>
      <c r="AA20" s="214"/>
      <c r="AB20" s="58" t="e">
        <f>(0.6*AE20)+(0.4*#REF!)</f>
        <v>#REF!</v>
      </c>
      <c r="AC20" s="58">
        <v>0.502</v>
      </c>
      <c r="AD20" s="58">
        <f>AC20/G20</f>
        <v>3.8615384615384614E-2</v>
      </c>
      <c r="AE20" s="58">
        <f>AD20/AD51</f>
        <v>2.4888889581342551E-2</v>
      </c>
      <c r="AF20" s="58"/>
      <c r="AG20" s="58"/>
      <c r="AH20" s="58"/>
      <c r="AI20" s="58"/>
      <c r="AJ20" s="58"/>
      <c r="AK20" s="58"/>
      <c r="AL20" s="58"/>
      <c r="AM20" s="23"/>
      <c r="AN20" s="23"/>
      <c r="AO20" s="23"/>
      <c r="AP20" s="23"/>
      <c r="AQ20" s="23"/>
      <c r="AU20" s="16"/>
      <c r="BC20" s="117">
        <f t="shared" si="1"/>
        <v>0</v>
      </c>
      <c r="BD20" s="117">
        <f t="shared" si="2"/>
        <v>0</v>
      </c>
      <c r="BE20" s="117">
        <f t="shared" si="7"/>
        <v>0</v>
      </c>
      <c r="BF20" s="117">
        <f t="shared" si="8"/>
        <v>0</v>
      </c>
      <c r="BG20" s="117"/>
      <c r="BK20" s="23">
        <f t="shared" si="9"/>
        <v>4.0618975538582076E-2</v>
      </c>
      <c r="BL20" s="23"/>
      <c r="BT20" s="23">
        <f t="shared" si="11"/>
        <v>-4.8070153391404691E-2</v>
      </c>
      <c r="BV20" s="117">
        <f t="shared" si="4"/>
        <v>0</v>
      </c>
      <c r="BX20" s="117">
        <f t="shared" si="5"/>
        <v>0</v>
      </c>
      <c r="BY20" s="117">
        <f t="shared" si="12"/>
        <v>0</v>
      </c>
      <c r="BZ20" s="117"/>
      <c r="CA20" s="117"/>
      <c r="CB20" s="23">
        <f t="shared" si="13"/>
        <v>0.32561466638777348</v>
      </c>
      <c r="CC20" s="23"/>
      <c r="CD20" s="217">
        <f t="shared" si="14"/>
        <v>0</v>
      </c>
      <c r="CE20" s="26">
        <f t="shared" si="15"/>
        <v>0.35848194644806808</v>
      </c>
      <c r="CF20" s="26">
        <f t="shared" si="16"/>
        <v>0.11455068654438444</v>
      </c>
      <c r="CG20" s="26">
        <f t="shared" si="17"/>
        <v>0.15461725187825864</v>
      </c>
      <c r="CH20" s="26"/>
      <c r="CN20" s="34"/>
      <c r="CO20" s="75">
        <v>0</v>
      </c>
      <c r="CT20" s="34">
        <f t="shared" si="6"/>
        <v>0</v>
      </c>
      <c r="CU20" s="34">
        <f t="shared" si="18"/>
        <v>0</v>
      </c>
      <c r="CW20" s="36">
        <f t="shared" si="19"/>
        <v>-9.205319912722762E-2</v>
      </c>
      <c r="CX20" s="36"/>
      <c r="DC20" s="23"/>
      <c r="DD20" s="26"/>
      <c r="DE20" s="23">
        <f t="shared" si="21"/>
        <v>5.5949071476064136E-2</v>
      </c>
      <c r="DF20" s="23">
        <f t="shared" si="22"/>
        <v>6.8730411926630666E-2</v>
      </c>
    </row>
    <row r="21" spans="1:110" hidden="1" x14ac:dyDescent="0.25">
      <c r="A21" s="9" t="s">
        <v>74</v>
      </c>
      <c r="B21" s="9" t="s">
        <v>75</v>
      </c>
      <c r="C21" s="32">
        <f t="shared" si="0"/>
        <v>118</v>
      </c>
      <c r="D21" s="32">
        <v>0</v>
      </c>
      <c r="E21">
        <v>0</v>
      </c>
      <c r="F21">
        <v>0</v>
      </c>
      <c r="G21">
        <v>118</v>
      </c>
      <c r="H21" s="23"/>
      <c r="I21" s="26"/>
      <c r="J21" s="23"/>
      <c r="K21" s="67"/>
      <c r="L21" s="47"/>
      <c r="M21" s="47"/>
      <c r="N21" s="67"/>
      <c r="O21" s="67"/>
      <c r="P21" s="47"/>
      <c r="Q21" s="47"/>
      <c r="R21" s="67"/>
      <c r="S21" s="68"/>
      <c r="T21" s="68"/>
      <c r="U21" s="68"/>
      <c r="V21" s="67"/>
      <c r="W21" s="67"/>
      <c r="X21" s="67"/>
      <c r="Y21" s="214"/>
      <c r="Z21" s="214"/>
      <c r="AA21" s="214"/>
      <c r="AB21" s="155" t="e">
        <f>(0.6*AE21)+(0.4*#REF!)</f>
        <v>#REF!</v>
      </c>
      <c r="AC21" s="58">
        <v>23.234999999999999</v>
      </c>
      <c r="AD21" s="289">
        <f>AC21/G21</f>
        <v>0.19690677966101694</v>
      </c>
      <c r="AE21" s="289">
        <f>AD21/AD51</f>
        <v>0.12691291684942305</v>
      </c>
      <c r="AF21" s="208" t="e">
        <f>AG21*#REF!</f>
        <v>#REF!</v>
      </c>
      <c r="AG21" s="58" t="e">
        <f>AH21*G21</f>
        <v>#REF!</v>
      </c>
      <c r="AH21" s="58" t="e">
        <f>AB21/AY2</f>
        <v>#REF!</v>
      </c>
      <c r="AI21" s="58"/>
      <c r="AJ21" s="58"/>
      <c r="AK21" s="58"/>
      <c r="AL21" s="58"/>
      <c r="AM21" s="23"/>
      <c r="AN21" s="23"/>
      <c r="AO21" s="23"/>
      <c r="AP21" s="23"/>
      <c r="AQ21" s="23"/>
      <c r="AU21" s="16"/>
      <c r="BC21" s="117">
        <f t="shared" si="1"/>
        <v>0</v>
      </c>
      <c r="BD21" s="117">
        <f t="shared" si="2"/>
        <v>0</v>
      </c>
      <c r="BE21" s="117">
        <f t="shared" si="7"/>
        <v>0</v>
      </c>
      <c r="BF21" s="117">
        <f t="shared" si="8"/>
        <v>0</v>
      </c>
      <c r="BG21" s="117"/>
      <c r="BK21" s="23">
        <f t="shared" si="9"/>
        <v>4.0618975538582076E-2</v>
      </c>
      <c r="BL21" s="23"/>
      <c r="BT21" s="23">
        <f t="shared" si="11"/>
        <v>-4.8070153391404691E-2</v>
      </c>
      <c r="BV21" s="117">
        <f t="shared" si="4"/>
        <v>0</v>
      </c>
      <c r="BX21" s="117">
        <f t="shared" si="5"/>
        <v>0</v>
      </c>
      <c r="BY21" s="117">
        <f t="shared" si="12"/>
        <v>0</v>
      </c>
      <c r="BZ21" s="117"/>
      <c r="CA21" s="117"/>
      <c r="CB21" s="23">
        <f t="shared" si="13"/>
        <v>0.32561466638777348</v>
      </c>
      <c r="CC21" s="23"/>
      <c r="CD21" s="217">
        <f t="shared" si="14"/>
        <v>0</v>
      </c>
      <c r="CE21" s="26">
        <f t="shared" si="15"/>
        <v>0.35848194644806808</v>
      </c>
      <c r="CF21" s="26">
        <f t="shared" si="16"/>
        <v>0.11455068654438444</v>
      </c>
      <c r="CG21" s="26">
        <f t="shared" si="17"/>
        <v>0.15461725187825864</v>
      </c>
      <c r="CH21" s="26"/>
      <c r="CN21" s="34"/>
      <c r="CO21" s="75">
        <v>0</v>
      </c>
      <c r="CT21" s="34">
        <f t="shared" si="6"/>
        <v>0</v>
      </c>
      <c r="CU21" s="34">
        <f t="shared" si="18"/>
        <v>0</v>
      </c>
      <c r="CW21" s="36">
        <f t="shared" si="19"/>
        <v>-9.205319912722762E-2</v>
      </c>
      <c r="CX21" s="36"/>
      <c r="DC21" s="23"/>
      <c r="DD21" s="26"/>
      <c r="DE21" s="23">
        <f t="shared" si="21"/>
        <v>5.5949071476064136E-2</v>
      </c>
      <c r="DF21" s="23">
        <f t="shared" si="22"/>
        <v>6.8730411926630666E-2</v>
      </c>
    </row>
    <row r="22" spans="1:110" x14ac:dyDescent="0.25">
      <c r="A22" s="7" t="s">
        <v>76</v>
      </c>
      <c r="B22" s="7" t="s">
        <v>77</v>
      </c>
      <c r="C22" s="10">
        <v>8</v>
      </c>
      <c r="D22" s="10">
        <v>7</v>
      </c>
      <c r="E22" s="8">
        <v>8</v>
      </c>
      <c r="F22" s="8">
        <v>0</v>
      </c>
      <c r="G22" s="8">
        <v>47</v>
      </c>
      <c r="H22" s="26">
        <v>-0.19400000000000001</v>
      </c>
      <c r="I22" s="26">
        <v>-0.13514258263271497</v>
      </c>
      <c r="J22" s="26">
        <f>(0.6*CM22)+(0.4*DC22)</f>
        <v>-0.136910046744912</v>
      </c>
      <c r="K22" s="67"/>
      <c r="L22" s="47"/>
      <c r="M22" s="47"/>
      <c r="N22" s="67"/>
      <c r="O22" s="67"/>
      <c r="P22" s="47"/>
      <c r="Q22" s="47"/>
      <c r="R22" s="67"/>
      <c r="S22" s="68"/>
      <c r="T22" s="68"/>
      <c r="U22" s="68"/>
      <c r="V22" s="67"/>
      <c r="W22" s="67"/>
      <c r="X22" s="67"/>
      <c r="Y22" s="214"/>
      <c r="Z22" s="214"/>
      <c r="AA22" s="214"/>
      <c r="AB22" s="155" t="e">
        <f>(0.6*AE22)+(0.4*#REF!)</f>
        <v>#REF!</v>
      </c>
      <c r="AC22" s="58">
        <v>34.962000000000003</v>
      </c>
      <c r="AD22" s="289">
        <f>AC22/(G22+G23+G24)</f>
        <v>0.29135000000000005</v>
      </c>
      <c r="AE22" s="289">
        <f>AD22/AD51</f>
        <v>0.18778468871277687</v>
      </c>
      <c r="AF22" s="208" t="e">
        <f>AG22*#REF!</f>
        <v>#REF!</v>
      </c>
      <c r="AG22" s="58" t="e">
        <f>AH22*(G22+G23+G24)</f>
        <v>#REF!</v>
      </c>
      <c r="AH22" s="58" t="e">
        <f>AB22/AY2</f>
        <v>#REF!</v>
      </c>
      <c r="AI22" s="58"/>
      <c r="AJ22" s="58"/>
      <c r="AK22" s="58"/>
      <c r="AL22" s="58"/>
      <c r="AM22" s="23"/>
      <c r="AN22" s="23"/>
      <c r="AO22" s="23"/>
      <c r="AP22" s="23"/>
      <c r="AQ22" s="23"/>
      <c r="AS22" s="288"/>
      <c r="AU22" s="240"/>
      <c r="AV22">
        <v>0</v>
      </c>
      <c r="AW22">
        <v>1</v>
      </c>
      <c r="AX22">
        <f>AV22-AW22</f>
        <v>-1</v>
      </c>
      <c r="AY22">
        <v>5</v>
      </c>
      <c r="AZ22">
        <v>0</v>
      </c>
      <c r="BA22">
        <v>1</v>
      </c>
      <c r="BB22">
        <v>0</v>
      </c>
      <c r="BC22" s="117">
        <f t="shared" si="1"/>
        <v>10.055401999999999</v>
      </c>
      <c r="BD22" s="117">
        <f t="shared" si="2"/>
        <v>5.8066868999999999</v>
      </c>
      <c r="BE22" s="117">
        <f t="shared" si="7"/>
        <v>-5.8066868999999999</v>
      </c>
      <c r="BF22" s="117">
        <f t="shared" si="8"/>
        <v>-9.0554019999999991</v>
      </c>
      <c r="BG22" s="117">
        <f>D22*AZ$53</f>
        <v>6.7261785356068202</v>
      </c>
      <c r="BH22">
        <v>7</v>
      </c>
      <c r="BI22" s="117">
        <f>AZ22-BG22</f>
        <v>-6.7261785356068202</v>
      </c>
      <c r="BJ22">
        <f>AZ22-BH22</f>
        <v>-7</v>
      </c>
      <c r="BK22" s="23">
        <f t="shared" si="9"/>
        <v>-0.27307401253002461</v>
      </c>
      <c r="BL22" s="23">
        <f>(BI22-BI$50)/BI$51</f>
        <v>-0.31571611153962575</v>
      </c>
      <c r="BM22" s="23">
        <f>(BJ22-BJ$50)/BJ$51</f>
        <v>-0.30911340233144186</v>
      </c>
      <c r="BN22" s="117">
        <v>5.620387</v>
      </c>
      <c r="BO22">
        <f t="shared" si="10"/>
        <v>-5</v>
      </c>
      <c r="BP22" s="117">
        <f>AW22-BN22</f>
        <v>-4.620387</v>
      </c>
      <c r="BQ22" s="23">
        <v>-0.36099999999999999</v>
      </c>
      <c r="BR22" s="23">
        <f>(BP22-BP$51)/BP$52</f>
        <v>-0.3487621070586116</v>
      </c>
      <c r="BS22">
        <v>4</v>
      </c>
      <c r="BT22" s="23">
        <f t="shared" si="11"/>
        <v>-0.31852691739669492</v>
      </c>
      <c r="BU22">
        <v>3</v>
      </c>
      <c r="BV22" s="117">
        <f t="shared" si="4"/>
        <v>3.8663470999999996</v>
      </c>
      <c r="BW22">
        <v>3</v>
      </c>
      <c r="BX22" s="117">
        <f t="shared" si="5"/>
        <v>4.9570464999999997</v>
      </c>
      <c r="BY22" s="117">
        <f t="shared" si="12"/>
        <v>-1.9570464999999997</v>
      </c>
      <c r="BZ22" s="117">
        <f>D22*BU$53</f>
        <v>2.4994984954864594</v>
      </c>
      <c r="CA22" s="117">
        <f>BU22-BZ22</f>
        <v>0.50050150451354058</v>
      </c>
      <c r="CB22" s="23">
        <f t="shared" si="13"/>
        <v>0.22501060842183843</v>
      </c>
      <c r="CC22" s="26">
        <f>(CA22-CA$50)/CA$51</f>
        <v>4.5540910767852147E-2</v>
      </c>
      <c r="CD22" s="217">
        <f t="shared" si="14"/>
        <v>-0.86634709999999959</v>
      </c>
      <c r="CE22" s="26">
        <f t="shared" si="15"/>
        <v>0.31062302162903671</v>
      </c>
      <c r="CF22" s="26">
        <f t="shared" si="16"/>
        <v>-6.6866941786402248E-2</v>
      </c>
      <c r="CG22" s="26">
        <f t="shared" si="17"/>
        <v>-7.3840164149279394E-2</v>
      </c>
      <c r="CH22" s="26">
        <f>(0.6*BL22)+(0.4*CC22)</f>
        <v>-0.17121330261663459</v>
      </c>
      <c r="CI22">
        <v>3</v>
      </c>
      <c r="CJ22">
        <f>BS22-CI22</f>
        <v>1</v>
      </c>
      <c r="CK22" s="23">
        <v>-0.26100000000000001</v>
      </c>
      <c r="CL22" s="23">
        <v>-0.32100000000000001</v>
      </c>
      <c r="CM22" s="23">
        <f>(0.6*BR22)+(0.4*CK22)</f>
        <v>-0.31365726423516699</v>
      </c>
      <c r="CN22" s="34">
        <v>0</v>
      </c>
      <c r="CO22" s="75">
        <v>9278</v>
      </c>
      <c r="CP22">
        <v>1011</v>
      </c>
      <c r="CQ22" s="34">
        <v>0</v>
      </c>
      <c r="CR22" s="34">
        <v>9278</v>
      </c>
      <c r="CS22" s="34">
        <f>D22*CQ$52</f>
        <v>2024.1514543630892</v>
      </c>
      <c r="CT22" s="34">
        <f t="shared" si="6"/>
        <v>4620</v>
      </c>
      <c r="CU22" s="34">
        <f t="shared" si="18"/>
        <v>4658</v>
      </c>
      <c r="CV22" s="34">
        <f>CQ22-CS22</f>
        <v>-2024.1514543630892</v>
      </c>
      <c r="CW22" s="36">
        <f t="shared" si="19"/>
        <v>-3.3138949318262889E-2</v>
      </c>
      <c r="CX22" s="36">
        <f>(CV22-CV$50)/CV$51</f>
        <v>-6.9482646346438817E-2</v>
      </c>
      <c r="CY22" s="34">
        <v>1088.2737999999999</v>
      </c>
      <c r="CZ22">
        <f>CN22-CP22</f>
        <v>-1011</v>
      </c>
      <c r="DA22" s="34">
        <f>CO22-CY22</f>
        <v>8189.7262000000001</v>
      </c>
      <c r="DB22" s="23">
        <v>-4.0000000000000001E-3</v>
      </c>
      <c r="DC22" s="23">
        <f>(DA22-DA$51)/DA$52</f>
        <v>0.12821077949047047</v>
      </c>
      <c r="DD22" s="26">
        <f>(0.6*CH22)+(0.4*CX22)</f>
        <v>-0.13052104010855628</v>
      </c>
      <c r="DE22" s="23">
        <f t="shared" si="21"/>
        <v>-5.7559678216872794E-2</v>
      </c>
      <c r="DF22" s="23">
        <f t="shared" si="22"/>
        <v>-6.7913223610416878E-2</v>
      </c>
    </row>
    <row r="23" spans="1:110" x14ac:dyDescent="0.25">
      <c r="A23" s="7" t="s">
        <v>76</v>
      </c>
      <c r="B23" s="7" t="s">
        <v>78</v>
      </c>
      <c r="C23" s="10">
        <v>5</v>
      </c>
      <c r="D23" s="10">
        <v>5</v>
      </c>
      <c r="E23" s="8">
        <v>5</v>
      </c>
      <c r="F23" s="8">
        <v>0</v>
      </c>
      <c r="G23" s="8">
        <v>37</v>
      </c>
      <c r="H23" s="26">
        <v>-0.13700000000000001</v>
      </c>
      <c r="I23" s="26">
        <v>-0.14332555986160858</v>
      </c>
      <c r="J23" s="26">
        <f>(0.6*CM23)+(0.4*DC23)</f>
        <v>-0.13742186876678442</v>
      </c>
      <c r="K23" s="67"/>
      <c r="L23" s="47"/>
      <c r="M23" s="47"/>
      <c r="N23" s="67"/>
      <c r="O23" s="67"/>
      <c r="P23" s="47"/>
      <c r="Q23" s="47"/>
      <c r="R23" s="67"/>
      <c r="S23" s="68"/>
      <c r="T23" s="68"/>
      <c r="U23" s="68"/>
      <c r="V23" s="67"/>
      <c r="W23" s="67"/>
      <c r="X23" s="67"/>
      <c r="Y23" s="214"/>
      <c r="Z23" s="214"/>
      <c r="AA23" s="214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23"/>
      <c r="AN23" s="23"/>
      <c r="AO23" s="23"/>
      <c r="AP23" s="23"/>
      <c r="AQ23" s="23"/>
      <c r="AR23" s="309"/>
      <c r="AV23">
        <v>0</v>
      </c>
      <c r="AW23">
        <v>1</v>
      </c>
      <c r="AX23">
        <f>AV23-AW23</f>
        <v>-1</v>
      </c>
      <c r="AY23">
        <v>3</v>
      </c>
      <c r="AZ23">
        <v>0</v>
      </c>
      <c r="BA23">
        <v>0</v>
      </c>
      <c r="BB23">
        <v>0</v>
      </c>
      <c r="BC23" s="117">
        <f t="shared" si="1"/>
        <v>7.1824300000000001</v>
      </c>
      <c r="BD23" s="117">
        <f t="shared" si="2"/>
        <v>4.1476334999999995</v>
      </c>
      <c r="BE23" s="117">
        <f t="shared" si="7"/>
        <v>-4.1476334999999995</v>
      </c>
      <c r="BF23" s="117">
        <f t="shared" si="8"/>
        <v>-7.1824300000000001</v>
      </c>
      <c r="BG23" s="117">
        <f>D23*AZ$53</f>
        <v>4.8044132397191577</v>
      </c>
      <c r="BH23">
        <v>5</v>
      </c>
      <c r="BI23" s="117">
        <f>AZ23-BG23</f>
        <v>-4.8044132397191577</v>
      </c>
      <c r="BJ23">
        <f>AZ23-BH23</f>
        <v>-5</v>
      </c>
      <c r="BK23" s="23">
        <f t="shared" si="9"/>
        <v>-0.20819139514331622</v>
      </c>
      <c r="BL23" s="23">
        <f>(BI23-BI$50)/BI$51</f>
        <v>-0.22551150824258984</v>
      </c>
      <c r="BM23" s="23">
        <f>(BJ23-BJ$50)/BJ$51</f>
        <v>-0.21496718842338852</v>
      </c>
      <c r="BN23" s="117">
        <v>3.5127419999999998</v>
      </c>
      <c r="BO23">
        <f t="shared" si="10"/>
        <v>-3</v>
      </c>
      <c r="BP23" s="117">
        <f>AW23-BN23</f>
        <v>-2.5127419999999998</v>
      </c>
      <c r="BQ23" s="23">
        <v>-0.28299999999999997</v>
      </c>
      <c r="BR23" s="23">
        <f>(BP23-BP$51)/BP$52</f>
        <v>-0.25479906328065233</v>
      </c>
      <c r="BS23">
        <v>7</v>
      </c>
      <c r="BT23" s="23">
        <f t="shared" si="11"/>
        <v>-0.24125355625232628</v>
      </c>
      <c r="BU23">
        <v>0</v>
      </c>
      <c r="BV23" s="117">
        <f t="shared" si="4"/>
        <v>2.7616765000000001</v>
      </c>
      <c r="BW23">
        <v>1</v>
      </c>
      <c r="BX23" s="117">
        <f t="shared" si="5"/>
        <v>3.5407475000000002</v>
      </c>
      <c r="BY23" s="117">
        <f t="shared" si="12"/>
        <v>-2.5407475000000002</v>
      </c>
      <c r="BZ23" s="117">
        <f>D23*BU$53</f>
        <v>1.7853560682046137</v>
      </c>
      <c r="CA23" s="117">
        <f>BU23-BZ23</f>
        <v>-1.7853560682046137</v>
      </c>
      <c r="CB23" s="23">
        <f t="shared" si="13"/>
        <v>0.19500483735877258</v>
      </c>
      <c r="CC23" s="26">
        <f>(CA23-CA$50)/CA$51</f>
        <v>-0.16245054342039444</v>
      </c>
      <c r="CD23" s="217">
        <f t="shared" si="14"/>
        <v>-2.7616765000000001</v>
      </c>
      <c r="CE23" s="26">
        <f t="shared" si="15"/>
        <v>0.20592084479725672</v>
      </c>
      <c r="CF23" s="26">
        <f t="shared" si="16"/>
        <v>-6.2383795832493066E-2</v>
      </c>
      <c r="CG23" s="26">
        <f t="shared" si="17"/>
        <v>-4.6912902142480686E-2</v>
      </c>
      <c r="CH23" s="26">
        <f>(0.6*BL23)+(0.4*CC23)</f>
        <v>-0.20028712231371165</v>
      </c>
      <c r="CI23">
        <v>2</v>
      </c>
      <c r="CJ23">
        <f>BS23-CI23</f>
        <v>5</v>
      </c>
      <c r="CK23" s="23">
        <v>-0.157</v>
      </c>
      <c r="CL23" s="23">
        <v>-0.23300000000000001</v>
      </c>
      <c r="CM23" s="23">
        <f>(0.6*BR23)+(0.4*CK23)</f>
        <v>-0.2156794379683914</v>
      </c>
      <c r="CN23" s="34">
        <v>0</v>
      </c>
      <c r="CO23" s="75">
        <v>0</v>
      </c>
      <c r="CP23">
        <v>450</v>
      </c>
      <c r="CQ23" s="34">
        <v>0</v>
      </c>
      <c r="CR23" s="34">
        <v>0</v>
      </c>
      <c r="CS23" s="34">
        <f>D23*CQ$52</f>
        <v>1445.8224674022065</v>
      </c>
      <c r="CT23" s="34">
        <f t="shared" si="6"/>
        <v>3300</v>
      </c>
      <c r="CU23" s="34">
        <f t="shared" si="18"/>
        <v>-3300</v>
      </c>
      <c r="CV23" s="34">
        <f>CQ23-CS23</f>
        <v>-1445.8224674022065</v>
      </c>
      <c r="CW23" s="36">
        <f t="shared" si="19"/>
        <v>-0.13379150405843923</v>
      </c>
      <c r="CX23" s="36">
        <f>(CV23-CV$50)/CV$51</f>
        <v>-4.9630461676027735E-2</v>
      </c>
      <c r="CY23" s="34">
        <v>467.0899</v>
      </c>
      <c r="CZ23">
        <f>CN23-CP23</f>
        <v>-450</v>
      </c>
      <c r="DA23" s="34">
        <f>CO23-CY23</f>
        <v>-467.0899</v>
      </c>
      <c r="DB23" s="23">
        <v>6.0000000000000001E-3</v>
      </c>
      <c r="DC23" s="23">
        <f>(DA23-DA$51)/DA$52</f>
        <v>-2.003551496437397E-2</v>
      </c>
      <c r="DD23" s="26">
        <f>(0.6*CH23)+(0.4*CX23)</f>
        <v>-0.14002445805863808</v>
      </c>
      <c r="DE23" s="23">
        <f t="shared" si="21"/>
        <v>-8.166434290886411E-2</v>
      </c>
      <c r="DF23" s="23">
        <f t="shared" si="22"/>
        <v>-5.7282462169906935E-2</v>
      </c>
    </row>
    <row r="24" spans="1:110" hidden="1" x14ac:dyDescent="0.25">
      <c r="A24" s="7" t="s">
        <v>76</v>
      </c>
      <c r="B24" s="7" t="s">
        <v>79</v>
      </c>
      <c r="C24" s="32">
        <v>4</v>
      </c>
      <c r="D24" s="32">
        <v>4</v>
      </c>
      <c r="E24" s="8">
        <v>4</v>
      </c>
      <c r="F24" s="8">
        <v>0</v>
      </c>
      <c r="G24" s="8">
        <v>36</v>
      </c>
      <c r="K24" s="67"/>
      <c r="L24" s="47"/>
      <c r="M24" s="47"/>
      <c r="N24" s="67"/>
      <c r="O24" s="67"/>
      <c r="P24" s="47"/>
      <c r="Q24" s="47"/>
      <c r="R24" s="67"/>
      <c r="S24" s="68"/>
      <c r="T24" s="68"/>
      <c r="U24" s="68"/>
      <c r="V24" s="67"/>
      <c r="W24" s="67"/>
      <c r="X24" s="67"/>
      <c r="Y24" s="214"/>
      <c r="Z24" s="214"/>
      <c r="AA24" s="214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23"/>
      <c r="AN24" s="23"/>
      <c r="AO24" s="23"/>
      <c r="AP24" s="23"/>
      <c r="AQ24" s="23"/>
      <c r="AR24" s="16"/>
      <c r="BC24" s="117">
        <f t="shared" si="1"/>
        <v>5.7459439999999997</v>
      </c>
      <c r="BD24" s="117">
        <f t="shared" si="2"/>
        <v>3.3181067999999998</v>
      </c>
      <c r="BE24" s="117">
        <f t="shared" si="7"/>
        <v>-3.3181067999999998</v>
      </c>
      <c r="BF24" s="117">
        <f t="shared" si="8"/>
        <v>-5.7459439999999997</v>
      </c>
      <c r="BG24" s="117"/>
      <c r="BK24" s="23">
        <f t="shared" si="9"/>
        <v>-0.15842932100693655</v>
      </c>
      <c r="BL24" s="23"/>
      <c r="BT24" s="23">
        <f t="shared" si="11"/>
        <v>-0.20261687568014197</v>
      </c>
      <c r="BV24" s="117">
        <f t="shared" si="4"/>
        <v>2.2093411999999999</v>
      </c>
      <c r="BX24" s="117">
        <f t="shared" si="5"/>
        <v>2.8325979999999999</v>
      </c>
      <c r="BY24" s="117">
        <f t="shared" si="12"/>
        <v>-2.8325979999999999</v>
      </c>
      <c r="BZ24" s="117"/>
      <c r="CA24" s="117"/>
      <c r="CB24" s="23">
        <f t="shared" si="13"/>
        <v>0.18000195182723969</v>
      </c>
      <c r="CC24" s="23"/>
      <c r="CD24" s="217">
        <f t="shared" si="14"/>
        <v>-2.2093411999999999</v>
      </c>
      <c r="CE24" s="26">
        <f t="shared" si="15"/>
        <v>0.23643306512741899</v>
      </c>
      <c r="CF24" s="26">
        <f t="shared" si="16"/>
        <v>-2.6996899357117576E-2</v>
      </c>
      <c r="CG24" s="26">
        <f t="shared" si="17"/>
        <v>-2.3056811873266053E-2</v>
      </c>
      <c r="CH24" s="26"/>
      <c r="CN24" s="34"/>
      <c r="CO24" s="75">
        <v>0</v>
      </c>
      <c r="CT24" s="34">
        <f t="shared" si="6"/>
        <v>2640</v>
      </c>
      <c r="CU24" s="34">
        <f t="shared" si="18"/>
        <v>-2640</v>
      </c>
      <c r="CW24" s="36">
        <f t="shared" si="19"/>
        <v>-0.12544384307219691</v>
      </c>
      <c r="CX24" s="36"/>
      <c r="DC24" s="23"/>
      <c r="DD24" s="26"/>
      <c r="DE24" s="23">
        <f t="shared" si="21"/>
        <v>-6.40116243528384E-2</v>
      </c>
      <c r="DF24" s="23">
        <f t="shared" si="22"/>
        <v>-1.6198139614270544E-2</v>
      </c>
    </row>
    <row r="25" spans="1:110" hidden="1" x14ac:dyDescent="0.25">
      <c r="A25" s="9" t="s">
        <v>83</v>
      </c>
      <c r="B25" s="9" t="s">
        <v>91</v>
      </c>
      <c r="C25" s="32">
        <f t="shared" si="0"/>
        <v>44</v>
      </c>
      <c r="D25" s="32">
        <v>0</v>
      </c>
      <c r="E25">
        <v>0</v>
      </c>
      <c r="F25">
        <v>0</v>
      </c>
      <c r="G25">
        <v>44</v>
      </c>
      <c r="K25" s="67"/>
      <c r="L25" s="47"/>
      <c r="M25" s="47"/>
      <c r="N25" s="67"/>
      <c r="O25" s="67"/>
      <c r="P25" s="47"/>
      <c r="Q25" s="47"/>
      <c r="R25" s="67"/>
      <c r="S25" s="68"/>
      <c r="T25" s="68"/>
      <c r="U25" s="68"/>
      <c r="V25" s="67"/>
      <c r="W25" s="67"/>
      <c r="X25" s="67"/>
      <c r="Y25" s="214"/>
      <c r="Z25" s="214"/>
      <c r="AA25" s="214"/>
      <c r="AB25" s="58" t="e">
        <f>(0.6*AE25)+(0.4*#REF!)</f>
        <v>#REF!</v>
      </c>
      <c r="AC25" s="58">
        <v>6.2770000000000001</v>
      </c>
      <c r="AD25" s="58">
        <f>AC25/G25</f>
        <v>0.1426590909090909</v>
      </c>
      <c r="AE25" s="58">
        <f>AD25/AD51</f>
        <v>9.1948491430964022E-2</v>
      </c>
      <c r="AF25" s="58"/>
      <c r="AG25" s="58"/>
      <c r="AH25" s="58"/>
      <c r="AI25" s="58"/>
      <c r="AJ25" s="58"/>
      <c r="AK25" s="58"/>
      <c r="AL25" s="58"/>
      <c r="AM25" s="23"/>
      <c r="AN25" s="23"/>
      <c r="AO25" s="23"/>
      <c r="AP25" s="23"/>
      <c r="AQ25" s="23"/>
      <c r="AR25" s="16"/>
      <c r="BC25" s="117">
        <f t="shared" si="1"/>
        <v>0</v>
      </c>
      <c r="BD25" s="117">
        <f t="shared" si="2"/>
        <v>0</v>
      </c>
      <c r="BE25" s="117">
        <f t="shared" si="7"/>
        <v>0</v>
      </c>
      <c r="BF25" s="117">
        <f t="shared" si="8"/>
        <v>0</v>
      </c>
      <c r="BG25" s="117"/>
      <c r="BK25" s="23">
        <f t="shared" si="9"/>
        <v>4.0618975538582076E-2</v>
      </c>
      <c r="BL25" s="23"/>
      <c r="BT25" s="23">
        <f t="shared" si="11"/>
        <v>-4.8070153391404691E-2</v>
      </c>
      <c r="BV25" s="117">
        <f t="shared" si="4"/>
        <v>0</v>
      </c>
      <c r="BX25" s="117">
        <f t="shared" si="5"/>
        <v>0</v>
      </c>
      <c r="BY25" s="117">
        <f t="shared" si="12"/>
        <v>0</v>
      </c>
      <c r="BZ25" s="117"/>
      <c r="CA25" s="117"/>
      <c r="CB25" s="23">
        <f t="shared" si="13"/>
        <v>0.32561466638777348</v>
      </c>
      <c r="CC25" s="23"/>
      <c r="CD25" s="217">
        <f t="shared" si="14"/>
        <v>0</v>
      </c>
      <c r="CE25" s="26">
        <f t="shared" si="15"/>
        <v>0.35848194644806808</v>
      </c>
      <c r="CF25" s="26">
        <f t="shared" si="16"/>
        <v>0.11455068654438444</v>
      </c>
      <c r="CG25" s="26">
        <f t="shared" si="17"/>
        <v>0.15461725187825864</v>
      </c>
      <c r="CH25" s="26"/>
      <c r="CN25" s="34"/>
      <c r="CO25" s="75">
        <v>0</v>
      </c>
      <c r="CT25" s="34">
        <f t="shared" si="6"/>
        <v>0</v>
      </c>
      <c r="CU25" s="34">
        <f t="shared" si="18"/>
        <v>0</v>
      </c>
      <c r="CW25" s="36">
        <f t="shared" si="19"/>
        <v>-9.205319912722762E-2</v>
      </c>
      <c r="CX25" s="36"/>
      <c r="DC25" s="23"/>
      <c r="DD25" s="26"/>
      <c r="DE25" s="23">
        <f t="shared" si="21"/>
        <v>5.5949071476064136E-2</v>
      </c>
      <c r="DF25" s="23">
        <f t="shared" si="22"/>
        <v>6.8730411926630666E-2</v>
      </c>
    </row>
    <row r="26" spans="1:110" x14ac:dyDescent="0.25">
      <c r="A26" s="7" t="s">
        <v>92</v>
      </c>
      <c r="B26" s="7" t="s">
        <v>95</v>
      </c>
      <c r="C26" s="10">
        <v>15</v>
      </c>
      <c r="D26" s="10">
        <v>13</v>
      </c>
      <c r="E26" s="11">
        <v>12</v>
      </c>
      <c r="F26" s="11">
        <v>3</v>
      </c>
      <c r="G26" s="30">
        <v>1</v>
      </c>
      <c r="H26" s="26">
        <v>-9.9000000000000005E-2</v>
      </c>
      <c r="I26" s="26">
        <v>3.082592133968097E-2</v>
      </c>
      <c r="J26" s="26">
        <f>(0.6*CM26)+(0.4*DC26)</f>
        <v>-0.10917313225473156</v>
      </c>
      <c r="K26" s="67"/>
      <c r="L26" s="47"/>
      <c r="M26" s="47"/>
      <c r="N26" s="67"/>
      <c r="O26" s="67"/>
      <c r="P26" s="47"/>
      <c r="Q26" s="47"/>
      <c r="R26" s="67">
        <v>0</v>
      </c>
      <c r="S26" s="65">
        <f>X26*AS$36</f>
        <v>1304.3841713323684</v>
      </c>
      <c r="T26" s="68"/>
      <c r="U26" s="68"/>
      <c r="V26" s="67"/>
      <c r="W26" s="67"/>
      <c r="X26" s="67">
        <f>D26*AL26</f>
        <v>0.38622042616022839</v>
      </c>
      <c r="Y26" s="214"/>
      <c r="Z26" s="214"/>
      <c r="AA26" s="214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>
        <f>DF26/AU$26</f>
        <v>2.9709263550786798E-2</v>
      </c>
      <c r="AM26" s="23"/>
      <c r="AN26" s="23"/>
      <c r="AO26" s="23"/>
      <c r="AP26" s="23"/>
      <c r="AQ26" s="23"/>
      <c r="AR26" s="67"/>
      <c r="AS26" s="290" t="s">
        <v>471</v>
      </c>
      <c r="AU26" s="25">
        <f>SUM(DF3,DF4,DF26,DF29,DF36,DF46,DF47,DF48)</f>
        <v>5.0408319735427414</v>
      </c>
      <c r="AV26">
        <v>11</v>
      </c>
      <c r="AW26">
        <v>11</v>
      </c>
      <c r="AX26">
        <f>AV26-AW26</f>
        <v>0</v>
      </c>
      <c r="AY26">
        <v>10</v>
      </c>
      <c r="AZ26">
        <v>22</v>
      </c>
      <c r="BA26">
        <v>29</v>
      </c>
      <c r="BB26">
        <v>22</v>
      </c>
      <c r="BC26" s="117">
        <f t="shared" si="1"/>
        <v>18.674318</v>
      </c>
      <c r="BD26" s="117">
        <f t="shared" si="2"/>
        <v>10.783847099999999</v>
      </c>
      <c r="BE26" s="117">
        <f t="shared" si="7"/>
        <v>11.216152900000001</v>
      </c>
      <c r="BF26" s="117">
        <f t="shared" si="8"/>
        <v>10.325682</v>
      </c>
      <c r="BG26" s="117">
        <f>D26*AZ$53</f>
        <v>12.491474423269809</v>
      </c>
      <c r="BH26">
        <v>13</v>
      </c>
      <c r="BI26" s="117">
        <f>AZ26-BG26</f>
        <v>9.5085255767301913</v>
      </c>
      <c r="BJ26">
        <f>AZ26-BH26</f>
        <v>9</v>
      </c>
      <c r="BK26" s="25">
        <f t="shared" si="9"/>
        <v>0.39831640746112146</v>
      </c>
      <c r="BL26" s="25">
        <f t="shared" ref="BL26:BM29" si="24">(BI26-BI$50)/BI$51</f>
        <v>0.44631505180370595</v>
      </c>
      <c r="BM26" s="25">
        <f t="shared" si="24"/>
        <v>0.44405630893298509</v>
      </c>
      <c r="BN26" s="117">
        <v>10.538225000000001</v>
      </c>
      <c r="BO26">
        <f t="shared" si="10"/>
        <v>1</v>
      </c>
      <c r="BP26" s="117">
        <f>AW26-BN26</f>
        <v>0.46177499999999938</v>
      </c>
      <c r="BQ26" s="23">
        <v>-0.127</v>
      </c>
      <c r="BR26" s="23">
        <f>(BP26-BP$51)/BP$52</f>
        <v>-0.12218912608094178</v>
      </c>
      <c r="BS26">
        <v>0</v>
      </c>
      <c r="BT26" s="25">
        <f t="shared" si="11"/>
        <v>0.47434210512429931</v>
      </c>
      <c r="BU26">
        <v>3</v>
      </c>
      <c r="BV26" s="117">
        <f t="shared" si="4"/>
        <v>7.1803588999999999</v>
      </c>
      <c r="BW26">
        <v>3</v>
      </c>
      <c r="BX26" s="117">
        <f t="shared" si="5"/>
        <v>9.2059435000000001</v>
      </c>
      <c r="BY26" s="117">
        <f t="shared" si="12"/>
        <v>-6.2059435000000001</v>
      </c>
      <c r="BZ26" s="117">
        <f>D26*BU$53</f>
        <v>4.6419257773319957</v>
      </c>
      <c r="CA26" s="117">
        <f>BU26-BZ26</f>
        <v>-1.6419257773319957</v>
      </c>
      <c r="CB26" s="23">
        <f t="shared" si="13"/>
        <v>6.5915365810377061E-3</v>
      </c>
      <c r="CC26" s="23">
        <f>(CA26-CA$50)/CA$51</f>
        <v>-0.14939974133662118</v>
      </c>
      <c r="CD26" s="217">
        <f t="shared" si="14"/>
        <v>-4.1803588999999999</v>
      </c>
      <c r="CE26" s="26">
        <f t="shared" si="15"/>
        <v>0.12754969964806312</v>
      </c>
      <c r="CF26" s="25">
        <f t="shared" si="16"/>
        <v>0.3356251429338048</v>
      </c>
      <c r="CG26" s="26">
        <f t="shared" si="17"/>
        <v>0.24162645910908795</v>
      </c>
      <c r="CH26" s="26">
        <f>(0.6*BL26)+(0.4*CC26)</f>
        <v>0.2080291345475751</v>
      </c>
      <c r="CI26">
        <v>5</v>
      </c>
      <c r="CJ26">
        <f>BS26-CI26</f>
        <v>-5</v>
      </c>
      <c r="CK26" s="23">
        <v>-0.157</v>
      </c>
      <c r="CL26" s="23">
        <v>-0.13900000000000001</v>
      </c>
      <c r="CM26" s="23">
        <f>(0.6*BR26)+(0.4*CK26)</f>
        <v>-0.13611347564856507</v>
      </c>
      <c r="CN26" s="34">
        <v>0</v>
      </c>
      <c r="CO26" s="75">
        <v>0</v>
      </c>
      <c r="CP26">
        <v>2986</v>
      </c>
      <c r="CQ26" s="34">
        <v>0</v>
      </c>
      <c r="CR26" s="34">
        <v>0</v>
      </c>
      <c r="CS26" s="34">
        <f>D26*CQ$52</f>
        <v>3759.1384152457372</v>
      </c>
      <c r="CT26" s="34">
        <f t="shared" si="6"/>
        <v>8580</v>
      </c>
      <c r="CU26" s="34">
        <f t="shared" si="18"/>
        <v>-8580</v>
      </c>
      <c r="CV26" s="34">
        <f>CQ26-CS26</f>
        <v>-3759.1384152457372</v>
      </c>
      <c r="CW26" s="36">
        <f t="shared" si="19"/>
        <v>-0.20057279194837779</v>
      </c>
      <c r="CX26" s="36">
        <f>(CV26-CV$50)/CV$51</f>
        <v>-0.12903920035767208</v>
      </c>
      <c r="CY26" s="34">
        <v>3312.5003999999999</v>
      </c>
      <c r="CZ26">
        <f>CN26-CP26</f>
        <v>-2986</v>
      </c>
      <c r="DA26" s="34">
        <f t="shared" ref="DA26:DA39" si="25">CO26-CY26</f>
        <v>-3312.5003999999999</v>
      </c>
      <c r="DB26" s="23">
        <v>-3.7999999999999999E-2</v>
      </c>
      <c r="DC26" s="23">
        <f>(DA26-DA$51)/DA$52</f>
        <v>-6.8762617163981299E-2</v>
      </c>
      <c r="DD26" s="26">
        <f>(0.6*CH26)+(0.4*CX26)</f>
        <v>7.320180058547622E-2</v>
      </c>
      <c r="DE26" s="23">
        <f t="shared" si="21"/>
        <v>6.4746758686101635E-2</v>
      </c>
      <c r="DF26" s="25">
        <f t="shared" si="22"/>
        <v>0.14975940561721404</v>
      </c>
    </row>
    <row r="27" spans="1:110" x14ac:dyDescent="0.25">
      <c r="A27" s="7" t="s">
        <v>99</v>
      </c>
      <c r="B27" s="7" t="s">
        <v>100</v>
      </c>
      <c r="C27" s="10">
        <f t="shared" si="0"/>
        <v>91</v>
      </c>
      <c r="D27" s="10">
        <v>77</v>
      </c>
      <c r="E27">
        <v>73</v>
      </c>
      <c r="F27">
        <v>18</v>
      </c>
      <c r="G27">
        <v>0</v>
      </c>
      <c r="H27" s="26">
        <v>-0.34200000000000003</v>
      </c>
      <c r="I27" s="26">
        <v>-0.75866005394727487</v>
      </c>
      <c r="J27" s="26">
        <f>(0.6*CM27)+(0.4*DC27)</f>
        <v>-0.44575615019410397</v>
      </c>
      <c r="K27" s="68"/>
      <c r="L27" s="47" t="e">
        <f>C27*Q27</f>
        <v>#REF!</v>
      </c>
      <c r="M27" s="47"/>
      <c r="N27" s="67"/>
      <c r="O27" s="67"/>
      <c r="P27" s="47"/>
      <c r="Q27" s="47" t="e">
        <f>#REF!/AT2</f>
        <v>#REF!</v>
      </c>
      <c r="R27" s="67"/>
      <c r="S27" s="68"/>
      <c r="T27" s="68"/>
      <c r="U27" s="65" t="e">
        <f>SUM(V27:W27)</f>
        <v>#DIV/0!</v>
      </c>
      <c r="V27" s="67"/>
      <c r="W27" s="66" t="e">
        <f>AK27*AS$32</f>
        <v>#DIV/0!</v>
      </c>
      <c r="X27" s="67"/>
      <c r="Y27" s="214"/>
      <c r="Z27" s="214"/>
      <c r="AA27" s="214"/>
      <c r="AB27" s="58"/>
      <c r="AC27" s="58"/>
      <c r="AD27" s="58"/>
      <c r="AE27" s="58"/>
      <c r="AF27" s="58"/>
      <c r="AG27" s="58"/>
      <c r="AH27" s="58"/>
      <c r="AI27" s="58"/>
      <c r="AJ27" s="58"/>
      <c r="AK27" s="58" t="e">
        <f>D27*AQ27</f>
        <v>#DIV/0!</v>
      </c>
      <c r="AL27" s="58"/>
      <c r="AM27" s="23"/>
      <c r="AN27" s="23"/>
      <c r="AO27" s="23"/>
      <c r="AP27" s="23"/>
      <c r="AQ27" s="23" t="e">
        <f>CW27/AU$22</f>
        <v>#DIV/0!</v>
      </c>
      <c r="AR27" s="309"/>
      <c r="AV27">
        <v>35</v>
      </c>
      <c r="AW27">
        <v>35</v>
      </c>
      <c r="AX27">
        <f>AV27-AW27</f>
        <v>0</v>
      </c>
      <c r="AY27">
        <v>62</v>
      </c>
      <c r="AZ27">
        <v>56</v>
      </c>
      <c r="BA27">
        <v>69</v>
      </c>
      <c r="BB27">
        <v>53</v>
      </c>
      <c r="BC27" s="117">
        <f t="shared" si="1"/>
        <v>110.609422</v>
      </c>
      <c r="BD27" s="117">
        <f t="shared" si="2"/>
        <v>63.873555899999999</v>
      </c>
      <c r="BE27" s="117">
        <f t="shared" si="7"/>
        <v>-10.873555899999999</v>
      </c>
      <c r="BF27" s="117">
        <f t="shared" si="8"/>
        <v>-41.609421999999995</v>
      </c>
      <c r="BG27" s="117">
        <f>D27*AZ$53</f>
        <v>73.987963891675022</v>
      </c>
      <c r="BH27">
        <v>75</v>
      </c>
      <c r="BI27" s="117">
        <f>AZ27-BG27</f>
        <v>-17.987963891675022</v>
      </c>
      <c r="BJ27">
        <f>AZ27-BH27</f>
        <v>-19</v>
      </c>
      <c r="BK27" s="23">
        <f t="shared" si="9"/>
        <v>-1.4007951018251419</v>
      </c>
      <c r="BL27" s="23">
        <f t="shared" si="24"/>
        <v>-0.84432638597549159</v>
      </c>
      <c r="BM27" s="23">
        <f t="shared" si="24"/>
        <v>-0.87399068577976213</v>
      </c>
      <c r="BN27" s="117">
        <v>63.931901000000003</v>
      </c>
      <c r="BO27">
        <f t="shared" si="10"/>
        <v>-27</v>
      </c>
      <c r="BP27" s="117">
        <f>AW27-BN27</f>
        <v>-28.931901000000003</v>
      </c>
      <c r="BQ27" s="23">
        <v>-1.218</v>
      </c>
      <c r="BR27" s="23">
        <f>(BP27-BP$51)/BP$52</f>
        <v>-1.4326181901705539</v>
      </c>
      <c r="BS27">
        <v>14</v>
      </c>
      <c r="BT27" s="23">
        <f t="shared" si="11"/>
        <v>-0.5545253476510833</v>
      </c>
      <c r="BU27">
        <v>23</v>
      </c>
      <c r="BV27" s="117">
        <f t="shared" si="4"/>
        <v>42.5298181</v>
      </c>
      <c r="BW27">
        <v>25</v>
      </c>
      <c r="BX27" s="117">
        <f t="shared" si="5"/>
        <v>54.527511499999996</v>
      </c>
      <c r="BY27" s="117">
        <f t="shared" si="12"/>
        <v>-29.527511499999996</v>
      </c>
      <c r="BZ27" s="117">
        <f>D27*BU$53</f>
        <v>27.494483450351051</v>
      </c>
      <c r="CA27" s="117">
        <f>BU27-BZ27</f>
        <v>-4.4944834503510513</v>
      </c>
      <c r="CB27" s="23">
        <f t="shared" si="13"/>
        <v>-1.192278484610843</v>
      </c>
      <c r="CC27" s="23">
        <f>(CA27-CA$50)/CA$51</f>
        <v>-0.40895555340830742</v>
      </c>
      <c r="CD27" s="217">
        <f t="shared" si="14"/>
        <v>-19.5298181</v>
      </c>
      <c r="CE27" s="26">
        <f t="shared" si="15"/>
        <v>-0.72038828486829176</v>
      </c>
      <c r="CF27" s="26">
        <f t="shared" si="16"/>
        <v>-0.62087052253796671</v>
      </c>
      <c r="CG27" s="26">
        <f t="shared" si="17"/>
        <v>-1.3173884549394224</v>
      </c>
      <c r="CH27" s="26">
        <f>(0.6*BL27)+(0.4*CC27)</f>
        <v>-0.67017805294861799</v>
      </c>
      <c r="CI27">
        <v>29</v>
      </c>
      <c r="CJ27">
        <f>BS27-CI27</f>
        <v>-15</v>
      </c>
      <c r="CK27" s="23">
        <v>-2.2320000000000002</v>
      </c>
      <c r="CL27" s="23">
        <v>-1.623</v>
      </c>
      <c r="CM27" s="23">
        <f>(0.6*BR27)+(0.4*CK27)</f>
        <v>-1.7523709141023325</v>
      </c>
      <c r="CN27" s="34">
        <v>156955</v>
      </c>
      <c r="CO27" s="75">
        <v>156955.01</v>
      </c>
      <c r="CP27">
        <v>66647</v>
      </c>
      <c r="CQ27" s="34">
        <v>0</v>
      </c>
      <c r="CR27" s="34">
        <v>156955</v>
      </c>
      <c r="CS27" s="34">
        <f>D27*CQ$52</f>
        <v>22265.66599799398</v>
      </c>
      <c r="CT27" s="34">
        <f t="shared" si="6"/>
        <v>50820</v>
      </c>
      <c r="CU27" s="34">
        <f t="shared" si="18"/>
        <v>106135</v>
      </c>
      <c r="CV27" s="34">
        <f>CQ27-CS27</f>
        <v>-22265.66599799398</v>
      </c>
      <c r="CW27" s="225">
        <f t="shared" si="19"/>
        <v>1.2503392232588764</v>
      </c>
      <c r="CX27" s="36">
        <f>(CV27-CV$50)/CV$51</f>
        <v>-0.76430910981082656</v>
      </c>
      <c r="CY27" s="34">
        <v>67832.674499999994</v>
      </c>
      <c r="CZ27">
        <f>CN27-CP27</f>
        <v>90308</v>
      </c>
      <c r="DA27" s="34">
        <f t="shared" si="25"/>
        <v>89122.335500000016</v>
      </c>
      <c r="DB27" s="23">
        <v>1.579</v>
      </c>
      <c r="DC27" s="23">
        <f>(DA27-DA$51)/DA$52</f>
        <v>1.5141659956682387</v>
      </c>
      <c r="DD27" s="26">
        <f>(0.6*CH27)+(0.4*CX27)</f>
        <v>-0.70783047569350144</v>
      </c>
      <c r="DE27" s="23">
        <f t="shared" si="21"/>
        <v>-0.29029738366010283</v>
      </c>
      <c r="DF27" s="23">
        <f t="shared" si="22"/>
        <v>-0.67824595744711069</v>
      </c>
    </row>
    <row r="28" spans="1:110" x14ac:dyDescent="0.25">
      <c r="A28" s="7" t="s">
        <v>106</v>
      </c>
      <c r="B28" s="7" t="s">
        <v>100</v>
      </c>
      <c r="C28" s="10">
        <f t="shared" si="0"/>
        <v>37</v>
      </c>
      <c r="D28" s="10">
        <v>32</v>
      </c>
      <c r="E28" s="8">
        <v>37</v>
      </c>
      <c r="F28" s="8">
        <v>0</v>
      </c>
      <c r="G28">
        <v>0</v>
      </c>
      <c r="H28" s="26">
        <v>-2.5000000000000001E-2</v>
      </c>
      <c r="I28" s="26">
        <v>-0.17012974843516976</v>
      </c>
      <c r="J28" s="26">
        <f>(0.6*CM28)+(0.4*DC28)</f>
        <v>4.4658654994686464E-5</v>
      </c>
      <c r="N28" s="37"/>
      <c r="O28" s="37"/>
      <c r="R28" s="37"/>
      <c r="S28" s="60"/>
      <c r="T28" s="60"/>
      <c r="U28" s="68"/>
      <c r="V28" s="67"/>
      <c r="W28" s="67"/>
      <c r="X28" s="67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23"/>
      <c r="AN28" s="23"/>
      <c r="AO28" s="23"/>
      <c r="AP28" s="23"/>
      <c r="AQ28" s="23"/>
      <c r="AR28" s="67"/>
      <c r="AS28" s="16"/>
      <c r="AV28">
        <v>19</v>
      </c>
      <c r="AW28">
        <v>23</v>
      </c>
      <c r="AX28">
        <f>AV28-AW28</f>
        <v>-4</v>
      </c>
      <c r="AY28">
        <v>25</v>
      </c>
      <c r="AZ28">
        <v>30</v>
      </c>
      <c r="BA28">
        <v>40</v>
      </c>
      <c r="BB28">
        <v>25</v>
      </c>
      <c r="BC28" s="117">
        <f t="shared" si="1"/>
        <v>45.967551999999998</v>
      </c>
      <c r="BD28" s="117">
        <f t="shared" si="2"/>
        <v>26.544854399999998</v>
      </c>
      <c r="BE28" s="117">
        <f t="shared" si="7"/>
        <v>-1.5448543999999984</v>
      </c>
      <c r="BF28" s="117">
        <f t="shared" si="8"/>
        <v>-5.9675519999999977</v>
      </c>
      <c r="BG28" s="117">
        <f>D28*AZ$53</f>
        <v>30.748244734202608</v>
      </c>
      <c r="BH28">
        <v>31</v>
      </c>
      <c r="BI28" s="117">
        <f>AZ28-BG28</f>
        <v>-0.74824473420260773</v>
      </c>
      <c r="BJ28">
        <f>AZ28-BH28</f>
        <v>-1</v>
      </c>
      <c r="BK28" s="23">
        <f t="shared" si="9"/>
        <v>-0.16610616138353243</v>
      </c>
      <c r="BL28" s="23">
        <f t="shared" si="24"/>
        <v>-3.5121416523793754E-2</v>
      </c>
      <c r="BM28" s="23">
        <f t="shared" si="24"/>
        <v>-2.6674760607281786E-2</v>
      </c>
      <c r="BN28" s="117">
        <v>25.994288999999998</v>
      </c>
      <c r="BO28">
        <f t="shared" si="10"/>
        <v>-6</v>
      </c>
      <c r="BP28" s="117">
        <f>AW28-BN28</f>
        <v>-2.9942889999999984</v>
      </c>
      <c r="BQ28" s="23">
        <v>-0.4</v>
      </c>
      <c r="BR28" s="23">
        <f>(BP28-BP$51)/BP$52</f>
        <v>-0.27626739492196045</v>
      </c>
      <c r="BS28">
        <v>31</v>
      </c>
      <c r="BT28" s="23">
        <f t="shared" si="11"/>
        <v>-0.12002449311709816</v>
      </c>
      <c r="BU28">
        <v>11</v>
      </c>
      <c r="BV28" s="117">
        <f t="shared" si="4"/>
        <v>17.674729599999999</v>
      </c>
      <c r="BW28">
        <v>36</v>
      </c>
      <c r="BX28" s="117">
        <f t="shared" si="5"/>
        <v>22.660784</v>
      </c>
      <c r="BY28" s="117">
        <f t="shared" si="12"/>
        <v>13.339216</v>
      </c>
      <c r="BZ28" s="117">
        <f>D28*BU$53</f>
        <v>11.426278836509528</v>
      </c>
      <c r="CA28" s="117">
        <f>BU28-BZ28</f>
        <v>-0.42627883650952825</v>
      </c>
      <c r="CB28" s="23">
        <f t="shared" si="13"/>
        <v>1.0113312600834923</v>
      </c>
      <c r="CC28" s="23">
        <f>(CA28-CA$50)/CA$51</f>
        <v>-3.8787348850375047E-2</v>
      </c>
      <c r="CD28" s="217">
        <f t="shared" si="14"/>
        <v>-6.6747295999999992</v>
      </c>
      <c r="CE28" s="26">
        <f t="shared" si="15"/>
        <v>-1.0244839979407843E-2</v>
      </c>
      <c r="CF28" s="26">
        <f t="shared" si="16"/>
        <v>-7.6112631862022037E-2</v>
      </c>
      <c r="CG28" s="26">
        <f t="shared" si="17"/>
        <v>0.30486880720327747</v>
      </c>
      <c r="CH28" s="26">
        <f>(0.6*BL28)+(0.4*CC28)</f>
        <v>-3.658778945442627E-2</v>
      </c>
      <c r="CI28">
        <v>12</v>
      </c>
      <c r="CJ28">
        <f>BS28-CI28</f>
        <v>19</v>
      </c>
      <c r="CK28" s="23">
        <v>0.88</v>
      </c>
      <c r="CL28" s="23">
        <v>0.112</v>
      </c>
      <c r="CM28" s="23">
        <f>(0.6*BR28)+(0.4*CK28)</f>
        <v>0.18623956304682376</v>
      </c>
      <c r="CN28" s="34">
        <v>0</v>
      </c>
      <c r="CO28" s="75">
        <v>0</v>
      </c>
      <c r="CP28">
        <v>14142</v>
      </c>
      <c r="CQ28" s="34">
        <v>0</v>
      </c>
      <c r="CR28" s="34">
        <v>0</v>
      </c>
      <c r="CS28" s="34">
        <f>D28*CQ$52</f>
        <v>9253.2637913741219</v>
      </c>
      <c r="CT28" s="34">
        <f t="shared" si="6"/>
        <v>21120</v>
      </c>
      <c r="CU28" s="34">
        <f t="shared" si="18"/>
        <v>-21120</v>
      </c>
      <c r="CV28" s="34">
        <f>CQ28-CS28</f>
        <v>-9253.2637913741219</v>
      </c>
      <c r="CW28" s="36">
        <f t="shared" si="19"/>
        <v>-0.35917835068698184</v>
      </c>
      <c r="CX28" s="36">
        <f>(CV28-CV$50)/CV$51</f>
        <v>-0.31763495472657732</v>
      </c>
      <c r="CY28" s="34">
        <v>15603.7394</v>
      </c>
      <c r="CZ28">
        <f>CN28-CP28</f>
        <v>-14142</v>
      </c>
      <c r="DA28" s="34">
        <f t="shared" si="25"/>
        <v>-15603.7394</v>
      </c>
      <c r="DB28" s="23">
        <v>-0.23100000000000001</v>
      </c>
      <c r="DC28" s="23">
        <f>(DA28-DA$51)/DA$52</f>
        <v>-0.2792476979327489</v>
      </c>
      <c r="DD28" s="26">
        <f>(0.6*CH28)+(0.4*CX28)</f>
        <v>-0.14900665556328671</v>
      </c>
      <c r="DE28" s="23">
        <f t="shared" si="21"/>
        <v>3.9249944047173718E-2</v>
      </c>
      <c r="DF28" s="23">
        <f t="shared" si="22"/>
        <v>-0.17272156100784417</v>
      </c>
    </row>
    <row r="29" spans="1:110" x14ac:dyDescent="0.25">
      <c r="A29" s="9" t="s">
        <v>106</v>
      </c>
      <c r="B29" s="9" t="s">
        <v>108</v>
      </c>
      <c r="C29" s="10">
        <f t="shared" si="0"/>
        <v>29</v>
      </c>
      <c r="D29" s="10">
        <v>19</v>
      </c>
      <c r="E29" s="8">
        <v>29</v>
      </c>
      <c r="F29" s="8">
        <v>0</v>
      </c>
      <c r="G29">
        <v>0</v>
      </c>
      <c r="H29" s="25">
        <v>0.308</v>
      </c>
      <c r="I29" s="25">
        <v>0.37227880206691533</v>
      </c>
      <c r="J29" s="25">
        <f>(0.6*CM29)+(0.4*DC29)</f>
        <v>0.31329403568950831</v>
      </c>
      <c r="K29" s="66">
        <f>P29*AS$6</f>
        <v>0</v>
      </c>
      <c r="L29" s="47"/>
      <c r="M29" s="66" t="e">
        <f>Y29*AS$8</f>
        <v>#DIV/0!</v>
      </c>
      <c r="N29" s="37" t="e">
        <f>Z29*AS$2</f>
        <v>#DIV/0!</v>
      </c>
      <c r="O29" s="37" t="e">
        <f>N29-K29</f>
        <v>#DIV/0!</v>
      </c>
      <c r="P29" s="47">
        <f>C28*AA29</f>
        <v>1.9644888812273744</v>
      </c>
      <c r="Q29" s="47"/>
      <c r="R29" s="67">
        <v>6314.8738883338719</v>
      </c>
      <c r="S29" s="65">
        <f>X29*AS$36</f>
        <v>2513.0653602950051</v>
      </c>
      <c r="T29" s="65" t="e">
        <f>AI29*AS$17</f>
        <v>#DIV/0!</v>
      </c>
      <c r="U29" s="65" t="e">
        <f>SUM(V29:W29)</f>
        <v>#DIV/0!</v>
      </c>
      <c r="V29" s="66" t="e">
        <f>AJ29*AS$31</f>
        <v>#DIV/0!</v>
      </c>
      <c r="W29" s="67"/>
      <c r="X29" s="67">
        <f>D29*AL29</f>
        <v>0.74410376617053287</v>
      </c>
      <c r="Y29" s="58" t="e">
        <f>D29*AM29</f>
        <v>#DIV/0!</v>
      </c>
      <c r="Z29" s="58" t="e">
        <f>C29*AN29</f>
        <v>#DIV/0!</v>
      </c>
      <c r="AA29" s="214">
        <f>H29/AT$3</f>
        <v>5.3094294087226337E-2</v>
      </c>
      <c r="AB29" s="58"/>
      <c r="AC29" s="58"/>
      <c r="AD29" s="58"/>
      <c r="AE29" s="58"/>
      <c r="AF29" s="58"/>
      <c r="AG29" s="58"/>
      <c r="AH29" s="58"/>
      <c r="AI29" s="58" t="e">
        <f>D29*AO29</f>
        <v>#DIV/0!</v>
      </c>
      <c r="AJ29" s="58" t="e">
        <f>D29*AP29</f>
        <v>#DIV/0!</v>
      </c>
      <c r="AK29" s="58"/>
      <c r="AL29" s="58">
        <f>DF29/AU$26</f>
        <v>3.9163356114238573E-2</v>
      </c>
      <c r="AM29" s="23" t="e">
        <f>I29/AU$6</f>
        <v>#DIV/0!</v>
      </c>
      <c r="AN29" s="23" t="e">
        <f>J29/AU$3</f>
        <v>#DIV/0!</v>
      </c>
      <c r="AO29" s="23" t="e">
        <f>DE29/AU$8</f>
        <v>#DIV/0!</v>
      </c>
      <c r="AP29" s="23" t="e">
        <f>CG29/AU$19</f>
        <v>#DIV/0!</v>
      </c>
      <c r="AQ29" s="23"/>
      <c r="AR29" s="16"/>
      <c r="AS29" s="16"/>
      <c r="AV29">
        <v>30</v>
      </c>
      <c r="AW29">
        <v>30</v>
      </c>
      <c r="AX29">
        <f>AV29-AW29</f>
        <v>0</v>
      </c>
      <c r="AY29">
        <v>20</v>
      </c>
      <c r="AZ29">
        <v>31</v>
      </c>
      <c r="BA29">
        <v>49</v>
      </c>
      <c r="BB29">
        <v>22</v>
      </c>
      <c r="BC29" s="117">
        <f t="shared" si="1"/>
        <v>27.293233999999998</v>
      </c>
      <c r="BD29" s="117">
        <f t="shared" si="2"/>
        <v>15.761007299999999</v>
      </c>
      <c r="BE29" s="117">
        <f t="shared" si="7"/>
        <v>6.2389927000000007</v>
      </c>
      <c r="BF29" s="117">
        <f t="shared" si="8"/>
        <v>21.706766000000002</v>
      </c>
      <c r="BG29" s="117">
        <f>D29*AZ$53</f>
        <v>18.256770310932797</v>
      </c>
      <c r="BH29">
        <v>18</v>
      </c>
      <c r="BI29" s="117">
        <f>AZ29-BG29</f>
        <v>12.743229689067203</v>
      </c>
      <c r="BJ29">
        <f>AZ29-BH29</f>
        <v>13</v>
      </c>
      <c r="BK29" s="25">
        <f t="shared" si="9"/>
        <v>0.79257458036386075</v>
      </c>
      <c r="BL29" s="25">
        <f t="shared" si="24"/>
        <v>0.59814691278123244</v>
      </c>
      <c r="BM29" s="25">
        <f t="shared" si="24"/>
        <v>0.63234873674909176</v>
      </c>
      <c r="BN29" s="117">
        <v>20.373902000000001</v>
      </c>
      <c r="BO29">
        <f t="shared" si="10"/>
        <v>10</v>
      </c>
      <c r="BP29" s="117">
        <f>AW29-BN29</f>
        <v>9.6260979999999989</v>
      </c>
      <c r="BQ29" s="23">
        <v>0.224</v>
      </c>
      <c r="BR29" s="23">
        <f>(BP29-BP$51)/BP$52</f>
        <v>0.28637478446583386</v>
      </c>
      <c r="BS29">
        <v>21</v>
      </c>
      <c r="BT29" s="25">
        <f t="shared" si="11"/>
        <v>0.24252202169119338</v>
      </c>
      <c r="BU29">
        <v>18</v>
      </c>
      <c r="BV29" s="117">
        <f t="shared" si="4"/>
        <v>10.494370699999999</v>
      </c>
      <c r="BW29">
        <v>29</v>
      </c>
      <c r="BX29" s="117">
        <f t="shared" si="5"/>
        <v>13.4548405</v>
      </c>
      <c r="BY29" s="117">
        <f t="shared" si="12"/>
        <v>15.5451595</v>
      </c>
      <c r="BZ29" s="117">
        <f>D29*BU$53</f>
        <v>6.7843530591775325</v>
      </c>
      <c r="CA29" s="117">
        <f>BU29-BZ29</f>
        <v>11.215646940822467</v>
      </c>
      <c r="CB29" s="25">
        <f t="shared" si="13"/>
        <v>1.1247301332035624</v>
      </c>
      <c r="CC29" s="25">
        <f>(CA29-CA$50)/CA$51</f>
        <v>1.0205179643409272</v>
      </c>
      <c r="CD29" s="217">
        <f t="shared" si="14"/>
        <v>7.5056293000000007</v>
      </c>
      <c r="CE29" s="26">
        <f t="shared" si="15"/>
        <v>0.77310946512761214</v>
      </c>
      <c r="CF29" s="25">
        <f t="shared" si="16"/>
        <v>0.45475699906576089</v>
      </c>
      <c r="CG29" s="25">
        <f t="shared" si="17"/>
        <v>0.92543680149974139</v>
      </c>
      <c r="CH29" s="25">
        <f>(0.6*BL29)+(0.4*CC29)</f>
        <v>0.76709533340511038</v>
      </c>
      <c r="CI29">
        <v>9</v>
      </c>
      <c r="CJ29">
        <f>BS29-CI29</f>
        <v>12</v>
      </c>
      <c r="CK29" s="23">
        <v>1.1910000000000001</v>
      </c>
      <c r="CL29" s="23">
        <v>0.61099999999999999</v>
      </c>
      <c r="CM29" s="23">
        <f>(0.6*BR29)+(0.4*CK29)</f>
        <v>0.64822487067950041</v>
      </c>
      <c r="CN29" s="34">
        <v>0</v>
      </c>
      <c r="CO29" s="75">
        <v>0</v>
      </c>
      <c r="CP29">
        <v>9295</v>
      </c>
      <c r="CQ29" s="34">
        <v>0</v>
      </c>
      <c r="CR29" s="34">
        <v>0</v>
      </c>
      <c r="CS29" s="34">
        <f>D29*CQ$52</f>
        <v>5494.1253761283851</v>
      </c>
      <c r="CT29" s="34">
        <f t="shared" si="6"/>
        <v>12540</v>
      </c>
      <c r="CU29" s="34">
        <f t="shared" si="18"/>
        <v>-12540</v>
      </c>
      <c r="CV29" s="34">
        <f>CQ29-CS29</f>
        <v>-5494.1253761283851</v>
      </c>
      <c r="CW29" s="36">
        <f t="shared" si="19"/>
        <v>-0.25065875786583169</v>
      </c>
      <c r="CX29" s="36">
        <f>(CV29-CV$50)/CV$51</f>
        <v>-0.18859575436890533</v>
      </c>
      <c r="CY29" s="34">
        <v>10339.709999999999</v>
      </c>
      <c r="CZ29">
        <f>CN29-CP29</f>
        <v>-9295</v>
      </c>
      <c r="DA29" s="34">
        <f t="shared" si="25"/>
        <v>-10339.709999999999</v>
      </c>
      <c r="DB29" s="23">
        <v>-0.14699999999999999</v>
      </c>
      <c r="DC29" s="23">
        <f>(DA29-DA$51)/DA$52</f>
        <v>-0.1891022167954797</v>
      </c>
      <c r="DD29" s="25">
        <f>(0.6*CH29)+(0.4*CX29)</f>
        <v>0.38481889829550409</v>
      </c>
      <c r="DE29" s="25">
        <f t="shared" si="21"/>
        <v>0.45499857775351216</v>
      </c>
      <c r="DF29" s="25">
        <f t="shared" si="22"/>
        <v>0.19741589769189441</v>
      </c>
    </row>
    <row r="30" spans="1:110" hidden="1" x14ac:dyDescent="0.25">
      <c r="A30" s="9" t="s">
        <v>106</v>
      </c>
      <c r="B30" s="9" t="s">
        <v>110</v>
      </c>
      <c r="C30" s="32">
        <f t="shared" si="0"/>
        <v>2</v>
      </c>
      <c r="D30" s="32">
        <v>2</v>
      </c>
      <c r="E30" s="8">
        <v>0</v>
      </c>
      <c r="F30" s="8">
        <v>2</v>
      </c>
      <c r="G30">
        <v>0</v>
      </c>
      <c r="K30" s="67"/>
      <c r="L30" s="47"/>
      <c r="M30" s="47"/>
      <c r="N30" s="67"/>
      <c r="O30" s="67"/>
      <c r="P30" s="47"/>
      <c r="Q30" s="47"/>
      <c r="R30" s="67"/>
      <c r="S30" s="68"/>
      <c r="T30" s="68"/>
      <c r="U30" s="68"/>
      <c r="V30" s="67"/>
      <c r="W30" s="67"/>
      <c r="X30" s="67"/>
      <c r="Y30" s="214"/>
      <c r="Z30" s="214"/>
      <c r="AA30" s="214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23"/>
      <c r="AN30" s="23"/>
      <c r="AO30" s="23"/>
      <c r="AP30" s="23"/>
      <c r="AQ30" s="23"/>
      <c r="AR30" s="16"/>
      <c r="AS30" s="16"/>
      <c r="BC30" s="117">
        <f t="shared" si="1"/>
        <v>2.8729719999999999</v>
      </c>
      <c r="BD30" s="117">
        <f t="shared" si="2"/>
        <v>1.6590533999999999</v>
      </c>
      <c r="BE30" s="117">
        <f t="shared" si="7"/>
        <v>-1.6590533999999999</v>
      </c>
      <c r="BF30" s="117">
        <f t="shared" si="8"/>
        <v>-2.8729719999999999</v>
      </c>
      <c r="BG30" s="117"/>
      <c r="BK30" s="23">
        <f t="shared" si="9"/>
        <v>-5.8905172734177232E-2</v>
      </c>
      <c r="BL30" s="23"/>
      <c r="BT30" s="23">
        <f t="shared" si="11"/>
        <v>-0.12534351453577333</v>
      </c>
      <c r="BV30" s="117">
        <f t="shared" si="4"/>
        <v>1.1046705999999999</v>
      </c>
      <c r="BX30" s="117">
        <f t="shared" si="5"/>
        <v>1.416299</v>
      </c>
      <c r="BY30" s="117">
        <f t="shared" si="12"/>
        <v>-1.416299</v>
      </c>
      <c r="BZ30" s="117"/>
      <c r="CA30" s="117"/>
      <c r="CB30" s="23">
        <f t="shared" si="13"/>
        <v>0.25280830910750662</v>
      </c>
      <c r="CC30" s="23"/>
      <c r="CD30" s="217">
        <f t="shared" si="14"/>
        <v>-1.1046705999999999</v>
      </c>
      <c r="CE30" s="26">
        <f t="shared" si="15"/>
        <v>0.29745750578774355</v>
      </c>
      <c r="CF30" s="26">
        <f t="shared" si="16"/>
        <v>4.3776893593633431E-2</v>
      </c>
      <c r="CG30" s="26">
        <f t="shared" si="17"/>
        <v>6.5780220002496309E-2</v>
      </c>
      <c r="CH30" s="26"/>
      <c r="CN30" s="34"/>
      <c r="CO30" s="75">
        <v>0</v>
      </c>
      <c r="CT30" s="34">
        <f t="shared" si="6"/>
        <v>1320</v>
      </c>
      <c r="CU30" s="34">
        <f t="shared" si="18"/>
        <v>-1320</v>
      </c>
      <c r="CW30" s="36">
        <f t="shared" si="19"/>
        <v>-0.10874852109971227</v>
      </c>
      <c r="CX30" s="36"/>
      <c r="DC30" s="23"/>
      <c r="DD30" s="26"/>
      <c r="DE30" s="23">
        <f t="shared" si="21"/>
        <v>-4.0312764383871255E-3</v>
      </c>
      <c r="DF30" s="23">
        <f t="shared" si="22"/>
        <v>2.6266136156180057E-2</v>
      </c>
    </row>
    <row r="31" spans="1:110" x14ac:dyDescent="0.25">
      <c r="A31" s="7" t="s">
        <v>111</v>
      </c>
      <c r="B31" s="7" t="s">
        <v>100</v>
      </c>
      <c r="C31" s="10">
        <f t="shared" si="0"/>
        <v>98</v>
      </c>
      <c r="D31" s="10">
        <v>96</v>
      </c>
      <c r="E31" s="8">
        <v>79</v>
      </c>
      <c r="F31" s="8">
        <v>19</v>
      </c>
      <c r="G31" s="8">
        <v>0</v>
      </c>
      <c r="H31" s="26">
        <v>-0.153</v>
      </c>
      <c r="I31" s="26">
        <v>-0.84461889415694547</v>
      </c>
      <c r="J31" s="26">
        <f t="shared" ref="J31:J39" si="26">(0.6*CM31)+(0.4*DC31)</f>
        <v>-0.24710557522448529</v>
      </c>
      <c r="K31" s="67"/>
      <c r="L31" s="47"/>
      <c r="M31" s="47"/>
      <c r="N31" s="67"/>
      <c r="O31" s="67"/>
      <c r="P31" s="47"/>
      <c r="Q31" s="47"/>
      <c r="R31" s="67"/>
      <c r="S31" s="68"/>
      <c r="T31" s="68"/>
      <c r="U31" s="68"/>
      <c r="V31" s="67"/>
      <c r="W31" s="67"/>
      <c r="X31" s="67"/>
      <c r="Y31" s="214"/>
      <c r="Z31" s="214"/>
      <c r="AA31" s="214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23"/>
      <c r="AN31" s="23"/>
      <c r="AO31" s="23"/>
      <c r="AP31" s="23"/>
      <c r="AQ31" s="23"/>
      <c r="AR31" s="309"/>
      <c r="AS31" s="134"/>
      <c r="AV31">
        <v>48</v>
      </c>
      <c r="AW31">
        <v>47</v>
      </c>
      <c r="AX31">
        <f t="shared" ref="AX31:AX39" si="27">AV31-AW31</f>
        <v>1</v>
      </c>
      <c r="AY31">
        <v>67</v>
      </c>
      <c r="AZ31">
        <v>52</v>
      </c>
      <c r="BA31">
        <v>80</v>
      </c>
      <c r="BB31">
        <v>46</v>
      </c>
      <c r="BC31" s="117">
        <f t="shared" si="1"/>
        <v>137.90265599999998</v>
      </c>
      <c r="BD31" s="117">
        <f t="shared" si="2"/>
        <v>79.634563200000002</v>
      </c>
      <c r="BE31" s="117">
        <f t="shared" si="7"/>
        <v>-33.634563200000002</v>
      </c>
      <c r="BF31" s="117">
        <f t="shared" si="8"/>
        <v>-57.902655999999979</v>
      </c>
      <c r="BG31" s="117">
        <f>D31*AZ$53</f>
        <v>92.244734202607816</v>
      </c>
      <c r="BH31">
        <v>93</v>
      </c>
      <c r="BI31" s="117">
        <f>AZ31-BG31</f>
        <v>-40.244734202607816</v>
      </c>
      <c r="BJ31">
        <f>AZ31-BH31</f>
        <v>-41</v>
      </c>
      <c r="BK31" s="23">
        <f t="shared" si="9"/>
        <v>-1.9652176706697955</v>
      </c>
      <c r="BL31" s="23">
        <f>(BI31-BI$50)/BI$51</f>
        <v>-1.8890237487945034</v>
      </c>
      <c r="BM31" s="23">
        <f>(BJ31-BJ$50)/BJ$51</f>
        <v>-1.9095990387683492</v>
      </c>
      <c r="BN31" s="117">
        <v>68.849739</v>
      </c>
      <c r="BO31">
        <f t="shared" si="10"/>
        <v>-19</v>
      </c>
      <c r="BP31" s="117">
        <f t="shared" ref="BP31:BP39" si="28">AW31-BN31</f>
        <v>-21.849739</v>
      </c>
      <c r="BQ31" s="23">
        <v>-0.90600000000000003</v>
      </c>
      <c r="BR31" s="23">
        <f t="shared" ref="BR31:BR39" si="29">(BP31-BP$51)/BP$52</f>
        <v>-1.1168811955397695</v>
      </c>
      <c r="BS31">
        <v>38</v>
      </c>
      <c r="BT31" s="23">
        <f t="shared" si="11"/>
        <v>-1.6146597213261629</v>
      </c>
      <c r="BU31">
        <v>20</v>
      </c>
      <c r="BV31" s="117">
        <f t="shared" si="4"/>
        <v>53.024188799999997</v>
      </c>
      <c r="BW31">
        <v>32</v>
      </c>
      <c r="BX31" s="117">
        <f t="shared" si="5"/>
        <v>67.982351999999992</v>
      </c>
      <c r="BY31" s="117">
        <f t="shared" si="12"/>
        <v>-35.982351999999992</v>
      </c>
      <c r="BZ31" s="117">
        <f>D31*BU$53</f>
        <v>34.278836509528588</v>
      </c>
      <c r="CA31" s="117">
        <f>BU31-BZ31</f>
        <v>-14.278836509528588</v>
      </c>
      <c r="CB31" s="23">
        <f t="shared" si="13"/>
        <v>-1.5240964295717139</v>
      </c>
      <c r="CC31" s="23">
        <f>(CA31-CA$50)/CA$51</f>
        <v>-1.2992392899622112</v>
      </c>
      <c r="CD31" s="217">
        <f t="shared" si="14"/>
        <v>-33.024188799999997</v>
      </c>
      <c r="CE31" s="26">
        <f t="shared" si="15"/>
        <v>-1.4658470886334791</v>
      </c>
      <c r="CF31" s="26">
        <f t="shared" si="16"/>
        <v>-1.5551346682490894</v>
      </c>
      <c r="CG31" s="26">
        <f t="shared" si="17"/>
        <v>-1.7887691742305629</v>
      </c>
      <c r="CH31" s="26">
        <f>(0.6*BL31)+(0.4*CC31)</f>
        <v>-1.6531099652615866</v>
      </c>
      <c r="CI31">
        <v>31</v>
      </c>
      <c r="CJ31">
        <f t="shared" ref="CJ31:CJ39" si="30">BS31-CI31</f>
        <v>7</v>
      </c>
      <c r="CK31" s="23">
        <v>-0.78</v>
      </c>
      <c r="CL31" s="23">
        <v>-0.85599999999999998</v>
      </c>
      <c r="CM31" s="23">
        <f t="shared" ref="CM31:CM39" si="31">(0.6*BR31)+(0.4*CK31)</f>
        <v>-0.98212871732386176</v>
      </c>
      <c r="CN31" s="34">
        <v>126921</v>
      </c>
      <c r="CO31" s="75">
        <v>126921</v>
      </c>
      <c r="CP31">
        <v>75723</v>
      </c>
      <c r="CQ31" s="34">
        <v>52725</v>
      </c>
      <c r="CR31" s="34">
        <v>58601</v>
      </c>
      <c r="CS31" s="34">
        <f>D31*CQ$52</f>
        <v>27759.791374122367</v>
      </c>
      <c r="CT31" s="34">
        <f t="shared" si="6"/>
        <v>63360</v>
      </c>
      <c r="CU31" s="34">
        <f t="shared" si="18"/>
        <v>-4759</v>
      </c>
      <c r="CV31" s="34">
        <f>CQ31-CS31</f>
        <v>24965.208625877633</v>
      </c>
      <c r="CW31" s="36">
        <f t="shared" si="19"/>
        <v>-0.15224489402651126</v>
      </c>
      <c r="CX31" s="225">
        <f>(CV31-CV$50)/CV$51</f>
        <v>0.85697577529480651</v>
      </c>
      <c r="CY31" s="34">
        <v>76265.486600000004</v>
      </c>
      <c r="CZ31">
        <f t="shared" ref="CZ31:CZ39" si="32">CN31-CP31</f>
        <v>51198</v>
      </c>
      <c r="DA31" s="34">
        <f t="shared" si="25"/>
        <v>50655.513399999996</v>
      </c>
      <c r="DB31" s="23">
        <v>0.90100000000000002</v>
      </c>
      <c r="DC31" s="23">
        <f t="shared" ref="DC31:DC39" si="33">(DA31-DA$51)/DA$52</f>
        <v>0.8554291379245792</v>
      </c>
      <c r="DD31" s="26">
        <f t="shared" ref="DD31:DD39" si="34">(0.6*CH31)+(0.4*CX31)</f>
        <v>-0.64907566903902936</v>
      </c>
      <c r="DE31" s="23">
        <f t="shared" si="21"/>
        <v>-1.1341594621489424</v>
      </c>
      <c r="DF31" s="23">
        <f t="shared" si="22"/>
        <v>-0.59029049083153096</v>
      </c>
    </row>
    <row r="32" spans="1:110" x14ac:dyDescent="0.25">
      <c r="A32" s="9" t="s">
        <v>111</v>
      </c>
      <c r="B32" s="9" t="s">
        <v>107</v>
      </c>
      <c r="C32" s="10">
        <v>7</v>
      </c>
      <c r="D32" s="10">
        <v>5</v>
      </c>
      <c r="E32" s="8">
        <v>7</v>
      </c>
      <c r="F32" s="8">
        <v>0</v>
      </c>
      <c r="G32" s="8">
        <v>15</v>
      </c>
      <c r="H32" s="26">
        <v>-8.6999999999999994E-2</v>
      </c>
      <c r="I32" s="26">
        <v>1.4588523078287067E-2</v>
      </c>
      <c r="J32" s="26">
        <f t="shared" si="26"/>
        <v>-8.9773186164436469E-2</v>
      </c>
      <c r="K32" s="68"/>
      <c r="L32" s="47" t="e">
        <f>C31*Q32</f>
        <v>#REF!</v>
      </c>
      <c r="M32" s="47"/>
      <c r="N32" s="67"/>
      <c r="O32" s="67"/>
      <c r="P32" s="47"/>
      <c r="Q32" s="47" t="e">
        <f>#REF!/AT2</f>
        <v>#REF!</v>
      </c>
      <c r="R32" s="67"/>
      <c r="S32" s="68"/>
      <c r="T32" s="68"/>
      <c r="U32" s="68"/>
      <c r="V32" s="67"/>
      <c r="W32" s="67"/>
      <c r="X32" s="67"/>
      <c r="Y32" s="214"/>
      <c r="Z32" s="214"/>
      <c r="AA32" s="214"/>
      <c r="AB32" s="58" t="e">
        <f>(0.6*AE32)+(0.4*#REF!)</f>
        <v>#REF!</v>
      </c>
      <c r="AC32" s="58">
        <v>1.0129999999999999</v>
      </c>
      <c r="AD32" s="58">
        <f>AC32/G32</f>
        <v>6.753333333333332E-2</v>
      </c>
      <c r="AE32" s="58">
        <f>AD32/AD51</f>
        <v>4.3527461739269586E-2</v>
      </c>
      <c r="AF32" s="58"/>
      <c r="AG32" s="58"/>
      <c r="AH32" s="58"/>
      <c r="AI32" s="58"/>
      <c r="AJ32" s="58"/>
      <c r="AK32" s="58"/>
      <c r="AL32" s="58"/>
      <c r="AM32" s="23"/>
      <c r="AN32" s="23"/>
      <c r="AO32" s="23"/>
      <c r="AP32" s="23"/>
      <c r="AQ32" s="23"/>
      <c r="AR32" s="309"/>
      <c r="AS32" s="134"/>
      <c r="AV32">
        <v>4</v>
      </c>
      <c r="AW32">
        <v>4</v>
      </c>
      <c r="AX32">
        <f t="shared" si="27"/>
        <v>0</v>
      </c>
      <c r="AY32">
        <v>5</v>
      </c>
      <c r="AZ32">
        <v>4</v>
      </c>
      <c r="BA32">
        <v>7</v>
      </c>
      <c r="BB32">
        <v>4</v>
      </c>
      <c r="BC32" s="117">
        <f t="shared" si="1"/>
        <v>7.1824300000000001</v>
      </c>
      <c r="BD32" s="117">
        <f t="shared" si="2"/>
        <v>4.1476334999999995</v>
      </c>
      <c r="BE32" s="117">
        <f t="shared" si="7"/>
        <v>-0.14763349999999953</v>
      </c>
      <c r="BF32" s="117">
        <f t="shared" si="8"/>
        <v>-0.18243000000000009</v>
      </c>
      <c r="BG32" s="117">
        <f>D32*AZ$53</f>
        <v>4.8044132397191577</v>
      </c>
      <c r="BH32">
        <v>5</v>
      </c>
      <c r="BI32" s="117">
        <f>AZ32-BG32</f>
        <v>-0.80441323971915768</v>
      </c>
      <c r="BJ32">
        <f>AZ32-BH32</f>
        <v>-1</v>
      </c>
      <c r="BK32" s="23">
        <f t="shared" si="9"/>
        <v>3.4299321059039815E-2</v>
      </c>
      <c r="BL32" s="23">
        <f>(BI32-BI$50)/BI$51</f>
        <v>-3.7757876745419035E-2</v>
      </c>
      <c r="BM32" s="23">
        <f>(BJ32-BJ$50)/BJ$51</f>
        <v>-2.6674760607281786E-2</v>
      </c>
      <c r="BN32" s="117">
        <v>4.9178389999999998</v>
      </c>
      <c r="BO32">
        <f t="shared" si="10"/>
        <v>-1</v>
      </c>
      <c r="BP32" s="117">
        <f t="shared" si="28"/>
        <v>-0.91783899999999985</v>
      </c>
      <c r="BQ32" s="23">
        <v>-0.20499999999999999</v>
      </c>
      <c r="BR32" s="23">
        <f t="shared" si="29"/>
        <v>-0.18369508684695568</v>
      </c>
      <c r="BS32">
        <v>16</v>
      </c>
      <c r="BT32" s="23">
        <f t="shared" si="11"/>
        <v>-5.4946446078853517E-2</v>
      </c>
      <c r="BU32">
        <v>2</v>
      </c>
      <c r="BV32" s="117">
        <f t="shared" si="4"/>
        <v>2.7616765000000001</v>
      </c>
      <c r="BW32">
        <v>3</v>
      </c>
      <c r="BX32" s="117">
        <f t="shared" si="5"/>
        <v>3.5407475000000002</v>
      </c>
      <c r="BY32" s="117">
        <f t="shared" si="12"/>
        <v>-0.54074750000000016</v>
      </c>
      <c r="BZ32" s="117">
        <f>D32*BU$53</f>
        <v>1.7853560682046137</v>
      </c>
      <c r="CA32" s="117">
        <f>BU32-BZ32</f>
        <v>0.21464393179538632</v>
      </c>
      <c r="CB32" s="23">
        <f t="shared" si="13"/>
        <v>0.29781696570210531</v>
      </c>
      <c r="CC32" s="23">
        <f>(CA32-CA$50)/CA$51</f>
        <v>1.9530570950541819E-2</v>
      </c>
      <c r="CD32" s="217">
        <f t="shared" si="14"/>
        <v>-0.76167650000000009</v>
      </c>
      <c r="CE32" s="26">
        <f t="shared" si="15"/>
        <v>0.31640525645865974</v>
      </c>
      <c r="CF32" s="26">
        <f t="shared" si="16"/>
        <v>9.3594234936151793E-2</v>
      </c>
      <c r="CG32" s="26">
        <f t="shared" si="17"/>
        <v>0.13970637891626603</v>
      </c>
      <c r="CH32" s="26">
        <f>(0.6*BL32)+(0.4*CC32)</f>
        <v>-1.4842497667034694E-2</v>
      </c>
      <c r="CI32">
        <v>2</v>
      </c>
      <c r="CJ32">
        <f t="shared" si="30"/>
        <v>14</v>
      </c>
      <c r="CK32" s="23">
        <v>-5.3999999999999999E-2</v>
      </c>
      <c r="CL32" s="23">
        <v>-0.14399999999999999</v>
      </c>
      <c r="CM32" s="23">
        <f t="shared" si="31"/>
        <v>-0.1318170521081734</v>
      </c>
      <c r="CN32" s="34">
        <v>0</v>
      </c>
      <c r="CO32" s="75">
        <v>0</v>
      </c>
      <c r="CP32">
        <v>803</v>
      </c>
      <c r="CQ32" s="34">
        <v>4156</v>
      </c>
      <c r="CR32" s="34">
        <v>4156</v>
      </c>
      <c r="CS32" s="34">
        <f>D32*CQ$52</f>
        <v>1445.8224674022065</v>
      </c>
      <c r="CT32" s="34">
        <f t="shared" si="6"/>
        <v>3300</v>
      </c>
      <c r="CU32" s="34">
        <f t="shared" si="18"/>
        <v>856</v>
      </c>
      <c r="CV32" s="34">
        <f>CQ32-CS32</f>
        <v>2710.1775325977933</v>
      </c>
      <c r="CW32" s="36">
        <f t="shared" si="19"/>
        <v>-8.1226535787495155E-2</v>
      </c>
      <c r="CX32" s="225">
        <f>(CV32-CV$50)/CV$51</f>
        <v>9.3031727753202842E-2</v>
      </c>
      <c r="CY32" s="34">
        <v>856.69269999999995</v>
      </c>
      <c r="CZ32">
        <f t="shared" si="32"/>
        <v>-803</v>
      </c>
      <c r="DA32" s="34">
        <f t="shared" si="25"/>
        <v>-856.69269999999995</v>
      </c>
      <c r="DB32" s="23">
        <v>0</v>
      </c>
      <c r="DC32" s="23">
        <f t="shared" si="33"/>
        <v>-2.6707387248831052E-2</v>
      </c>
      <c r="DD32" s="26">
        <f t="shared" si="34"/>
        <v>2.830719250106032E-2</v>
      </c>
      <c r="DE32" s="23">
        <f t="shared" si="21"/>
        <v>5.133321303476155E-2</v>
      </c>
      <c r="DF32" s="23">
        <f t="shared" si="22"/>
        <v>9.3369232062972207E-2</v>
      </c>
    </row>
    <row r="33" spans="1:110" hidden="1" x14ac:dyDescent="0.25">
      <c r="A33" s="9" t="s">
        <v>114</v>
      </c>
      <c r="B33" s="9" t="s">
        <v>116</v>
      </c>
      <c r="C33" s="10">
        <v>5</v>
      </c>
      <c r="D33" s="32">
        <v>0</v>
      </c>
      <c r="E33" s="15">
        <v>5</v>
      </c>
      <c r="F33" s="15">
        <v>0</v>
      </c>
      <c r="G33">
        <v>8</v>
      </c>
      <c r="H33" s="26">
        <v>-0.109</v>
      </c>
      <c r="I33" s="26">
        <v>0</v>
      </c>
      <c r="J33" s="26">
        <f t="shared" si="26"/>
        <v>-0.12137234630922382</v>
      </c>
      <c r="K33" s="68"/>
      <c r="L33" s="47"/>
      <c r="M33" s="47"/>
      <c r="N33" s="67"/>
      <c r="O33" s="67"/>
      <c r="P33" s="47"/>
      <c r="Q33" s="47"/>
      <c r="R33" s="67"/>
      <c r="S33" s="68"/>
      <c r="T33" s="68"/>
      <c r="U33" s="68"/>
      <c r="V33" s="67"/>
      <c r="W33" s="67"/>
      <c r="X33" s="67"/>
      <c r="Y33" s="214"/>
      <c r="Z33" s="214"/>
      <c r="AA33" s="214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23"/>
      <c r="AN33" s="23"/>
      <c r="AO33" s="23"/>
      <c r="AP33" s="23"/>
      <c r="AQ33" s="23"/>
      <c r="AV33">
        <v>2</v>
      </c>
      <c r="AW33">
        <v>2</v>
      </c>
      <c r="AX33">
        <f t="shared" si="27"/>
        <v>0</v>
      </c>
      <c r="AY33">
        <v>3</v>
      </c>
      <c r="BC33" s="117">
        <f t="shared" si="1"/>
        <v>0</v>
      </c>
      <c r="BD33" s="117">
        <f t="shared" si="2"/>
        <v>0</v>
      </c>
      <c r="BE33" s="117">
        <f t="shared" si="7"/>
        <v>0</v>
      </c>
      <c r="BF33" s="117">
        <f t="shared" si="8"/>
        <v>0</v>
      </c>
      <c r="BG33" s="117"/>
      <c r="BK33" s="23">
        <f t="shared" si="9"/>
        <v>4.0618975538582076E-2</v>
      </c>
      <c r="BL33" s="23"/>
      <c r="BN33" s="117">
        <v>3.5127419999999998</v>
      </c>
      <c r="BO33">
        <f t="shared" si="10"/>
        <v>-1</v>
      </c>
      <c r="BP33" s="117">
        <f t="shared" si="28"/>
        <v>-1.5127419999999998</v>
      </c>
      <c r="BQ33" s="23">
        <v>-0.20499999999999999</v>
      </c>
      <c r="BR33" s="23">
        <f t="shared" si="29"/>
        <v>-0.21021705645409508</v>
      </c>
      <c r="BS33">
        <v>0</v>
      </c>
      <c r="BT33" s="23">
        <f t="shared" si="11"/>
        <v>-4.8070153391404691E-2</v>
      </c>
      <c r="BV33" s="117">
        <f t="shared" si="4"/>
        <v>0</v>
      </c>
      <c r="BX33" s="117">
        <f t="shared" si="5"/>
        <v>0</v>
      </c>
      <c r="BY33" s="117">
        <f t="shared" si="12"/>
        <v>0</v>
      </c>
      <c r="BZ33" s="117"/>
      <c r="CA33" s="117"/>
      <c r="CB33" s="23">
        <f t="shared" si="13"/>
        <v>0.32561466638777348</v>
      </c>
      <c r="CC33" s="23"/>
      <c r="CD33" s="217">
        <f t="shared" si="14"/>
        <v>0</v>
      </c>
      <c r="CE33" s="26">
        <f t="shared" si="15"/>
        <v>0.35848194644806808</v>
      </c>
      <c r="CF33" s="26">
        <f t="shared" si="16"/>
        <v>0.11455068654438444</v>
      </c>
      <c r="CG33" s="26">
        <f t="shared" si="17"/>
        <v>0.15461725187825864</v>
      </c>
      <c r="CH33" s="26"/>
      <c r="CI33">
        <v>2</v>
      </c>
      <c r="CJ33">
        <f t="shared" si="30"/>
        <v>-2</v>
      </c>
      <c r="CK33" s="23">
        <v>-0.157</v>
      </c>
      <c r="CL33" s="23">
        <v>-0.186</v>
      </c>
      <c r="CM33" s="23">
        <f t="shared" si="31"/>
        <v>-0.18893023387245705</v>
      </c>
      <c r="CN33" s="34">
        <v>0</v>
      </c>
      <c r="CO33" s="75">
        <v>0</v>
      </c>
      <c r="CP33">
        <v>450</v>
      </c>
      <c r="CT33" s="34">
        <f t="shared" si="6"/>
        <v>0</v>
      </c>
      <c r="CU33" s="34">
        <f t="shared" si="18"/>
        <v>0</v>
      </c>
      <c r="CW33" s="36">
        <f t="shared" si="19"/>
        <v>-9.205319912722762E-2</v>
      </c>
      <c r="CX33" s="36"/>
      <c r="CY33" s="34">
        <v>467.0899</v>
      </c>
      <c r="CZ33">
        <f t="shared" si="32"/>
        <v>-450</v>
      </c>
      <c r="DA33" s="34">
        <f t="shared" si="25"/>
        <v>-467.0899</v>
      </c>
      <c r="DB33" s="23">
        <v>6.0000000000000001E-3</v>
      </c>
      <c r="DC33" s="23">
        <f t="shared" si="33"/>
        <v>-2.003551496437397E-2</v>
      </c>
      <c r="DD33" s="26">
        <f t="shared" si="34"/>
        <v>0</v>
      </c>
      <c r="DE33" s="23">
        <f t="shared" si="21"/>
        <v>5.5949071476064136E-2</v>
      </c>
      <c r="DF33" s="23">
        <f t="shared" si="22"/>
        <v>6.8730411926630666E-2</v>
      </c>
    </row>
    <row r="34" spans="1:110" x14ac:dyDescent="0.25">
      <c r="A34" s="7" t="s">
        <v>114</v>
      </c>
      <c r="B34" s="7" t="s">
        <v>100</v>
      </c>
      <c r="C34" s="10">
        <v>187</v>
      </c>
      <c r="D34" s="10">
        <v>164</v>
      </c>
      <c r="E34" s="20">
        <v>153</v>
      </c>
      <c r="F34" s="20">
        <v>34</v>
      </c>
      <c r="G34">
        <v>19</v>
      </c>
      <c r="H34" s="26">
        <v>-1.403</v>
      </c>
      <c r="I34" s="26">
        <v>-1.3443515792625098</v>
      </c>
      <c r="J34" s="26">
        <f t="shared" si="26"/>
        <v>-1.1938559977783236</v>
      </c>
      <c r="K34" s="67"/>
      <c r="L34" s="47"/>
      <c r="M34" s="47"/>
      <c r="N34" s="67"/>
      <c r="O34" s="67"/>
      <c r="P34" s="47"/>
      <c r="Q34" s="47"/>
      <c r="R34" s="67"/>
      <c r="S34" s="68"/>
      <c r="T34" s="68"/>
      <c r="U34" s="68"/>
      <c r="V34" s="67"/>
      <c r="W34" s="67"/>
      <c r="X34" s="67"/>
      <c r="Y34" s="214"/>
      <c r="Z34" s="214"/>
      <c r="AA34" s="214"/>
      <c r="AB34" s="58" t="e">
        <f>(0.6*AE34)+(0.4*#REF!)</f>
        <v>#REF!</v>
      </c>
      <c r="AC34" s="58">
        <v>1.1919999999999999</v>
      </c>
      <c r="AD34" s="58">
        <f>AC34/G34</f>
        <v>6.273684210526316E-2</v>
      </c>
      <c r="AE34" s="58">
        <f>AD34/AD51</f>
        <v>4.0435964872351036E-2</v>
      </c>
      <c r="AF34" s="58"/>
      <c r="AG34" s="58"/>
      <c r="AH34" s="58"/>
      <c r="AI34" s="58"/>
      <c r="AJ34" s="58"/>
      <c r="AK34" s="58"/>
      <c r="AL34" s="58"/>
      <c r="AM34" s="23"/>
      <c r="AN34" s="23"/>
      <c r="AO34" s="23"/>
      <c r="AP34" s="23"/>
      <c r="AQ34" s="23"/>
      <c r="AV34">
        <v>167</v>
      </c>
      <c r="AW34">
        <v>168</v>
      </c>
      <c r="AX34">
        <f t="shared" si="27"/>
        <v>-1</v>
      </c>
      <c r="AY34">
        <v>127</v>
      </c>
      <c r="AZ34">
        <v>156</v>
      </c>
      <c r="BA34">
        <v>247</v>
      </c>
      <c r="BB34">
        <v>138</v>
      </c>
      <c r="BC34" s="117">
        <f t="shared" si="1"/>
        <v>235.58370399999998</v>
      </c>
      <c r="BD34" s="117">
        <f t="shared" si="2"/>
        <v>136.04237879999999</v>
      </c>
      <c r="BE34" s="117">
        <f t="shared" si="7"/>
        <v>1.9576212000000055</v>
      </c>
      <c r="BF34" s="117">
        <f t="shared" si="8"/>
        <v>11.416296000000017</v>
      </c>
      <c r="BG34" s="117">
        <f t="shared" ref="BG34:BG39" si="35">D34*AZ$53</f>
        <v>157.58475426278835</v>
      </c>
      <c r="BH34">
        <v>159</v>
      </c>
      <c r="BI34" s="117">
        <f t="shared" ref="BI34:BI39" si="36">AZ34-BG34</f>
        <v>-1.5847542627883513</v>
      </c>
      <c r="BJ34">
        <f t="shared" ref="BJ34:BJ39" si="37">AZ34-BH34</f>
        <v>-3</v>
      </c>
      <c r="BK34" s="25">
        <f t="shared" si="9"/>
        <v>0.43609694602688154</v>
      </c>
      <c r="BL34" s="23">
        <f t="shared" ref="BL34:BM39" si="38">(BI34-BI$50)/BI$51</f>
        <v>-7.4385841967283706E-2</v>
      </c>
      <c r="BM34" s="23">
        <f t="shared" si="38"/>
        <v>-0.12082097451533515</v>
      </c>
      <c r="BN34" s="117">
        <v>131.376543</v>
      </c>
      <c r="BO34">
        <f t="shared" si="10"/>
        <v>40</v>
      </c>
      <c r="BP34" s="117">
        <f t="shared" si="28"/>
        <v>36.623457000000002</v>
      </c>
      <c r="BQ34" s="23">
        <v>1.3919999999999999</v>
      </c>
      <c r="BR34" s="23">
        <f t="shared" si="29"/>
        <v>1.4899712277028512</v>
      </c>
      <c r="BS34">
        <v>53</v>
      </c>
      <c r="BT34" s="26">
        <f t="shared" si="11"/>
        <v>4.3109533755177044E-2</v>
      </c>
      <c r="BU34">
        <v>33</v>
      </c>
      <c r="BV34" s="117">
        <f t="shared" si="4"/>
        <v>90.5829892</v>
      </c>
      <c r="BW34">
        <v>56</v>
      </c>
      <c r="BX34" s="117">
        <f t="shared" si="5"/>
        <v>116.136518</v>
      </c>
      <c r="BY34" s="117">
        <f t="shared" si="12"/>
        <v>-60.136517999999995</v>
      </c>
      <c r="BZ34" s="117">
        <f t="shared" ref="BZ34:BZ39" si="39">D34*BU$53</f>
        <v>58.55967903711133</v>
      </c>
      <c r="CA34" s="117">
        <f t="shared" ref="CA34:CA39" si="40">BU34-BZ34</f>
        <v>-25.55967903711133</v>
      </c>
      <c r="CB34" s="23">
        <f t="shared" si="13"/>
        <v>-2.7657670369807956</v>
      </c>
      <c r="CC34" s="23">
        <f t="shared" ref="CC34:CC39" si="41">(CA34-CA$50)/CA$51</f>
        <v>-2.3256894370684895</v>
      </c>
      <c r="CD34" s="217">
        <f t="shared" si="14"/>
        <v>-57.5829892</v>
      </c>
      <c r="CE34" s="26">
        <f t="shared" si="15"/>
        <v>-2.822529395285394</v>
      </c>
      <c r="CF34" s="26">
        <f t="shared" si="16"/>
        <v>-1.1031460378610514</v>
      </c>
      <c r="CG34" s="26">
        <f t="shared" si="17"/>
        <v>-0.84464864717618937</v>
      </c>
      <c r="CH34" s="26">
        <f t="shared" ref="CH34:CH39" si="42">(0.6*BL34)+(0.4*CC34)</f>
        <v>-0.97490728000776605</v>
      </c>
      <c r="CI34">
        <v>59</v>
      </c>
      <c r="CJ34">
        <f t="shared" si="30"/>
        <v>-6</v>
      </c>
      <c r="CK34" s="23">
        <v>-1.298</v>
      </c>
      <c r="CL34" s="23">
        <v>0.316</v>
      </c>
      <c r="CM34" s="23">
        <f t="shared" si="31"/>
        <v>0.37478273662171069</v>
      </c>
      <c r="CN34" s="34">
        <v>0</v>
      </c>
      <c r="CO34" s="75">
        <v>0</v>
      </c>
      <c r="CP34">
        <v>230473</v>
      </c>
      <c r="CQ34" s="34">
        <v>0</v>
      </c>
      <c r="CR34" s="34">
        <v>0</v>
      </c>
      <c r="CS34" s="34">
        <f t="shared" ref="CS34:CS39" si="43">D34*CQ$52</f>
        <v>47422.976930792378</v>
      </c>
      <c r="CT34" s="34">
        <f t="shared" si="6"/>
        <v>108240</v>
      </c>
      <c r="CU34" s="34">
        <f t="shared" si="18"/>
        <v>-108240</v>
      </c>
      <c r="CV34" s="34">
        <f t="shared" ref="CV34:CV39" si="44">CQ34-CS34</f>
        <v>-47422.976930792378</v>
      </c>
      <c r="CW34" s="36">
        <f t="shared" si="19"/>
        <v>-1.4610696008709683</v>
      </c>
      <c r="CX34" s="36">
        <f t="shared" ref="CX34:CX39" si="45">(CV34-CV$50)/CV$51</f>
        <v>-1.6278791429737087</v>
      </c>
      <c r="CY34" s="34">
        <v>206412.70050000001</v>
      </c>
      <c r="CZ34">
        <f t="shared" si="32"/>
        <v>-230473</v>
      </c>
      <c r="DA34" s="34">
        <f t="shared" si="25"/>
        <v>-206412.70050000001</v>
      </c>
      <c r="DB34" s="23">
        <v>-3.98</v>
      </c>
      <c r="DC34" s="23">
        <f t="shared" si="33"/>
        <v>-3.5468140993783752</v>
      </c>
      <c r="DD34" s="26">
        <f t="shared" si="34"/>
        <v>-1.2360960251941431</v>
      </c>
      <c r="DE34" s="23">
        <f t="shared" si="21"/>
        <v>-1.091217028654101</v>
      </c>
      <c r="DF34" s="23">
        <f t="shared" si="22"/>
        <v>-1.3130392799061144</v>
      </c>
    </row>
    <row r="35" spans="1:110" x14ac:dyDescent="0.25">
      <c r="A35" s="7" t="s">
        <v>114</v>
      </c>
      <c r="B35" s="7" t="s">
        <v>117</v>
      </c>
      <c r="C35" s="10">
        <v>10</v>
      </c>
      <c r="D35" s="10">
        <v>18</v>
      </c>
      <c r="E35" s="15">
        <v>11</v>
      </c>
      <c r="F35" s="15">
        <v>0</v>
      </c>
      <c r="G35" s="28">
        <v>1</v>
      </c>
      <c r="H35" s="25">
        <v>0.51800000000000002</v>
      </c>
      <c r="I35" s="26">
        <v>0.13551634832837212</v>
      </c>
      <c r="J35" s="25">
        <f t="shared" si="26"/>
        <v>0.51469813433722256</v>
      </c>
      <c r="K35" s="66">
        <f>P35*AS$6</f>
        <v>0</v>
      </c>
      <c r="L35" s="47"/>
      <c r="M35" s="47"/>
      <c r="N35" s="37" t="e">
        <f>Z35*AS$2</f>
        <v>#DIV/0!</v>
      </c>
      <c r="O35" s="37" t="e">
        <f>N35-K35</f>
        <v>#DIV/0!</v>
      </c>
      <c r="P35" s="47">
        <f>C34*AA35</f>
        <v>16.698155490432683</v>
      </c>
      <c r="Q35" s="47"/>
      <c r="R35" s="67">
        <v>3593.1749849936355</v>
      </c>
      <c r="S35" s="60"/>
      <c r="T35" s="68"/>
      <c r="U35" s="68"/>
      <c r="V35" s="67"/>
      <c r="W35" s="67"/>
      <c r="X35" s="67"/>
      <c r="Y35" s="214"/>
      <c r="Z35" s="58" t="e">
        <f>C35*AN35</f>
        <v>#DIV/0!</v>
      </c>
      <c r="AA35" s="214">
        <f>H35/AT$3</f>
        <v>8.9294949146698846E-2</v>
      </c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23"/>
      <c r="AN35" s="23" t="e">
        <f>J35/AU$3</f>
        <v>#DIV/0!</v>
      </c>
      <c r="AO35" s="23"/>
      <c r="AP35" s="23"/>
      <c r="AQ35" s="23"/>
      <c r="AR35" s="290" t="s">
        <v>467</v>
      </c>
      <c r="AS35" s="138">
        <v>356817.4046543556</v>
      </c>
      <c r="AV35">
        <v>13</v>
      </c>
      <c r="AW35">
        <v>13</v>
      </c>
      <c r="AX35">
        <f t="shared" si="27"/>
        <v>0</v>
      </c>
      <c r="AY35">
        <v>7</v>
      </c>
      <c r="AZ35">
        <v>14</v>
      </c>
      <c r="BA35">
        <v>23</v>
      </c>
      <c r="BB35">
        <v>13</v>
      </c>
      <c r="BC35" s="117">
        <f t="shared" si="1"/>
        <v>25.856748</v>
      </c>
      <c r="BD35" s="117">
        <f t="shared" si="2"/>
        <v>14.931480599999999</v>
      </c>
      <c r="BE35" s="117">
        <f t="shared" si="7"/>
        <v>-1.9314805999999987</v>
      </c>
      <c r="BF35" s="117">
        <f t="shared" si="8"/>
        <v>-2.8567479999999996</v>
      </c>
      <c r="BG35" s="117">
        <f t="shared" si="35"/>
        <v>17.295887662988967</v>
      </c>
      <c r="BH35">
        <v>17</v>
      </c>
      <c r="BI35" s="117">
        <f t="shared" si="36"/>
        <v>-3.2958876629889673</v>
      </c>
      <c r="BJ35">
        <f t="shared" si="37"/>
        <v>-3</v>
      </c>
      <c r="BK35" s="23">
        <f t="shared" si="9"/>
        <v>-5.8343148537081939E-2</v>
      </c>
      <c r="BL35" s="23">
        <f t="shared" si="38"/>
        <v>-0.15470371943322553</v>
      </c>
      <c r="BM35" s="23">
        <f t="shared" si="38"/>
        <v>-0.12082097451533515</v>
      </c>
      <c r="BN35" s="117">
        <v>7.7280319999999998</v>
      </c>
      <c r="BO35">
        <f t="shared" si="10"/>
        <v>6</v>
      </c>
      <c r="BP35" s="117">
        <f t="shared" si="28"/>
        <v>5.2719680000000002</v>
      </c>
      <c r="BQ35" s="23">
        <v>6.8000000000000005E-2</v>
      </c>
      <c r="BR35" s="23">
        <f t="shared" si="29"/>
        <v>9.2258931082116205E-2</v>
      </c>
      <c r="BS35">
        <v>3</v>
      </c>
      <c r="BT35" s="23">
        <f t="shared" si="11"/>
        <v>-0.13803229562693595</v>
      </c>
      <c r="BU35">
        <v>19</v>
      </c>
      <c r="BV35" s="117">
        <f t="shared" si="4"/>
        <v>9.9420354</v>
      </c>
      <c r="BW35">
        <v>22</v>
      </c>
      <c r="BX35" s="117">
        <f t="shared" si="5"/>
        <v>12.746691</v>
      </c>
      <c r="BY35" s="117">
        <f t="shared" si="12"/>
        <v>9.2533089999999998</v>
      </c>
      <c r="BZ35" s="117">
        <f t="shared" si="39"/>
        <v>6.4272818455366094</v>
      </c>
      <c r="CA35" s="117">
        <f t="shared" si="40"/>
        <v>12.572718154463391</v>
      </c>
      <c r="CB35" s="25">
        <f t="shared" si="13"/>
        <v>0.80129086264203142</v>
      </c>
      <c r="CC35" s="25">
        <f t="shared" si="41"/>
        <v>1.1439986302104745</v>
      </c>
      <c r="CD35" s="217">
        <f t="shared" si="14"/>
        <v>9.0579646</v>
      </c>
      <c r="CE35" s="26">
        <f t="shared" si="15"/>
        <v>0.85886389128847584</v>
      </c>
      <c r="CF35" s="26">
        <f t="shared" si="16"/>
        <v>0.2607261791392288</v>
      </c>
      <c r="CG35" s="26">
        <f t="shared" si="17"/>
        <v>0.28551045593456342</v>
      </c>
      <c r="CH35" s="25">
        <f t="shared" si="42"/>
        <v>0.36477722042425453</v>
      </c>
      <c r="CI35">
        <v>3</v>
      </c>
      <c r="CJ35">
        <f t="shared" si="30"/>
        <v>0</v>
      </c>
      <c r="CK35" s="23">
        <v>1.917</v>
      </c>
      <c r="CL35" s="23">
        <v>0.80800000000000005</v>
      </c>
      <c r="CM35" s="23">
        <f t="shared" si="31"/>
        <v>0.82215535864926981</v>
      </c>
      <c r="CN35" s="34">
        <v>5746</v>
      </c>
      <c r="CO35" s="75">
        <v>5746</v>
      </c>
      <c r="CP35">
        <v>1750</v>
      </c>
      <c r="CQ35" s="34">
        <v>0</v>
      </c>
      <c r="CR35" s="34">
        <v>5746</v>
      </c>
      <c r="CS35" s="34">
        <f t="shared" si="43"/>
        <v>5204.9608826479434</v>
      </c>
      <c r="CT35" s="34">
        <f t="shared" si="6"/>
        <v>11880</v>
      </c>
      <c r="CU35" s="34">
        <f t="shared" si="18"/>
        <v>-6134</v>
      </c>
      <c r="CV35" s="34">
        <f t="shared" si="44"/>
        <v>-5204.9608826479434</v>
      </c>
      <c r="CW35" s="36">
        <f t="shared" si="19"/>
        <v>-0.16963585441451609</v>
      </c>
      <c r="CX35" s="36">
        <f t="shared" si="45"/>
        <v>-0.17866966203369977</v>
      </c>
      <c r="CY35" s="34">
        <v>1918.2783999999999</v>
      </c>
      <c r="CZ35">
        <f t="shared" si="32"/>
        <v>3996</v>
      </c>
      <c r="DA35" s="34">
        <f t="shared" si="25"/>
        <v>3827.7215999999999</v>
      </c>
      <c r="DB35" s="23">
        <v>8.3000000000000004E-2</v>
      </c>
      <c r="DC35" s="23">
        <f t="shared" si="33"/>
        <v>5.3512297869151758E-2</v>
      </c>
      <c r="DD35" s="26">
        <f t="shared" si="34"/>
        <v>0.14739846744107279</v>
      </c>
      <c r="DE35" s="23">
        <f t="shared" si="21"/>
        <v>0.1034519317949316</v>
      </c>
      <c r="DF35" s="23">
        <f t="shared" si="22"/>
        <v>8.4967842670057359E-2</v>
      </c>
    </row>
    <row r="36" spans="1:110" x14ac:dyDescent="0.25">
      <c r="A36" s="7" t="s">
        <v>118</v>
      </c>
      <c r="B36" s="7" t="s">
        <v>100</v>
      </c>
      <c r="C36" s="10">
        <v>74</v>
      </c>
      <c r="D36" s="10">
        <v>68</v>
      </c>
      <c r="E36" s="8">
        <v>56</v>
      </c>
      <c r="F36" s="8">
        <v>18</v>
      </c>
      <c r="G36" s="8">
        <v>19</v>
      </c>
      <c r="H36" s="25">
        <v>0.51300000000000001</v>
      </c>
      <c r="I36" s="25">
        <v>0.367626640961428</v>
      </c>
      <c r="J36" s="25">
        <f t="shared" si="26"/>
        <v>0.60607243566089419</v>
      </c>
      <c r="K36" s="66">
        <f>P36*AS$6</f>
        <v>0</v>
      </c>
      <c r="L36" s="47"/>
      <c r="M36" s="66" t="e">
        <f>Y36*AS$8</f>
        <v>#DIV/0!</v>
      </c>
      <c r="N36" s="37" t="e">
        <f>Z36*AS$2</f>
        <v>#DIV/0!</v>
      </c>
      <c r="O36" s="37" t="e">
        <f>N36-K36</f>
        <v>#DIV/0!</v>
      </c>
      <c r="P36" s="47">
        <f>C36*AA36</f>
        <v>6.5440441303223587</v>
      </c>
      <c r="Q36" s="47"/>
      <c r="R36" s="67">
        <v>30985.913016799313</v>
      </c>
      <c r="S36" s="65">
        <f>X36*AS$36</f>
        <v>11411.616651452496</v>
      </c>
      <c r="T36" s="65" t="e">
        <f>AI36*AS$17</f>
        <v>#DIV/0!</v>
      </c>
      <c r="U36" s="65" t="e">
        <f>SUM(V36:W36)</f>
        <v>#DIV/0!</v>
      </c>
      <c r="V36" s="66" t="e">
        <f>AJ36*AS$31</f>
        <v>#DIV/0!</v>
      </c>
      <c r="W36" s="67"/>
      <c r="X36" s="67">
        <f>D36*AL36</f>
        <v>3.3789120898325424</v>
      </c>
      <c r="Y36" s="58" t="e">
        <f>D36*AM36</f>
        <v>#DIV/0!</v>
      </c>
      <c r="Z36" s="58" t="e">
        <f>C36*AN36</f>
        <v>#DIV/0!</v>
      </c>
      <c r="AA36" s="214">
        <f>H36/AT$3</f>
        <v>8.8433028788139981E-2</v>
      </c>
      <c r="AB36" s="58" t="e">
        <f>(0.6*AE36)+(0.4*#REF!)</f>
        <v>#REF!</v>
      </c>
      <c r="AC36" s="58">
        <v>0.54700000000000004</v>
      </c>
      <c r="AD36" s="58">
        <f>AC36/G36</f>
        <v>2.8789473684210528E-2</v>
      </c>
      <c r="AE36" s="58">
        <f>AD36/AD51</f>
        <v>1.8555765759375852E-2</v>
      </c>
      <c r="AF36" s="58"/>
      <c r="AG36" s="58"/>
      <c r="AH36" s="58"/>
      <c r="AI36" s="58" t="e">
        <f>D36*AO36</f>
        <v>#DIV/0!</v>
      </c>
      <c r="AJ36" s="58" t="e">
        <f>D36*AP36</f>
        <v>#DIV/0!</v>
      </c>
      <c r="AK36" s="58"/>
      <c r="AL36" s="58">
        <f>DF36/AU$26</f>
        <v>4.9689883674007979E-2</v>
      </c>
      <c r="AM36" s="23" t="e">
        <f>I36/AU$6</f>
        <v>#DIV/0!</v>
      </c>
      <c r="AN36" s="23" t="e">
        <f>J36/AU$3</f>
        <v>#DIV/0!</v>
      </c>
      <c r="AO36" s="23" t="e">
        <f>DE36/AU$8</f>
        <v>#DIV/0!</v>
      </c>
      <c r="AP36" s="23" t="e">
        <f>CG36/AU$19</f>
        <v>#DIV/0!</v>
      </c>
      <c r="AQ36" s="23"/>
      <c r="AR36" s="290" t="s">
        <v>468</v>
      </c>
      <c r="AS36" s="78">
        <f>AS35/X51</f>
        <v>3377.3049869486399</v>
      </c>
      <c r="AV36">
        <v>102</v>
      </c>
      <c r="AW36">
        <v>104</v>
      </c>
      <c r="AX36">
        <f t="shared" si="27"/>
        <v>-2</v>
      </c>
      <c r="AY36">
        <v>50</v>
      </c>
      <c r="AZ36">
        <v>88</v>
      </c>
      <c r="BA36">
        <v>144</v>
      </c>
      <c r="BB36">
        <v>83</v>
      </c>
      <c r="BC36" s="117">
        <f t="shared" si="1"/>
        <v>97.68104799999999</v>
      </c>
      <c r="BD36" s="117">
        <f t="shared" si="2"/>
        <v>56.407815599999999</v>
      </c>
      <c r="BE36" s="117">
        <f t="shared" si="7"/>
        <v>26.592184400000001</v>
      </c>
      <c r="BF36" s="117">
        <f t="shared" si="8"/>
        <v>46.31895200000001</v>
      </c>
      <c r="BG36" s="117">
        <f t="shared" si="35"/>
        <v>65.340020060180535</v>
      </c>
      <c r="BH36">
        <v>66</v>
      </c>
      <c r="BI36" s="117">
        <f t="shared" si="36"/>
        <v>22.659979939819465</v>
      </c>
      <c r="BJ36">
        <f t="shared" si="37"/>
        <v>22</v>
      </c>
      <c r="BK36" s="25">
        <f t="shared" si="9"/>
        <v>1.6451783818560897</v>
      </c>
      <c r="BL36" s="25">
        <f t="shared" si="38"/>
        <v>1.0636233808385365</v>
      </c>
      <c r="BM36" s="25">
        <f t="shared" si="38"/>
        <v>1.0560066993353319</v>
      </c>
      <c r="BN36" s="117">
        <v>51.988579000000001</v>
      </c>
      <c r="BO36">
        <f t="shared" si="10"/>
        <v>52</v>
      </c>
      <c r="BP36" s="117">
        <f t="shared" si="28"/>
        <v>52.011420999999999</v>
      </c>
      <c r="BQ36" s="23">
        <v>1.86</v>
      </c>
      <c r="BR36" s="23">
        <f t="shared" si="29"/>
        <v>2.1759975437976684</v>
      </c>
      <c r="BS36">
        <v>24</v>
      </c>
      <c r="BT36" s="25">
        <f t="shared" si="11"/>
        <v>1.1905081037996212</v>
      </c>
      <c r="BU36">
        <v>38</v>
      </c>
      <c r="BV36" s="117">
        <f t="shared" si="4"/>
        <v>37.558800399999996</v>
      </c>
      <c r="BW36">
        <v>50</v>
      </c>
      <c r="BX36" s="117">
        <f t="shared" si="5"/>
        <v>48.154165999999996</v>
      </c>
      <c r="BY36" s="117">
        <f t="shared" si="12"/>
        <v>1.8458340000000035</v>
      </c>
      <c r="BZ36" s="117">
        <f t="shared" si="39"/>
        <v>24.280842527582749</v>
      </c>
      <c r="CA36" s="117">
        <f t="shared" si="40"/>
        <v>13.719157472417251</v>
      </c>
      <c r="CB36" s="26">
        <f t="shared" si="13"/>
        <v>0.42050172744201725</v>
      </c>
      <c r="CC36" s="25">
        <f t="shared" si="41"/>
        <v>1.2483137825304242</v>
      </c>
      <c r="CD36" s="217">
        <f t="shared" si="14"/>
        <v>0.44119960000000447</v>
      </c>
      <c r="CE36" s="26">
        <f t="shared" si="15"/>
        <v>0.38285478556369146</v>
      </c>
      <c r="CF36" s="25">
        <f t="shared" si="16"/>
        <v>0.86744677650524937</v>
      </c>
      <c r="CG36" s="25">
        <f t="shared" si="17"/>
        <v>1.1553077200904607</v>
      </c>
      <c r="CH36" s="25">
        <f t="shared" si="42"/>
        <v>1.1374995415152915</v>
      </c>
      <c r="CI36">
        <v>23</v>
      </c>
      <c r="CJ36">
        <f t="shared" si="30"/>
        <v>1</v>
      </c>
      <c r="CK36" s="23">
        <v>0.67300000000000004</v>
      </c>
      <c r="CL36" s="23">
        <v>1.385</v>
      </c>
      <c r="CM36" s="23">
        <f t="shared" si="31"/>
        <v>1.5747985262786011</v>
      </c>
      <c r="CN36" s="34">
        <v>0</v>
      </c>
      <c r="CO36" s="75">
        <v>0</v>
      </c>
      <c r="CP36">
        <v>46674</v>
      </c>
      <c r="CQ36" s="34">
        <v>0</v>
      </c>
      <c r="CR36" s="34">
        <v>0</v>
      </c>
      <c r="CS36" s="34">
        <f t="shared" si="43"/>
        <v>19663.185556670011</v>
      </c>
      <c r="CT36" s="34">
        <f t="shared" si="6"/>
        <v>44880</v>
      </c>
      <c r="CU36" s="34">
        <f t="shared" si="18"/>
        <v>-44880</v>
      </c>
      <c r="CV36" s="34">
        <f t="shared" si="44"/>
        <v>-19663.185556670011</v>
      </c>
      <c r="CW36" s="36">
        <f t="shared" si="19"/>
        <v>-0.65969414619170541</v>
      </c>
      <c r="CX36" s="36">
        <f t="shared" si="45"/>
        <v>-0.67497427879397687</v>
      </c>
      <c r="CY36" s="34">
        <v>48758.509700000002</v>
      </c>
      <c r="CZ36">
        <f t="shared" si="32"/>
        <v>-46674</v>
      </c>
      <c r="DA36" s="34">
        <f t="shared" si="25"/>
        <v>-48758.509700000002</v>
      </c>
      <c r="DB36" s="23">
        <v>-0.79500000000000004</v>
      </c>
      <c r="DC36" s="23">
        <f t="shared" si="33"/>
        <v>-0.84701670026566567</v>
      </c>
      <c r="DD36" s="25">
        <f t="shared" si="34"/>
        <v>0.41251001339158411</v>
      </c>
      <c r="DE36" s="25">
        <f t="shared" si="21"/>
        <v>0.42930697357759423</v>
      </c>
      <c r="DF36" s="25">
        <f t="shared" si="22"/>
        <v>0.25047835438555888</v>
      </c>
    </row>
    <row r="37" spans="1:110" x14ac:dyDescent="0.25">
      <c r="A37" s="7" t="s">
        <v>118</v>
      </c>
      <c r="B37" s="7" t="s">
        <v>123</v>
      </c>
      <c r="C37" s="10">
        <f t="shared" si="0"/>
        <v>19</v>
      </c>
      <c r="D37" s="10">
        <v>17</v>
      </c>
      <c r="E37" s="8">
        <v>13</v>
      </c>
      <c r="F37" s="8">
        <v>6</v>
      </c>
      <c r="G37" s="8">
        <v>0</v>
      </c>
      <c r="H37" s="25">
        <v>0.39</v>
      </c>
      <c r="I37" s="26">
        <v>9.086734324649294E-2</v>
      </c>
      <c r="J37" s="25">
        <f t="shared" si="26"/>
        <v>0.40424118610058463</v>
      </c>
      <c r="K37" s="66">
        <f>P37*AS$6</f>
        <v>0</v>
      </c>
      <c r="L37" s="47" t="e">
        <f>C37*Q37</f>
        <v>#REF!</v>
      </c>
      <c r="M37" s="47"/>
      <c r="N37" s="37" t="e">
        <f>Z37*AS$2</f>
        <v>#DIV/0!</v>
      </c>
      <c r="O37" s="37" t="e">
        <f>N37-K37</f>
        <v>#DIV/0!</v>
      </c>
      <c r="P37" s="47">
        <f>C37*AA37</f>
        <v>1.2773659713842442</v>
      </c>
      <c r="Q37" s="47" t="e">
        <f>#REF!/AT2</f>
        <v>#REF!</v>
      </c>
      <c r="R37" s="67">
        <v>5409.9158106079221</v>
      </c>
      <c r="S37" s="68"/>
      <c r="T37" s="65" t="e">
        <f>AI37*AS$17</f>
        <v>#DIV/0!</v>
      </c>
      <c r="U37" s="65" t="e">
        <f>SUM(V37:W37)</f>
        <v>#DIV/0!</v>
      </c>
      <c r="V37" s="66" t="e">
        <f>AJ37*AS$31</f>
        <v>#DIV/0!</v>
      </c>
      <c r="W37" s="66" t="e">
        <f>AK37*AS$32</f>
        <v>#DIV/0!</v>
      </c>
      <c r="X37" s="67"/>
      <c r="Y37" s="214"/>
      <c r="Z37" s="58" t="e">
        <f>C37*AN37</f>
        <v>#DIV/0!</v>
      </c>
      <c r="AA37" s="214">
        <f>H37/AT$3</f>
        <v>6.7229787967591798E-2</v>
      </c>
      <c r="AB37" s="58"/>
      <c r="AC37" s="58"/>
      <c r="AD37" s="58"/>
      <c r="AE37" s="58"/>
      <c r="AF37" s="58"/>
      <c r="AG37" s="58"/>
      <c r="AH37" s="58"/>
      <c r="AI37" s="58" t="e">
        <f>D37*AO37</f>
        <v>#DIV/0!</v>
      </c>
      <c r="AJ37" s="58" t="e">
        <f>D37*AP37</f>
        <v>#DIV/0!</v>
      </c>
      <c r="AK37" s="58" t="e">
        <f>D37*AQ37</f>
        <v>#DIV/0!</v>
      </c>
      <c r="AL37" s="58"/>
      <c r="AM37" s="23"/>
      <c r="AN37" s="23" t="e">
        <f>J37/AU$3</f>
        <v>#DIV/0!</v>
      </c>
      <c r="AO37" s="23" t="e">
        <f>DE37/AU$8</f>
        <v>#DIV/0!</v>
      </c>
      <c r="AP37" s="23" t="e">
        <f>CG37/AU$19</f>
        <v>#DIV/0!</v>
      </c>
      <c r="AQ37" s="23" t="e">
        <f>CW37/AU$22</f>
        <v>#DIV/0!</v>
      </c>
      <c r="AV37">
        <v>27</v>
      </c>
      <c r="AW37">
        <v>27</v>
      </c>
      <c r="AX37">
        <f t="shared" si="27"/>
        <v>0</v>
      </c>
      <c r="AY37">
        <v>13</v>
      </c>
      <c r="AZ37">
        <v>20</v>
      </c>
      <c r="BA37">
        <v>35</v>
      </c>
      <c r="BB37">
        <v>15</v>
      </c>
      <c r="BC37" s="117">
        <f t="shared" si="1"/>
        <v>24.420261999999997</v>
      </c>
      <c r="BD37" s="117">
        <f t="shared" si="2"/>
        <v>14.1019539</v>
      </c>
      <c r="BE37" s="117">
        <f t="shared" si="7"/>
        <v>0.89804610000000018</v>
      </c>
      <c r="BF37" s="117">
        <f t="shared" si="8"/>
        <v>10.579738000000003</v>
      </c>
      <c r="BG37" s="117">
        <f t="shared" si="35"/>
        <v>16.335005015045134</v>
      </c>
      <c r="BH37">
        <v>17</v>
      </c>
      <c r="BI37" s="117">
        <f t="shared" si="36"/>
        <v>3.6649949849548662</v>
      </c>
      <c r="BJ37">
        <f t="shared" si="37"/>
        <v>3</v>
      </c>
      <c r="BK37" s="25">
        <f t="shared" si="9"/>
        <v>0.40711729623190807</v>
      </c>
      <c r="BL37" s="26">
        <f t="shared" si="38"/>
        <v>0.17202902946104873</v>
      </c>
      <c r="BM37" s="23">
        <f t="shared" si="38"/>
        <v>0.16161766720882495</v>
      </c>
      <c r="BN37" s="117">
        <v>13.348419</v>
      </c>
      <c r="BO37">
        <f t="shared" si="10"/>
        <v>14</v>
      </c>
      <c r="BP37" s="117">
        <f t="shared" si="28"/>
        <v>13.651581</v>
      </c>
      <c r="BQ37" s="23">
        <v>0.38</v>
      </c>
      <c r="BR37" s="23">
        <f t="shared" si="29"/>
        <v>0.46583889505202414</v>
      </c>
      <c r="BS37">
        <v>13</v>
      </c>
      <c r="BT37" s="23">
        <f t="shared" si="11"/>
        <v>-6.2420599680153037E-3</v>
      </c>
      <c r="BU37">
        <v>11</v>
      </c>
      <c r="BV37" s="117">
        <f t="shared" si="4"/>
        <v>9.3897000999999989</v>
      </c>
      <c r="BW37">
        <v>14</v>
      </c>
      <c r="BX37" s="117">
        <f t="shared" si="5"/>
        <v>12.038541499999999</v>
      </c>
      <c r="BY37" s="117">
        <f t="shared" si="12"/>
        <v>1.9614585000000009</v>
      </c>
      <c r="BZ37" s="117">
        <f t="shared" si="39"/>
        <v>6.0702106318956872</v>
      </c>
      <c r="CA37" s="117">
        <f t="shared" si="40"/>
        <v>4.9297893681043128</v>
      </c>
      <c r="CB37" s="25">
        <f t="shared" si="13"/>
        <v>0.42644552790883405</v>
      </c>
      <c r="CC37" s="26">
        <f t="shared" si="41"/>
        <v>0.44856428141080829</v>
      </c>
      <c r="CD37" s="217">
        <f t="shared" si="14"/>
        <v>1.6102999000000011</v>
      </c>
      <c r="CE37" s="26">
        <f t="shared" si="15"/>
        <v>0.4474384649730262</v>
      </c>
      <c r="CF37" s="26">
        <f t="shared" si="16"/>
        <v>0.17523015000840131</v>
      </c>
      <c r="CG37" s="25">
        <f t="shared" si="17"/>
        <v>0.41484858890267851</v>
      </c>
      <c r="CH37" s="26">
        <f t="shared" si="42"/>
        <v>0.28264313024095256</v>
      </c>
      <c r="CI37">
        <v>6</v>
      </c>
      <c r="CJ37">
        <f t="shared" si="30"/>
        <v>7</v>
      </c>
      <c r="CK37" s="23">
        <v>0.05</v>
      </c>
      <c r="CL37" s="23">
        <v>0.248</v>
      </c>
      <c r="CM37" s="23">
        <f t="shared" si="31"/>
        <v>0.29950333703121451</v>
      </c>
      <c r="CN37" s="34">
        <v>38484</v>
      </c>
      <c r="CO37" s="75">
        <v>38484</v>
      </c>
      <c r="CP37">
        <v>4486</v>
      </c>
      <c r="CQ37" s="34">
        <v>0</v>
      </c>
      <c r="CR37" s="34">
        <v>38484</v>
      </c>
      <c r="CS37" s="34">
        <f t="shared" si="43"/>
        <v>4915.7963891675026</v>
      </c>
      <c r="CT37" s="34">
        <f t="shared" si="6"/>
        <v>11220</v>
      </c>
      <c r="CU37" s="34">
        <f t="shared" si="18"/>
        <v>27264</v>
      </c>
      <c r="CV37" s="34">
        <f t="shared" si="44"/>
        <v>-4915.7963891675026</v>
      </c>
      <c r="CW37" s="225">
        <f t="shared" si="19"/>
        <v>0.25278108743172789</v>
      </c>
      <c r="CX37" s="36">
        <f t="shared" si="45"/>
        <v>-0.16874356969849424</v>
      </c>
      <c r="CY37" s="34">
        <v>5001.3049000000001</v>
      </c>
      <c r="CZ37">
        <f t="shared" si="32"/>
        <v>33998</v>
      </c>
      <c r="DA37" s="34">
        <f t="shared" si="25"/>
        <v>33482.695099999997</v>
      </c>
      <c r="DB37" s="23">
        <v>0.60299999999999998</v>
      </c>
      <c r="DC37" s="23">
        <f t="shared" si="33"/>
        <v>0.5613479597046398</v>
      </c>
      <c r="DD37" s="26">
        <f t="shared" si="34"/>
        <v>0.10208845026517381</v>
      </c>
      <c r="DE37" s="25">
        <f t="shared" si="21"/>
        <v>0.35002158831429825</v>
      </c>
      <c r="DF37" s="23">
        <f t="shared" si="22"/>
        <v>3.7640662125643071E-2</v>
      </c>
    </row>
    <row r="38" spans="1:110" x14ac:dyDescent="0.25">
      <c r="A38" s="9" t="s">
        <v>118</v>
      </c>
      <c r="B38" s="9" t="s">
        <v>124</v>
      </c>
      <c r="C38" s="10">
        <f t="shared" si="0"/>
        <v>5</v>
      </c>
      <c r="D38" s="10">
        <v>10</v>
      </c>
      <c r="E38" s="8">
        <v>5</v>
      </c>
      <c r="F38" s="8">
        <v>0</v>
      </c>
      <c r="G38" s="8">
        <v>0</v>
      </c>
      <c r="H38" s="25">
        <v>0.157</v>
      </c>
      <c r="I38" s="26">
        <v>0.19793629019151091</v>
      </c>
      <c r="J38" s="25">
        <f t="shared" si="26"/>
        <v>0.15069622106345801</v>
      </c>
      <c r="K38" s="66">
        <f>P38*AS$6</f>
        <v>0</v>
      </c>
      <c r="L38" s="47" t="e">
        <f>C38*Q38</f>
        <v>#REF!</v>
      </c>
      <c r="M38" s="47"/>
      <c r="N38" s="37" t="e">
        <f>Z38*AS$2</f>
        <v>#DIV/0!</v>
      </c>
      <c r="O38" s="37" t="e">
        <f>N38-K38</f>
        <v>#DIV/0!</v>
      </c>
      <c r="P38" s="47">
        <f>C38*AA38</f>
        <v>0.13532149629374246</v>
      </c>
      <c r="Q38" s="47" t="e">
        <f>#REF!/AT2</f>
        <v>#REF!</v>
      </c>
      <c r="R38" s="67">
        <v>526.02863771984221</v>
      </c>
      <c r="S38" s="68"/>
      <c r="T38" s="68"/>
      <c r="U38" s="65" t="e">
        <f>SUM(V38:W38)</f>
        <v>#DIV/0!</v>
      </c>
      <c r="V38" s="66" t="e">
        <f>AJ38*AS$31</f>
        <v>#DIV/0!</v>
      </c>
      <c r="W38" s="67"/>
      <c r="X38" s="67"/>
      <c r="Y38" s="214"/>
      <c r="Z38" s="58" t="e">
        <f>C38*AN38</f>
        <v>#DIV/0!</v>
      </c>
      <c r="AA38" s="214">
        <f>H38/AT$3</f>
        <v>2.7064299258748491E-2</v>
      </c>
      <c r="AB38" s="58"/>
      <c r="AC38" s="58"/>
      <c r="AD38" s="58"/>
      <c r="AE38" s="58"/>
      <c r="AF38" s="58"/>
      <c r="AG38" s="58"/>
      <c r="AH38" s="58"/>
      <c r="AI38" s="58"/>
      <c r="AJ38" s="58" t="e">
        <f>D38*AP38</f>
        <v>#DIV/0!</v>
      </c>
      <c r="AK38" s="58"/>
      <c r="AL38" s="58"/>
      <c r="AM38" s="23"/>
      <c r="AN38" s="23" t="e">
        <f>J38/AU$3</f>
        <v>#DIV/0!</v>
      </c>
      <c r="AO38" s="23"/>
      <c r="AP38" s="23" t="e">
        <f>CG38/AU$19</f>
        <v>#DIV/0!</v>
      </c>
      <c r="AQ38" s="23"/>
      <c r="AV38">
        <v>5</v>
      </c>
      <c r="AW38">
        <v>5</v>
      </c>
      <c r="AX38">
        <f t="shared" si="27"/>
        <v>0</v>
      </c>
      <c r="AY38">
        <v>3</v>
      </c>
      <c r="AZ38">
        <v>8</v>
      </c>
      <c r="BA38">
        <v>11</v>
      </c>
      <c r="BB38">
        <v>6</v>
      </c>
      <c r="BC38" s="117">
        <f t="shared" si="1"/>
        <v>14.36486</v>
      </c>
      <c r="BD38" s="117">
        <f t="shared" si="2"/>
        <v>8.2952669999999991</v>
      </c>
      <c r="BE38" s="117">
        <f t="shared" si="7"/>
        <v>-2.2952669999999991</v>
      </c>
      <c r="BF38" s="117">
        <f t="shared" si="8"/>
        <v>-3.3648600000000002</v>
      </c>
      <c r="BG38" s="117">
        <f t="shared" si="35"/>
        <v>9.6088264794383154</v>
      </c>
      <c r="BH38">
        <v>10</v>
      </c>
      <c r="BI38" s="117">
        <f t="shared" si="36"/>
        <v>-1.6088264794383154</v>
      </c>
      <c r="BJ38">
        <f t="shared" si="37"/>
        <v>-2</v>
      </c>
      <c r="BK38" s="23">
        <f t="shared" si="9"/>
        <v>-7.5944926078655037E-2</v>
      </c>
      <c r="BL38" s="23">
        <f t="shared" si="38"/>
        <v>-7.5515753490838056E-2</v>
      </c>
      <c r="BM38" s="23">
        <f t="shared" si="38"/>
        <v>-7.3747867561308467E-2</v>
      </c>
      <c r="BN38" s="117">
        <v>3.5127419999999998</v>
      </c>
      <c r="BO38">
        <f t="shared" si="10"/>
        <v>2</v>
      </c>
      <c r="BP38" s="117">
        <f t="shared" si="28"/>
        <v>1.4872580000000002</v>
      </c>
      <c r="BQ38" s="23">
        <v>-8.7999999999999995E-2</v>
      </c>
      <c r="BR38" s="23">
        <f t="shared" si="29"/>
        <v>-7.6471035974423313E-2</v>
      </c>
      <c r="BS38">
        <v>8</v>
      </c>
      <c r="BT38" s="23">
        <f t="shared" si="11"/>
        <v>-0.15497629385303874</v>
      </c>
      <c r="BU38">
        <v>16</v>
      </c>
      <c r="BV38" s="117">
        <f t="shared" si="4"/>
        <v>5.5233530000000002</v>
      </c>
      <c r="BW38">
        <v>18</v>
      </c>
      <c r="BX38" s="117">
        <f t="shared" si="5"/>
        <v>7.0814950000000003</v>
      </c>
      <c r="BY38" s="117">
        <f t="shared" si="12"/>
        <v>10.918505</v>
      </c>
      <c r="BZ38" s="117">
        <f t="shared" si="39"/>
        <v>3.5707121364092274</v>
      </c>
      <c r="CA38" s="117">
        <f t="shared" si="40"/>
        <v>12.429287863590773</v>
      </c>
      <c r="CB38" s="25">
        <f t="shared" si="13"/>
        <v>0.88689203507643355</v>
      </c>
      <c r="CC38" s="25">
        <f t="shared" si="41"/>
        <v>1.1309478281267011</v>
      </c>
      <c r="CD38" s="217">
        <f t="shared" si="14"/>
        <v>10.476647</v>
      </c>
      <c r="CE38" s="26">
        <f t="shared" si="15"/>
        <v>0.93723503643766959</v>
      </c>
      <c r="CF38" s="25">
        <f t="shared" si="16"/>
        <v>0.28190823826324463</v>
      </c>
      <c r="CG38" s="25">
        <f t="shared" si="17"/>
        <v>0.30918985838338042</v>
      </c>
      <c r="CH38" s="25">
        <f t="shared" si="42"/>
        <v>0.40706967915617764</v>
      </c>
      <c r="CI38">
        <v>2</v>
      </c>
      <c r="CJ38">
        <f t="shared" si="30"/>
        <v>6</v>
      </c>
      <c r="CK38" s="23">
        <v>0.77600000000000002</v>
      </c>
      <c r="CL38" s="23">
        <v>0.25800000000000001</v>
      </c>
      <c r="CM38" s="23">
        <f t="shared" si="31"/>
        <v>0.26451737841534601</v>
      </c>
      <c r="CN38" s="34">
        <v>0</v>
      </c>
      <c r="CO38" s="75">
        <v>0</v>
      </c>
      <c r="CP38">
        <v>450</v>
      </c>
      <c r="CQ38" s="34">
        <v>0</v>
      </c>
      <c r="CR38" s="34">
        <v>0</v>
      </c>
      <c r="CS38" s="34">
        <f t="shared" si="43"/>
        <v>2891.644934804413</v>
      </c>
      <c r="CT38" s="34">
        <f t="shared" si="6"/>
        <v>6600</v>
      </c>
      <c r="CU38" s="34">
        <f t="shared" si="18"/>
        <v>-6600</v>
      </c>
      <c r="CV38" s="34">
        <f t="shared" si="44"/>
        <v>-2891.644934804413</v>
      </c>
      <c r="CW38" s="36">
        <f t="shared" si="19"/>
        <v>-0.17552980898965082</v>
      </c>
      <c r="CX38" s="36">
        <f t="shared" si="45"/>
        <v>-9.9260923352055441E-2</v>
      </c>
      <c r="CY38" s="34">
        <v>467.0899</v>
      </c>
      <c r="CZ38">
        <f t="shared" si="32"/>
        <v>-450</v>
      </c>
      <c r="DA38" s="34">
        <f t="shared" si="25"/>
        <v>-467.0899</v>
      </c>
      <c r="DB38" s="23">
        <v>6.0000000000000001E-3</v>
      </c>
      <c r="DC38" s="23">
        <f t="shared" si="33"/>
        <v>-2.003551496437397E-2</v>
      </c>
      <c r="DD38" s="26">
        <f t="shared" si="34"/>
        <v>0.20453743815288439</v>
      </c>
      <c r="DE38" s="23">
        <f t="shared" si="21"/>
        <v>0.11530199143416793</v>
      </c>
      <c r="DF38" s="26">
        <f t="shared" si="22"/>
        <v>0.12944057361712458</v>
      </c>
    </row>
    <row r="39" spans="1:110" x14ac:dyDescent="0.25">
      <c r="A39" s="9" t="s">
        <v>118</v>
      </c>
      <c r="B39" s="9" t="s">
        <v>143</v>
      </c>
      <c r="C39" s="10">
        <f t="shared" si="0"/>
        <v>15</v>
      </c>
      <c r="D39" s="10">
        <v>15</v>
      </c>
      <c r="E39" s="8">
        <v>15</v>
      </c>
      <c r="F39" s="8">
        <v>0</v>
      </c>
      <c r="G39" s="8">
        <v>0</v>
      </c>
      <c r="H39" s="26">
        <v>-0.28499999999999998</v>
      </c>
      <c r="I39" s="25">
        <v>1.0620953580101644</v>
      </c>
      <c r="J39" s="26">
        <f t="shared" si="26"/>
        <v>-0.31220931191521645</v>
      </c>
      <c r="K39" s="67"/>
      <c r="L39" s="47"/>
      <c r="M39" s="66" t="e">
        <f>Y39*AS$8</f>
        <v>#DIV/0!</v>
      </c>
      <c r="N39" s="67"/>
      <c r="O39" s="67"/>
      <c r="P39" s="47"/>
      <c r="Q39" s="47"/>
      <c r="R39" s="67"/>
      <c r="S39" s="68"/>
      <c r="T39" s="68"/>
      <c r="U39" s="68"/>
      <c r="V39" s="67"/>
      <c r="W39" s="67"/>
      <c r="X39" s="67"/>
      <c r="Y39" s="58" t="e">
        <f>D39*AM39</f>
        <v>#DIV/0!</v>
      </c>
      <c r="Z39" s="214"/>
      <c r="AA39" s="214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23" t="e">
        <f>I39/AU$6</f>
        <v>#DIV/0!</v>
      </c>
      <c r="AN39" s="23"/>
      <c r="AO39" s="23"/>
      <c r="AP39" s="23"/>
      <c r="AQ39" s="23"/>
      <c r="AV39">
        <v>3</v>
      </c>
      <c r="AW39">
        <v>3</v>
      </c>
      <c r="AX39">
        <f t="shared" si="27"/>
        <v>0</v>
      </c>
      <c r="AY39">
        <v>10</v>
      </c>
      <c r="AZ39">
        <v>2</v>
      </c>
      <c r="BA39">
        <v>5</v>
      </c>
      <c r="BB39">
        <v>2</v>
      </c>
      <c r="BC39" s="117">
        <f t="shared" si="1"/>
        <v>21.54729</v>
      </c>
      <c r="BD39" s="117">
        <f t="shared" si="2"/>
        <v>12.442900499999999</v>
      </c>
      <c r="BE39" s="117">
        <f t="shared" si="7"/>
        <v>-10.442900499999999</v>
      </c>
      <c r="BF39" s="117">
        <f t="shared" si="8"/>
        <v>-16.54729</v>
      </c>
      <c r="BG39" s="117">
        <f t="shared" si="35"/>
        <v>14.413239719157472</v>
      </c>
      <c r="BH39">
        <v>15</v>
      </c>
      <c r="BI39" s="117">
        <f t="shared" si="36"/>
        <v>-12.413239719157472</v>
      </c>
      <c r="BJ39">
        <f t="shared" si="37"/>
        <v>-13</v>
      </c>
      <c r="BK39" s="23">
        <f t="shared" si="9"/>
        <v>-0.53260448207685851</v>
      </c>
      <c r="BL39" s="23">
        <f t="shared" si="38"/>
        <v>-0.58265770897918401</v>
      </c>
      <c r="BM39" s="23">
        <f t="shared" si="38"/>
        <v>-0.59155204405560202</v>
      </c>
      <c r="BN39" s="117">
        <v>10.538225000000001</v>
      </c>
      <c r="BO39">
        <f t="shared" si="10"/>
        <v>-7</v>
      </c>
      <c r="BP39" s="117">
        <f t="shared" si="28"/>
        <v>-7.5382250000000006</v>
      </c>
      <c r="BQ39" s="23">
        <v>-0.439</v>
      </c>
      <c r="BR39" s="23">
        <f t="shared" si="29"/>
        <v>-0.47884518069339987</v>
      </c>
      <c r="BS39">
        <v>0</v>
      </c>
      <c r="BT39" s="23">
        <f t="shared" si="11"/>
        <v>-0.53446680688743309</v>
      </c>
      <c r="BU39">
        <v>2</v>
      </c>
      <c r="BV39" s="117">
        <f t="shared" si="4"/>
        <v>8.2850295000000003</v>
      </c>
      <c r="BW39">
        <v>2</v>
      </c>
      <c r="BX39" s="117">
        <f t="shared" si="5"/>
        <v>10.6222425</v>
      </c>
      <c r="BY39" s="117">
        <f t="shared" si="12"/>
        <v>-8.6222425000000005</v>
      </c>
      <c r="BZ39" s="117">
        <f t="shared" si="39"/>
        <v>5.356068204613841</v>
      </c>
      <c r="CA39" s="117">
        <f t="shared" si="40"/>
        <v>-3.356068204613841</v>
      </c>
      <c r="CB39" s="23">
        <f t="shared" si="13"/>
        <v>-0.11762088487089559</v>
      </c>
      <c r="CC39" s="23">
        <f t="shared" si="41"/>
        <v>-0.30537051589024705</v>
      </c>
      <c r="CD39" s="217">
        <f t="shared" si="14"/>
        <v>-6.2850295000000003</v>
      </c>
      <c r="CE39" s="26">
        <f t="shared" si="15"/>
        <v>1.1283053157037056E-2</v>
      </c>
      <c r="CF39" s="26">
        <f t="shared" si="16"/>
        <v>-0.31616686286964502</v>
      </c>
      <c r="CG39" s="26">
        <f t="shared" si="17"/>
        <v>-0.36661104319447335</v>
      </c>
      <c r="CH39" s="26">
        <f t="shared" si="42"/>
        <v>-0.4717428317436092</v>
      </c>
      <c r="CI39">
        <v>5</v>
      </c>
      <c r="CJ39">
        <f t="shared" si="30"/>
        <v>-5</v>
      </c>
      <c r="CK39" s="23">
        <v>-0.46800000000000003</v>
      </c>
      <c r="CL39" s="23">
        <v>-0.45100000000000001</v>
      </c>
      <c r="CM39" s="23">
        <f t="shared" si="31"/>
        <v>-0.47450710841603994</v>
      </c>
      <c r="CN39" s="34">
        <v>0</v>
      </c>
      <c r="CO39" s="75">
        <v>0</v>
      </c>
      <c r="CP39">
        <v>2986</v>
      </c>
      <c r="CQ39" s="34">
        <v>0</v>
      </c>
      <c r="CR39" s="34">
        <v>0</v>
      </c>
      <c r="CS39" s="34">
        <f t="shared" si="43"/>
        <v>4337.4674022066192</v>
      </c>
      <c r="CT39" s="34">
        <f t="shared" si="6"/>
        <v>9900</v>
      </c>
      <c r="CU39" s="34">
        <f t="shared" si="18"/>
        <v>-9900</v>
      </c>
      <c r="CV39" s="34">
        <f t="shared" si="44"/>
        <v>-4337.4674022066192</v>
      </c>
      <c r="CW39" s="36">
        <f t="shared" si="19"/>
        <v>-0.2172681139208624</v>
      </c>
      <c r="CX39" s="240">
        <f t="shared" si="45"/>
        <v>-0.14889138502808313</v>
      </c>
      <c r="CY39" s="75">
        <v>3312.5003999999999</v>
      </c>
      <c r="CZ39" s="16">
        <f t="shared" si="32"/>
        <v>-2986</v>
      </c>
      <c r="DA39" s="75">
        <f t="shared" si="25"/>
        <v>-3312.5003999999999</v>
      </c>
      <c r="DB39" s="26">
        <v>-3.7999999999999999E-2</v>
      </c>
      <c r="DC39" s="26">
        <f t="shared" si="33"/>
        <v>-6.8762617163981299E-2</v>
      </c>
      <c r="DD39" s="26">
        <f t="shared" si="34"/>
        <v>-0.34260225305739878</v>
      </c>
      <c r="DE39" s="23">
        <f t="shared" si="21"/>
        <v>-0.30687387148502898</v>
      </c>
      <c r="DF39" s="23">
        <f t="shared" si="22"/>
        <v>-0.24925667173302024</v>
      </c>
    </row>
    <row r="40" spans="1:110" hidden="1" x14ac:dyDescent="0.25">
      <c r="A40" s="7" t="s">
        <v>125</v>
      </c>
      <c r="B40" s="7" t="s">
        <v>126</v>
      </c>
      <c r="C40" s="32">
        <f t="shared" si="0"/>
        <v>31</v>
      </c>
      <c r="D40" s="32">
        <v>0</v>
      </c>
      <c r="E40">
        <v>0</v>
      </c>
      <c r="F40">
        <v>0</v>
      </c>
      <c r="G40" s="8">
        <v>31</v>
      </c>
      <c r="H40" s="23"/>
      <c r="I40" s="26"/>
      <c r="J40" s="23"/>
      <c r="K40" s="67"/>
      <c r="L40" s="47"/>
      <c r="M40" s="47"/>
      <c r="N40" s="67"/>
      <c r="O40" s="67"/>
      <c r="P40" s="47"/>
      <c r="Q40" s="47"/>
      <c r="R40" s="67"/>
      <c r="S40" s="68"/>
      <c r="T40" s="68"/>
      <c r="U40" s="68"/>
      <c r="V40" s="67"/>
      <c r="W40" s="67"/>
      <c r="X40" s="67"/>
      <c r="Y40" s="214"/>
      <c r="Z40" s="214"/>
      <c r="AA40" s="214"/>
      <c r="AB40" s="58" t="e">
        <f>(0.6*AE40)+(0.4*#REF!)</f>
        <v>#REF!</v>
      </c>
      <c r="AC40" s="58">
        <v>19.085000000000001</v>
      </c>
      <c r="AD40" s="214">
        <f>AC40/(G40+G41+G42)</f>
        <v>0.17836448598130841</v>
      </c>
      <c r="AE40" s="58">
        <f>AD40/AD51</f>
        <v>0.1149617967304426</v>
      </c>
      <c r="AF40" s="58"/>
      <c r="AG40" s="58"/>
      <c r="AH40" s="58"/>
      <c r="AI40" s="58"/>
      <c r="AJ40" s="58"/>
      <c r="AK40" s="58"/>
      <c r="AL40" s="58"/>
      <c r="AM40" s="23"/>
      <c r="AN40" s="23"/>
      <c r="AO40" s="23"/>
      <c r="AP40" s="23"/>
      <c r="AQ40" s="23"/>
      <c r="BC40" s="117">
        <f t="shared" si="1"/>
        <v>0</v>
      </c>
      <c r="BD40" s="117">
        <f t="shared" si="2"/>
        <v>0</v>
      </c>
      <c r="BE40" s="117">
        <f t="shared" si="7"/>
        <v>0</v>
      </c>
      <c r="BF40" s="117">
        <f t="shared" si="8"/>
        <v>0</v>
      </c>
      <c r="BG40" s="117"/>
      <c r="BK40" s="23">
        <f t="shared" si="9"/>
        <v>4.0618975538582076E-2</v>
      </c>
      <c r="BL40" s="23"/>
      <c r="BT40" s="23">
        <f t="shared" si="11"/>
        <v>-4.8070153391404691E-2</v>
      </c>
      <c r="BV40" s="117">
        <f t="shared" si="4"/>
        <v>0</v>
      </c>
      <c r="BX40" s="117">
        <f t="shared" si="5"/>
        <v>0</v>
      </c>
      <c r="BY40" s="117">
        <f t="shared" si="12"/>
        <v>0</v>
      </c>
      <c r="BZ40" s="117"/>
      <c r="CA40" s="117"/>
      <c r="CB40" s="23">
        <f t="shared" si="13"/>
        <v>0.32561466638777348</v>
      </c>
      <c r="CC40" s="23"/>
      <c r="CD40" s="217">
        <f t="shared" si="14"/>
        <v>0</v>
      </c>
      <c r="CE40" s="26">
        <f t="shared" si="15"/>
        <v>0.35848194644806808</v>
      </c>
      <c r="CF40" s="26">
        <f t="shared" si="16"/>
        <v>0.11455068654438444</v>
      </c>
      <c r="CG40" s="26">
        <f t="shared" si="17"/>
        <v>0.15461725187825864</v>
      </c>
      <c r="CH40" s="26"/>
      <c r="CN40" s="34"/>
      <c r="CO40" s="75">
        <v>0</v>
      </c>
      <c r="CT40" s="34">
        <f t="shared" si="6"/>
        <v>0</v>
      </c>
      <c r="CU40" s="34">
        <f t="shared" si="18"/>
        <v>0</v>
      </c>
      <c r="CW40" s="36">
        <f t="shared" si="19"/>
        <v>-9.205319912722762E-2</v>
      </c>
      <c r="CX40" s="36"/>
      <c r="DC40" s="23"/>
      <c r="DD40" s="26"/>
      <c r="DE40" s="23">
        <f t="shared" si="21"/>
        <v>5.5949071476064136E-2</v>
      </c>
      <c r="DF40" s="23">
        <f t="shared" si="22"/>
        <v>6.8730411926630666E-2</v>
      </c>
    </row>
    <row r="41" spans="1:110" hidden="1" x14ac:dyDescent="0.25">
      <c r="A41" s="9" t="s">
        <v>125</v>
      </c>
      <c r="B41" s="9" t="s">
        <v>127</v>
      </c>
      <c r="C41" s="32">
        <f t="shared" si="0"/>
        <v>32</v>
      </c>
      <c r="D41" s="32">
        <v>0</v>
      </c>
      <c r="E41">
        <v>0</v>
      </c>
      <c r="F41">
        <v>0</v>
      </c>
      <c r="G41" s="8">
        <v>32</v>
      </c>
      <c r="H41" s="23"/>
      <c r="I41" s="26"/>
      <c r="J41" s="23"/>
      <c r="K41" s="67"/>
      <c r="L41" s="47"/>
      <c r="M41" s="47"/>
      <c r="N41" s="67"/>
      <c r="O41" s="67"/>
      <c r="P41" s="47"/>
      <c r="Q41" s="47"/>
      <c r="R41" s="67"/>
      <c r="S41" s="68"/>
      <c r="T41" s="68"/>
      <c r="U41" s="68"/>
      <c r="V41" s="67"/>
      <c r="W41" s="67"/>
      <c r="X41" s="67"/>
      <c r="Y41" s="214"/>
      <c r="Z41" s="214"/>
      <c r="AA41" s="214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23"/>
      <c r="AN41" s="23"/>
      <c r="AO41" s="23"/>
      <c r="AP41" s="23"/>
      <c r="AQ41" s="23"/>
      <c r="BC41" s="117">
        <f t="shared" si="1"/>
        <v>0</v>
      </c>
      <c r="BD41" s="117">
        <f t="shared" si="2"/>
        <v>0</v>
      </c>
      <c r="BE41" s="117">
        <f t="shared" si="7"/>
        <v>0</v>
      </c>
      <c r="BF41" s="117">
        <f t="shared" si="8"/>
        <v>0</v>
      </c>
      <c r="BG41" s="117"/>
      <c r="BK41" s="23">
        <f t="shared" si="9"/>
        <v>4.0618975538582076E-2</v>
      </c>
      <c r="BL41" s="23"/>
      <c r="BT41" s="23">
        <f t="shared" si="11"/>
        <v>-4.8070153391404691E-2</v>
      </c>
      <c r="BV41" s="117">
        <f t="shared" si="4"/>
        <v>0</v>
      </c>
      <c r="BX41" s="117">
        <f t="shared" si="5"/>
        <v>0</v>
      </c>
      <c r="BY41" s="117">
        <f t="shared" si="12"/>
        <v>0</v>
      </c>
      <c r="BZ41" s="117"/>
      <c r="CA41" s="117"/>
      <c r="CB41" s="23">
        <f t="shared" si="13"/>
        <v>0.32561466638777348</v>
      </c>
      <c r="CC41" s="23"/>
      <c r="CD41" s="217">
        <f t="shared" si="14"/>
        <v>0</v>
      </c>
      <c r="CE41" s="26">
        <f t="shared" si="15"/>
        <v>0.35848194644806808</v>
      </c>
      <c r="CF41" s="26">
        <f t="shared" si="16"/>
        <v>0.11455068654438444</v>
      </c>
      <c r="CG41" s="26">
        <f t="shared" si="17"/>
        <v>0.15461725187825864</v>
      </c>
      <c r="CH41" s="26"/>
      <c r="CN41" s="34"/>
      <c r="CO41" s="75">
        <v>0</v>
      </c>
      <c r="CT41" s="34">
        <f t="shared" si="6"/>
        <v>0</v>
      </c>
      <c r="CU41" s="34">
        <f t="shared" si="18"/>
        <v>0</v>
      </c>
      <c r="CW41" s="36">
        <f t="shared" si="19"/>
        <v>-9.205319912722762E-2</v>
      </c>
      <c r="CX41" s="36"/>
      <c r="DC41" s="23"/>
      <c r="DD41" s="26"/>
      <c r="DE41" s="23">
        <f t="shared" si="21"/>
        <v>5.5949071476064136E-2</v>
      </c>
      <c r="DF41" s="23">
        <f t="shared" si="22"/>
        <v>6.8730411926630666E-2</v>
      </c>
    </row>
    <row r="42" spans="1:110" hidden="1" x14ac:dyDescent="0.25">
      <c r="A42" s="7" t="s">
        <v>125</v>
      </c>
      <c r="B42" s="7" t="s">
        <v>128</v>
      </c>
      <c r="C42" s="32">
        <f t="shared" si="0"/>
        <v>44</v>
      </c>
      <c r="D42" s="32">
        <v>0</v>
      </c>
      <c r="E42">
        <v>0</v>
      </c>
      <c r="F42">
        <v>0</v>
      </c>
      <c r="G42" s="8">
        <v>44</v>
      </c>
      <c r="H42" s="23"/>
      <c r="I42" s="26"/>
      <c r="J42" s="23"/>
      <c r="K42" s="67"/>
      <c r="L42" s="47"/>
      <c r="M42" s="47"/>
      <c r="N42" s="67"/>
      <c r="O42" s="67"/>
      <c r="P42" s="47"/>
      <c r="Q42" s="47"/>
      <c r="R42" s="67"/>
      <c r="S42" s="68"/>
      <c r="T42" s="68"/>
      <c r="U42" s="68"/>
      <c r="V42" s="67"/>
      <c r="W42" s="67"/>
      <c r="X42" s="67"/>
      <c r="Y42" s="214"/>
      <c r="Z42" s="214"/>
      <c r="AA42" s="214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23"/>
      <c r="AN42" s="23"/>
      <c r="AO42" s="23"/>
      <c r="AP42" s="23"/>
      <c r="AQ42" s="23"/>
      <c r="BC42" s="117">
        <f t="shared" si="1"/>
        <v>0</v>
      </c>
      <c r="BD42" s="117">
        <f t="shared" si="2"/>
        <v>0</v>
      </c>
      <c r="BE42" s="117">
        <f t="shared" si="7"/>
        <v>0</v>
      </c>
      <c r="BF42" s="117">
        <f t="shared" si="8"/>
        <v>0</v>
      </c>
      <c r="BG42" s="117"/>
      <c r="BK42" s="23">
        <f t="shared" si="9"/>
        <v>4.0618975538582076E-2</v>
      </c>
      <c r="BL42" s="23"/>
      <c r="BT42" s="23">
        <f t="shared" si="11"/>
        <v>-4.8070153391404691E-2</v>
      </c>
      <c r="BV42" s="117">
        <f t="shared" si="4"/>
        <v>0</v>
      </c>
      <c r="BX42" s="117">
        <f t="shared" si="5"/>
        <v>0</v>
      </c>
      <c r="BY42" s="117">
        <f t="shared" si="12"/>
        <v>0</v>
      </c>
      <c r="BZ42" s="117"/>
      <c r="CA42" s="117"/>
      <c r="CB42" s="23">
        <f t="shared" si="13"/>
        <v>0.32561466638777348</v>
      </c>
      <c r="CC42" s="23"/>
      <c r="CD42" s="217">
        <f t="shared" si="14"/>
        <v>0</v>
      </c>
      <c r="CE42" s="26">
        <f t="shared" si="15"/>
        <v>0.35848194644806808</v>
      </c>
      <c r="CF42" s="26">
        <f t="shared" si="16"/>
        <v>0.11455068654438444</v>
      </c>
      <c r="CG42" s="26">
        <f t="shared" si="17"/>
        <v>0.15461725187825864</v>
      </c>
      <c r="CH42" s="26"/>
      <c r="CN42" s="34"/>
      <c r="CO42" s="75">
        <v>0</v>
      </c>
      <c r="CT42" s="34">
        <f t="shared" si="6"/>
        <v>0</v>
      </c>
      <c r="CU42" s="34">
        <f t="shared" si="18"/>
        <v>0</v>
      </c>
      <c r="CW42" s="36">
        <f t="shared" si="19"/>
        <v>-9.205319912722762E-2</v>
      </c>
      <c r="CX42" s="36"/>
      <c r="DC42" s="23"/>
      <c r="DD42" s="26"/>
      <c r="DE42" s="23">
        <f t="shared" si="21"/>
        <v>5.5949071476064136E-2</v>
      </c>
      <c r="DF42" s="23">
        <f t="shared" si="22"/>
        <v>6.8730411926630666E-2</v>
      </c>
    </row>
    <row r="43" spans="1:110" x14ac:dyDescent="0.25">
      <c r="A43" s="9" t="s">
        <v>135</v>
      </c>
      <c r="B43" s="9" t="s">
        <v>100</v>
      </c>
      <c r="C43" s="10">
        <f t="shared" si="0"/>
        <v>70</v>
      </c>
      <c r="D43" s="10">
        <v>65</v>
      </c>
      <c r="E43" s="8">
        <v>52</v>
      </c>
      <c r="F43" s="8">
        <v>18</v>
      </c>
      <c r="G43">
        <v>0</v>
      </c>
      <c r="H43" s="26">
        <v>-0.55500000000000005</v>
      </c>
      <c r="I43" s="26">
        <v>-0.38452644060398899</v>
      </c>
      <c r="J43" s="26">
        <f t="shared" ref="J43" si="46">(0.6*CM43)+(0.4*DC43)</f>
        <v>-0.56541634749928771</v>
      </c>
      <c r="K43" s="68"/>
      <c r="L43" s="47" t="e">
        <f>C43*Q43</f>
        <v>#REF!</v>
      </c>
      <c r="M43" s="47"/>
      <c r="N43" s="67"/>
      <c r="O43" s="67"/>
      <c r="P43" s="47"/>
      <c r="Q43" s="47" t="e">
        <f>#REF!/AT2</f>
        <v>#REF!</v>
      </c>
      <c r="R43" s="67"/>
      <c r="S43" s="68"/>
      <c r="T43" s="68"/>
      <c r="U43" s="68"/>
      <c r="V43" s="67"/>
      <c r="W43" s="67"/>
      <c r="X43" s="67"/>
      <c r="Y43" s="214"/>
      <c r="Z43" s="214"/>
      <c r="AA43" s="214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23"/>
      <c r="AN43" s="23"/>
      <c r="AO43" s="23"/>
      <c r="AP43" s="23"/>
      <c r="AQ43" s="23"/>
      <c r="AV43">
        <v>59</v>
      </c>
      <c r="AW43">
        <v>59</v>
      </c>
      <c r="AX43">
        <f>AV43-AW43</f>
        <v>0</v>
      </c>
      <c r="AY43">
        <v>48</v>
      </c>
      <c r="AZ43">
        <v>72</v>
      </c>
      <c r="BA43">
        <v>97</v>
      </c>
      <c r="BB43">
        <v>65</v>
      </c>
      <c r="BC43" s="117">
        <f t="shared" si="1"/>
        <v>93.371589999999998</v>
      </c>
      <c r="BD43" s="117">
        <f t="shared" si="2"/>
        <v>53.919235499999999</v>
      </c>
      <c r="BE43" s="117">
        <f t="shared" si="7"/>
        <v>11.080764500000001</v>
      </c>
      <c r="BF43" s="117">
        <f t="shared" si="8"/>
        <v>3.6284100000000024</v>
      </c>
      <c r="BG43" s="117">
        <f>D43*AZ$53</f>
        <v>62.457372116349049</v>
      </c>
      <c r="BH43">
        <v>63</v>
      </c>
      <c r="BI43" s="117">
        <f>AZ43-BG43</f>
        <v>9.542627883650951</v>
      </c>
      <c r="BJ43">
        <f>AZ43-BH43</f>
        <v>9</v>
      </c>
      <c r="BK43" s="26">
        <f t="shared" si="9"/>
        <v>0.16631265262083797</v>
      </c>
      <c r="BL43" s="25">
        <f>(BI43-BI$50)/BI$51</f>
        <v>0.44791575979540688</v>
      </c>
      <c r="BM43" s="25">
        <f>(BJ43-BJ$50)/BJ$51</f>
        <v>0.44405630893298509</v>
      </c>
      <c r="BN43" s="117">
        <v>49.178384999999999</v>
      </c>
      <c r="BO43">
        <f t="shared" si="10"/>
        <v>11</v>
      </c>
      <c r="BP43" s="117">
        <f>AW43-BN43</f>
        <v>9.8216150000000013</v>
      </c>
      <c r="BQ43" s="23">
        <v>0.26300000000000001</v>
      </c>
      <c r="BR43" s="23">
        <f>(BP43-BP$51)/BP$52</f>
        <v>0.29509132469454197</v>
      </c>
      <c r="BS43">
        <v>33</v>
      </c>
      <c r="BT43" s="25">
        <f t="shared" si="11"/>
        <v>0.46803614973554675</v>
      </c>
      <c r="BU43">
        <v>12</v>
      </c>
      <c r="BV43" s="117">
        <f t="shared" si="4"/>
        <v>35.901794500000001</v>
      </c>
      <c r="BW43">
        <v>17</v>
      </c>
      <c r="BX43" s="117">
        <f t="shared" si="5"/>
        <v>46.029717499999997</v>
      </c>
      <c r="BY43" s="117">
        <f t="shared" si="12"/>
        <v>-29.029717499999997</v>
      </c>
      <c r="BZ43" s="117">
        <f>D43*BU$53</f>
        <v>23.209628886659978</v>
      </c>
      <c r="CA43" s="117">
        <f>BU43-BZ43</f>
        <v>-11.209628886659978</v>
      </c>
      <c r="CB43" s="23">
        <f t="shared" si="13"/>
        <v>-1.1666888543025726</v>
      </c>
      <c r="CC43" s="23">
        <f>(CA43-CA$50)/CA$51</f>
        <v>-1.0199703782395102</v>
      </c>
      <c r="CD43" s="217">
        <f t="shared" si="14"/>
        <v>-23.901794500000001</v>
      </c>
      <c r="CE43" s="26">
        <f t="shared" si="15"/>
        <v>-0.96190590504406115</v>
      </c>
      <c r="CF43" s="26">
        <f t="shared" si="16"/>
        <v>-0.10394067217629643</v>
      </c>
      <c r="CG43" s="26">
        <f t="shared" si="17"/>
        <v>-0.36688795014852632</v>
      </c>
      <c r="CH43" s="26">
        <f>(0.6*BL43)+(0.4*CC43)</f>
        <v>-0.13923869541855999</v>
      </c>
      <c r="CI43">
        <v>22</v>
      </c>
      <c r="CJ43">
        <f>BS43-CI43</f>
        <v>11</v>
      </c>
      <c r="CK43" s="23">
        <v>-1.506</v>
      </c>
      <c r="CL43" s="23">
        <v>-0.44500000000000001</v>
      </c>
      <c r="CM43" s="23">
        <f>(0.6*BR43)+(0.4*CK43)</f>
        <v>-0.4253452051832749</v>
      </c>
      <c r="CN43" s="34">
        <v>0</v>
      </c>
      <c r="CO43" s="75">
        <v>0</v>
      </c>
      <c r="CP43">
        <v>42413</v>
      </c>
      <c r="CQ43" s="34">
        <v>0</v>
      </c>
      <c r="CR43" s="34">
        <v>0</v>
      </c>
      <c r="CS43" s="34">
        <f>D43*CQ$52</f>
        <v>18795.692076228686</v>
      </c>
      <c r="CT43" s="34">
        <f t="shared" si="6"/>
        <v>42900</v>
      </c>
      <c r="CU43" s="34">
        <f t="shared" si="18"/>
        <v>-42900</v>
      </c>
      <c r="CV43" s="34">
        <f>CQ43-CS43</f>
        <v>-18795.692076228686</v>
      </c>
      <c r="CW43" s="36">
        <f t="shared" si="19"/>
        <v>-0.63465116323297843</v>
      </c>
      <c r="CX43" s="36">
        <f>(CV43-CV$50)/CV$51</f>
        <v>-0.64519600178836023</v>
      </c>
      <c r="CY43" s="34">
        <v>44583.651299999998</v>
      </c>
      <c r="CZ43">
        <f>CN43-CP43</f>
        <v>-42413</v>
      </c>
      <c r="DA43" s="34">
        <f t="shared" ref="DA43" si="47">CO43-CY43</f>
        <v>-44583.651299999998</v>
      </c>
      <c r="DB43" s="23">
        <v>-0.72099999999999997</v>
      </c>
      <c r="DC43" s="23">
        <f>(DA43-DA$51)/DA$52</f>
        <v>-0.77552306097330714</v>
      </c>
      <c r="DD43" s="26">
        <f>(0.6*CH43)+(0.4*CX43)</f>
        <v>-0.34162161796648011</v>
      </c>
      <c r="DE43" s="23">
        <f t="shared" si="21"/>
        <v>-0.4739932353823072</v>
      </c>
      <c r="DF43" s="23">
        <f t="shared" si="22"/>
        <v>-0.32044280402112196</v>
      </c>
    </row>
    <row r="44" spans="1:110" hidden="1" x14ac:dyDescent="0.25">
      <c r="A44" s="7" t="s">
        <v>135</v>
      </c>
      <c r="B44" s="7" t="s">
        <v>113</v>
      </c>
      <c r="C44" s="32">
        <f t="shared" si="0"/>
        <v>2</v>
      </c>
      <c r="D44" s="32">
        <v>2</v>
      </c>
      <c r="E44" s="8">
        <v>2</v>
      </c>
      <c r="F44" s="8">
        <v>0</v>
      </c>
      <c r="G44">
        <v>0</v>
      </c>
      <c r="H44" s="23"/>
      <c r="I44" s="26"/>
      <c r="J44" s="23"/>
      <c r="K44" s="67"/>
      <c r="L44" s="47"/>
      <c r="M44" s="47"/>
      <c r="N44" s="67"/>
      <c r="O44" s="67"/>
      <c r="P44" s="47"/>
      <c r="Q44" s="47"/>
      <c r="R44" s="67"/>
      <c r="S44" s="68"/>
      <c r="T44" s="68"/>
      <c r="U44" s="68"/>
      <c r="V44" s="67"/>
      <c r="W44" s="67"/>
      <c r="X44" s="67"/>
      <c r="Y44" s="214"/>
      <c r="Z44" s="214"/>
      <c r="AA44" s="214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23"/>
      <c r="AN44" s="23"/>
      <c r="AO44" s="23"/>
      <c r="AP44" s="23"/>
      <c r="AQ44" s="23"/>
      <c r="BC44" s="117">
        <f t="shared" si="1"/>
        <v>2.8729719999999999</v>
      </c>
      <c r="BD44" s="117">
        <f t="shared" si="2"/>
        <v>1.6590533999999999</v>
      </c>
      <c r="BE44" s="117">
        <f t="shared" si="7"/>
        <v>-1.6590533999999999</v>
      </c>
      <c r="BF44" s="117">
        <f t="shared" si="8"/>
        <v>-2.8729719999999999</v>
      </c>
      <c r="BG44" s="117"/>
      <c r="BK44" s="23">
        <f t="shared" si="9"/>
        <v>-5.8905172734177232E-2</v>
      </c>
      <c r="BL44" s="23"/>
      <c r="BT44" s="23">
        <f t="shared" si="11"/>
        <v>-0.12534351453577333</v>
      </c>
      <c r="BV44" s="117">
        <f t="shared" si="4"/>
        <v>1.1046705999999999</v>
      </c>
      <c r="BX44" s="117">
        <f t="shared" si="5"/>
        <v>1.416299</v>
      </c>
      <c r="BY44" s="117">
        <f t="shared" si="12"/>
        <v>-1.416299</v>
      </c>
      <c r="BZ44" s="117"/>
      <c r="CA44" s="117"/>
      <c r="CB44" s="23">
        <f t="shared" si="13"/>
        <v>0.25280830910750662</v>
      </c>
      <c r="CC44" s="23"/>
      <c r="CD44" s="217">
        <f t="shared" si="14"/>
        <v>-1.1046705999999999</v>
      </c>
      <c r="CE44" s="26">
        <f t="shared" si="15"/>
        <v>0.29745750578774355</v>
      </c>
      <c r="CF44" s="26">
        <f t="shared" si="16"/>
        <v>4.3776893593633431E-2</v>
      </c>
      <c r="CG44" s="26">
        <f t="shared" si="17"/>
        <v>6.5780220002496309E-2</v>
      </c>
      <c r="CH44" s="26"/>
      <c r="CN44" s="34"/>
      <c r="CO44" s="75">
        <v>0</v>
      </c>
      <c r="CT44" s="34">
        <f t="shared" si="6"/>
        <v>1320</v>
      </c>
      <c r="CU44" s="34">
        <f t="shared" si="18"/>
        <v>-1320</v>
      </c>
      <c r="CW44" s="36">
        <f t="shared" si="19"/>
        <v>-0.10874852109971227</v>
      </c>
      <c r="CX44" s="36"/>
      <c r="DC44" s="23"/>
      <c r="DD44" s="26"/>
      <c r="DE44" s="23">
        <f t="shared" si="21"/>
        <v>-4.0312764383871255E-3</v>
      </c>
      <c r="DF44" s="23">
        <f t="shared" si="22"/>
        <v>2.6266136156180057E-2</v>
      </c>
    </row>
    <row r="45" spans="1:110" x14ac:dyDescent="0.25">
      <c r="A45" s="9" t="s">
        <v>138</v>
      </c>
      <c r="B45" s="9" t="s">
        <v>107</v>
      </c>
      <c r="C45" s="10">
        <v>22</v>
      </c>
      <c r="D45" s="10">
        <v>11</v>
      </c>
      <c r="E45">
        <v>22</v>
      </c>
      <c r="F45">
        <v>0</v>
      </c>
      <c r="G45">
        <v>9</v>
      </c>
      <c r="H45" s="26">
        <v>-0.24399999999999999</v>
      </c>
      <c r="I45" s="26">
        <v>-0.13359595297751586</v>
      </c>
      <c r="J45" s="26">
        <f t="shared" ref="J45:J49" si="48">(0.6*CM45)+(0.4*DC45)</f>
        <v>-0.19350228700969671</v>
      </c>
      <c r="K45" s="67"/>
      <c r="L45" s="47"/>
      <c r="M45" s="47"/>
      <c r="N45" s="67"/>
      <c r="O45" s="67"/>
      <c r="P45" s="47"/>
      <c r="Q45" s="47"/>
      <c r="R45" s="67"/>
      <c r="S45" s="68"/>
      <c r="T45" s="68"/>
      <c r="U45" s="68"/>
      <c r="V45" s="67"/>
      <c r="W45" s="67"/>
      <c r="X45" s="67"/>
      <c r="Y45" s="214"/>
      <c r="Z45" s="214"/>
      <c r="AA45" s="214"/>
      <c r="AB45" s="58" t="e">
        <f>(0.6*AE45)+(0.4*#REF!)</f>
        <v>#REF!</v>
      </c>
      <c r="AC45" s="58">
        <v>1.274</v>
      </c>
      <c r="AD45" s="58">
        <f>AC45/G45</f>
        <v>0.14155555555555555</v>
      </c>
      <c r="AE45" s="58">
        <f>AD45/AD51</f>
        <v>9.1237226482114936E-2</v>
      </c>
      <c r="AF45" s="58"/>
      <c r="AG45" s="58"/>
      <c r="AH45" s="58"/>
      <c r="AI45" s="58"/>
      <c r="AJ45" s="58"/>
      <c r="AK45" s="58"/>
      <c r="AL45" s="58"/>
      <c r="AM45" s="23"/>
      <c r="AN45" s="23"/>
      <c r="AO45" s="23"/>
      <c r="AP45" s="23"/>
      <c r="AQ45" s="23"/>
      <c r="AV45">
        <v>7</v>
      </c>
      <c r="AW45">
        <v>12</v>
      </c>
      <c r="AX45">
        <f>AV45-AW45</f>
        <v>-5</v>
      </c>
      <c r="AY45">
        <v>15</v>
      </c>
      <c r="AZ45">
        <v>3</v>
      </c>
      <c r="BA45">
        <v>8</v>
      </c>
      <c r="BB45">
        <v>3</v>
      </c>
      <c r="BC45" s="117">
        <f t="shared" si="1"/>
        <v>15.801345999999999</v>
      </c>
      <c r="BD45" s="117">
        <f t="shared" si="2"/>
        <v>9.1247936999999997</v>
      </c>
      <c r="BE45" s="117">
        <f t="shared" si="7"/>
        <v>-6.1247936999999997</v>
      </c>
      <c r="BF45" s="117">
        <f t="shared" si="8"/>
        <v>-7.8013459999999988</v>
      </c>
      <c r="BG45" s="117">
        <f>D45*AZ$53</f>
        <v>10.569709127382147</v>
      </c>
      <c r="BH45">
        <v>11</v>
      </c>
      <c r="BI45" s="117">
        <f>AZ45-BG45</f>
        <v>-7.5697091273821471</v>
      </c>
      <c r="BJ45">
        <f>AZ45-BH45</f>
        <v>-8</v>
      </c>
      <c r="BK45" s="23">
        <f t="shared" si="9"/>
        <v>-0.22963159287318721</v>
      </c>
      <c r="BL45" s="23">
        <f t="shared" ref="BL45:BM49" si="49">(BI45-BI$50)/BI$51</f>
        <v>-0.35531009451081952</v>
      </c>
      <c r="BM45" s="23">
        <f t="shared" si="49"/>
        <v>-0.35618650928546858</v>
      </c>
      <c r="BN45" s="117">
        <v>15.456064</v>
      </c>
      <c r="BO45">
        <f t="shared" si="10"/>
        <v>-8</v>
      </c>
      <c r="BP45" s="117">
        <f>AW45-BN45</f>
        <v>-3.4560639999999996</v>
      </c>
      <c r="BQ45" s="23">
        <v>-0.47799999999999998</v>
      </c>
      <c r="BR45" s="23">
        <f>(BP45-BP$51)/BP$52</f>
        <v>-0.29685425112429403</v>
      </c>
      <c r="BS45">
        <v>7</v>
      </c>
      <c r="BT45" s="23">
        <f t="shared" si="11"/>
        <v>-0.33334330705532766</v>
      </c>
      <c r="BU45">
        <v>6</v>
      </c>
      <c r="BV45" s="117">
        <f t="shared" si="4"/>
        <v>6.0756882999999995</v>
      </c>
      <c r="BW45">
        <v>9</v>
      </c>
      <c r="BX45" s="117">
        <f t="shared" si="5"/>
        <v>7.7896444999999996</v>
      </c>
      <c r="BY45" s="117">
        <f t="shared" si="12"/>
        <v>1.2103555000000004</v>
      </c>
      <c r="BZ45" s="117">
        <f>D45*BU$53</f>
        <v>3.9277833500501504</v>
      </c>
      <c r="CA45" s="117">
        <f>BU45-BZ45</f>
        <v>2.0722166499498496</v>
      </c>
      <c r="CB45" s="23">
        <f t="shared" si="13"/>
        <v>0.38783427889130284</v>
      </c>
      <c r="CC45" s="23">
        <f>(CA45-CA$50)/CA$51</f>
        <v>0.18855214758794098</v>
      </c>
      <c r="CD45" s="217">
        <f t="shared" si="14"/>
        <v>-7.5688299999999487E-2</v>
      </c>
      <c r="CE45" s="26">
        <f t="shared" si="15"/>
        <v>0.35430075780049219</v>
      </c>
      <c r="CF45" s="26">
        <f t="shared" si="16"/>
        <v>-5.8285681112999727E-2</v>
      </c>
      <c r="CG45" s="26">
        <f t="shared" si="17"/>
        <v>1.7354755832608815E-2</v>
      </c>
      <c r="CH45" s="26">
        <f>(0.6*BL45)+(0.4*CC45)</f>
        <v>-0.13776519767131531</v>
      </c>
      <c r="CI45">
        <v>7</v>
      </c>
      <c r="CJ45">
        <f>BS45-CI45</f>
        <v>0</v>
      </c>
      <c r="CK45" s="23">
        <v>-0.157</v>
      </c>
      <c r="CL45" s="23">
        <v>-0.34899999999999998</v>
      </c>
      <c r="CM45" s="23">
        <f>(0.6*BR45)+(0.4*CK45)</f>
        <v>-0.2409125506745764</v>
      </c>
      <c r="CN45" s="34">
        <v>0</v>
      </c>
      <c r="CO45" s="75">
        <v>0</v>
      </c>
      <c r="CP45">
        <v>5775</v>
      </c>
      <c r="CQ45" s="34">
        <v>0</v>
      </c>
      <c r="CR45" s="34">
        <v>0</v>
      </c>
      <c r="CS45" s="34">
        <f>D45*CQ$52</f>
        <v>3180.8094282848542</v>
      </c>
      <c r="CT45" s="34">
        <f t="shared" si="6"/>
        <v>7260</v>
      </c>
      <c r="CU45" s="34">
        <f t="shared" si="18"/>
        <v>-7260</v>
      </c>
      <c r="CV45" s="34">
        <f>CQ45-CS45</f>
        <v>-3180.8094282848542</v>
      </c>
      <c r="CW45" s="36">
        <f t="shared" si="19"/>
        <v>-0.18387746997589313</v>
      </c>
      <c r="CX45" s="36">
        <f>(CV45-CV$50)/CV$51</f>
        <v>-0.10918701568726097</v>
      </c>
      <c r="CY45" s="34">
        <v>6443.8804</v>
      </c>
      <c r="CZ45">
        <f>CN45-CP45</f>
        <v>-5775</v>
      </c>
      <c r="DA45" s="34">
        <f t="shared" ref="DA45:DA49" si="50">CO45-CY45</f>
        <v>-6443.8804</v>
      </c>
      <c r="DB45" s="23">
        <v>-8.5999999999999993E-2</v>
      </c>
      <c r="DC45" s="23">
        <f>(DA45-DA$51)/DA$52</f>
        <v>-0.12238689151237722</v>
      </c>
      <c r="DD45" s="26">
        <f>(0.6*CH45)+(0.4*CX45)</f>
        <v>-0.12633392487769357</v>
      </c>
      <c r="DE45" s="23">
        <f t="shared" si="21"/>
        <v>-6.3138134490791961E-2</v>
      </c>
      <c r="DF45" s="23">
        <f t="shared" si="22"/>
        <v>-7.8646214942704212E-2</v>
      </c>
    </row>
    <row r="46" spans="1:110" x14ac:dyDescent="0.25">
      <c r="A46" s="7" t="s">
        <v>138</v>
      </c>
      <c r="B46" s="7" t="s">
        <v>108</v>
      </c>
      <c r="C46" s="10">
        <v>23</v>
      </c>
      <c r="D46" s="10">
        <v>21</v>
      </c>
      <c r="E46">
        <v>23</v>
      </c>
      <c r="F46">
        <v>0</v>
      </c>
      <c r="G46" s="28">
        <v>1</v>
      </c>
      <c r="H46" s="25">
        <v>0.38500000000000001</v>
      </c>
      <c r="I46" s="25">
        <v>0.31362014623823825</v>
      </c>
      <c r="J46" s="25">
        <f t="shared" si="48"/>
        <v>0.34714211304987652</v>
      </c>
      <c r="K46" s="66">
        <f>P46*AS$6</f>
        <v>0</v>
      </c>
      <c r="L46" s="47" t="e">
        <f>C46*Q46</f>
        <v>#REF!</v>
      </c>
      <c r="M46" s="66" t="e">
        <f>Y46*AS$8</f>
        <v>#DIV/0!</v>
      </c>
      <c r="N46" s="37" t="e">
        <f>Z46*AS$2</f>
        <v>#DIV/0!</v>
      </c>
      <c r="O46" s="37" t="e">
        <f>N46-K46</f>
        <v>#DIV/0!</v>
      </c>
      <c r="P46" s="47">
        <f>C46*AA46</f>
        <v>1.526460955007757</v>
      </c>
      <c r="Q46" s="47" t="e">
        <f>#REF!/AT2</f>
        <v>#REF!</v>
      </c>
      <c r="R46" s="67">
        <v>5656.1201621859509</v>
      </c>
      <c r="S46" s="65">
        <f>X46*AS$36</f>
        <v>5810.9212301831194</v>
      </c>
      <c r="T46" s="65" t="e">
        <f>AI46*AS$17</f>
        <v>#DIV/0!</v>
      </c>
      <c r="U46" s="65" t="e">
        <f>SUM(V46:W46)</f>
        <v>#DIV/0!</v>
      </c>
      <c r="V46" s="67"/>
      <c r="W46" s="66" t="e">
        <f>AK46*AS$32</f>
        <v>#DIV/0!</v>
      </c>
      <c r="X46" s="67">
        <f>D46*AL46</f>
        <v>1.7205793532532656</v>
      </c>
      <c r="Y46" s="58" t="e">
        <f>D46*AM46</f>
        <v>#DIV/0!</v>
      </c>
      <c r="Z46" s="58" t="e">
        <f>C46*AN46</f>
        <v>#DIV/0!</v>
      </c>
      <c r="AA46" s="214">
        <f>H46/AT$3</f>
        <v>6.6367867609032918E-2</v>
      </c>
      <c r="AB46" s="58"/>
      <c r="AC46" s="58"/>
      <c r="AD46" s="58"/>
      <c r="AE46" s="58"/>
      <c r="AF46" s="58"/>
      <c r="AG46" s="58"/>
      <c r="AH46" s="58"/>
      <c r="AI46" s="58" t="e">
        <f>D46*AO46</f>
        <v>#DIV/0!</v>
      </c>
      <c r="AJ46" s="58"/>
      <c r="AK46" s="58" t="e">
        <f>D46*AQ46</f>
        <v>#DIV/0!</v>
      </c>
      <c r="AL46" s="58">
        <f>DF46/AU$26</f>
        <v>8.1932350154917413E-2</v>
      </c>
      <c r="AM46" s="23" t="e">
        <f>I46/AU$6</f>
        <v>#DIV/0!</v>
      </c>
      <c r="AN46" s="23" t="e">
        <f>J46/AU$3</f>
        <v>#DIV/0!</v>
      </c>
      <c r="AO46" s="23" t="e">
        <f>DE46/AU$8</f>
        <v>#DIV/0!</v>
      </c>
      <c r="AP46" s="23"/>
      <c r="AQ46" s="23" t="e">
        <f>CW46/AU$22</f>
        <v>#DIV/0!</v>
      </c>
      <c r="AV46">
        <v>4</v>
      </c>
      <c r="AW46">
        <v>4</v>
      </c>
      <c r="AX46">
        <f>AV46-AW46</f>
        <v>0</v>
      </c>
      <c r="AY46">
        <v>16</v>
      </c>
      <c r="AZ46">
        <v>8</v>
      </c>
      <c r="BA46">
        <v>12</v>
      </c>
      <c r="BB46">
        <v>8</v>
      </c>
      <c r="BC46" s="117">
        <f t="shared" si="1"/>
        <v>30.166205999999999</v>
      </c>
      <c r="BD46" s="117">
        <f t="shared" si="2"/>
        <v>17.420060700000001</v>
      </c>
      <c r="BE46" s="117">
        <f t="shared" si="7"/>
        <v>-9.4200607000000005</v>
      </c>
      <c r="BF46" s="117">
        <f t="shared" si="8"/>
        <v>-18.166205999999999</v>
      </c>
      <c r="BG46" s="117">
        <f>D46*AZ$53</f>
        <v>20.178535606820461</v>
      </c>
      <c r="BH46">
        <v>20</v>
      </c>
      <c r="BI46" s="117">
        <f>AZ46-BG46</f>
        <v>-12.178535606820461</v>
      </c>
      <c r="BJ46">
        <f>AZ46-BH46</f>
        <v>-12</v>
      </c>
      <c r="BK46" s="23">
        <f t="shared" si="9"/>
        <v>-0.58868621069278038</v>
      </c>
      <c r="BL46" s="23">
        <f t="shared" si="49"/>
        <v>-0.57164107162453548</v>
      </c>
      <c r="BM46" s="23">
        <f t="shared" si="49"/>
        <v>-0.54447893710157536</v>
      </c>
      <c r="BN46" s="117">
        <v>16.158612000000002</v>
      </c>
      <c r="BO46">
        <f t="shared" si="10"/>
        <v>-12</v>
      </c>
      <c r="BP46" s="117">
        <f>AW46-BN46</f>
        <v>-12.158612000000002</v>
      </c>
      <c r="BQ46" s="23">
        <v>-0.63300000000000001</v>
      </c>
      <c r="BR46" s="23">
        <f>(BP46-BP$51)/BP$52</f>
        <v>-0.68483130546873627</v>
      </c>
      <c r="BS46">
        <v>26</v>
      </c>
      <c r="BT46" s="23">
        <f t="shared" si="11"/>
        <v>-0.48682622506032996</v>
      </c>
      <c r="BU46">
        <v>16</v>
      </c>
      <c r="BV46" s="117">
        <f t="shared" si="4"/>
        <v>11.5990413</v>
      </c>
      <c r="BW46">
        <v>25</v>
      </c>
      <c r="BX46" s="117">
        <f t="shared" si="5"/>
        <v>14.8711395</v>
      </c>
      <c r="BY46" s="117">
        <f t="shared" si="12"/>
        <v>10.1288605</v>
      </c>
      <c r="BZ46" s="117">
        <f>D46*BU$53</f>
        <v>7.4984954864593778</v>
      </c>
      <c r="CA46" s="117">
        <f>BU46-BZ46</f>
        <v>8.5015045135406222</v>
      </c>
      <c r="CB46" s="25">
        <f t="shared" si="13"/>
        <v>0.84629951923663016</v>
      </c>
      <c r="CC46" s="25">
        <f>(CA46-CA$50)/CA$51</f>
        <v>0.77355663260183338</v>
      </c>
      <c r="CD46" s="217">
        <f t="shared" si="14"/>
        <v>4.4009587000000003</v>
      </c>
      <c r="CE46" s="26">
        <f t="shared" si="15"/>
        <v>0.60160061280588462</v>
      </c>
      <c r="CF46" s="26">
        <f t="shared" si="16"/>
        <v>-5.1455489913844105E-2</v>
      </c>
      <c r="CG46" s="26">
        <f t="shared" si="17"/>
        <v>-1.4691918721016162E-2</v>
      </c>
      <c r="CH46" s="26">
        <f>(0.6*BL46)+(0.4*CC46)</f>
        <v>-3.3561989933987901E-2</v>
      </c>
      <c r="CI46">
        <v>7</v>
      </c>
      <c r="CJ46">
        <f>BS46-CI46</f>
        <v>19</v>
      </c>
      <c r="CK46" s="23">
        <v>1.1910000000000001</v>
      </c>
      <c r="CL46" s="23">
        <v>9.6000000000000002E-2</v>
      </c>
      <c r="CM46" s="23">
        <f>(0.6*BR46)+(0.4*CK46)</f>
        <v>6.5501216718758304E-2</v>
      </c>
      <c r="CN46" s="34">
        <v>52600</v>
      </c>
      <c r="CO46" s="75">
        <v>52600</v>
      </c>
      <c r="CP46">
        <v>6235</v>
      </c>
      <c r="CQ46" s="34">
        <v>38400</v>
      </c>
      <c r="CR46" s="34">
        <v>95300</v>
      </c>
      <c r="CS46" s="34">
        <f>D46*CQ$52</f>
        <v>6072.4543630892676</v>
      </c>
      <c r="CT46" s="34">
        <f t="shared" si="6"/>
        <v>13860</v>
      </c>
      <c r="CU46" s="34">
        <f t="shared" si="18"/>
        <v>81440</v>
      </c>
      <c r="CV46" s="34">
        <f>CQ46-CS46</f>
        <v>32327.545636910734</v>
      </c>
      <c r="CW46" s="225">
        <f t="shared" si="19"/>
        <v>0.93799757469030953</v>
      </c>
      <c r="CX46" s="225">
        <f>(CV46-CV$50)/CV$51</f>
        <v>1.1097012606917842</v>
      </c>
      <c r="CY46" s="34">
        <v>6956.2619999999997</v>
      </c>
      <c r="CZ46">
        <f>CN46-CP46</f>
        <v>46365</v>
      </c>
      <c r="DA46" s="34">
        <f t="shared" si="50"/>
        <v>45643.737999999998</v>
      </c>
      <c r="DB46" s="23">
        <v>0.81699999999999995</v>
      </c>
      <c r="DC46" s="23">
        <f>(DA46-DA$51)/DA$52</f>
        <v>0.76960345754655368</v>
      </c>
      <c r="DD46" s="25">
        <f>(0.6*CH46)+(0.4*CX46)</f>
        <v>0.42374331031632095</v>
      </c>
      <c r="DE46" s="25">
        <f t="shared" si="21"/>
        <v>0.36638387864351418</v>
      </c>
      <c r="DF46" s="25">
        <f t="shared" si="22"/>
        <v>0.41300721032840726</v>
      </c>
    </row>
    <row r="47" spans="1:110" x14ac:dyDescent="0.25">
      <c r="A47" s="9" t="s">
        <v>138</v>
      </c>
      <c r="B47" s="9" t="s">
        <v>100</v>
      </c>
      <c r="C47" s="10">
        <f t="shared" si="0"/>
        <v>35</v>
      </c>
      <c r="D47" s="10">
        <v>7</v>
      </c>
      <c r="E47">
        <v>28</v>
      </c>
      <c r="F47">
        <v>7</v>
      </c>
      <c r="G47">
        <v>0</v>
      </c>
      <c r="H47" s="26">
        <v>-0.32700000000000001</v>
      </c>
      <c r="I47" s="25">
        <v>0.62785895793752622</v>
      </c>
      <c r="J47" s="26">
        <f t="shared" si="48"/>
        <v>-0.32572065009905421</v>
      </c>
      <c r="K47" s="67"/>
      <c r="L47" s="47"/>
      <c r="M47" s="66" t="e">
        <f>Y47*AS$8</f>
        <v>#DIV/0!</v>
      </c>
      <c r="N47" s="214"/>
      <c r="O47" s="214"/>
      <c r="P47" s="47"/>
      <c r="Q47" s="47"/>
      <c r="R47" s="67">
        <v>0</v>
      </c>
      <c r="S47" s="65">
        <f>X47*AS$36</f>
        <v>3148.3088276523395</v>
      </c>
      <c r="T47" s="65" t="e">
        <f>AI47*AS$17</f>
        <v>#DIV/0!</v>
      </c>
      <c r="U47" s="65" t="e">
        <f>SUM(V47:W47)</f>
        <v>#DIV/0!</v>
      </c>
      <c r="V47" s="66" t="e">
        <f>AJ47*AS$31</f>
        <v>#DIV/0!</v>
      </c>
      <c r="W47" s="67"/>
      <c r="X47" s="67">
        <f>D47*AL47</f>
        <v>0.93219559377040562</v>
      </c>
      <c r="Y47" s="58" t="e">
        <f>D47*AM47</f>
        <v>#DIV/0!</v>
      </c>
      <c r="Z47" s="214"/>
      <c r="AA47" s="214"/>
      <c r="AB47" s="58"/>
      <c r="AC47" s="58"/>
      <c r="AD47" s="58"/>
      <c r="AE47" s="58"/>
      <c r="AF47" s="58"/>
      <c r="AG47" s="58"/>
      <c r="AH47" s="58"/>
      <c r="AI47" s="58" t="e">
        <f>D47*AO47</f>
        <v>#DIV/0!</v>
      </c>
      <c r="AJ47" s="58" t="e">
        <f>D47*AP47</f>
        <v>#DIV/0!</v>
      </c>
      <c r="AK47" s="58"/>
      <c r="AL47" s="58">
        <f>DF47/AU$26</f>
        <v>0.13317079911005794</v>
      </c>
      <c r="AM47" s="23" t="e">
        <f>I47/AU$6</f>
        <v>#DIV/0!</v>
      </c>
      <c r="AN47" s="23"/>
      <c r="AO47" s="23" t="e">
        <f>DE47/AU$8</f>
        <v>#DIV/0!</v>
      </c>
      <c r="AP47" s="23" t="e">
        <f>CG47/AU$19</f>
        <v>#DIV/0!</v>
      </c>
      <c r="AQ47" s="23"/>
      <c r="AV47">
        <v>26</v>
      </c>
      <c r="AW47">
        <v>26</v>
      </c>
      <c r="AX47">
        <f>AV47-AW47</f>
        <v>0</v>
      </c>
      <c r="AY47">
        <v>24</v>
      </c>
      <c r="AZ47">
        <v>42</v>
      </c>
      <c r="BA47">
        <v>53</v>
      </c>
      <c r="BB47">
        <v>41</v>
      </c>
      <c r="BC47" s="117">
        <f t="shared" si="1"/>
        <v>10.055401999999999</v>
      </c>
      <c r="BD47" s="117">
        <f t="shared" si="2"/>
        <v>5.8066868999999999</v>
      </c>
      <c r="BE47" s="117">
        <f t="shared" si="7"/>
        <v>35.193313099999997</v>
      </c>
      <c r="BF47" s="117">
        <f t="shared" si="8"/>
        <v>42.944597999999999</v>
      </c>
      <c r="BG47" s="117">
        <f>D47*AZ$53</f>
        <v>6.7261785356068202</v>
      </c>
      <c r="BH47">
        <v>7</v>
      </c>
      <c r="BI47" s="117">
        <f>AZ47-BG47</f>
        <v>35.27382146439318</v>
      </c>
      <c r="BJ47">
        <f>AZ47-BH47</f>
        <v>35</v>
      </c>
      <c r="BK47" s="25">
        <f t="shared" si="9"/>
        <v>1.52828559354462</v>
      </c>
      <c r="BL47" s="25">
        <f t="shared" si="49"/>
        <v>1.6556970191806677</v>
      </c>
      <c r="BM47" s="25">
        <f t="shared" si="49"/>
        <v>1.6679570897376788</v>
      </c>
      <c r="BN47" s="117">
        <v>24.589193000000002</v>
      </c>
      <c r="BO47">
        <f t="shared" si="10"/>
        <v>2</v>
      </c>
      <c r="BP47" s="117">
        <f>AW47-BN47</f>
        <v>1.4108069999999984</v>
      </c>
      <c r="BQ47" s="23">
        <v>-8.7999999999999995E-2</v>
      </c>
      <c r="BR47" s="23">
        <f>(BP47-BP$51)/BP$52</f>
        <v>-7.9879374978320525E-2</v>
      </c>
      <c r="BS47">
        <v>4</v>
      </c>
      <c r="BT47" s="25">
        <f t="shared" si="11"/>
        <v>1.5911209618814006</v>
      </c>
      <c r="BU47">
        <v>4</v>
      </c>
      <c r="BV47" s="117">
        <f t="shared" si="4"/>
        <v>3.8663470999999996</v>
      </c>
      <c r="BW47">
        <v>6</v>
      </c>
      <c r="BX47" s="117">
        <f t="shared" si="5"/>
        <v>4.9570464999999997</v>
      </c>
      <c r="BY47" s="117">
        <f t="shared" si="12"/>
        <v>1.0429535000000003</v>
      </c>
      <c r="BZ47" s="117">
        <f>D47*BU$53</f>
        <v>2.4994984954864594</v>
      </c>
      <c r="CA47" s="117">
        <f>BU47-BZ47</f>
        <v>1.5005015045135406</v>
      </c>
      <c r="CB47" s="23">
        <f t="shared" si="13"/>
        <v>0.37922880093683753</v>
      </c>
      <c r="CC47" s="23">
        <f>(CA47-CA$50)/CA$51</f>
        <v>0.13653146795332027</v>
      </c>
      <c r="CD47" s="217">
        <f t="shared" si="14"/>
        <v>0.13365290000000041</v>
      </c>
      <c r="CE47" s="26">
        <f t="shared" si="15"/>
        <v>0.36586522745973826</v>
      </c>
      <c r="CF47" s="25">
        <f t="shared" si="16"/>
        <v>1.1010186681127356</v>
      </c>
      <c r="CG47" s="25">
        <f t="shared" si="17"/>
        <v>1.0686628765015069</v>
      </c>
      <c r="CH47" s="25">
        <f>(0.6*BL47)+(0.4*CC47)</f>
        <v>1.0480307986897288</v>
      </c>
      <c r="CI47">
        <v>11</v>
      </c>
      <c r="CJ47">
        <f>BS47-CI47</f>
        <v>-7</v>
      </c>
      <c r="CK47" s="23">
        <v>-0.88300000000000001</v>
      </c>
      <c r="CL47" s="23">
        <v>-0.40600000000000003</v>
      </c>
      <c r="CM47" s="23">
        <f>(0.6*BR47)+(0.4*CK47)</f>
        <v>-0.40112762498699234</v>
      </c>
      <c r="CN47" s="34">
        <v>0</v>
      </c>
      <c r="CO47" s="75">
        <v>2500</v>
      </c>
      <c r="CP47">
        <v>12851</v>
      </c>
      <c r="CQ47" s="34">
        <v>2802</v>
      </c>
      <c r="CR47" s="34">
        <v>5302</v>
      </c>
      <c r="CS47" s="34">
        <f>D47*CQ$52</f>
        <v>2024.1514543630892</v>
      </c>
      <c r="CT47" s="34">
        <f t="shared" si="6"/>
        <v>4620</v>
      </c>
      <c r="CU47" s="34">
        <f t="shared" si="18"/>
        <v>682</v>
      </c>
      <c r="CV47" s="34">
        <f>CQ47-CS47</f>
        <v>777.84854563691079</v>
      </c>
      <c r="CW47" s="36">
        <f t="shared" si="19"/>
        <v>-8.3427282774777234E-2</v>
      </c>
      <c r="CX47" s="225">
        <f>(CV47-CV$50)/CV$51</f>
        <v>2.6701053071439933E-2</v>
      </c>
      <c r="CY47" s="34">
        <v>14212.453799999999</v>
      </c>
      <c r="CZ47">
        <f>CN47-CP47</f>
        <v>-12851</v>
      </c>
      <c r="DA47" s="34">
        <f t="shared" si="50"/>
        <v>-11712.453799999999</v>
      </c>
      <c r="DB47" s="23">
        <v>-0.20899999999999999</v>
      </c>
      <c r="DC47" s="23">
        <f>(DA47-DA$51)/DA$52</f>
        <v>-0.21261018776714702</v>
      </c>
      <c r="DD47" s="25">
        <f>(0.6*CH47)+(0.4*CX47)</f>
        <v>0.6394989004424132</v>
      </c>
      <c r="DE47" s="25">
        <f t="shared" si="21"/>
        <v>0.60782681279099326</v>
      </c>
      <c r="DF47" s="25">
        <f t="shared" si="22"/>
        <v>0.67129162209621729</v>
      </c>
    </row>
    <row r="48" spans="1:110" x14ac:dyDescent="0.25">
      <c r="A48" s="9" t="s">
        <v>139</v>
      </c>
      <c r="B48" s="9" t="s">
        <v>107</v>
      </c>
      <c r="C48" s="10">
        <f t="shared" si="0"/>
        <v>10</v>
      </c>
      <c r="D48" s="10">
        <v>9</v>
      </c>
      <c r="E48" s="8">
        <v>10</v>
      </c>
      <c r="F48">
        <v>0</v>
      </c>
      <c r="G48">
        <v>0</v>
      </c>
      <c r="H48" s="26">
        <v>4.2000000000000003E-2</v>
      </c>
      <c r="I48" s="25">
        <v>0.6724531195637321</v>
      </c>
      <c r="J48" s="26">
        <f t="shared" si="48"/>
        <v>5.1042450175049187E-2</v>
      </c>
      <c r="K48" s="68"/>
      <c r="L48" s="47" t="e">
        <f>C48*Q48</f>
        <v>#REF!</v>
      </c>
      <c r="M48" s="66" t="e">
        <f>Y48*AS$8</f>
        <v>#DIV/0!</v>
      </c>
      <c r="N48" s="214"/>
      <c r="O48" s="214"/>
      <c r="P48" s="47"/>
      <c r="Q48" s="47" t="e">
        <f>#REF!/AT2</f>
        <v>#REF!</v>
      </c>
      <c r="R48" s="67">
        <v>0</v>
      </c>
      <c r="S48" s="65">
        <f>X48*AS$36</f>
        <v>3041.628583780895</v>
      </c>
      <c r="T48" s="65" t="e">
        <f>AI48*AS$17</f>
        <v>#DIV/0!</v>
      </c>
      <c r="U48" s="65" t="e">
        <f>SUM(V48:W48)</f>
        <v>#DIV/0!</v>
      </c>
      <c r="V48" s="66" t="e">
        <f>AJ48*AS$31</f>
        <v>#DIV/0!</v>
      </c>
      <c r="W48" s="67"/>
      <c r="X48" s="67">
        <f>D48*AL48</f>
        <v>0.90060820551743392</v>
      </c>
      <c r="Y48" s="58" t="e">
        <f>D48*AM48</f>
        <v>#DIV/0!</v>
      </c>
      <c r="Z48" s="214"/>
      <c r="AA48" s="214"/>
      <c r="AB48" s="58"/>
      <c r="AC48" s="58"/>
      <c r="AD48" s="58"/>
      <c r="AE48" s="58"/>
      <c r="AF48" s="58"/>
      <c r="AG48" s="58"/>
      <c r="AH48" s="58"/>
      <c r="AI48" s="58" t="e">
        <f>D48*AO48</f>
        <v>#DIV/0!</v>
      </c>
      <c r="AJ48" s="58" t="e">
        <f>D48*AP48</f>
        <v>#DIV/0!</v>
      </c>
      <c r="AK48" s="58"/>
      <c r="AL48" s="58">
        <f>DF48/AU$26</f>
        <v>0.10006757839082599</v>
      </c>
      <c r="AM48" s="23" t="e">
        <f>I48/AU$6</f>
        <v>#DIV/0!</v>
      </c>
      <c r="AN48" s="23"/>
      <c r="AO48" s="23" t="e">
        <f>DE48/AU$8</f>
        <v>#DIV/0!</v>
      </c>
      <c r="AP48" s="23" t="e">
        <f>CG48/AU$19</f>
        <v>#DIV/0!</v>
      </c>
      <c r="AQ48" s="23"/>
      <c r="AV48">
        <v>13</v>
      </c>
      <c r="AW48">
        <v>13</v>
      </c>
      <c r="AX48">
        <f>AV48-AW48</f>
        <v>0</v>
      </c>
      <c r="AY48">
        <v>7</v>
      </c>
      <c r="AZ48">
        <v>15</v>
      </c>
      <c r="BA48">
        <v>20</v>
      </c>
      <c r="BB48">
        <v>15</v>
      </c>
      <c r="BC48" s="117">
        <f t="shared" si="1"/>
        <v>12.928374</v>
      </c>
      <c r="BD48" s="117">
        <f t="shared" si="2"/>
        <v>7.4657402999999993</v>
      </c>
      <c r="BE48" s="117">
        <f t="shared" si="7"/>
        <v>7.5342597000000007</v>
      </c>
      <c r="BF48" s="117">
        <f t="shared" si="8"/>
        <v>7.0716260000000002</v>
      </c>
      <c r="BG48" s="117">
        <f>D48*AZ$53</f>
        <v>8.6479438314944836</v>
      </c>
      <c r="BH48">
        <v>9</v>
      </c>
      <c r="BI48" s="117">
        <f>AZ48-BG48</f>
        <v>6.3520561685055164</v>
      </c>
      <c r="BJ48">
        <f>AZ48-BH48</f>
        <v>6</v>
      </c>
      <c r="BK48" s="26">
        <f t="shared" si="9"/>
        <v>0.28559092603218239</v>
      </c>
      <c r="BL48" s="25">
        <f t="shared" si="49"/>
        <v>0.29815540327772877</v>
      </c>
      <c r="BM48" s="25">
        <f t="shared" si="49"/>
        <v>0.30283698807090503</v>
      </c>
      <c r="BN48" s="117">
        <v>7.0254839999999996</v>
      </c>
      <c r="BO48">
        <f t="shared" si="10"/>
        <v>6</v>
      </c>
      <c r="BP48" s="117">
        <f>AW48-BN48</f>
        <v>5.9745160000000004</v>
      </c>
      <c r="BQ48" s="23">
        <v>6.8000000000000005E-2</v>
      </c>
      <c r="BR48" s="23">
        <f>(BP48-BP$51)/BP$52</f>
        <v>0.12357993081410036</v>
      </c>
      <c r="BS48">
        <v>22</v>
      </c>
      <c r="BT48" s="25">
        <f t="shared" si="11"/>
        <v>0.30285138460945926</v>
      </c>
      <c r="BU48">
        <v>31</v>
      </c>
      <c r="BV48" s="117">
        <f t="shared" si="4"/>
        <v>4.9710177</v>
      </c>
      <c r="BW48">
        <v>32</v>
      </c>
      <c r="BX48" s="117">
        <f t="shared" si="5"/>
        <v>6.3733455000000001</v>
      </c>
      <c r="BY48" s="117">
        <f t="shared" si="12"/>
        <v>25.626654500000001</v>
      </c>
      <c r="BZ48" s="117">
        <f>D48*BU$53</f>
        <v>3.2136409227683047</v>
      </c>
      <c r="CA48" s="117">
        <f>BU48-BZ48</f>
        <v>27.786359077231694</v>
      </c>
      <c r="CB48" s="25">
        <f t="shared" si="13"/>
        <v>1.6429801121198961</v>
      </c>
      <c r="CC48" s="25">
        <f>(CA48-CA$50)/CA$51</f>
        <v>2.5282962945928018</v>
      </c>
      <c r="CD48" s="217">
        <f t="shared" si="14"/>
        <v>26.028982299999999</v>
      </c>
      <c r="CE48" s="26">
        <f t="shared" si="15"/>
        <v>1.7963803442283541</v>
      </c>
      <c r="CF48" s="25">
        <f t="shared" si="16"/>
        <v>0.90026296845701725</v>
      </c>
      <c r="CG48" s="25">
        <f t="shared" si="17"/>
        <v>0.82854660046726791</v>
      </c>
      <c r="CH48" s="25">
        <f>(0.6*BL48)+(0.4*CC48)</f>
        <v>1.1902117598037578</v>
      </c>
      <c r="CI48">
        <v>3</v>
      </c>
      <c r="CJ48">
        <f>BS48-CI48</f>
        <v>19</v>
      </c>
      <c r="CK48" s="23">
        <v>0.05</v>
      </c>
      <c r="CL48" s="23">
        <v>6.0999999999999999E-2</v>
      </c>
      <c r="CM48" s="23">
        <f>(0.6*BR48)+(0.4*CK48)</f>
        <v>9.4147958488460221E-2</v>
      </c>
      <c r="CN48" s="34">
        <v>1528</v>
      </c>
      <c r="CO48" s="75">
        <v>1527.7</v>
      </c>
      <c r="CP48">
        <v>1485</v>
      </c>
      <c r="CQ48" s="34">
        <v>0</v>
      </c>
      <c r="CR48" s="34">
        <v>0</v>
      </c>
      <c r="CS48" s="34">
        <f>D48*CQ$52</f>
        <v>2602.4804413239717</v>
      </c>
      <c r="CT48" s="34">
        <f t="shared" si="6"/>
        <v>5940</v>
      </c>
      <c r="CU48" s="34">
        <f t="shared" si="18"/>
        <v>-5940</v>
      </c>
      <c r="CV48" s="34">
        <f>CQ48-CS48</f>
        <v>-2602.4804413239717</v>
      </c>
      <c r="CW48" s="36">
        <f t="shared" si="19"/>
        <v>-0.1671821480034085</v>
      </c>
      <c r="CX48" s="36">
        <f>(CV48-CV$50)/CV$51</f>
        <v>-8.93348310168499E-2</v>
      </c>
      <c r="CY48" s="34">
        <v>1619.9124999999999</v>
      </c>
      <c r="CZ48">
        <f>CN48-CP48</f>
        <v>43</v>
      </c>
      <c r="DA48" s="34">
        <f t="shared" si="50"/>
        <v>-92.212499999999864</v>
      </c>
      <c r="DB48" s="23">
        <v>1.4999999999999999E-2</v>
      </c>
      <c r="DC48" s="23">
        <f>(DA48-DA$51)/DA$52</f>
        <v>-1.3615812295067349E-2</v>
      </c>
      <c r="DD48" s="25">
        <f>(0.6*CH48)+(0.4*CX48)</f>
        <v>0.67839312347551473</v>
      </c>
      <c r="DE48" s="25">
        <f t="shared" si="21"/>
        <v>0.43025510107899734</v>
      </c>
      <c r="DF48" s="25">
        <f t="shared" si="22"/>
        <v>0.50442384866747036</v>
      </c>
    </row>
    <row r="49" spans="1:110" x14ac:dyDescent="0.25">
      <c r="A49" s="7" t="s">
        <v>139</v>
      </c>
      <c r="B49" s="7" t="s">
        <v>141</v>
      </c>
      <c r="C49" s="10">
        <f t="shared" si="0"/>
        <v>7</v>
      </c>
      <c r="D49" s="10">
        <v>11</v>
      </c>
      <c r="E49" s="8">
        <v>7</v>
      </c>
      <c r="F49">
        <v>0</v>
      </c>
      <c r="G49">
        <v>0</v>
      </c>
      <c r="H49" s="26">
        <v>-8.3000000000000004E-2</v>
      </c>
      <c r="I49" s="26">
        <v>8.3998877308868028E-2</v>
      </c>
      <c r="J49" s="26">
        <f t="shared" si="48"/>
        <v>-6.6344618791754642E-2</v>
      </c>
      <c r="K49" s="37"/>
      <c r="L49" s="40"/>
      <c r="M49" s="40"/>
      <c r="N49" s="58"/>
      <c r="O49" s="58"/>
      <c r="P49" s="40"/>
      <c r="Q49" s="40"/>
      <c r="R49" s="37"/>
      <c r="S49" s="37"/>
      <c r="T49" s="37"/>
      <c r="U49" s="67"/>
      <c r="V49" s="67"/>
      <c r="W49" s="67"/>
      <c r="X49" s="67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23"/>
      <c r="AN49" s="23"/>
      <c r="AO49" s="23"/>
      <c r="AP49" s="23"/>
      <c r="AQ49" s="23"/>
      <c r="AV49">
        <v>6</v>
      </c>
      <c r="AW49">
        <v>7</v>
      </c>
      <c r="AX49">
        <f>AV49-AW49</f>
        <v>-1</v>
      </c>
      <c r="AY49">
        <v>5</v>
      </c>
      <c r="AZ49">
        <v>12</v>
      </c>
      <c r="BA49">
        <v>15</v>
      </c>
      <c r="BB49">
        <v>12</v>
      </c>
      <c r="BC49" s="117">
        <f t="shared" si="1"/>
        <v>15.801345999999999</v>
      </c>
      <c r="BD49" s="117">
        <f t="shared" si="2"/>
        <v>9.1247936999999997</v>
      </c>
      <c r="BE49" s="117">
        <f t="shared" si="7"/>
        <v>2.8752063000000003</v>
      </c>
      <c r="BF49" s="117">
        <f t="shared" si="8"/>
        <v>-0.80134599999999878</v>
      </c>
      <c r="BG49" s="117">
        <f>D49*AZ$53</f>
        <v>10.569709127382147</v>
      </c>
      <c r="BH49">
        <v>11</v>
      </c>
      <c r="BI49" s="117">
        <f>AZ49-BG49</f>
        <v>1.4302908726178529</v>
      </c>
      <c r="BJ49">
        <f>AZ49-BH49</f>
        <v>1</v>
      </c>
      <c r="BK49" s="23">
        <f t="shared" si="9"/>
        <v>1.2859123329168803E-2</v>
      </c>
      <c r="BL49" s="23">
        <f t="shared" si="49"/>
        <v>6.7135576357814766E-2</v>
      </c>
      <c r="BM49" s="23">
        <f t="shared" si="49"/>
        <v>6.7471453300771575E-2</v>
      </c>
      <c r="BN49" s="117">
        <v>4.9178389999999998</v>
      </c>
      <c r="BO49">
        <f t="shared" si="10"/>
        <v>1</v>
      </c>
      <c r="BP49" s="117">
        <f>AW49-BN49</f>
        <v>2.0821610000000002</v>
      </c>
      <c r="BQ49" s="23">
        <v>-0.127</v>
      </c>
      <c r="BR49" s="23">
        <f>(BP49-BP$51)/BP$52</f>
        <v>-4.9949066367283926E-2</v>
      </c>
      <c r="BS49">
        <v>0</v>
      </c>
      <c r="BT49" s="25">
        <f t="shared" si="11"/>
        <v>8.5847690834986057E-2</v>
      </c>
      <c r="BU49">
        <v>9</v>
      </c>
      <c r="BV49" s="117">
        <f t="shared" si="4"/>
        <v>6.0756882999999995</v>
      </c>
      <c r="BW49">
        <v>9</v>
      </c>
      <c r="BX49" s="117">
        <f t="shared" si="5"/>
        <v>7.7896444999999996</v>
      </c>
      <c r="BY49" s="117">
        <f t="shared" si="12"/>
        <v>1.2103555000000004</v>
      </c>
      <c r="BZ49" s="117">
        <f>D49*BU$53</f>
        <v>3.9277833500501504</v>
      </c>
      <c r="CA49" s="117">
        <f>BU49-BZ49</f>
        <v>5.0722166499498496</v>
      </c>
      <c r="CB49" s="23">
        <f t="shared" si="13"/>
        <v>0.38783427889130284</v>
      </c>
      <c r="CC49" s="25">
        <f>(CA49-CA$50)/CA$51</f>
        <v>0.46152381914434537</v>
      </c>
      <c r="CD49" s="217">
        <f t="shared" si="14"/>
        <v>2.9243117000000005</v>
      </c>
      <c r="CE49" s="26">
        <f t="shared" si="15"/>
        <v>0.52002737529259679</v>
      </c>
      <c r="CF49" s="26">
        <f t="shared" si="16"/>
        <v>0.25951956461803039</v>
      </c>
      <c r="CG49" s="26">
        <f t="shared" si="17"/>
        <v>0.16284918555402242</v>
      </c>
      <c r="CH49" s="26">
        <f>(0.6*BL49)+(0.4*CC49)</f>
        <v>0.22489087347242703</v>
      </c>
      <c r="CI49">
        <v>2</v>
      </c>
      <c r="CJ49">
        <f>BS49-CI49</f>
        <v>-2</v>
      </c>
      <c r="CK49" s="23">
        <v>-0.157</v>
      </c>
      <c r="CL49" s="23">
        <v>-0.13900000000000001</v>
      </c>
      <c r="CM49" s="23">
        <f>(0.6*BR49)+(0.4*CK49)</f>
        <v>-9.2769439820370364E-2</v>
      </c>
      <c r="CN49" s="34">
        <v>0</v>
      </c>
      <c r="CO49" s="75">
        <v>0</v>
      </c>
      <c r="CP49">
        <v>803</v>
      </c>
      <c r="CQ49" s="34">
        <v>0</v>
      </c>
      <c r="CR49" s="34">
        <v>0</v>
      </c>
      <c r="CS49" s="34">
        <f>D49*CQ$52</f>
        <v>3180.8094282848542</v>
      </c>
      <c r="CT49" s="34">
        <f t="shared" si="6"/>
        <v>7260</v>
      </c>
      <c r="CU49" s="34">
        <f t="shared" si="18"/>
        <v>-7260</v>
      </c>
      <c r="CV49" s="34">
        <f>CQ49-CS49</f>
        <v>-3180.8094282848542</v>
      </c>
      <c r="CW49" s="36">
        <f t="shared" si="19"/>
        <v>-0.18387746997589313</v>
      </c>
      <c r="CX49" s="36">
        <f>(CV49-CV$50)/CV$51</f>
        <v>-0.10918701568726097</v>
      </c>
      <c r="CY49" s="34">
        <v>856.69269999999995</v>
      </c>
      <c r="CZ49">
        <f>CN49-CP49</f>
        <v>-803</v>
      </c>
      <c r="DA49" s="34">
        <f t="shared" si="50"/>
        <v>-856.69269999999995</v>
      </c>
      <c r="DB49" s="23">
        <v>0</v>
      </c>
      <c r="DC49" s="23">
        <f>(DA49-DA$51)/DA$52</f>
        <v>-2.6707387248831052E-2</v>
      </c>
      <c r="DD49" s="26">
        <f>(0.6*CH49)+(0.4*CX49)</f>
        <v>9.1259717808551827E-2</v>
      </c>
      <c r="DE49" s="23">
        <f t="shared" si="21"/>
        <v>2.415852334205619E-2</v>
      </c>
      <c r="DF49" s="23">
        <f t="shared" si="22"/>
        <v>0.11203693249591384</v>
      </c>
    </row>
    <row r="50" spans="1:110" x14ac:dyDescent="0.25">
      <c r="A50" s="69"/>
      <c r="B50" s="69"/>
      <c r="C50" s="1">
        <f>SUM(C3:C49)</f>
        <v>1420</v>
      </c>
      <c r="D50" s="1">
        <f>SUM(D3:D5,D8,D10,D11,D13,D17,D18:D19,D22,D23,D26,D27,D28,D29,D31,D32,D34,D35,D36,D37,D38,D39,D43,D45,D46,D47,D48,D49)</f>
        <v>997</v>
      </c>
      <c r="E50" s="1">
        <f>SUM(E3:E49)</f>
        <v>947</v>
      </c>
      <c r="F50" s="1">
        <f>SUM(F3:F49)</f>
        <v>178</v>
      </c>
      <c r="G50" s="1">
        <f>SUM(G3:G49)</f>
        <v>496</v>
      </c>
      <c r="H50" s="56"/>
      <c r="I50" s="80"/>
      <c r="J50" s="56"/>
      <c r="K50" s="65">
        <f>SUM(K3:K49)</f>
        <v>0</v>
      </c>
      <c r="L50" s="56"/>
      <c r="M50" s="56"/>
      <c r="N50" s="59" t="e">
        <f>SUM(N3:N49)</f>
        <v>#DIV/0!</v>
      </c>
      <c r="O50" s="59"/>
      <c r="P50" s="56"/>
      <c r="Q50" s="56" t="e">
        <f>SUM(Q3:Q49)</f>
        <v>#REF!</v>
      </c>
      <c r="R50" s="56"/>
      <c r="S50" s="56"/>
      <c r="T50" s="60"/>
      <c r="U50" s="68"/>
      <c r="V50" s="68"/>
      <c r="W50" s="68"/>
      <c r="X50" s="68"/>
      <c r="Y50" s="59"/>
      <c r="Z50" s="59"/>
      <c r="AA50" s="59">
        <f>SUM(AA3:AA49)</f>
        <v>1</v>
      </c>
      <c r="AB50" s="59" t="e">
        <f>SUM(AB3:AB49)</f>
        <v>#REF!</v>
      </c>
      <c r="AC50" s="59">
        <f>SUM(AC3:AC49)</f>
        <v>96.146999999999991</v>
      </c>
      <c r="AD50" s="63">
        <f>AC50/G50</f>
        <v>0.19384475806451612</v>
      </c>
      <c r="AE50" s="59">
        <f>SUM(AE3:AE49)</f>
        <v>1</v>
      </c>
      <c r="AF50" s="58"/>
      <c r="AG50" s="58"/>
      <c r="AH50" s="58"/>
      <c r="AI50" s="58"/>
      <c r="AJ50" s="58"/>
      <c r="AK50" s="58"/>
      <c r="AL50" s="58"/>
      <c r="AM50" s="23"/>
      <c r="AN50" s="23"/>
      <c r="AO50" s="23"/>
      <c r="AP50" s="23"/>
      <c r="AQ50" s="23"/>
      <c r="AV50" s="1">
        <f>SUM(AV3:AV49)</f>
        <v>884</v>
      </c>
      <c r="AW50" s="1">
        <f>SUM(AW3:AW49)</f>
        <v>877</v>
      </c>
      <c r="AX50" s="1"/>
      <c r="AZ50" s="1">
        <f>SUM(AZ3:AZ5,AZ8,AZ10,AZ11,AZ13,AZ17:AZ19,AZ22:AZ23,AZ26:AZ29,AZ31:AZ32,AZ34:AZ39,AZ43,AZ45:AZ49)</f>
        <v>958</v>
      </c>
      <c r="BA50" s="1">
        <f>SUM(BA3:BA49)</f>
        <v>1397</v>
      </c>
      <c r="BB50" s="1">
        <f>SUM(BB3:BB49)</f>
        <v>858</v>
      </c>
      <c r="BC50" s="1"/>
      <c r="BD50" s="1"/>
      <c r="BE50" s="53">
        <f>AVERAGE(BE3:BE5,BE8,BE10,BE11,BE13,BE17,BE18,BE19,BE22,BE23,BE26:BE29,BE31,BE32,BE34:BE39,BE43,BE45:BE49)</f>
        <v>1.0320626700000017</v>
      </c>
      <c r="BF50" s="53">
        <f>AVERAGE(BF3:BF5,BF8,BF10,BF11,BF13,BF17,BF18,BF19,BF22,BF23,BF26:BF29,BF31,BF32,BF34:BF39,BF43,BF45:BF49)</f>
        <v>-1.172551399999997</v>
      </c>
      <c r="BG50" s="1"/>
      <c r="BH50" s="1"/>
      <c r="BI50" s="53">
        <f>AVERAGE(BI3:BI5,BI8,BI10,BI11,BI13,BI17,BI18,BI19,BI22,BI23,BI26:BI29,BI31,BI32,BI34:BI39,BI43,BI45:BI49)</f>
        <v>5.9211894646675012E-16</v>
      </c>
      <c r="BJ50" s="53">
        <f>AVERAGE(BJ3:BJ5,BJ8,BJ10,BJ11,BJ13,BJ17,BJ18,BJ19,BJ22,BJ23,BJ26:BJ29,BJ31,BJ32,BJ34:BJ39,BJ43,BJ45:BJ49)</f>
        <v>-0.43333333333333335</v>
      </c>
      <c r="BK50" s="53"/>
      <c r="BL50" s="53"/>
      <c r="BM50" s="53"/>
      <c r="BS50" s="1">
        <f>SUM(BS3:BS49)</f>
        <v>399</v>
      </c>
      <c r="BT50" s="1"/>
      <c r="BU50" s="1">
        <f>SUM(BU45:BU49,BU3:BU5,BU8,BU10:BU11,BU13,BU17:BU19,BU22:BU23,BU26:BU29,BU31:BU32,BU34:BU39,BU43)</f>
        <v>356</v>
      </c>
      <c r="BV50" s="1"/>
      <c r="BW50" s="1">
        <f>SUM(BW3:BW49)</f>
        <v>516</v>
      </c>
      <c r="BX50" s="1"/>
      <c r="BY50" s="53">
        <f>AVERAGE(BY45:BY49,BY3:BY5,BY8,BY10:BY11,BY13,BY17:BY19,BY22:BY23,BY26:BY29,BY31:BY32,BY34:BY39,BY43)</f>
        <v>-6.3341683833333322</v>
      </c>
      <c r="BZ50" s="1"/>
      <c r="CA50" s="53">
        <f>AVERAGE(CA45:CA49,CA3:CA5,CA8,CA10:CA11,CA13,CA17:CA19,CA22:CA23,CA26:CA29,CA31:CA32,CA34:CA39,CA43)</f>
        <v>0</v>
      </c>
      <c r="CB50" s="53"/>
      <c r="CC50" s="53"/>
      <c r="CD50" s="53">
        <f>AVERAGE(CD3:CD5,CD8,CD10,CD11,CD13,CD17,CD18,CD19,CD22,CD23,CD26:CD29,CD31,CD32,CD34:CD39,CD43,CD45:CD49)</f>
        <v>-6.4892764699999992</v>
      </c>
      <c r="CE50" s="53"/>
      <c r="CF50" s="53"/>
      <c r="CG50" s="79"/>
      <c r="CH50" s="79"/>
      <c r="CN50" s="54">
        <f>SUM(CN3:CN49)</f>
        <v>786525</v>
      </c>
      <c r="CO50" s="54">
        <f>SUM(CO3:CO49)</f>
        <v>798303</v>
      </c>
      <c r="CQ50" s="54">
        <f>SUM(CQ45:CQ49,CQ43,CQ3:CQ5,CQ7,CQ8,CQ10,CQ11,CQ13,CQ17:CQ19,CQ22:CQ23,CQ26:CQ29,CQ31:CQ32,CQ34:CQ39)</f>
        <v>288297</v>
      </c>
      <c r="CR50" s="54">
        <f>SUM(CR3:CR49)</f>
        <v>876363</v>
      </c>
      <c r="CS50" s="54"/>
      <c r="CT50" s="54"/>
      <c r="CU50" s="54">
        <f>AVERAGE(CU45:CU49,CU43,CU3:CU5,CU8,CU10:CU11,CU13,CU17:CU19,CU22:CU23,CU26:CU29,CU31:CU32,CU34:CU39)</f>
        <v>7278.1</v>
      </c>
      <c r="CV50" s="54">
        <f>AVERAGE(CV45:CV49,CV43,CV3:CV5,CV8,CV10:CV11,CV13,CV17:CV19,CV22:CV23,CV26:CV29,CV31:CV32,CV34:CV39)</f>
        <v>8.4886172165473304E-13</v>
      </c>
      <c r="CW50" s="54"/>
      <c r="CX50" s="54"/>
    </row>
    <row r="51" spans="1:110" x14ac:dyDescent="0.25">
      <c r="C51" s="1">
        <v>339</v>
      </c>
      <c r="D51" s="1"/>
      <c r="L51" s="56" t="e">
        <f>SUM(L3:L50)</f>
        <v>#REF!</v>
      </c>
      <c r="M51" s="60" t="e">
        <f>SUM(M3:M50)</f>
        <v>#DIV/0!</v>
      </c>
      <c r="N51" s="56"/>
      <c r="O51" s="56"/>
      <c r="P51" s="56">
        <f>SUM(P3:P50)</f>
        <v>127.95793828650233</v>
      </c>
      <c r="S51" s="60">
        <f>SUM(S3:S50)</f>
        <v>356817.4046543556</v>
      </c>
      <c r="T51" s="60" t="e">
        <f t="shared" ref="T51:Z51" si="51">SUM(T3:T50)</f>
        <v>#DIV/0!</v>
      </c>
      <c r="U51" s="68" t="e">
        <f t="shared" si="51"/>
        <v>#DIV/0!</v>
      </c>
      <c r="V51" s="68" t="e">
        <f t="shared" si="51"/>
        <v>#DIV/0!</v>
      </c>
      <c r="W51" s="68" t="e">
        <f t="shared" si="51"/>
        <v>#DIV/0!</v>
      </c>
      <c r="X51" s="68">
        <f>SUM(X3:X50)</f>
        <v>105.65151978670912</v>
      </c>
      <c r="Y51" s="59" t="e">
        <f t="shared" si="51"/>
        <v>#DIV/0!</v>
      </c>
      <c r="Z51" s="59" t="e">
        <f t="shared" si="51"/>
        <v>#DIV/0!</v>
      </c>
      <c r="AA51" s="58"/>
      <c r="AB51" s="58"/>
      <c r="AC51" s="58"/>
      <c r="AD51" s="58">
        <f>SUM(AD3:AD49)</f>
        <v>1.5515109458451635</v>
      </c>
      <c r="AE51" s="58"/>
      <c r="AF51" s="58"/>
      <c r="AG51" s="59" t="e">
        <f>SUM(AG12:AG50)</f>
        <v>#REF!</v>
      </c>
      <c r="AH51" s="58"/>
      <c r="AI51" s="59" t="e">
        <f>SUM(AI3:AI50)</f>
        <v>#DIV/0!</v>
      </c>
      <c r="AJ51" s="59" t="e">
        <f>SUM(AJ3:AJ50)</f>
        <v>#DIV/0!</v>
      </c>
      <c r="AK51" s="59" t="e">
        <f>SUM(AK3:AK50)</f>
        <v>#DIV/0!</v>
      </c>
      <c r="AL51" s="59"/>
      <c r="AM51" s="23"/>
      <c r="AW51" s="155">
        <f>(AW50/AV50)*100</f>
        <v>99.208144796380097</v>
      </c>
      <c r="BE51" s="23">
        <f>STDEV(BE3:BE5,BE8,BE10,BE11,BE13,BE17:BE19,BE22,BE23,BE26:BE29,BE31,BE32,BE34:BE39,BE43,BE45:BE49)</f>
        <v>21.46992670475943</v>
      </c>
      <c r="BF51" s="23">
        <f>STDEV(BF3:BF5,BF8,BF10,BF11,BF13,BF17:BF19,BF22,BF23,BF26:BF29,BF31,BF32,BF34:BF39,BF43,BF45:BF49)</f>
        <v>28.867084520293847</v>
      </c>
      <c r="BI51" s="23">
        <f>STDEV(BI3:BI5,BI8,BI10,BI11,BI13,BI17:BI19,BI22,BI23,BI26:BI29,BI31,BI32,BI34:BI39,BI43,BI45:BI49)</f>
        <v>21.304514688230011</v>
      </c>
      <c r="BJ51" s="23">
        <f>STDEV(BJ3:BJ5,BJ8,BJ10,BJ11,BJ13,BJ17:BJ19,BJ22,BJ23,BJ26:BJ29,BJ31,BJ32,BJ34:BJ39,BJ43,BJ45:BJ49)</f>
        <v>21.243552098157373</v>
      </c>
      <c r="BK51" s="23"/>
      <c r="BL51" s="23"/>
      <c r="BM51" s="23"/>
      <c r="BO51" s="1" t="s">
        <v>300</v>
      </c>
      <c r="BP51" s="117">
        <f>AVERAGE(BP3:BP5,BP7:BP8,BP10:BP11,BP13:BP14,BP17,BP22:BP23,BP26:BP29,BP31:BP39,BP43,BP45:BP49)</f>
        <v>3.2025472258064513</v>
      </c>
      <c r="BS51" s="1">
        <f>AV50+BS50</f>
        <v>1283</v>
      </c>
      <c r="BT51" s="1"/>
      <c r="BU51" s="1"/>
      <c r="BV51" s="1"/>
      <c r="BW51" s="1"/>
      <c r="BX51" s="1"/>
      <c r="BY51" s="53">
        <f>STDEV(BY3:BY5,BY8,BY10:BY11,BY13,BY17:BY19,BY22:BY23,BY26:BY29,BY31:BY32,BY34:BY39,BY43,BY45:BY49)</f>
        <v>19.452957858446066</v>
      </c>
      <c r="BZ51" s="1"/>
      <c r="CA51" s="53">
        <f>STDEV(CA3:CA5,CA8,CA10:CA11,CA13,CA17:CA19,CA22:CA23,CA26:CA29,CA31:CA32,CA34:CA39,CA43,CA45:CA49)</f>
        <v>10.990151406169293</v>
      </c>
      <c r="CB51" s="53"/>
      <c r="CC51" s="53"/>
      <c r="CD51" s="23">
        <f>STDEV(CD3:CD5,CD8,CD10,CD11,CD13,CD17:CD19,CD22,CD23,CD26:CD29,CD31,CD32,CD34:CD39,CD43,CD45:CD49)</f>
        <v>18.10210119169858</v>
      </c>
      <c r="CE51" s="23"/>
      <c r="CF51" s="23"/>
      <c r="CG51" s="79"/>
      <c r="CH51" s="79"/>
      <c r="CU51" s="34">
        <f>STDEV(CU3:CU5,CU8,CU10:CU11,CU13,CU17:CU19,CU22:CU23,CU26:CU29,CU31:CU32,CU34:CU39,CU43,CU45:CU49)</f>
        <v>79064.063704520115</v>
      </c>
      <c r="CV51" s="34">
        <f>STDEV(CV3:CV5,CV8,CV10:CV11,CV13,CV17:CV19,CV22:CV23,CV26:CV29,CV31:CV32,CV34:CV39,CV43,CV45:CV49)</f>
        <v>29131.755348964678</v>
      </c>
      <c r="CZ51" s="1" t="s">
        <v>300</v>
      </c>
      <c r="DA51" s="34">
        <f>AVERAGE(DA3:DA5,DA7:DA8,DA10:DA11,DA13:DA14,DA17,DA22:DA23,DA26:DA29,DA31:DA39,DA43,DA45:DA49)</f>
        <v>702.8804466666694</v>
      </c>
      <c r="DC51" s="23"/>
    </row>
    <row r="52" spans="1:110" ht="18.75" x14ac:dyDescent="0.3">
      <c r="A52" s="14"/>
      <c r="C52" s="1">
        <f>C51/C50</f>
        <v>0.23873239436619717</v>
      </c>
      <c r="D52" s="1"/>
      <c r="AM52" s="23"/>
      <c r="BO52" s="1" t="s">
        <v>267</v>
      </c>
      <c r="BP52">
        <f>STDEV(BP3:BP5,BP7:BP8,BP10:BP11,BP13:BP14,BP17,BP22:BP23,BP26:BP29,BP31:BP39,BP43,BP45:BP49)</f>
        <v>22.430573928410631</v>
      </c>
      <c r="CH52" s="278" t="s">
        <v>400</v>
      </c>
      <c r="CO52" s="223" t="s">
        <v>343</v>
      </c>
      <c r="CQ52" s="34">
        <f>CQ50/D50</f>
        <v>289.16449348044131</v>
      </c>
      <c r="CR52" s="34">
        <f>CR50/D50</f>
        <v>879</v>
      </c>
      <c r="CZ52" s="1" t="s">
        <v>267</v>
      </c>
      <c r="DA52">
        <f>STDEV(DA3:DA5,DA7:DA8,DA10:DA11,DA13:DA14,DA17,DA22:DA23,DA26:DA29,DA31:DA39,DA43,DA45:DA49)</f>
        <v>58394.822830710626</v>
      </c>
    </row>
    <row r="53" spans="1:110" x14ac:dyDescent="0.25">
      <c r="AU53" s="277" t="s">
        <v>400</v>
      </c>
      <c r="AW53" s="223" t="s">
        <v>335</v>
      </c>
      <c r="AZ53">
        <f>AZ50/D50</f>
        <v>0.96088264794383149</v>
      </c>
      <c r="BA53">
        <f>BA50/D50</f>
        <v>1.4012036108324974</v>
      </c>
      <c r="BB53">
        <f>BB50/D50</f>
        <v>0.86058174523570707</v>
      </c>
      <c r="BL53" s="277" t="s">
        <v>400</v>
      </c>
      <c r="BS53" s="223" t="s">
        <v>340</v>
      </c>
      <c r="BT53" s="223"/>
      <c r="BU53">
        <f>BU50/D50</f>
        <v>0.35707121364092276</v>
      </c>
      <c r="BW53">
        <f>BW50/D50</f>
        <v>0.5175526579739218</v>
      </c>
      <c r="CH53" s="278" t="s">
        <v>432</v>
      </c>
      <c r="CO53" s="223" t="s">
        <v>344</v>
      </c>
      <c r="CQ53" s="34">
        <v>429</v>
      </c>
      <c r="CR53" s="34">
        <v>660</v>
      </c>
    </row>
    <row r="54" spans="1:110" x14ac:dyDescent="0.25">
      <c r="AU54" s="277" t="s">
        <v>432</v>
      </c>
      <c r="AW54" s="223" t="s">
        <v>336</v>
      </c>
      <c r="AZ54">
        <v>0.9686131</v>
      </c>
      <c r="BA54">
        <v>1.4364859999999999</v>
      </c>
      <c r="BB54" s="290">
        <v>0.82952669999999995</v>
      </c>
      <c r="BL54" s="277" t="s">
        <v>432</v>
      </c>
      <c r="BS54" s="223" t="s">
        <v>341</v>
      </c>
      <c r="BT54" s="223"/>
      <c r="BU54">
        <v>0.55233529999999997</v>
      </c>
      <c r="BW54">
        <v>0.70814949999999999</v>
      </c>
      <c r="CO54" t="s">
        <v>396</v>
      </c>
    </row>
    <row r="55" spans="1:110" x14ac:dyDescent="0.25">
      <c r="AW55" t="s">
        <v>395</v>
      </c>
      <c r="BS55" t="s">
        <v>395</v>
      </c>
    </row>
  </sheetData>
  <dataValidations disablePrompts="1" count="1">
    <dataValidation type="list" showInputMessage="1" showErrorMessage="1" sqref="E1:G1">
      <formula1>$A$52:$A$76</formula1>
    </dataValidation>
  </dataValidations>
  <pageMargins left="0.75" right="0.75" top="1" bottom="1" header="0.5" footer="0.5"/>
  <pageSetup paperSize="9" orientation="portrait" r:id="rId1"/>
  <ignoredErrors>
    <ignoredError sqref="C19:C49 C3:C17" formulaRange="1"/>
    <ignoredError sqref="D50 BU5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9021EF4742B343A1D85F8700228882" ma:contentTypeVersion="0" ma:contentTypeDescription="Umožňuje vytvoriť nový dokument." ma:contentTypeScope="" ma:versionID="d5ce656bb9126b90eba25d1deb3ab1b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c03bc20b3b442f8046c3eea305e142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EF2437-A33C-447F-B9E7-1FB7A7C7FD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8AB54B-7E14-407F-B572-303BFBA6F292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337213D-B332-4E50-8BCF-C88BAC9F6C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10</vt:i4>
      </vt:variant>
    </vt:vector>
  </HeadingPairs>
  <TitlesOfParts>
    <vt:vector size="10" baseType="lpstr">
      <vt:lpstr>E1_alokácia</vt:lpstr>
      <vt:lpstr>E2_zamestnanci_2021</vt:lpstr>
      <vt:lpstr>E3_oblasti</vt:lpstr>
      <vt:lpstr>E4a_M1_prirodne</vt:lpstr>
      <vt:lpstr>E4b_M2_technicke</vt:lpstr>
      <vt:lpstr>E4c_M3_lekarske</vt:lpstr>
      <vt:lpstr>E4d_M4_polno_les_vet</vt:lpstr>
      <vt:lpstr>E4e_M5_spolocenske</vt:lpstr>
      <vt:lpstr>E4f_M6_humanitne</vt:lpstr>
      <vt:lpstr>E4g_M6_umenie</vt:lpstr>
    </vt:vector>
  </TitlesOfParts>
  <Company>Minedu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Kanovský Martin</dc:creator>
  <cp:lastModifiedBy>Kanovský Martin</cp:lastModifiedBy>
  <dcterms:created xsi:type="dcterms:W3CDTF">2021-06-03T13:52:00Z</dcterms:created>
  <dcterms:modified xsi:type="dcterms:W3CDTF">2023-01-24T12:11:22Z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  <property fmtid="{D5CDD505-2E9C-101B-9397-08002B2CF9AE}" pid="3" name="ContentTypeId">
    <vt:lpwstr>0x010100909021EF4742B343A1D85F8700228882</vt:lpwstr>
  </property>
</Properties>
</file>