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workbook>
</file>

<file path=xl/sharedStrings.xml><?xml version="1.0" encoding="utf-8"?>
<sst xmlns="http://schemas.openxmlformats.org/spreadsheetml/2006/main" count="8475" uniqueCount="3089">
  <si>
    <t>Store ID</t>
  </si>
  <si>
    <t>Problem type</t>
  </si>
  <si>
    <t>Count of Type</t>
  </si>
  <si>
    <t>Count of Modell</t>
  </si>
  <si>
    <t>FR2806</t>
  </si>
  <si>
    <t>Abbindung defekt</t>
  </si>
  <si>
    <t>An/Aus Alarm geht nicht</t>
  </si>
  <si>
    <t>angefahren</t>
  </si>
  <si>
    <t>Anzeige defekt</t>
  </si>
  <si>
    <t>Backprogramm falsch</t>
  </si>
  <si>
    <t>Beleuchtung defekt</t>
  </si>
  <si>
    <t>Beschädigung / Bruch</t>
  </si>
  <si>
    <t>Beschreibung im BO</t>
  </si>
  <si>
    <t>Bürsten drehen sich nicht</t>
  </si>
  <si>
    <t>Dringend / Überverbrauch</t>
  </si>
  <si>
    <t>Fensterreinigung (42160003)</t>
  </si>
  <si>
    <t>feuchte Deckenplatten</t>
  </si>
  <si>
    <t>Filialtemperatur über 25 °C</t>
  </si>
  <si>
    <t>Filialtemperatur unter 18 °C</t>
  </si>
  <si>
    <t>Fliesen lose / kaputt</t>
  </si>
  <si>
    <t>Funktioniert nicht</t>
  </si>
  <si>
    <t>Geräuschentwicklung</t>
  </si>
  <si>
    <t>Glas/Plexiglas defekt</t>
  </si>
  <si>
    <t>Glasdeckel defekt</t>
  </si>
  <si>
    <t>Griff defekt</t>
  </si>
  <si>
    <t>Kassenband defekt</t>
  </si>
  <si>
    <t>Kleintierbefall</t>
  </si>
  <si>
    <t>Kontinuierlicher Alarm</t>
  </si>
  <si>
    <t>Kühlalarm</t>
  </si>
  <si>
    <t>Ladenbau (42500097)</t>
  </si>
  <si>
    <t>Leuchtmittel ausgefallen</t>
  </si>
  <si>
    <t>Leuchtstoffröhre defekt</t>
  </si>
  <si>
    <t>Lüftungsgitter defekt</t>
  </si>
  <si>
    <t>Malerbedarf</t>
  </si>
  <si>
    <t>Motten-/Schabenbefall</t>
  </si>
  <si>
    <t>Öffnung/Schließung defekt</t>
  </si>
  <si>
    <t>Perso-Kleiderschrank defekt</t>
  </si>
  <si>
    <t>Priorität 1</t>
  </si>
  <si>
    <t>Reinigung Außenanlage (42530002)</t>
  </si>
  <si>
    <t>Saugt nicht</t>
  </si>
  <si>
    <t>Schloss defekt</t>
  </si>
  <si>
    <t>Schlüssel im Schloss abgebrochen</t>
  </si>
  <si>
    <t>Schneidwerk defekt</t>
  </si>
  <si>
    <t>Starke Verschmutzung</t>
  </si>
  <si>
    <t>Störung Stromeinspeisung</t>
  </si>
  <si>
    <t>Temperaturproblem</t>
  </si>
  <si>
    <t>Tür defekt</t>
  </si>
  <si>
    <t>Türgriff defekt</t>
  </si>
  <si>
    <t>Türsensor defekt</t>
  </si>
  <si>
    <t>Undichtigkeiten</t>
  </si>
  <si>
    <t>Undichtigkeiten (Dach)</t>
  </si>
  <si>
    <t>Vereist</t>
  </si>
  <si>
    <t>Wach- und Streifendienst (42600001)</t>
  </si>
  <si>
    <t>WC verstopft</t>
  </si>
  <si>
    <t>Wechselrichter defekt</t>
  </si>
  <si>
    <t>FR2806 Total</t>
  </si>
  <si>
    <t>FR2807</t>
  </si>
  <si>
    <t>Aufprallschutz Ständer</t>
  </si>
  <si>
    <t>Beleuchtungszeiten falsch</t>
  </si>
  <si>
    <t>Bodenunebenheiten</t>
  </si>
  <si>
    <t>Einkaufswagenreinigung (42160006)</t>
  </si>
  <si>
    <t>fehlende Deckenplatten</t>
  </si>
  <si>
    <t>Fluchtwegplan falsch/fehlt</t>
  </si>
  <si>
    <t>Graffiti-Verschmutzung</t>
  </si>
  <si>
    <t>Komplettsystem defekt</t>
  </si>
  <si>
    <t>Lädt nicht</t>
  </si>
  <si>
    <t>Läuft nicht</t>
  </si>
  <si>
    <t>Leuchtet nur auf 2/3</t>
  </si>
  <si>
    <t>Luftschleiergitter defekt</t>
  </si>
  <si>
    <t>Mausbefall (42160005)</t>
  </si>
  <si>
    <t>Nicht nutzbar</t>
  </si>
  <si>
    <t>Priorität 3</t>
  </si>
  <si>
    <t>Räder defekt</t>
  </si>
  <si>
    <t>Reinigung sonstiges (42160099)</t>
  </si>
  <si>
    <t>Röhre ausgefallen</t>
  </si>
  <si>
    <t>Thermometer defekt</t>
  </si>
  <si>
    <t>Verstopfung</t>
  </si>
  <si>
    <t>Waschbecken verstopft</t>
  </si>
  <si>
    <t>FR2807 Total</t>
  </si>
  <si>
    <t>FR2808</t>
  </si>
  <si>
    <t>Defekt</t>
  </si>
  <si>
    <t>Gummidichtung beschädigt</t>
  </si>
  <si>
    <t>Hebel gebrochen</t>
  </si>
  <si>
    <t>Kassenklingel defekt</t>
  </si>
  <si>
    <t>Label fehlt/defekt</t>
  </si>
  <si>
    <t>Ladeklappe loose</t>
  </si>
  <si>
    <t>Problem mit Draht</t>
  </si>
  <si>
    <t>Schiene beschädigt</t>
  </si>
  <si>
    <t>FR2808 Total</t>
  </si>
  <si>
    <t>FR2814</t>
  </si>
  <si>
    <t>Fliesen lose</t>
  </si>
  <si>
    <t>Kamera defekt</t>
  </si>
  <si>
    <t>Kassentisch-Verkleidung defekt</t>
  </si>
  <si>
    <t>Mikrowelle defekt</t>
  </si>
  <si>
    <t>Rasenfläche ungepflegt</t>
  </si>
  <si>
    <t>Riegel/Magnetkontakt def.</t>
  </si>
  <si>
    <t>FR2814 Total</t>
  </si>
  <si>
    <t>FR3709</t>
  </si>
  <si>
    <t>Auslösung Fehlalarm (42600004)</t>
  </si>
  <si>
    <t>Beschilderung beschädigt / mangel</t>
  </si>
  <si>
    <t>Durchschubsicherung defekt</t>
  </si>
  <si>
    <t>Klosett beschädigt</t>
  </si>
  <si>
    <t>Reinigung Kassenbereich</t>
  </si>
  <si>
    <t>Rücklaufalarm defekt</t>
  </si>
  <si>
    <t>Torelement defekt</t>
  </si>
  <si>
    <t>Vögel</t>
  </si>
  <si>
    <t>FR3709 Total</t>
  </si>
  <si>
    <t>FR3862</t>
  </si>
  <si>
    <t>Kippvorrichtung defekt</t>
  </si>
  <si>
    <t>Sperre funktioniert nicht</t>
  </si>
  <si>
    <t>FR3862 Total</t>
  </si>
  <si>
    <t>FR4046</t>
  </si>
  <si>
    <t>Alarmsignal</t>
  </si>
  <si>
    <t>Blockierung defekt</t>
  </si>
  <si>
    <t>Dachdeckung fehlt</t>
  </si>
  <si>
    <t>Display defekt</t>
  </si>
  <si>
    <t>Feuerlöscher nicht befestigt/kein Ständer</t>
  </si>
  <si>
    <t>Problem mit Kamera/Bildschirm am Eingang</t>
  </si>
  <si>
    <t>Regenfallrohr beschädigt</t>
  </si>
  <si>
    <t>Schachtdeckel defekt</t>
  </si>
  <si>
    <t>Schalttafel defekt</t>
  </si>
  <si>
    <t>FR4046 Total</t>
  </si>
  <si>
    <t>FR4047</t>
  </si>
  <si>
    <t>Feuerlöscherentladung</t>
  </si>
  <si>
    <t>Fussleisten defekt</t>
  </si>
  <si>
    <t>Innentresor beschädigt</t>
  </si>
  <si>
    <t>Kompressor angefahren/beschädigt</t>
  </si>
  <si>
    <t>Leuchtet nur auf 1/3</t>
  </si>
  <si>
    <t>Logofarbe blättert ab</t>
  </si>
  <si>
    <t>Magnetschloss defekt</t>
  </si>
  <si>
    <t>Netzwerkverbindung defekt</t>
  </si>
  <si>
    <t>Schalter / Taster defekt</t>
  </si>
  <si>
    <t>Schalter defekt</t>
  </si>
  <si>
    <t>Türsensor-Radius verstellt</t>
  </si>
  <si>
    <t>FR4047 Total</t>
  </si>
  <si>
    <t>Grand Total</t>
  </si>
  <si>
    <t>Description text branch</t>
  </si>
  <si>
    <t>Free text</t>
  </si>
  <si>
    <t>manque toujours la barre de maintien pour pouvoir fermer la porte</t>
  </si>
  <si>
    <t>rideau de la reserve reste coincé 
 URGENT</t>
  </si>
  <si>
    <t>rideau sorti du rail</t>
  </si>
  <si>
    <t>La porte est bloquée en haut et ne se ferme plus.</t>
  </si>
  <si>
    <t>TRES URGENT porte qui ne s'ouvre plus nous avons du bloquer avec des palettes</t>
  </si>
  <si>
    <t>ne se ferme plus</t>
  </si>
  <si>
    <t>* Lancer un nettoyage de la porte souple 
 On arrive pas à nettoyer ria peinture avec nos produits</t>
  </si>
  <si>
    <t>bonjour la porte ne se ferme plus clients entrent dans la reserve</t>
  </si>
  <si>
    <t>PORTE NE SE FERME PLUS MERCI DE LANCER L INTERVENTION CAR CLIENT ENTRE DANS LA RESERVE</t>
  </si>
  <si>
    <t>ne ce ferme plus</t>
  </si>
  <si>
    <t>pote souple reste ouvert ne se ferme plus meme en mode automatique merci de lancer une intervention merci</t>
  </si>
  <si>
    <t>la porte ne se ferme plus 
 urgent</t>
  </si>
  <si>
    <t>porte de sortie décalée 
 en position ouverture fermeture ne bouge pas</t>
  </si>
  <si>
    <t>bonjour les cables de la porte automatique sas de sortie sont tombes pourriez vous lancer une intervention merci</t>
  </si>
  <si>
    <t>Porte de sortie endomagée, portant décallé, cables qui pendent, la porte ne se ferme plus correctement. Dangereux pour l'équipe et les clients.</t>
  </si>
  <si>
    <t>forcage porte</t>
  </si>
  <si>
    <t>fuite au dessus de la boulangerie coule endessous du rayon visible client et dangereux</t>
  </si>
  <si>
    <t>* Revoir peinture zone quai</t>
  </si>
  <si>
    <t>Tag sur la façade</t>
  </si>
  <si>
    <t>*Peinture bâtiment sale / AE devis demandé</t>
  </si>
  <si>
    <t>Façade sale côté espace vert</t>
  </si>
  <si>
    <t>Il faudrait un nettoyage de vitre sur toute la hauteur.</t>
  </si>
  <si>
    <t>Clé casser dans la serrure, le rideau reste bloqué.
 Impossible de prendre une photo via le MDE écran noir</t>
  </si>
  <si>
    <t>Rideau bloqué en position fermé</t>
  </si>
  <si>
    <t>aucune eclairage au niveau des parking et derriere sortie du personnel</t>
  </si>
  <si>
    <t>* bonjour aucune lumiere ne fonctionne une fois qu il fait nuit tout le parking est eteint et quand le personnel quitte les lieux a 21 h il fait tout noir * CH veut voir avec FM</t>
  </si>
  <si>
    <t>FIENTES D OISEAUX A NETTOYER</t>
  </si>
  <si>
    <t>le daudann est cassé ( parking) 
 urgent</t>
  </si>
  <si>
    <t>* Nettoyage complet rack caddies</t>
  </si>
  <si>
    <t>*Passer le Karcher au niveau des fientes présentes sur le rac</t>
  </si>
  <si>
    <t>Une des barrieres du parc a caddies est cassée.</t>
  </si>
  <si>
    <t>* urgent cause visite du 14/10 il faudrait nettoyer le devant du magasin</t>
  </si>
  <si>
    <t>le poteau a cigarette est casse</t>
  </si>
  <si>
    <t>* nettoyage fiente d oiseau</t>
  </si>
  <si>
    <t>* presence de fiente</t>
  </si>
  <si>
    <t>fixer poubelle au sol</t>
  </si>
  <si>
    <t>* merci de lancer une intervention pour nettoyage du parc à caddie,
 quai, parking, rammasage des feuilles mortes 
 visite le 13 octobre</t>
  </si>
  <si>
    <t>fiente d'oiseau sur le parc a charriot</t>
  </si>
  <si>
    <t>ne s ouvre plus</t>
  </si>
  <si>
    <t>Pose de l’affichage, c’est utile ! dans le sas d’entrée sur l’erratum .ODM fait par AT3 . Travail fini.</t>
  </si>
  <si>
    <t>bonjour porte entree reste ouverte ne se ferme plus merci de lancer une intervention rapide</t>
  </si>
  <si>
    <t>* mur cassé</t>
  </si>
  <si>
    <t>poinée casse porte du quai</t>
  </si>
  <si>
    <t>prise mural ne fonctionne plus
 URGENT</t>
  </si>
  <si>
    <t>poignée casser</t>
  </si>
  <si>
    <t>* zone de quai à nettoyer au karcher et le longe du quai menant vers la porte de la reserve 
 visite du 13/10</t>
  </si>
  <si>
    <t>porte reserve matériel hs</t>
  </si>
  <si>
    <t>* nettoyage quai</t>
  </si>
  <si>
    <t>Resserrer les dos d’âne 
 Combler un biz de poule de 20cm devant l’entrée</t>
  </si>
  <si>
    <t>NETTOYAGE PARKING</t>
  </si>
  <si>
    <t>dodanne cassé sur le parking</t>
  </si>
  <si>
    <t>nettoyage parking . pneu qui traine...</t>
  </si>
  <si>
    <t>voiture bruler</t>
  </si>
  <si>
    <t>voiture brulzr</t>
  </si>
  <si>
    <t>Pose sur le mât d’éclairage d’un panneau de fauchage tardif.ODM fait par AT3 .</t>
  </si>
  <si>
    <t>cendrier arraché 
 urgent</t>
  </si>
  <si>
    <t>portail cassé par le chauffeur lundi soir (07.03)
 expedition appelé mardi matin pour contacter le chauffeur et effectuer le constat</t>
  </si>
  <si>
    <t>message : arret d'urgence 
 appel a la maintenance ok</t>
  </si>
  <si>
    <t>BOULE DE LA POIGNEE CASSE</t>
  </si>
  <si>
    <t>plus rien ne s'affiche sur l'ecran</t>
  </si>
  <si>
    <t>le detecteur pour lever le rolls ne fonctionne plus</t>
  </si>
  <si>
    <t>fuite d'huile toute autour</t>
  </si>
  <si>
    <t>chariot ne monte ni ne descend</t>
  </si>
  <si>
    <t>rolls bloquer en haut</t>
  </si>
  <si>
    <t>Fuite d'huile devant au niveau de l'emplacement des rolls à cartons</t>
  </si>
  <si>
    <t>La petite poignet qui sert a bloquer le rolls est cassée</t>
  </si>
  <si>
    <t>Le four vibre et fait beaucoup de bruit pendant le programme N°2</t>
  </si>
  <si>
    <t>bonjour j ai le 2 eme four du haut qui ne fonctionne plus merci de lancer une intervention rapidement merci</t>
  </si>
  <si>
    <t>Problème sonore + cuisson produits.</t>
  </si>
  <si>
    <t>Voir photo - Four bloqué sur cette image</t>
  </si>
  <si>
    <t>porte ne se ferme plus correctement et ne lance pas le programme, probleme poignet</t>
  </si>
  <si>
    <t>poignet qui ce ferme pas correctement donc indique que le four est pas fermer</t>
  </si>
  <si>
    <t>Suite à l'intervention du technicien il faudrait à nouveau faire intervenir un electricien car "il manque 2 phases sur 3, prise non conforme. Pas assez de jus pour que le four fonctionne"</t>
  </si>
  <si>
    <t>la porte ne se ferme plus sur le four du haut ds le magain</t>
  </si>
  <si>
    <t>Le four du haut au niveau du magasin ne s'allume plus l'écran est noir. un technicien est déjà intervenue pour le four mais le problème viens de la prise électrique qui est défectueuse</t>
  </si>
  <si>
    <t>Suite aux autres demandes un electricien est venu changer la prise du four mais le four ne fonctionne toujours pas.</t>
  </si>
  <si>
    <t>L'écran du four clignotait , et s'est ensuite mis sur écran noir . Le four ne réagit plus</t>
  </si>
  <si>
    <t>A la demande du FM: contrôle des câblages Ethernet et des modem sur les fours ODM fait par AT3 .</t>
  </si>
  <si>
    <t>Rebouché l’évacuation PVC du four.ODM fait par AT3 .</t>
  </si>
  <si>
    <t>nous n avons pas le code pour deverrouiller le four Urgent svp</t>
  </si>
  <si>
    <t>probleme de nettoyage four 
 malgré le remplissage du produit le four ne se nettoie pas</t>
  </si>
  <si>
    <t>Reqte bloquer sur cuisson baguette</t>
  </si>
  <si>
    <t>ne fonctionne pas</t>
  </si>
  <si>
    <t>ne chauffe pas</t>
  </si>
  <si>
    <t>tous les four ne fonctionnent pas 
 le dijoncteur general des four ne se releve plus 
 URGENT</t>
  </si>
  <si>
    <t>four ne sallume pas</t>
  </si>
  <si>
    <t>le four ne se deverouille pas. il faut l'éteindre a chaque fois pour esperer s'en servir</t>
  </si>
  <si>
    <t>le four fait dysjoncter tous les autres fours si en route</t>
  </si>
  <si>
    <t>les plombs ont sauter enclanchement impossible urgent</t>
  </si>
  <si>
    <t>À la demande de FM : contrôle du câblage Ethernet sur les fours et la présence des Modem.ODM fait par AT3 . Travail fini.</t>
  </si>
  <si>
    <t>remettre en place les cashs de coté</t>
  </si>
  <si>
    <t>URGENT : Problème avec un four en surtension qui fait disjoncter tout le labo pain + fuite au niveau d'un four
 (Pas de photos car impossible d'envoyer la demande depuis le MDE)</t>
  </si>
  <si>
    <t>Vitre intérieur four gauche bas cassée.</t>
  </si>
  <si>
    <t>Le four ne démarre plus
 L'écran est eteint
 Le four est donc inutilisable</t>
  </si>
  <si>
    <t>Les deux fours du haut mettent beaucoup de temps à chauffer et par la suite ne cuisent pas correctement. Pain parfois non vendable.</t>
  </si>
  <si>
    <t>indique porte pas fermees hors que celle ci est bien fermee</t>
  </si>
  <si>
    <t>Le four ne fonctionne pas, indique que la porte n'est pas fermé alors qu'elle l'est, donc le programme de cuisson ne se lance pas. 
 Four du haut en réserve.</t>
  </si>
  <si>
    <t>le four ne se nettoie pas</t>
  </si>
  <si>
    <t>four de droite la poignee de porte ne s enclanche pas correctement.</t>
  </si>
  <si>
    <t>Le four indique que la porte est ouverte lorsqu'elle est fermé. Nous devons régulièrement éteindre et fermer le four pour remise à jour.</t>
  </si>
  <si>
    <t>remplacement kommodul + test de connexion</t>
  </si>
  <si>
    <t>NETTOYAGE DES VITRES DEVANTURE +VITRES SAS</t>
  </si>
  <si>
    <t>prevoir intervention vitre magasin</t>
  </si>
  <si>
    <t>* vitre fissurėe</t>
  </si>
  <si>
    <t>Vitrine magasin au devant de caisse brisé suite à un choc
 felure partant du bas vers le haut</t>
  </si>
  <si>
    <t>Store bloquer</t>
  </si>
  <si>
    <t>À la demande du CM : poignée cassée sur la porte du MF.ODM fait par AT3 .</t>
  </si>
  <si>
    <t>tube led sur MF HS.ODM fait par AT3.Travail fini</t>
  </si>
  <si>
    <t>vitre cassé au niveau des plat cuisiné dans le frais</t>
  </si>
  <si>
    <t>la lumiere clignotte sans arret</t>
  </si>
  <si>
    <t>lumiere qui clignote 1 fois sur deux</t>
  </si>
  <si>
    <t>nid d abeille a changer</t>
  </si>
  <si>
    <t>eau</t>
  </si>
  <si>
    <t>Nid d’abeille cassée dans le MF.ODM fait par AT3</t>
  </si>
  <si>
    <t>Neon HS meuble frais</t>
  </si>
  <si>
    <t>Défauts température haute sur l'ensemble des meubles frais du magasin. Intervention efffectuée.</t>
  </si>
  <si>
    <t>Poignée porte frais snacking cassée</t>
  </si>
  <si>
    <t>Tôle apparente au fond du rayon</t>
  </si>
  <si>
    <t>Thermomètre cassé.</t>
  </si>
  <si>
    <t>Un néon ne fonctionne plus.</t>
  </si>
  <si>
    <t>porte casser,poigner a gauche</t>
  </si>
  <si>
    <t>Métal apparent en fond rayon à plusieurs endroits</t>
  </si>
  <si>
    <t>Porte cassée, demande de remplacement</t>
  </si>
  <si>
    <t>AT purge arrosage</t>
  </si>
  <si>
    <t>AT. Lum hs MF</t>
  </si>
  <si>
    <t>protection meuble frais déboité</t>
  </si>
  <si>
    <t>À la demande du CM : tubes led HS dans meubles frais. ODM fait par AT3 . Travail fini</t>
  </si>
  <si>
    <t>LA PORTE FRAIS SE DEGONDE LORSQU'ELLE EST TROP OUVERTE</t>
  </si>
  <si>
    <t>pb de liaison sur lineaire frais avec PC BO</t>
  </si>
  <si>
    <t>Meuble rempli d'eau. Température ok.</t>
  </si>
  <si>
    <t>SPOT HS</t>
  </si>
  <si>
    <t>manque le nom du rayon</t>
  </si>
  <si>
    <t>Une vitre d'un meuble frais avec poignet à droite est cassé. Il s'agit de la premiere porte dans les frommages à coté du lait.</t>
  </si>
  <si>
    <t>vitre cassee</t>
  </si>
  <si>
    <t>porte frais cassée. porte gauche avec poignée a droite</t>
  </si>
  <si>
    <t>La porte d'un meuble frais avec poignet a droite à cassée</t>
  </si>
  <si>
    <t>Le neon de notre axe frais italien est HS</t>
  </si>
  <si>
    <t>Porte gauche avec poignée à droite dans le meuble frais cassé</t>
  </si>
  <si>
    <t>lumiere eteinte</t>
  </si>
  <si>
    <t>Lumière en haut dans l'axe promotions qui ne fonctionne plus</t>
  </si>
  <si>
    <t>Pose d’un pieux en bois et d’une pancarte de vidéosurveillance entrée piéton .ODM fait par AT3 .</t>
  </si>
  <si>
    <t>A la demande du Fm : prendre des mesures et des photos sur le grillages des voisins pour empêcher les détritus de chez Lidl de pénétrer avec le vent chez les voisins.ODM fait par AT3. Travail fini</t>
  </si>
  <si>
    <t>Pose du brise vu sur la cloture entre LIDL et le Voisinage.ODM fait par AT3 . Travail fini.</t>
  </si>
  <si>
    <t>Pose de panneaux vidéosurveillance sur les entrée parking .ODM fait par AT3 . Travail fini.</t>
  </si>
  <si>
    <t>Rebouchage trous + pose de la grille d’aération et mise en peinture .ODM fait par AT3 . Travail fini.</t>
  </si>
  <si>
    <t>*haut du batiment et mur à nettoyer</t>
  </si>
  <si>
    <t>Rebouché trou sol d’entrée CFN.ODM fait par AT3 . Travail fini</t>
  </si>
  <si>
    <t>Pose de poteaux et de pancarte vidéosurveillance sur les divers entrées du parking.</t>
  </si>
  <si>
    <t>Le coin du mur extérieur à été embouti .ODM fait par AT3 . Travaux en cours.</t>
  </si>
  <si>
    <t>prevoir une ramasse pour des pneus qui sont sur notre parking 
 urgent</t>
  </si>
  <si>
    <t>fiente sur a l'entree du magasin</t>
  </si>
  <si>
    <t>Nous avons de plus en plus de rats sur le parking du magasin. La société Rentokill est passé et ma dit qu'il fallait tailler tout ce quil y avait autour du magasin. Je n'arrive pas à faire de photo car trop eloigné du magasin pour le MDE.</t>
  </si>
  <si>
    <t>Il faudrait enlever la mousse le long des murs ainsi que les feuilles sur le parking</t>
  </si>
  <si>
    <t>Il faudrait enlever la mousse le long des mures ainsi que les mauvaise herbes</t>
  </si>
  <si>
    <t>Eclairage enseigne hs</t>
  </si>
  <si>
    <t>Pose de l’affichage sur la borne de rechargement véhicule .ODM fait par AT3 . Travail fini.</t>
  </si>
  <si>
    <t>Pose de l’affichage prochainement mise à disposition bornes de rechargement véhicule .ODM fait par AT3 . Travail fini.</t>
  </si>
  <si>
    <t>panneau d horaire defectueux</t>
  </si>
  <si>
    <t>absence d'autocollant issue de secours a la sortie des caisses niveau 1</t>
  </si>
  <si>
    <t>* Panneau d’entrée du parking dégradé</t>
  </si>
  <si>
    <t>Pose de stickers sur la borne de rechargement véhicule .ODM fait par AT3 . Travail fini.</t>
  </si>
  <si>
    <t>AT affichage fauchage tardif</t>
  </si>
  <si>
    <t>Pose de poteaux et de panneaux d’interdiction de stationnement et de la présence de la vidéosurveillance sur le parking .ODM fait par AT3 .</t>
  </si>
  <si>
    <t>panneau plublicitaire arraché</t>
  </si>
  <si>
    <t>Affichage du panneau 4x3 tombé au sol sur le trottoir .ODM fait par AT3 . Travail fini.</t>
  </si>
  <si>
    <t>Panneau publicitaire arraché</t>
  </si>
  <si>
    <t>(URGENT)Pour : 
 -Récupérer les Visuels (meilleurs chaines) panneaux DS Smith à la cellule consomag
 -Retirer et détruire le visuel actuellement en place dans les panneaux ds smith.
 -Remplacer par le visuel ‘Meilleurs chaine de spm’ 
 Pour info : 
 -Nouveau visuel dispo à la cellule consomag</t>
  </si>
  <si>
    <t>URGENT : Une des porte automatique d'entrée est déboîtée et ne se ferme plus correctement.</t>
  </si>
  <si>
    <t>ne détecte plus les clients ,la porte reste fermé</t>
  </si>
  <si>
    <t>Problème porte SAS entrée magasin et sortie magasin, les deux restent constamment ouverte. Demande déjà réalisee.</t>
  </si>
  <si>
    <t>porte qui ne souvre pas meme en ayant appuyer sur le bouton vert issue de secours urgent svp</t>
  </si>
  <si>
    <t>forcage porte car pas de clef</t>
  </si>
  <si>
    <t>ne souvre plu automatiquement ni fermeture</t>
  </si>
  <si>
    <t>Porte très difficile a vérouiller pour la fermeture du magasin.</t>
  </si>
  <si>
    <t>la porte ne s ouvre plus meme en faisant disjoncter la porte</t>
  </si>
  <si>
    <t>ouverture et fermeture manuel</t>
  </si>
  <si>
    <t>porte ne souvre et ferme plus automatiquement</t>
  </si>
  <si>
    <t>* vitre brise suite a un choc. CH demande de devis faite à Heitz le 06/03. CH : réception du devis, en attente de validation</t>
  </si>
  <si>
    <t>Pour info fm : prises de mesures bornes entrée EAS .ODM fait par AT3 . Travail fini.</t>
  </si>
  <si>
    <t>porte affiche cassé</t>
  </si>
  <si>
    <t>le portique reste bloqué</t>
  </si>
  <si>
    <t>support erratum</t>
  </si>
  <si>
    <t>porte ne se ferme plus</t>
  </si>
  <si>
    <t>RELANCE : 
 Porte d'entrée magasin ne se ferme plus, demande IMS deja faite il y a un moment. Record a fais un devis. Toujours pas de nouvelle depuis quelques temps.</t>
  </si>
  <si>
    <t>La porte de sortie de ne ferme plus complètement.</t>
  </si>
  <si>
    <t>les tendeurs sont abimes et relachés . quand la porte s'ouvre les fils pendent</t>
  </si>
  <si>
    <t>Porte qui grince énormément, ne comprends pas pourquoi, comme si qqch bloquait</t>
  </si>
  <si>
    <t>un cable pend quand la porte souvre</t>
  </si>
  <si>
    <t>Fermeture difficile car porte abîmée</t>
  </si>
  <si>
    <t>Porte automatique cassé</t>
  </si>
  <si>
    <t>bonjour porte de sortie ne se ferme plus reste ouverte en permanence</t>
  </si>
  <si>
    <t>porte automatiques ne s arretent pas lorsqu'elles se ferment si quelqu'un passe</t>
  </si>
  <si>
    <t>porte ne se ferme plus et ne s ouvre plus automatiquement , on doit laisser la porte ouverte constante</t>
  </si>
  <si>
    <t>La porte de sortie ne s'ouvre plus et ne se ferme plus electriquement.</t>
  </si>
  <si>
    <t>Pose de l’affichage c’est utile! Dans le sas entrée sur l’erratum .ODM fait par AT3 . Travail fini.</t>
  </si>
  <si>
    <t>onduleur qui sonne au bureau urgent</t>
  </si>
  <si>
    <t>arret de la porte qui se decroche</t>
  </si>
  <si>
    <t>Tôle de recouvrement sur tapis de caisse emboutie.ODM fait par AT3. Travail fini.</t>
  </si>
  <si>
    <t>urgent balance qui ne fonctionne plus / nettoyage+rallumage ok</t>
  </si>
  <si>
    <t>la desactivation des etiquettes antivol ne se fait pas</t>
  </si>
  <si>
    <t>la porte des caisses automatique ne se ferme plus et je n ai pas la clé</t>
  </si>
  <si>
    <t>portillon sco hs ne fonctionne plus 
 meme avec les clés</t>
  </si>
  <si>
    <t>counter cash clé manquante x3</t>
  </si>
  <si>
    <t>besoin de 3 detecteurs faux billet</t>
  </si>
  <si>
    <t>counter coincer avec sou en caissr</t>
  </si>
  <si>
    <t>tapis caisses 1/3/5 ne fonctionne pas</t>
  </si>
  <si>
    <t>detecteur de faux billets ne fonctionnent pas</t>
  </si>
  <si>
    <t>demande d'un electricien por le cable vert qui ne fonctionne pas</t>
  </si>
  <si>
    <t>photo</t>
  </si>
  <si>
    <t>bonjour,j'ai " counters abimer ,merci de bien vouloir me les changer.merci</t>
  </si>
  <si>
    <t>affichage cb kls,en caisse 4 et tapis cb en caisse 5.
 affichage cb non adapter</t>
  </si>
  <si>
    <t>nous avons plus de cle</t>
  </si>
  <si>
    <t>pas de detection anti-vol</t>
  </si>
  <si>
    <t>manque la cle,surment perdu</t>
  </si>
  <si>
    <t>balance de la caisse qui ne fonctionne pas correctement. Obligation de réinnitialiser la balance plusieures fois dans la journée</t>
  </si>
  <si>
    <t>Desactivateur antivol caisse hs.</t>
  </si>
  <si>
    <t>Manque butée de porte caisse PMR.</t>
  </si>
  <si>
    <t>Tapis de caisse numéro 3 problème, Avance une fois sur 2.</t>
  </si>
  <si>
    <t>TAPIS DE CAISSE 5 GRINCE, TAPIS DE CAISSE 3 DE TOURNE PAS EN PERMANENCE.</t>
  </si>
  <si>
    <t>Système KLS defectueux 
 Caisse 2 et 5 : bloqué en vert clignontant
 Caisse 3 et 4 : bloqué bleu figé (appel d'un responsable)
 Aucun signal sonore dans le magasin lors de l'appui sur une touche : ouverture/fermeture de caisse, appel d'un responsable...</t>
  </si>
  <si>
    <t>Un technicien de DIEBOLT est de nouveau intevenu pour notre caisse 4.
 Il demande a ce qu'un electricien verifie le cable qui relie la caisse à la baie de brassage.
 La caisse est toujours inutilisable.</t>
  </si>
  <si>
    <t>Le revetement au sol de la caisse 3 est cassé.</t>
  </si>
  <si>
    <t>La caisse N°4 est offline. Zibolt est intervenu mais c'est un probleme de cable reseau qui part dans une goulotte et ils ne peuvent pas intervenir.</t>
  </si>
  <si>
    <t>la caisse 4 ne fonctionne toujours pas.
 DiebolD est intervenu et nous as dit que c'est la carte reseau qu'il faut changer.</t>
  </si>
  <si>
    <t>La caisse 4 ne fonctionne toujours pas.
 Deux sociétés sont venus mais aucune des deux a trouvé solution.</t>
  </si>
  <si>
    <t>Nous avons recu le materiel pour les tables de caisses.</t>
  </si>
  <si>
    <t>Counter cash bloquer plus de clés dessus</t>
  </si>
  <si>
    <t>Systeme management caisse 3 HS reste allumé et bloque sur l'appel responsable.</t>
  </si>
  <si>
    <t>Caisse 3 système de caisse endommagé.</t>
  </si>
  <si>
    <t>un portique de fonctionne pas</t>
  </si>
  <si>
    <t>sonne sans arret meme si aucun client ne passe.</t>
  </si>
  <si>
    <t>se bloque</t>
  </si>
  <si>
    <t>borme de sortie sonne sans raison tout les 5 minute</t>
  </si>
  <si>
    <t>Pour info fm: prises de mesures de la borne EAS .ODM fait par AT3 . Travail fini.</t>
  </si>
  <si>
    <t>Portiques EAS de sortie sonnent tout seul assez régulièrement.</t>
  </si>
  <si>
    <t>Sonnerie de l'antivol hs</t>
  </si>
  <si>
    <t>fait que sonner meme qd il n'y a personne</t>
  </si>
  <si>
    <t>Les bornes EAS de l'entrée du magasin sonnent de manière récurrentes sans raisons. (une dizaine de sonneries à la suite environ toutes les heures)</t>
  </si>
  <si>
    <t>Borne EAS ne fonctionne pas lors du passage d'antivol</t>
  </si>
  <si>
    <t>le desactivateur de la caisse 3 est cassé</t>
  </si>
  <si>
    <t>La borne ne fonctionne que si l'antivol est coller a la borne probleme de sensibilite</t>
  </si>
  <si>
    <t>bornes sorties EAS sonne constamment</t>
  </si>
  <si>
    <t>Une société est intervenu hier car la borne EAS de sortie du magasin sonne tout le temps meme quand personne ne passe entre. Ils ont baissé la sensibilité mais aujourd'hui le probleme est revenu.</t>
  </si>
  <si>
    <t>Les nouveaux antivols (autocollants jaunes) ne sont pas detectes</t>
  </si>
  <si>
    <t>deplacé le panneau offre special au niveau de l'offre speciale DPH</t>
  </si>
  <si>
    <t>deplacer le panneau selection du caviste</t>
  </si>
  <si>
    <t>Il manque le lutin erratum en sas entrée</t>
  </si>
  <si>
    <t>Demande de remplacement de toutes les bandes prix rayon frais + quelque bande de prix riveté sur table action food</t>
  </si>
  <si>
    <t>AT modif affichage Leon</t>
  </si>
  <si>
    <t>Demi-joue à remplacer</t>
  </si>
  <si>
    <t>Casse sur PLV au dessus du frais. (Deluxe et Envia)</t>
  </si>
  <si>
    <t>SUPPORT PLV CAISSE CASSE</t>
  </si>
  <si>
    <t>Une des plinthes le long du mur vitré des caisses est décolée.</t>
  </si>
  <si>
    <t>trou au niveau de l arche en bas</t>
  </si>
  <si>
    <t>la barriere des caisse automatique ne se ferme plus 
 URGENT</t>
  </si>
  <si>
    <t>arrivée 6 h ce matin alarme en sonnerie en continue; temperature bonne mais pas d'acces aux courbes de temperatures via BO</t>
  </si>
  <si>
    <t>La température magasin est bloquée sur 20 degrés 
 Ne peut pas être changée
 Chaud à l’extérieur chaud à l’intérieur 
 Commande procon éteinte</t>
  </si>
  <si>
    <t>le haut parleur de l'alarme est cassé car l'alarme sonne en continue. 
 Le clef ne tourne plus pour l'éteindre.
 Cela nous empeche de mettre l'alarme du magasin.</t>
  </si>
  <si>
    <t>ARCHE PAIN TOTALAMENT EMBOUTI</t>
  </si>
  <si>
    <t>porte arche pain à changer
 attention petite largeur</t>
  </si>
  <si>
    <t>abime</t>
  </si>
  <si>
    <t>bonjour
 suite a la visite d audit ils manquent 3 crochets lateraux dans 3 niches</t>
  </si>
  <si>
    <t>socle embouti</t>
  </si>
  <si>
    <t>manque grill niveau raque pain a gauche</t>
  </si>
  <si>
    <t>changer panneau offre special pain</t>
  </si>
  <si>
    <t>portev hs</t>
  </si>
  <si>
    <t>une partie de la façade est légèrement enfoncée et n'est donc plus alignée avec le reste de la façade</t>
  </si>
  <si>
    <t>Barrière de sécurité HS</t>
  </si>
  <si>
    <t>La trappe d'acces a la poubelle sous le mobilier pain est cassée.</t>
  </si>
  <si>
    <t>Toit qui fuit</t>
  </si>
  <si>
    <t>meuble hs</t>
  </si>
  <si>
    <t>manque grille metallique</t>
  </si>
  <si>
    <t>le plexiglass de la zone cuisson pain en magasin est desolidarisé de la partie metalique.</t>
  </si>
  <si>
    <t>vitres hs. au niveau des beignets pas hygienique</t>
  </si>
  <si>
    <t>Problème pour sortir du four et mettre au four.</t>
  </si>
  <si>
    <t>Ouverture arrière du rolls pas compatible pour le sortir du four avec tige de retrait.</t>
  </si>
  <si>
    <t>rolls abimer qui tombe. dangereux pour client et collaborateur</t>
  </si>
  <si>
    <t>l eau coule en continue</t>
  </si>
  <si>
    <t>URGENT : Fuite sous l'évier au niveau de la table de préparation pain.</t>
  </si>
  <si>
    <t>barre noire porte cassee</t>
  </si>
  <si>
    <t>Fuite au niveau des tuyaux sous l'évier de la zone de préparation pain.</t>
  </si>
  <si>
    <t>bonjour impossible de de visser la vitre pain pour presentation des chouquettes man in van ? OU DE PINHO MERCI</t>
  </si>
  <si>
    <t>Support pour savon liquide bouchée.</t>
  </si>
  <si>
    <t>Une encoche pour fermer une fenetre pain est cassée. La porte ne se ferme plus.</t>
  </si>
  <si>
    <t>Nous avons des rolls a pains qui ont les roues qui ne tiennent plus bien.
 (Cf: photo)</t>
  </si>
  <si>
    <t>alarme froid à 10°</t>
  </si>
  <si>
    <t>Join decoller on peutplus fermer la porte</t>
  </si>
  <si>
    <t>fuite</t>
  </si>
  <si>
    <t>Chambre qui continue de fuir suite a 3 interventions</t>
  </si>
  <si>
    <t>Une des roues de la porte est sortie de l'axe. La porte ne souvre plus completement et ne se ferme plus completement.</t>
  </si>
  <si>
    <t>La roue a droite de la porte de la chambre froide FL est sortie de son axe.
 La porte ne ce ferme plus.</t>
  </si>
  <si>
    <t>La porte de la chambre froide ne s'ouvre plus.
 Un technicien est deja venu pour ce probleme la semaine derniere.</t>
  </si>
  <si>
    <t>La porte a gauche de la chambre froide positive ne souvre plus.</t>
  </si>
  <si>
    <t>Nous avons la porte chambre FL qui ne ferme plus.</t>
  </si>
  <si>
    <t>* Il faudrait passer notre chambre froide Fl en chambre froide positive Frais.</t>
  </si>
  <si>
    <t>La lumiere de la chambre froide positive du quai arrete pas de clignoté.</t>
  </si>
  <si>
    <t>La porte de la chambre FL est bloquée en position semi ouverte. Une des roulettes est sortie du gond. 
 Pas de FL en chambre.</t>
  </si>
  <si>
    <t>Porte difficile à ouvrir plier au niveau du rail</t>
  </si>
  <si>
    <t>URGENT porte bloquer ne se ferme plus, porte coulissante vers le haut, 
 AXIMA a mis en maintenance mais pense que c'est la porte ou le moteur.</t>
  </si>
  <si>
    <t>pas fonctionnelle</t>
  </si>
  <si>
    <t>Bouton arrêt d'urgence manquant.</t>
  </si>
  <si>
    <t>Le porte chambre froide FL positive a la porte qui a du mal a fermer.</t>
  </si>
  <si>
    <t>La chambre froide de le reserve n'est plus a temperature depuis dimanche 01/12/22 matin. Elle affiche 15 degrés.</t>
  </si>
  <si>
    <t>ne souvre plus</t>
  </si>
  <si>
    <t>eau qui coule dans la chambre</t>
  </si>
  <si>
    <t>Nous avons du mal à fermer la porte de la chambre froide FL. 
 La porte ce bloque à quelque centimetre du sol. 
 Elle se réouvre également quand elle va jusqu'au bout.</t>
  </si>
  <si>
    <t>Le coté droit de la porte de la chambre froide ne s'ouvre plus. La société qui s'en occupe est deja venue deux fois pour cela mais le probleme persiste</t>
  </si>
  <si>
    <t>Impossible d'ouvrir la porte de gauche, roue d'ouverture bloquée</t>
  </si>
  <si>
    <t>la porte de la chambre froide de la reserve ne ferme plus.</t>
  </si>
  <si>
    <t>URGENT : porte chambre froide postive ne se ferme plus, passage d'AXIMA le 15.04, mise en maintenance de la chambre car le problème vient du moteur ou de la porte.</t>
  </si>
  <si>
    <t>Chambre température haute mais pas d'alarme, 
 Demande d'inter faite par téléphone : 303737709</t>
  </si>
  <si>
    <t>problème de température depuis 30 min
 pas d'alarme froid
 température à coeur 1.9°
 température annoncée de la chambre 14°
 Axima déjà contactée pour demande d'intervention urgente</t>
  </si>
  <si>
    <t>la lumiere alarme porte clignotte sans arret et la temperature de la chambre froide quai est trop haute</t>
  </si>
  <si>
    <t>temperature chambre froide FL est trop haute</t>
  </si>
  <si>
    <t>Notre porte de cambre froide positive est a nouveau bloqué. La porte de gauche ne s'ouvre plus.</t>
  </si>
  <si>
    <t>defaut F 04 
 prevoir une intervention svp</t>
  </si>
  <si>
    <t>Interrupteur de coupure emboutie sur CFP.ODM fait par AT3 . Travail fini.</t>
  </si>
  <si>
    <t>la porte ne s'ouvre plus en appuyant sur le bouton obliger de l'ouvrir en manuelle</t>
  </si>
  <si>
    <t>Contrôle de la poignée d’ouverture de la CFP.poignée HS à faire changer.ODM fait par AT3 . Travail fini.</t>
  </si>
  <si>
    <t>La lumière orange clignotte sans raison apparente. 
 on a bien ouvert puis refermer les portes, attendu une 15aine de minutes comme preconnisé mais elle cliognotte toujours.</t>
  </si>
  <si>
    <t>chambre porte cassée,intervertir chambre fl en frais jusqu'a reparation de la chambre frais</t>
  </si>
  <si>
    <t>Prise en glace + fuite chambre positive FL</t>
  </si>
  <si>
    <t>HA qui clignote et lance un defaut</t>
  </si>
  <si>
    <t>deuxieme porte cassée,elle se deboite de son axe</t>
  </si>
  <si>
    <t>Chambre froide positive FL - La climatisation fonctionne lorsque la porte est ouverte / Voir benjamin service FM</t>
  </si>
  <si>
    <t>Le cable de la porte chambre FL est déraillé. Nous avons bloqué la porte manuellement en position ouverte</t>
  </si>
  <si>
    <t>La porte est de travers et ne peut plus s'ouvrir.
 Impossible de récupérer la marchandise à l'interieur.</t>
  </si>
  <si>
    <t>PORTE CHAMBRE FL HORS RAIL</t>
  </si>
  <si>
    <t>Boitier de l'alarme de la chambre Fruits et Légumes qui clignotte et se met en defaut</t>
  </si>
  <si>
    <t>Urgent - la porte de monte/descend plus</t>
  </si>
  <si>
    <t>porte degonde numero d'intervention 303836406</t>
  </si>
  <si>
    <t>poignee de la porte cassée par le livreur</t>
  </si>
  <si>
    <t>porte voilee car le chauffeur est rentrer dans la porte, axima ne peut plus rien faire. Voir avec record.</t>
  </si>
  <si>
    <t>porte qui ne souvre plus</t>
  </si>
  <si>
    <t>quand nous sommes arrive ce matin alarme en route et temperature de la chambre trop haute</t>
  </si>
  <si>
    <t>la porte est sortie de son axe</t>
  </si>
  <si>
    <t>la porte sorrie de laxe</t>
  </si>
  <si>
    <t>Nid d'abeille cassé vitrine frais plats cuisiné.</t>
  </si>
  <si>
    <t>Porte fissurée à remplacer / Urgent</t>
  </si>
  <si>
    <t>PORTE CASSER MERCI DE LA FAIRE CHANGER</t>
  </si>
  <si>
    <t>Poignée de porte à remplacer</t>
  </si>
  <si>
    <t>Luminaires frigo frais</t>
  </si>
  <si>
    <t>Nous avons une fuite au niveau des meubles frais ou VVP. Nous n'arrivons pas à savoir d'ou elle vient.
 Entre la TG VVP et le meuble frais italien.</t>
  </si>
  <si>
    <t>nous avons des filtres nid d'abeille des meules frais qui sont cassée.</t>
  </si>
  <si>
    <t>Le meuble frais 
 RS1-026 Temp. Meuble Hybride 1
 a l'alarme qui sonne "Temperature haute"
 Sur l'écran de temparature il y a la lettre "d" qui s'affiche. (CF. Photo)</t>
  </si>
  <si>
    <t>un technicien est passé la semaine derniere pour reparer une fuite sur un frigo mais celui ci refuit a nouveau.</t>
  </si>
  <si>
    <t>Éclairage HS dans un MF.ODM fait par AT3 . Travail fini</t>
  </si>
  <si>
    <t>alarme frois monter jusque + 20. demande d'inter 303813255</t>
  </si>
  <si>
    <t>Nous avons de la prise en glace sur le sol de la chambre froide negative.</t>
  </si>
  <si>
    <t>Nous avons deux alarmes froid
 RS1-017 emps CF Negative
 RS1-018 Temps CF Postive
 qui affiche la meme alarme "pas de liaison"</t>
  </si>
  <si>
    <t>la chambre est a température mais descent assez facilement en alarme</t>
  </si>
  <si>
    <t>probleme suite a une coupure d electrcite</t>
  </si>
  <si>
    <t>porte ne souvre plus correctement</t>
  </si>
  <si>
    <t>Nous avons de la glace par terre et derriere le moteur</t>
  </si>
  <si>
    <t>L'alarme chambre froide negative a été active pendant 12 minutes sans raison. La temprature est entrain de redescendre.</t>
  </si>
  <si>
    <t>prise en glace</t>
  </si>
  <si>
    <t>La chambre froide negative met du temps a redescendre en temperature et est rapidement prise en glace. Une personne est venu pour la prise en glace lundi soir et la chambre froide a de nouveau de la glace par terre.</t>
  </si>
  <si>
    <t>ouverture et fermeture boloqué</t>
  </si>
  <si>
    <t>PRISE EN GLACE DS LA CHAMBRE AU SOL ET SUR 1 PALETTE</t>
  </si>
  <si>
    <t>Porte dégondée. Sortie du rail complétement.</t>
  </si>
  <si>
    <t>URGENT porte dégondée des rails.</t>
  </si>
  <si>
    <t>Prise en glace plafond et sol au niveau du refroidisseur</t>
  </si>
  <si>
    <t>remettre une charniere 
 la deplacer et refixer le battant gauche de la porte</t>
  </si>
  <si>
    <t>Prise en glace de la chambre négative</t>
  </si>
  <si>
    <t>prise en glace de la chambre</t>
  </si>
  <si>
    <t>AT Neige derrière l’évaporateur + sur les sondes dans la CF negative</t>
  </si>
  <si>
    <t>AT Prise en glace cf Negative + neige au plafond + sonde</t>
  </si>
  <si>
    <t>bonjour la porte de la chambre negative ne s ouvre plus j ai deja appeler axima le numero d intervetion est le 303760480 car je ne peux plus sortir de surgele et ne peux plus faire de pain merci pour l intervention</t>
  </si>
  <si>
    <t>porte surgele ne s ouvre plus merci de lancer l intervention rapidement</t>
  </si>
  <si>
    <t>suite a audit chaine du froid, balayé plafond chambre -.</t>
  </si>
  <si>
    <t>Poigne de porte HS - 2 Vis, mais l'une des deux ne tiens plus (filetage HS)</t>
  </si>
  <si>
    <t>Condensation anormale sur le plafond de la chambre négative du labo pain 
 Les gouttes de condensation gèlent au sol et représentent un serieux risque de chute dans la chambre</t>
  </si>
  <si>
    <t>temperature a moin 18 degres alarme sonne</t>
  </si>
  <si>
    <t>Prise en glace dans la chambre froide négative.</t>
  </si>
  <si>
    <t>PORTE DEGONDEE, SONNE CONSTAMMENT URGENT MERCI</t>
  </si>
  <si>
    <t>Alarme de la chambre froide négative active et augmentation de la température</t>
  </si>
  <si>
    <t>Prise en glace chambre froide négative</t>
  </si>
  <si>
    <t>Faire retirer les deux portes de quai bleu qui n’ont plus d’utilité et gênent l’accès à la chambre</t>
  </si>
  <si>
    <t>L'alarme de la petite porte du quai sonne sans arret, temps que nous ne passons pas le badge dessus.</t>
  </si>
  <si>
    <t>la poignée de la petite porte de quai a ete arrachée par un transpalette.</t>
  </si>
  <si>
    <t>La porte issue de secour du quai ne ferme plus suite à un choc.</t>
  </si>
  <si>
    <t>À la demande du RM: balaie de porte de quai arrachée sur le sol.le sol en béton n’est pas régulier ce qui arrache le balaie de porte.balaie changer par AT3 . Travail fini</t>
  </si>
  <si>
    <t>la poignee est casse</t>
  </si>
  <si>
    <t>changement de la serrure svp</t>
  </si>
  <si>
    <t>Prise de mesure du cylindre de la grille en réserve pour pour le remplacement de celle-ci .ODM fait par AT3 . Travail fini.</t>
  </si>
  <si>
    <t>roulette sort de son rail</t>
  </si>
  <si>
    <t>AT serrure kc grille de nuit demande CM</t>
  </si>
  <si>
    <t>Grille sort des rails (grille entre la réserve et le quai).</t>
  </si>
  <si>
    <t>Il faudrait installer une prise au niveau du reliquat sec pour notre bureau bis. Svp</t>
  </si>
  <si>
    <t>fonctionne que en mode tortue urgent</t>
  </si>
  <si>
    <t>prise endommagė</t>
  </si>
  <si>
    <t>URGENT : Transpalette électrique ne charge plus.
 Besoin d'un transpalette électrique de rechange car plus que 2 en magasin.</t>
  </si>
  <si>
    <t>URGENT : Prise électrique cassée. Plus que 2 transpalettes électriques en magasin.</t>
  </si>
  <si>
    <t>Prise électrique du transpalette est cassée</t>
  </si>
  <si>
    <t>Le timon du tire palette ne reste plus en haut.</t>
  </si>
  <si>
    <t>La prise est cassée</t>
  </si>
  <si>
    <t>Transpalette se décharge vite et s'arrête fait des arrêt brutal. Obliger de l'éteindre complêtement pour qu'il reparte avant qu'il ne s'arrête de nouveau.</t>
  </si>
  <si>
    <t>Le transpalette ne charge plus.</t>
  </si>
  <si>
    <t>n aspire pas. tous les filtres sont debouchés. pouvez vous svp nous envoye une autolaveuse de pret pendant les reparations</t>
  </si>
  <si>
    <t>brosse manquante et n'aspire plus</t>
  </si>
  <si>
    <t>manque une brosse du dessous + fuite</t>
  </si>
  <si>
    <t>Brosse avant auto laveuse défectueuse. Ne nettoie plus.</t>
  </si>
  <si>
    <t>eau qui ne sort pas,svp pourrions nous avoir une de pret.merci.une bonne année a vous tous le 2807</t>
  </si>
  <si>
    <t>fuite a l arriere</t>
  </si>
  <si>
    <t>fuite d eau sous la machine perte de toute l eau</t>
  </si>
  <si>
    <t>autolaveuse casser</t>
  </si>
  <si>
    <t>Fuite au niveau du raccord du tuyau pour remplir l'eau de l'autolaveuse</t>
  </si>
  <si>
    <t>L'autolaveuse, a baucoup de mal a aspirer</t>
  </si>
  <si>
    <t>L'auto-laveuse n'aspire quasi plus d'eau. Les filtres sont propres.</t>
  </si>
  <si>
    <t>une des brosse de l'autolaveuse est déclipsée et le joint autour s'est enlevé.</t>
  </si>
  <si>
    <t>Tentative de debouchage avec du produit d'entretien en cours
 Il semble manquer le filtre au niveau de l'entrée de l'évacuation juste en dessous des grilles. Pouvez-vous m'en faire parvenir une svp ? Merci</t>
  </si>
  <si>
    <t>l'alarme n'a pas pu etre mise
 lumière orange sur le boitier</t>
  </si>
  <si>
    <t>porte de quai plus de mise en alarme</t>
  </si>
  <si>
    <t>L'alarme ne fonctionne pas lorsque la porte pieton est ouverte sans badgage</t>
  </si>
  <si>
    <t>recherche de cle, remplacer la serrure du cisson vidosurveilannce</t>
  </si>
  <si>
    <t>Alarme de la porte d'entrée salarié qui ne se met plus en route. Clé bloqué sur le voyant et qui ne bouge plus pour faire fonctionner l'alarme</t>
  </si>
  <si>
    <t>recharger en gaz le bandit 
 il c est declencher semaine derniere</t>
  </si>
  <si>
    <t>L' alarme incendie se déclenche a plusieurs reprises dans la journée sans aucunes raisons</t>
  </si>
  <si>
    <t>* caisson non fermé HS</t>
  </si>
  <si>
    <t>Mise en conformité du coffret de vidéosurveillance. ODM fait par AT3 . Travail fini</t>
  </si>
  <si>
    <t>Pour info fm : contrôle du visuel en mode live de l’absence des caisses sur l’écran .ODM fait par AT3 . Travail fini.</t>
  </si>
  <si>
    <t>* deplacer camera sco pour avoir un visu sur la totalité des sco. FM : rappeler le mag vendredi, la chef mag sera présente. Benjamin s'en occupe</t>
  </si>
  <si>
    <t>AT3 check list trimestrielle 2806</t>
  </si>
  <si>
    <t>A la demande du FM: comptage des caméras dans le MAG et copie d’écran de la vidéosurveillance.ODM fait par AT3 . Travail fini.</t>
  </si>
  <si>
    <t>remettre un plomb sur le boitier video surveillance</t>
  </si>
  <si>
    <t>il nous manque l etiquette portant la mention video serveur VMK</t>
  </si>
  <si>
    <t>À la demande du FM : contrôle de la vidéosurveillance en mode live et DSB.ODM fait par AT3 . Travail fini.</t>
  </si>
  <si>
    <t>Changement de mot de passe DSB de la vidéosurveillance .ODM fait par AT3 . Travail fini.</t>
  </si>
  <si>
    <t>Mettre en conformité les coffrets vidéo.ODM fait par AT3 . Travail fini</t>
  </si>
  <si>
    <t>Pour info Fm : Contrôle de la vidéosurveillance .pas de visuel sur les caisses en mode live.ODM fait par AT3 . Travail fini.</t>
  </si>
  <si>
    <t>À la demande du FM : contrôle de la vidéosurveillance en mode DSB et live sur différentes zones comme le coffre,entrée convoyeur,quai de déchargement .ODM fait par AT3 . Travail fini.</t>
  </si>
  <si>
    <t>système caméra HS reste figé</t>
  </si>
  <si>
    <t>PB ACCES CAMERA + ORIENTATION</t>
  </si>
  <si>
    <t>A la demande du FM: controle de la vidéosurveillance .ODM fait par AT3 . Travail fini.</t>
  </si>
  <si>
    <t>Changement de code DSB de la vidéosurveillance.ODM fait par AT3 . Travail fini.</t>
  </si>
  <si>
    <t>Mettre en conformité le coffret vidéo. ODM fait par AT3 . Travail fini</t>
  </si>
  <si>
    <t>A la demande du Fm : controle de la video sur la zone convoyeur ,quai,caisses,bureau et coffre en mode live.pas de connections en DSB.ODM fait par AT3 . Travail fini</t>
  </si>
  <si>
    <t>roues bloques</t>
  </si>
  <si>
    <t>coffre fermeture hs urgent</t>
  </si>
  <si>
    <t>Impossible d ouvrir le valois avec la clef. Fais un tour dans la serrure mais pas le deuxieme pour l 'ouvrir</t>
  </si>
  <si>
    <t>cle cassee dans la serrure</t>
  </si>
  <si>
    <t>Le valoie a la trappe qui ne bascule plus. Il doit y avoir une enveloppe coincée et nous ne pouvons pas ouvrir la porte sans la cléf de la société de transport de fond.
 Le depot de samedi soir est dans le grand coffre.
 La société de transport de fond vient demain matin.</t>
  </si>
  <si>
    <t>AT modif distri gel + papier</t>
  </si>
  <si>
    <t>AT un destru ,insecte hs au labo</t>
  </si>
  <si>
    <t>AT entretien destru insecte</t>
  </si>
  <si>
    <t>Micro ondes HS ne chauffe plus</t>
  </si>
  <si>
    <t>À la demande de la DR : remettre en route le ballon d’eau chaude dans les sociaux.ODM fait par AT3 . Travail fini.</t>
  </si>
  <si>
    <t>demande de lutin pour erratum dans sas d entree</t>
  </si>
  <si>
    <t>podium FL abimer</t>
  </si>
  <si>
    <t>meuble fl casse</t>
  </si>
  <si>
    <t>podium coté légumes cassé</t>
  </si>
  <si>
    <t>socle cassé 
 a remplacer</t>
  </si>
  <si>
    <t>Les chaises ergonomique de caisse sont toutes cassées. Il manque des roulettes a chacunes.
 Serai t il possible de toutes les changer ? Il y en a 4 au total.
 Merci.</t>
  </si>
  <si>
    <t>pouvez vous nous envoyé des tables non-food pour pouvoir remplacer ceux qui sont cassés</t>
  </si>
  <si>
    <t>la bande rive surgelé ne tins plus droit 
 urgent</t>
  </si>
  <si>
    <t>URGENT PROTECTION ARMOIR ELECTRIQUE BOULANGERIE</t>
  </si>
  <si>
    <t>mobilier boulangerie cassé</t>
  </si>
  <si>
    <t>deplacer le panneau offres speciales cosmetique</t>
  </si>
  <si>
    <t>bonjour
 avec le nouveau meuble, il faudrait deplacer le stockage des plv qui est bloqué par ce meuble.
 merci</t>
  </si>
  <si>
    <t>2 mobiliers fl cassé</t>
  </si>
  <si>
    <t>la bande de prix de la table action sec est cassé 
 visser une nouvelle merci</t>
  </si>
  <si>
    <t>socle cassé allée des co,nserves</t>
  </si>
  <si>
    <t>changer de place la selection du caviste merci</t>
  </si>
  <si>
    <t>podium fl a changer</t>
  </si>
  <si>
    <t>podium à remplacer</t>
  </si>
  <si>
    <t>JOUE RAYON EAUX</t>
  </si>
  <si>
    <t>3 PODIUMS fl 
 à remplacer</t>
  </si>
  <si>
    <t>manque panneau en bois au niveau du lait</t>
  </si>
  <si>
    <t>distributeur gel à remplacer</t>
  </si>
  <si>
    <t>mobilier bio casse</t>
  </si>
  <si>
    <t>casse palissade boisson en bois</t>
  </si>
  <si>
    <t>panneaux envia casse</t>
  </si>
  <si>
    <t>la roue est cassé si on peut me le remplacer svp
 merci</t>
  </si>
  <si>
    <t>Jour lait hs</t>
  </si>
  <si>
    <t>boite casser</t>
  </si>
  <si>
    <t>Porte de la petite armoire de la réserve cassée.</t>
  </si>
  <si>
    <t>Podium sous les sirops cassé</t>
  </si>
  <si>
    <t>casier dans la v2 a installer</t>
  </si>
  <si>
    <t>Podium bio hs il faut démonter led installation led cf photo 
 On a le podium</t>
  </si>
  <si>
    <t>bandes du frais casser sur toute la longueur</t>
  </si>
  <si>
    <t>casier du perso à monter</t>
  </si>
  <si>
    <t>Remplacement du podium boissons 
 Joue vissée sur le podium</t>
  </si>
  <si>
    <t>bandes de rives à enlever au frais, les grises claires
 apporter 30 bandes de rives autocollantes pour prévoir le remplacement de celles existantes</t>
  </si>
  <si>
    <t>plusieurs bandes de rives à riveter sur tables action food</t>
  </si>
  <si>
    <t>Un grand nombre de bandeaux d'affichages du rayon frais se sont décollés suite au passage du prestataire DE PINOH en S22</t>
  </si>
  <si>
    <t>Podium enfoncé a remplacer</t>
  </si>
  <si>
    <t>Demi-joue cassé à remplacer</t>
  </si>
  <si>
    <t>Podium enfoncé et cassé</t>
  </si>
  <si>
    <t>DEMANDE DE REMPLACEMENT DE PLUSIEURS BANDES DE PRIX SUR LES MEUBLES FRAIS</t>
  </si>
  <si>
    <t>Suite a réimplantation, agrandissement d'un axe OS cosmétiques.
 - Besoin de mise en place LED sur un axe entier.
 - panneau OS sur deux axes au lieu de un. 
 - PLV Rouge bande de prix et melaminé.</t>
  </si>
  <si>
    <t>Il y a des casiers ou il n'est pas possible de mettre des cadenas ou qui ont la porte de travers qui ne permet pas d'etre utiliser egalement.
 Par conséquent manque de casier pour les nouveaux entrants.</t>
  </si>
  <si>
    <t>mobilier pain a remplcer</t>
  </si>
  <si>
    <t>podium FL TG avec surstructure à changer
 pas de podium en mag 
 prevoir que le prestataire vienne avec</t>
  </si>
  <si>
    <t>Protection alu a fixer et coller contre vitrine VVP</t>
  </si>
  <si>
    <t>Installation du nouveau bureau mobi (deploiement le 06/07). Enlever le bureau MDE.</t>
  </si>
  <si>
    <t>porte à refixer
 charniere HS</t>
  </si>
  <si>
    <t>demi joue lait sortie de réserve HS
 merci de faire prendre la demi joue en cellule consomag en DR</t>
  </si>
  <si>
    <t>Podium cassé.</t>
  </si>
  <si>
    <t>Enlever vitre axe chouquette, remettre l'autre en place.</t>
  </si>
  <si>
    <t>joue droite cassée.</t>
  </si>
  <si>
    <t>Habillage Sonomat a mettre.</t>
  </si>
  <si>
    <t>INSTALLATION ETAGERE FL, (ETAGERE DEJA PRESENTE EN SURFACE DE VENTE)</t>
  </si>
  <si>
    <t>Lors de l'installation de la nouvelle baie informatiques, les techniciens ont laissé le bureau tel qu'il est sur la photo. Merci de faire le nécessaire.</t>
  </si>
  <si>
    <t>Rebord arraché coté lait et meuble enfoncé coté pates</t>
  </si>
  <si>
    <t>Il faudrait nous rajouter un malaminé de prix au niveau du SAS a eau comme nous en avons en nez de caisse</t>
  </si>
  <si>
    <t>La joue gauche au niveau du lait est cassée</t>
  </si>
  <si>
    <t>Nous avons beaucoup d'eclairage FL qui ne fonctionne pas.</t>
  </si>
  <si>
    <t>la boite a l'ettre de la reserve est cassé.</t>
  </si>
  <si>
    <t>le mobilier au niveau des fruits et legumes bio est casse.</t>
  </si>
  <si>
    <t>Il faudrait nous rajouter des mélaminés pour les affiches prix au dessus des etageres Action Fleurs et dans tout autour du coin a droite de l'entrée</t>
  </si>
  <si>
    <t>Il faudrait décaller sur la gauche derrière le meuble surg, le mobilier avec les étageres. Il est visser au sol.</t>
  </si>
  <si>
    <t>Il faudrait nous rajouter un podium sous le rayon bieres (Cf: Photos)</t>
  </si>
  <si>
    <t>Il faurdrait changer un mobilier FL en face du pain dans l'allée 1</t>
  </si>
  <si>
    <t>podium casse</t>
  </si>
  <si>
    <t>Il faudrait nous changer la joue à gauche de l'entrée de la reserve contre les boissons.</t>
  </si>
  <si>
    <t>Nous avons deux podiums cassés</t>
  </si>
  <si>
    <t>2 mobiliers au niveau du fl sont casses</t>
  </si>
  <si>
    <t>rolls cassé</t>
  </si>
  <si>
    <t>Il faudrait changer deux podiums au niveau des chips.
 - Ue podium qui fait l'angle à droite
 - Un podium au milieu qui fait deux axes de large.</t>
  </si>
  <si>
    <t>paneau entre mag hs</t>
  </si>
  <si>
    <t>Bonjour,
 Il faudrait nous bouger l'axe "selection caviste" pour le nouveau plannogramme</t>
  </si>
  <si>
    <t>La joue a gauche de l'entree reserve est HS</t>
  </si>
  <si>
    <t>il nous manque 3 barre anti retour au pain</t>
  </si>
  <si>
    <t>bordure rayon boisson casse</t>
  </si>
  <si>
    <t>l eau de la chasse coule en continue</t>
  </si>
  <si>
    <t>Pose du support essuie main sur le distributeur de gel hydroalcoolique + depose de l’ancien distributeur essuie main et rebouchage des trous .ODM fait par AT3 . Travail fini.</t>
  </si>
  <si>
    <t>WC bouché toilette salarié femme</t>
  </si>
  <si>
    <t>Pose d’un cadenas sur le distributeur de gel hydroalcoolique + changement du bec verseur.ODM fait par AT3 . Travail fini.</t>
  </si>
  <si>
    <t>un support essuie mains svp</t>
  </si>
  <si>
    <t>evier dans la boulangerie qui n'a pas de pression + l'eau a du mal a s'arreter de couler ou ne s'arrette pas du tous</t>
  </si>
  <si>
    <t>tuyau autolaveuse casser</t>
  </si>
  <si>
    <t>les 2 wc bouchés</t>
  </si>
  <si>
    <t>Pose du support essuie main sur le distributeur de gel hydroalcoolique + dépose de l’ancien distributeur essuie main et Nettoyage de son support .ODM fait par AT3 . Travail fini.</t>
  </si>
  <si>
    <t>toilette bouchee</t>
  </si>
  <si>
    <t>Évier toilettes clients bouché</t>
  </si>
  <si>
    <t>les 3
 toilettes boucher</t>
  </si>
  <si>
    <t>Pose du support essuie main sur le distributeur de gel hydroalcoolique + depose de l’ancien distributeur et nettoyage de son ancien support .ODM fait par AT3 . Travail fini.</t>
  </si>
  <si>
    <t>ne fojnctionne plus</t>
  </si>
  <si>
    <t>lame casse</t>
  </si>
  <si>
    <t>la trancheuse se met en erreur</t>
  </si>
  <si>
    <t>A la demande du RM: porte grillagée de la réserve ne ferme plus.démontage de la serrure HS.La faire changer AT3 pas équipé pour réparation.faire intervenir serrurier.AT3 fini.</t>
  </si>
  <si>
    <t>photos demandés</t>
  </si>
  <si>
    <t>la vis se decroche et pas moyen de la resserrer</t>
  </si>
  <si>
    <t>impossible douvrire le valois</t>
  </si>
  <si>
    <t>Dépose de 5 digicodes pour la société SPM dans le bureau du CM.ODM fait par AT3 . Travail fini.</t>
  </si>
  <si>
    <t>Poigner exterieur casser, cela empeche les chauffeurs de pouvoir decharger.</t>
  </si>
  <si>
    <t>Poignée de porte chauffeur hs</t>
  </si>
  <si>
    <t>Porte Coffre bloqué</t>
  </si>
  <si>
    <t>La poignée de la porte menant du magasin aux locaux sociaux a cassé lorsque l'on a voulu ouvrir la porte.</t>
  </si>
  <si>
    <t>Problème Serrure extérieur pour ouvrir magasin, cle accroche, risque de casser cle dans la serrure.</t>
  </si>
  <si>
    <t>À la demande du FM : Contrôle des accès dans les sociaux avec la clé du magasin.ODM fait par AT3 . Travail fini</t>
  </si>
  <si>
    <t>À la demande du responsable magasin : serrure, porte de quai HS, plus balaie de porte arraché.ODM fait par AT3 . Travail fini.</t>
  </si>
  <si>
    <t>AT3 check list 2806</t>
  </si>
  <si>
    <t>Retirer le coffret RIA et reboucher les trous et palettisé pour envoie en DR pour destruction .ODM fait par AT3 . Travail fini .</t>
  </si>
  <si>
    <t>Prise de mesure des RIA pour FM: ODM fait par AT3 . Travail fini.</t>
  </si>
  <si>
    <t>VENTE A faire le 24/10/2022. Réimplantation saisonnière.</t>
  </si>
  <si>
    <t>Mise à jour du registre de sécurité avec le document accessibilité .ODM fait par AT3 . Travail fini.</t>
  </si>
  <si>
    <t>Pose du nouveau défibrillateur .ODM fait par AT3 . Travail fini</t>
  </si>
  <si>
    <t>BOITIER QUI SONNE</t>
  </si>
  <si>
    <t>ONDULEUR SONNE TOUTE LES 30 MN ET S ARRETE</t>
  </si>
  <si>
    <t>prise sorti du mur urgent</t>
  </si>
  <si>
    <t>1 neon hs sur 2 dans la salle coffre</t>
  </si>
  <si>
    <t>verification alarme réserve: a sonné en continue toute la nuit du 16 juin jusqu a 7h.
 a controler</t>
  </si>
  <si>
    <t>porte casser AT prochain passage</t>
  </si>
  <si>
    <t>probleme de fonctinnement dijoncteur general four(dijoncteur general boulangerie se declanche à sa place.pas de photo car je ne peux pas envoyer probleme wifi</t>
  </si>
  <si>
    <t>Alarme incendie qui sonne en continue</t>
  </si>
  <si>
    <t>A la demande du FM: contrôle de l’installation Mondial relay.ODM fait par AT3 . Travail fini</t>
  </si>
  <si>
    <t>Le message audio dans le magasin "Chers clients, nous vous informons que le magasin va fermer ses portes, merci de vous diriger vers les caisses" est entre 20h05 et 20h10. Serait-il possible de régler le message pour qu'il soit entre 20h45 et 20h50 ?
 Merci</t>
  </si>
  <si>
    <t>AUCUNE LUMIERE DANS LE SURGELE NI DANS LA VVP. TEMPERATURE OK. TABLEAU ELECTRIQUE OK PAS DE PB DE DYSJONCTEUR. URGENT !</t>
  </si>
  <si>
    <t>Manque de visibilité au pain, Néon non fonctionnel.</t>
  </si>
  <si>
    <t>Lumière WC Client ne fonctionne plus - urgnt</t>
  </si>
  <si>
    <t>Demande d'installation prise supplémentaire pour bureau mobile</t>
  </si>
  <si>
    <t>La prise mural en reserve au niveau de la casse Non Food est endommagé</t>
  </si>
  <si>
    <t>Le boitier qui fait sonner les mails important en magasin ne fait que sonner. Nous avons fait une demande SSP mais à priori c'est à la DR de gerer ca.</t>
  </si>
  <si>
    <t>l interupteur de la lumiere vestiaire homme est hs</t>
  </si>
  <si>
    <t>fzux contact petit boitier obliger de le debrancher sinon une alarme sonne sans cesse</t>
  </si>
  <si>
    <t>porte de sortie des sco est bloque en mode ouvert</t>
  </si>
  <si>
    <t>La porte entrée des sociaux ce ferme mal.Serrure défectueuse .ODM fait par AT3 . Travail fini.</t>
  </si>
  <si>
    <t>vis pour le digicode au niveau de la porte pour entre au bureau trop petite pour serrer les poignets</t>
  </si>
  <si>
    <t>la poignee est cassée</t>
  </si>
  <si>
    <t>la sonnette ne fonctionne plus</t>
  </si>
  <si>
    <t>poignee qui est dévissé, ca tourne dans le vide</t>
  </si>
  <si>
    <t>A la demande du RM: Serrure porte grillagée HS.AT3 pas équipé pour réparation .faire intervenir un serrurier .</t>
  </si>
  <si>
    <t>porte batante endomage</t>
  </si>
  <si>
    <t>manque poignet au niveau du portail exterieur</t>
  </si>
  <si>
    <t>Pose d’un cylindre sur le coffret divisionnaire de la borne Schneider .ODM fait par AT3</t>
  </si>
  <si>
    <t>Porte battante emboutie sur le montant du joint et revisser la charnière .ODM fait par AT3 .</t>
  </si>
  <si>
    <t>porte forcer</t>
  </si>
  <si>
    <t>Pose de l’affichage Informations relatives à la vidéosurveillance. sur porte de quai et porte convoyeur.ODM fait par AT3. Travail fini.</t>
  </si>
  <si>
    <t>La porte is de la réserve est voilée</t>
  </si>
  <si>
    <t>AT Manque protection cylindre porte convoyeur</t>
  </si>
  <si>
    <t>BONJOUR JE NE PEUX PLUS OUVRIR LES PORTES ARRIERE DU MAGASIN CAR SI J ENLEVE LES BARRES DE SECURITE L ALARME S ENCLANGE CAR LA PORTE A PRIS UN COUP, ELLE EST ENFONCER merci de lancer une intervention rapidement</t>
  </si>
  <si>
    <t>A la demande de la DR02: refixation de la poignée de porte du local entretien de la réserve .ODM fait par AT3 . Travail fini</t>
  </si>
  <si>
    <t>La porte du quai a été embouti - Elle est actuellement fonctionnelle mais poignée quasi HS + porte légèrement plié</t>
  </si>
  <si>
    <t>poignée porte de quai cassée - a remplacer</t>
  </si>
  <si>
    <t>A la demande du Fm : remplacement du cylindre de l’armoire électrique des bornes de rechargement .ODM fait par AT3 .</t>
  </si>
  <si>
    <t>Besoin d'une intervention
 poignée cassée de la porte du quai</t>
  </si>
  <si>
    <t>mauvaiqe herbe qui rentre dans le spm</t>
  </si>
  <si>
    <t>poignée HS PORTE SOCIAUX-BUREAU</t>
  </si>
  <si>
    <t>Porte frais cassé voir photo, poignée à droite.</t>
  </si>
  <si>
    <t>Pause d’une protection sur la porte de quai pour éviter que la serrure ne soit cassé par les tkt. ODM fait par AT3 . Travail fini</t>
  </si>
  <si>
    <t>Pose des nouveaux affichages de vide sur la porte de quai et convoyeur .ODM fait par AT3 . Travail fini.</t>
  </si>
  <si>
    <t>La poignet du bureau ne fonctionne plus. SI la porte se ferme nous ne pourrons plus ouvrir la porte.</t>
  </si>
  <si>
    <t>La porte du local réserve touche en se refermant la CFP.ODM fait par AT3 . Travail fini.</t>
  </si>
  <si>
    <t>Pose de l’affichage informations relatives à la télésurveillance sur la porte de quai et convoyeur.ODM fait par AT3. Travail fini.</t>
  </si>
  <si>
    <t>A la demande du FM: ouvrir les vannes de puisage sur les split et DRV.ODM fait par AT3 .</t>
  </si>
  <si>
    <t>A la demande du Fm : récupérer la puissance CVC d’un spm.ODM fait par AT3 .</t>
  </si>
  <si>
    <t>pas d arrosage</t>
  </si>
  <si>
    <t>bonjour il fait plus de 27° dans le magasin tres compliquer</t>
  </si>
  <si>
    <t>pouveze vous baisser le chauffage de quelque degrés en magasin et dans le bureau 
 la zone fruit et legume est touché par le chauffage</t>
  </si>
  <si>
    <t>Relance des groupes climatisation extérieure nok.ODM fait par AT3 . Travail fini.</t>
  </si>
  <si>
    <t>defaut signaler pour les sociaux et surface de vente</t>
  </si>
  <si>
    <t>les boitiers du magasin et des sociaux se met en code defaut 2502</t>
  </si>
  <si>
    <t>clim trop forte les clients se plaignent qui fait trop froid dans le mag</t>
  </si>
  <si>
    <t>A la demande du RM: température basse dans les locaux.12° en caisse .reglage de toutes les télécommandes à 19°.ODM fait par AT3 . Travail fini.</t>
  </si>
  <si>
    <t>Purge des robinets de puisage pour l’hiver .ODM fait par AT3 . Travail fini.</t>
  </si>
  <si>
    <t>le bloc climatisation fuiit en salle de pause</t>
  </si>
  <si>
    <t>le chauffage souffle froid
 urgent</t>
  </si>
  <si>
    <t>A la demande du Fm : ouvrir les vannes de puisage sur les DRV et les split.ODM fait par AT3 .</t>
  </si>
  <si>
    <t>A la demande du FM: récupérer la puissance CVC d’un spm.ODM fait par AT3 .</t>
  </si>
  <si>
    <t>Purge des deux robinets de puisage pour l’hiver.ODM fait par AT3 . Travail fini</t>
  </si>
  <si>
    <t>Pour info: Clim sociaux et mag HS.après redémarrage groupe froid extérieur ,problème toujours présent.a la demande du CM.demande d’iOS par AT3.</t>
  </si>
  <si>
    <t>Chauffage HS magasin</t>
  </si>
  <si>
    <t>trop froid</t>
  </si>
  <si>
    <t>A la demande du RVS et de la RM: chauffage hors service dans le bâtiment.ODM fait par AT3 . Travail fini.</t>
  </si>
  <si>
    <t>Fuite clim bureau et sociaux, clim magasin fonctionne pas (demande déjà faite pour le magasin)</t>
  </si>
  <si>
    <t>Problème climatisation en magasin, chaleur étouffante, et niveau caisse dans les cabines, 30°C</t>
  </si>
  <si>
    <t>Une fuite est apparu sur le système à l'exterieur du batiment lors des fortes températures exterieur</t>
  </si>
  <si>
    <t>température à 28°C au niveau des caisses / 26°C à l'entrée de la reserve</t>
  </si>
  <si>
    <t>Non fonctionnement de la Clim en magasin. 
 (PAS DE PHOTO PB MDE)</t>
  </si>
  <si>
    <t>A la demande du Fm : récupérer la puissance CVC d’un spm.</t>
  </si>
  <si>
    <t>Remise en route des robinets de puisage pour les groupes froids.fuites sur canalisation.ODM fait par AT3 .</t>
  </si>
  <si>
    <t>Purge de la canalisation eau du groupe froid.ODM fait par AT3 . Travail fini.</t>
  </si>
  <si>
    <t>temperature en magasin trop haute</t>
  </si>
  <si>
    <t>la caissette de clim du bureau perd de l'eau. La société qui s'occupe de ca est venu faire une maintenance la semaine derniere.</t>
  </si>
  <si>
    <t>La caissette de clim de la salle de pause fuit ( 1 seau d'eau/jour)</t>
  </si>
  <si>
    <t>A la demande du FM : remettre la température de la climatisation dans le Mag a 25° comme le préconise le siège de LIDL.ODM fait par AT3 . Travail fini.</t>
  </si>
  <si>
    <t>A la demande du CM: Problème de climatisation dans le mag.25° dans la SV et 28,5° dans la réserve .ODM fait par AT3 . Travail fini</t>
  </si>
  <si>
    <t>bonjour
 3 spots h.s tg fl
 merci</t>
  </si>
  <si>
    <t>Éclairage leds sous la structure FL hs.ODM fait par AT3 . Travail fini.</t>
  </si>
  <si>
    <t>* DEPLACER LE SPOT BIO QUI SE TROUVE DEVANT LES FLEURS MERCI</t>
  </si>
  <si>
    <t>eclairage meuble frais hs</t>
  </si>
  <si>
    <t>Remplacement de 7 tubes néon par des tubes leds dans les sociaux .ODM fait par AT3 . Travail fini</t>
  </si>
  <si>
    <t>deplacer le spot bio</t>
  </si>
  <si>
    <t>neon coffre h.s</t>
  </si>
  <si>
    <t>les vestiaires homme et femme ne sont pas en eclairage automatique.
 merciii</t>
  </si>
  <si>
    <t>neon casser au meuble frais</t>
  </si>
  <si>
    <t>lumiere hs allée dhp et axe frais</t>
  </si>
  <si>
    <t>Eclairage bac tg surg hs 
 Remplacement du plexi arrière</t>
  </si>
  <si>
    <t>2 tubes neon changer en led dans la sdp.ODM fait par AT3 . Travail fini</t>
  </si>
  <si>
    <t>AT. Lum caisse + eau + spot hs. Disj HS</t>
  </si>
  <si>
    <t>AT Lum hs caisses + eau</t>
  </si>
  <si>
    <t>bonjour j ai des neons dans le fl qui ne fonctionnent plus merci de lancer une intervention</t>
  </si>
  <si>
    <t>Nous n'avons plus de lumiere dans l'allée 5, dans l'allée 2 et le long de caisse.
 L'appareil photo prend uniquement des photos noir.</t>
  </si>
  <si>
    <t>Remplacement de 10 tubes néon par des tubes leds .reste 6 tubes à remplacée .sera fait au prochain passage de AT3 .</t>
  </si>
  <si>
    <t>Nous avons 4 lumieres sur le meuble fruits et légumes qui ne fonctionnement pas. 
 2 au niveau des pommes de terre
 2 au niveau des tomates</t>
  </si>
  <si>
    <t>La lumiere du magasin ne s'eteint plus la nuit.</t>
  </si>
  <si>
    <t>neon du meuble hs</t>
  </si>
  <si>
    <t>photo salle pause pour service vente 2814</t>
  </si>
  <si>
    <t>2 souris apercues dans le magasin</t>
  </si>
  <si>
    <t>souris appercues dans la reserve + magasin</t>
  </si>
  <si>
    <t>concentration de souris au fond de la réserve</t>
  </si>
  <si>
    <t>souris beaucoup</t>
  </si>
  <si>
    <t>rat dans la zone pain mag et reser e</t>
  </si>
  <si>
    <t>souris coincer dans le soclz vin</t>
  </si>
  <si>
    <t>nuisible dans le fl trace de caca et ronger le carton</t>
  </si>
  <si>
    <t>souris surgace vente</t>
  </si>
  <si>
    <t>Souris dans le magasin côté FL.</t>
  </si>
  <si>
    <t>AT entretien destru ninsectes</t>
  </si>
  <si>
    <t>Boite nuisible a réarmer/vider</t>
  </si>
  <si>
    <t>Nous avons beaucoup de rats sur le parking et au niveau de la porte du magasin. Pour l'instant nous n'avons rien vu à l'interieur.</t>
  </si>
  <si>
    <t>Nous avons retrouvé des excrements de souris en magasin.</t>
  </si>
  <si>
    <t>Dalles de fp déplacées par le vent dans le sas d’entrée .ODM fait par AT3 . Travail fini .</t>
  </si>
  <si>
    <t>A la demande du RM: fuite FP dans le labo pain .infiltration par la toiture.remplacement dalle mais la fuite est toujours présente.faire intervenir un couvreur.ODM fait par AT3 .</t>
  </si>
  <si>
    <t>A la demande du RM : dalle de FP humide dans le labo pain.ODM fait par AT3 . Travail fini.</t>
  </si>
  <si>
    <t>Dalles humides en SV.déjà changée 3 fois cette année .ODM fait par AT3 .</t>
  </si>
  <si>
    <t>2 dalles de FP humides de la boulangerie à l’étal biscuits apéritifs .</t>
  </si>
  <si>
    <t>dalles de FP humide en SV.ODM fait par AT3.Travail fini</t>
  </si>
  <si>
    <t>dalle pourries au pain et chips plafond</t>
  </si>
  <si>
    <t>Dalle effondrée suite à une fuite</t>
  </si>
  <si>
    <t>Dalles de fp humides.ODM fait par AT3 . Travail fini</t>
  </si>
  <si>
    <t>Plusieurs tâches sur des dalles du faux plafond</t>
  </si>
  <si>
    <t>Fuite au niveau du plafond devant la zone pain</t>
  </si>
  <si>
    <t>Dalle endommagée au niveau du pain</t>
  </si>
  <si>
    <t>À nouveau des fuites à nouveau des dalles à changer 
 Au dessus de la boulangerie dans le coin du frais et dans la salle de pause</t>
  </si>
  <si>
    <t>Dalle humide s'est cassée.</t>
  </si>
  <si>
    <t>Toujours le même problème 
 On change les dalles, elle sont à nouveau humide</t>
  </si>
  <si>
    <t>Suite aux dernières pluies plusieurs fuites ont été constatées en magasin dont une ou le faux plafond est tombé</t>
  </si>
  <si>
    <t>dalles a changer</t>
  </si>
  <si>
    <t>AT Tâches fp bureau + sociaux</t>
  </si>
  <si>
    <t>Dalles de FP humides au dessus du rayonnage pain et viennoiseries .ODM fait par AT3 . Travail fini.</t>
  </si>
  <si>
    <t>fuite d'eau dans le magasin au niveau du rayon pain</t>
  </si>
  <si>
    <t>situation : le long du mur exterieur en magasin au dessus du mobilier pain
 une dalle plafond est tombée sur le mobilier pain et est imbibée d'eau une deuxieme a coté semble imbibée aussi</t>
  </si>
  <si>
    <t>Dalle de FP manquante au dessus de l’armoire électrique.ODM fait par AT3 . Travail fini</t>
  </si>
  <si>
    <t>Fuite d'eau dans le faux plafond au niveau de la boulangerie en magasin. Le faux plafond est abimée et provoque des fuites sur le mobilié et au sol.</t>
  </si>
  <si>
    <t>A la demande du FM suite à l’audit.recoller les carreaux dans l’allée des cosmétiques .ODM fait par AT3 . Travail fini.</t>
  </si>
  <si>
    <t>carrelage cassé au niveau de l action sec</t>
  </si>
  <si>
    <t>Stikers covid a enlever au sol au niveau des caisses</t>
  </si>
  <si>
    <t>un carrelage à changer
 passage non food Tg arriere</t>
  </si>
  <si>
    <t>un carreau de carrelage est cassé devant la sortie de secour au niveau des caisse.</t>
  </si>
  <si>
    <t>cloison sas eaux deboitée</t>
  </si>
  <si>
    <t>A la demande du RM,remplacer 3 carreaux cassés en réserve .ODM fait par AT3 .</t>
  </si>
  <si>
    <t>carrelage abime</t>
  </si>
  <si>
    <t>podium enfoncer droite avec fermeture et un milieu</t>
  </si>
  <si>
    <t>Rebouché trous dans le mur de la réserve côté quai.ODM fait par AT3 . Travail fini</t>
  </si>
  <si>
    <t>*refaire peinture au niveau du ria</t>
  </si>
  <si>
    <t>Besoin d'une couche de peinture, défauts apparents</t>
  </si>
  <si>
    <t>Trous dans le mur des sociaux .rebouchage par AT3 .retouche peinture au prochain passage de AT3 .</t>
  </si>
  <si>
    <t>Il faut refixer le panneau chaîne du froid</t>
  </si>
  <si>
    <t>Infiltration d’eau moisissure 
 Dans le coin du meuble frais près de l’is</t>
  </si>
  <si>
    <t>Installer un support à balais en réserve</t>
  </si>
  <si>
    <t>PROTECTION MURALE A REFIXER</t>
  </si>
  <si>
    <t>PEINTURE ABIME DANS LE SAS ENTRE LES CAISSES ET LES SOCIAUX + SALLE DE PAUSE</t>
  </si>
  <si>
    <t>mur arrache</t>
  </si>
  <si>
    <t>Peindre les murs sur ancien lettrage.ODM fait par AT3 . Travail fini</t>
  </si>
  <si>
    <t>Mise en peinture blanche du mur en réserve côté quai.ODM fait par AT3 . Travaux en cours.</t>
  </si>
  <si>
    <t>Peinture sur mur côté réserve partie deux repeinte par AT3 .ODM fait par AT3 . Travail fini.</t>
  </si>
  <si>
    <t>changer le podium fl deplace et rajouger une etagere je ne trouvais pas d item pour cela</t>
  </si>
  <si>
    <t>Pouvons nous avoir un nouveau tableau de brief ainsi qu'un nouveau semainier svp.
 Ceux actuellement en place sont cassés.</t>
  </si>
  <si>
    <t>Il nous faudrait un nettoyage des plafonds reserve qui sont trop haut pour nous.</t>
  </si>
  <si>
    <t>Repeindre le lettrage sur le mur côté meuble frais. ODM fais par AT3 . Travail fini.</t>
  </si>
  <si>
    <t>VENTE Nettoyage des parkings du lundi 21 août 2023</t>
  </si>
  <si>
    <t>VENTE Nettoyage des parkings du lundi 24 juillet 2023</t>
  </si>
  <si>
    <t>VENTE Nettoyage des parkings du mercredi 19 juillet 2023</t>
  </si>
  <si>
    <t>AT3 check list trimestrielle 2806.ODM fait par AT3 .</t>
  </si>
  <si>
    <t>VENTE Nettoyage des parkings du Mercredi 16 août 2023</t>
  </si>
  <si>
    <t>VENTE Nettoyage des parkings du lundi 17 juillet 2023</t>
  </si>
  <si>
    <t>VENTE Nettoyage du parking Vendredi 21 juillet 2023</t>
  </si>
  <si>
    <t>VENTE Nettoyage des parkings du Vendredi 18 août 2023</t>
  </si>
  <si>
    <t>VENTE Nettoyage des parkings du mercredi 12 juillet 2023</t>
  </si>
  <si>
    <t>VENTE Nettoyage des parkings du lundi 16 mai 2022</t>
  </si>
  <si>
    <t>VENTE Nettoyage des parkings du Lundi 4 avril 2022</t>
  </si>
  <si>
    <t>VENTE Nettoyage des parkings du mercredi 18 mai 2022</t>
  </si>
  <si>
    <t>retour NF 23
 6 europes + 2 dussel emballer ensemble</t>
  </si>
  <si>
    <t>VENTE Nettoyage des parkings du vendredi 6 mai 2022</t>
  </si>
  <si>
    <t>VENTE Nettoyage des parkings du mercredi 20 avril 2022</t>
  </si>
  <si>
    <t>VENTE Nettoyage des parkings du lundi 23 mai 2022</t>
  </si>
  <si>
    <t>VENTE Nettoyage des parkings du lundi 2 mai 2022</t>
  </si>
  <si>
    <t>VENTE Nettoyage des parkings du Mercredi 13 avril 2022</t>
  </si>
  <si>
    <t>VENTE Nettoyage des parkings du lundi 9 mai 2022</t>
  </si>
  <si>
    <t>VENTE Nettoyage des parkings du vendredi 20 mai 2022</t>
  </si>
  <si>
    <t>VENTE Nettoyage des parkings du lundi 25 avril 2022</t>
  </si>
  <si>
    <t>VENTE Nettoyage des parkings du vendredi 1er avril 2022</t>
  </si>
  <si>
    <t>VENTE Nettoyage des parkings du Mercredi 6 avril 2022</t>
  </si>
  <si>
    <t>VENTE Nettoyage des parkings du mercredi 4 mai 2022</t>
  </si>
  <si>
    <t>VENTE Nettoyage des parkings du mercredi 11 mai 2022</t>
  </si>
  <si>
    <t>VENTE avant vendredi 3 juin 2022
 Pour : 
 - Dans la CF- de la V2, mettre 5 axes à gauche et 5 axes à droite (cf plan)
 - Mettre deux étagères par axes en 60 cm
 Pour info : 
 - Il faut 4 axes en tout avec les existants
 - Mettre les axes vers le fond de la CF - 
 - Prendre tout le matériel à la cellule consomag, 
 - Pas de podiums à mettre en place 
 - Double entretoises à mettre en place
 - Le spm est informé
 - Pas de mélaminé à mettre en place
 - Mettre des bandes de rives en place</t>
  </si>
  <si>
    <t>VENTE Nettoyage des parkings du lundi 30 mai 2022</t>
  </si>
  <si>
    <t>VENTE Nettoyage des parkings du mercredi 27 avril 2022</t>
  </si>
  <si>
    <t>VENTE Nettoyage des parkings du vendredi 29 avril 2022</t>
  </si>
  <si>
    <t>VENTE Nettoyage des parkings du vendredi 22 avril 2022</t>
  </si>
  <si>
    <t>VENTE Nettoyage des parkings du vendredi 27 mai 2022</t>
  </si>
  <si>
    <t>VENTE Nettoyage des parkings du vendredi 13 mai 2022</t>
  </si>
  <si>
    <t>VENTE Nettoyage des parkings du Vendredi 8 avril 2022</t>
  </si>
  <si>
    <t>VENTE Nettoyage des parkings du mercredi 25 mai 2022</t>
  </si>
  <si>
    <t>retour NFU semaine 22</t>
  </si>
  <si>
    <t>AT3 check-list 2806</t>
  </si>
  <si>
    <t>VENTE spm avec panneaux DS SMITH, à faire fin semaine S17
 Pour : 
 - Récupérer les nouveaux panneaux BBQ, pour Ds Smith
 - Retirer et détruire le panneau DS Smith (rack à caddies) celui en place.
 - Mettre le nouveau panneau en place côté Fan de BBQ
 Pour info : 
 - Panneaux dispo à la cellule consomag</t>
  </si>
  <si>
    <t>AT3 check-list trimestrielle 2806</t>
  </si>
  <si>
    <t>VENTE - Nettoyage des parkings du vendredi 30 septembre 2022</t>
  </si>
  <si>
    <t>VENTE Nettoyage des parkings du mercredi 7 octobre 2022</t>
  </si>
  <si>
    <t>VENTE Nettoyage des parkings du mercredi 2 novembre 2022</t>
  </si>
  <si>
    <t>VENTE Nettoyage des parkings du mercredi 31 août 2022</t>
  </si>
  <si>
    <t>VENTE Nettoyage des parkings du Vendredi 2 septembre 2022</t>
  </si>
  <si>
    <t>VENTE Nettoyage des parkings du vendredi 25 mars 2022</t>
  </si>
  <si>
    <t>VENTE Nettoyage des parkings du mercredi 23 mars 2022</t>
  </si>
  <si>
    <t>VENTE Nettoyage des parkings du Lundi 28 mars 2022</t>
  </si>
  <si>
    <t>VENTE Nettoyage des parkings du mercredi 30 mars 2022</t>
  </si>
  <si>
    <t>retour nf semaine 44 du 02/11 
 3 europes + 1 dd</t>
  </si>
  <si>
    <t>VENTE - Récupérer les nouveaux panneaux à la cellule consomag
 - Retirer le visuel foire aux vins en place et le détruire
 - Mettre en place le visuel « elle est bien sa 2eme vie » (et non pas Lidl recrute)
 Pour info :
 - Me tenir informé du jour d’intervention</t>
  </si>
  <si>
    <t>retour piano semaine 16</t>
  </si>
  <si>
    <t>retour NFU semaine 16</t>
  </si>
  <si>
    <t>retour NFU semaine 14</t>
  </si>
  <si>
    <t>photos des tables de caisse</t>
  </si>
  <si>
    <t>photos tables de caisse</t>
  </si>
  <si>
    <t>pourrait on avoir des stickers pour le sol pour les sco merci</t>
  </si>
  <si>
    <t>VENTE Nettoyage des parkings du vendredi 24 juin 2022</t>
  </si>
  <si>
    <t>VENTE Nettoyage des parkings du mercredi 6 juillet 2022</t>
  </si>
  <si>
    <t>retour nf semaine 42 : 3 europes + 1 dussel</t>
  </si>
  <si>
    <t>AT verif+ prise de mesure entree mail FM</t>
  </si>
  <si>
    <t>retour NFU semaine 13</t>
  </si>
  <si>
    <t>VENTE Pour : 
 - Déplacer la DD de pdt à l’arrière du FL
 - Contrôler les Fils des Led FL (si défaut, remplacer)
 - Réaliser marquage rouge au sol dans la réserve
 Pour info : Vous prenez le matériel à la cellule consomag</t>
  </si>
  <si>
    <t>VENTE Nettoyage des parkings du mercredi 9 mars 2022</t>
  </si>
  <si>
    <t>VENTE spm ayant des panneaux DS Smith, (urgent)
 Pour : 
 - Retirer et détruire les affiches en place
 - Mettre à la place les nouvelles affiches, côté « Favorina » uniquement.
 Pour info : 
 - Affiches dispo à la cellule consomag
 - Me tenir informé des dates de mise en place</t>
  </si>
  <si>
    <t>VENTE Nettoyage des parkings du vendredi 4 février 2022</t>
  </si>
  <si>
    <t>VENTE Nettoyage des parkings du lundi 7 mars 2022</t>
  </si>
  <si>
    <t>VENTE Nettoyage des parkings du vendredi 18 mars 2022</t>
  </si>
  <si>
    <t>VENTE Nettoyage des parkings du vendredi 4 mars 2022</t>
  </si>
  <si>
    <t>VENTE Nettoyage des parkings du mercredi 16 mars 2022</t>
  </si>
  <si>
    <t>VENTE le jeudi ou vendredi de la semaine indiquée, (les CF sont remplacées sur le lundi, mardi et mercredi) 
 Pour : 
 - Mise en place des panneaux VVP et Frais, verticaux sur les portes. « frais »
 - Mise en place des panneaux VVP et Frais verticaux à l’intérieur « frais »
 - Mise en place des panneaux FL verticaux sur les portes « FL »
 - Mise en place des panneaux FL verticaux à l’intérieur « FL »
 - Coller le panneau « retrait de la vente » dans la CF « frais » (si ce panneau n’est pas présent à un autre endroit)
 - Coller un panneau CF sur une des deux portes (visuel ci-dessous)
 Pour info : 
 - Vous récupérez les panneaux à la cellule consomag
 - Vous récupérez les adhésifs à la cellule consomag</t>
  </si>
  <si>
    <t>VENTE Nettoyage des parkings du lundi 21 mars 2022</t>
  </si>
  <si>
    <t>VENTE Nettoyage des parkings du lundi 14 mars 2022</t>
  </si>
  <si>
    <t>VENTE Nettoyage des parkings du mercredi 12 avril 2023</t>
  </si>
  <si>
    <t>VENTE Nettoyage des parkings du vendredi 11 mars 2022</t>
  </si>
  <si>
    <t>VENTE Nettoyage des parkings du mercredi 2 mars 2022</t>
  </si>
  <si>
    <t>VENTE Tournée MCM 2022</t>
  </si>
  <si>
    <t>VENTE Nettoyage des parkings du vendredi 11 février 2022</t>
  </si>
  <si>
    <t>VENTE MAJ Concept Co</t>
  </si>
  <si>
    <t>VENTE Nettoyage des parkings du lundi 14 février 2022</t>
  </si>
  <si>
    <t>VENTE Nettoyage des parkings du mercredi 16 février 2022</t>
  </si>
  <si>
    <t>VENTE Nettoyage des parkings du mercredi 23 février 2022</t>
  </si>
  <si>
    <t>VENTE Nettoyage des parkings du vendredi 18 février. Attention visite prévu sur les spm 234, 2820, 3862 et 4046, prioriser ces 4 spm, merci de vous présenter sur le premier dès 6h, le spm 234 devra être fait après les 3 autres.</t>
  </si>
  <si>
    <t>VENTE Nettoyage des parkings du vendredi 25 février 2022</t>
  </si>
  <si>
    <t>VENTE Nettoyage des parkings du lundi 21 février 2022</t>
  </si>
  <si>
    <t>VENTE Nettoyage des parkings du mercredi 9 février 2022</t>
  </si>
  <si>
    <t>VENTE Nettoyage des parkings du lundi 28 février 2022</t>
  </si>
  <si>
    <t>VENTE Nettoyage des parkings du mercredi 7 septembre 2022</t>
  </si>
  <si>
    <t>VENTE Nettoyage des parkings du Lundi 19 septembre 2022</t>
  </si>
  <si>
    <t>VENTE Nettoyage des parkings du mercredi 29 mars 2023</t>
  </si>
  <si>
    <t>retour nf</t>
  </si>
  <si>
    <t>Retour NF 1 europe + 1 dussel</t>
  </si>
  <si>
    <t>Retour NF 
 1 palette europe et une demi</t>
  </si>
  <si>
    <t>VENTE spm ayant des panneaux DS Smith (rack à caddie), milieu S35, 
 Pour : 
 - Retirer et détruire le visuel en place
 - Mettre en place le nouveau visuel (Foire aux vins)
 Pour info : Visuel foire aux vins disponible à la cellule consomag</t>
  </si>
  <si>
    <t>VENTE Nettoyage des parkings du lundi 29 août 2022</t>
  </si>
  <si>
    <t>VENTE Nettoyage des parkings du vendredi 26 août 2022</t>
  </si>
  <si>
    <t>VENTE Nettoyage des parkings du lundi 7 février 2022</t>
  </si>
  <si>
    <t>VENTE Nettoyage des parkings du Lundi 31 janvier 2022</t>
  </si>
  <si>
    <t>VENTE Nettoyage des parkings du Mercredi 26 janvier 2022</t>
  </si>
  <si>
    <t>VENTE Nettoyage des parkings du Lundi 10 janvier 2022</t>
  </si>
  <si>
    <t>VENTE Nettoyage des parkings du Lundi 24 janvier 2022</t>
  </si>
  <si>
    <t>VENTE Nettoyage des parkings du mercredi 2 février 2022</t>
  </si>
  <si>
    <t>VENTE Nettoyage des parkings du Mercredi 12 janvier 2022</t>
  </si>
  <si>
    <t>VENTE Nettoyage des parkings du Lundi 17 janvier 2022</t>
  </si>
  <si>
    <t>retour NFU semaine 6</t>
  </si>
  <si>
    <t>VENTE Nettoyage des parkings du vendredi 12 août 2022</t>
  </si>
  <si>
    <t>VENTE Nettoyage des parkings du venrdredi 19 août 2022</t>
  </si>
  <si>
    <t>VENTE Nettoyage des parkings du lundi 22 août 2022</t>
  </si>
  <si>
    <t>VENTE Nettoyage des parkings du mercredi 24 août 2022</t>
  </si>
  <si>
    <t>VENTE Nettoyage des parkings du mercredi 10 août 2022</t>
  </si>
  <si>
    <t>VENTE Nettoyage des parkings du mercredi 17 août 2022</t>
  </si>
  <si>
    <t>VENTE Tournée
 Pour : 
 - Faire tournée des SPM avant le 19/08.
 Pour info : 
 - Prendre tout le matériel à la cellule consomag à partir du 22/07
 - Le matériel nécessaire aux Surgelés ainsi que les adhésifs frais seront livrés ultérieurement. Un mail vous sera envoyé à partir du moment où cela sera disponible à Consomag. 
 - La liste des SPM et des points à effectuer se trouvent en PJ</t>
  </si>
  <si>
    <t>VENTE Nettoyage des parkings du Vendredi 7 janvier 2022</t>
  </si>
  <si>
    <t>VENTE Nettoyage des parkings du Mercredi 19 janvier 2022</t>
  </si>
  <si>
    <t>VENTE Nettoyage des parkings du Mercredi 5 janvier 2022</t>
  </si>
  <si>
    <t>VENTE spm ayant des DS SMITH, à faire avant le jeudi 03 février 2022, 
 Pour : 
 • Retirer et jeter le visuel Lidl Plus
 • Mettre le nouveau visuel (Lidl soutient les producteurs)
 Pour info : 
 • Panneaux dispo à la cellule consomag
 • Attention de ne pas afficher « Lidl recrute »</t>
  </si>
  <si>
    <t>VENTE Nettoyage des parkings du Vendredi 21 janvier 2022</t>
  </si>
  <si>
    <t>VENTE Nettoyage des parkings du Vendredi 14 janvier 2022</t>
  </si>
  <si>
    <t>VENTE Nettoyage des parkings du vendredi 28 janvier 2022</t>
  </si>
  <si>
    <t>VENTE Nettoyage des parkings du mercredi 14 juin 2023</t>
  </si>
  <si>
    <t>VENTE Divers RMR lundi 19 juin, après 15h00 
 Pour : 
 -Récupérer la station B5/B10 que Wiesheu aura débranchée de la V2 (pas la nouvelle que vous avez apportez le vendredi, l’autre 😉)
 -Récupérer la station B5/B5
 -Récupérer tous les rolls B5/B5
 -Déposer tout ce matériel à la cellule consomag</t>
  </si>
  <si>
    <t>VENTE Nettoyage des parkings du lundi 22 mai 2023</t>
  </si>
  <si>
    <t>retour NFU semaine 4</t>
  </si>
  <si>
    <t>VENTE Nettoyage des parkings du mercredi 20 juillet 2022</t>
  </si>
  <si>
    <t>VENTE Nettoyage des parkings du vendredi 17 juin 2022</t>
  </si>
  <si>
    <t>VENTE Nettoyage des parkings du vendredi 5 août 2022</t>
  </si>
  <si>
    <t>VENTE Nettoyage des parkings du vendredi 22 juillet 2022</t>
  </si>
  <si>
    <t>VENTE Nettoyage des parkings du lundi 01 août 2022</t>
  </si>
  <si>
    <t>VENTE Nettoyage des parkings du mercredi 22 juin 2022</t>
  </si>
  <si>
    <t>VENTE Nettoyage des parkings du lundi 20 juin 2022</t>
  </si>
  <si>
    <t>VENTE Nettoyage des parkings du lundi 8 août 2022</t>
  </si>
  <si>
    <t>VENTE Nettoyage des parkings du mercredi 27 juillet 2022</t>
  </si>
  <si>
    <t>VENTE Nettoyage des parkings du vendredi 1er juillet 2022</t>
  </si>
  <si>
    <t>VENTE dès que possible
 Pour : 
 - Récupérer à la cellule consomag les panneaux Ds Smith
 - Sur les spm concernés retirés les anciens visuels et les détruire (pour qu’ils ne soient plus remis en place)
 - Mettre le nouveau visuel « glaces » en place (sur tous ces spm)
 Pour info : Les panneaux sont dispo à la cellule consomag</t>
  </si>
  <si>
    <t>VENTE dés que possible
 Pour : Mettre en place lettrage BIO
 Pour info : 
 - Livraison du lettrage cette semaine (S25)
 - Vous récupérez le lettrage à la cellule cosnomag</t>
  </si>
  <si>
    <t>VENTE Nettoyage des parkings du mercredi 13 juillet 2022</t>
  </si>
  <si>
    <t>VENTE Nettoyage des parkings du vendredi 29 juillet 2022</t>
  </si>
  <si>
    <t>VENTE Nettoyage des parkings du lundi 11 juillet 2022</t>
  </si>
  <si>
    <t>VENTE Nettoyage des parkings du vendredi 15 juillet 2022</t>
  </si>
  <si>
    <t>VENTE Nettoyage des parkings du mercredi 29 juin 2022</t>
  </si>
  <si>
    <t>VENTE Nettoyage des parkings du lundi 18 juillet 2022</t>
  </si>
  <si>
    <t>VENTE Nettoyage des parkings du lundi 27 juin 2022</t>
  </si>
  <si>
    <t>VENTE Nettoyage des parkings du lundi 4 juillet 2022</t>
  </si>
  <si>
    <t>VENTE Nettoyage des parkings du lundi 25 juillet 2022</t>
  </si>
  <si>
    <t>VENTE Nettoyage des parkings du vendredi 8 juillet 2022</t>
  </si>
  <si>
    <t>VENTE Nettoyage des parkings du mercredi 3 août 2022</t>
  </si>
  <si>
    <t>retour PIANO semaine 3</t>
  </si>
  <si>
    <t>retourNFU
 semaine3</t>
  </si>
  <si>
    <t>Retour NF 4 Pallettes</t>
  </si>
  <si>
    <t>retour NFU semaine 30</t>
  </si>
  <si>
    <t>retour NFU semaine 1</t>
  </si>
  <si>
    <t>retour NFU semaine 2</t>
  </si>
  <si>
    <t>retour NFU semaine 28</t>
  </si>
  <si>
    <t>VENTE Nettoyage des parkings du mercredi 14 décembre 2022</t>
  </si>
  <si>
    <t>VENTE Nettoyage des parkings du Mercredi 23 novembre 2022</t>
  </si>
  <si>
    <t>VENTE Nettoyage des parkings du mercredi 5 octobre 2022</t>
  </si>
  <si>
    <t>VENTE Nettoyage des parkings du mercredi 28 septembre 2022</t>
  </si>
  <si>
    <t>* nettoyage plafond au dessus caddie
 sous les caddies 
 luminaire plv</t>
  </si>
  <si>
    <t>retour NF semaine 26
 '4 europes</t>
  </si>
  <si>
    <t>VENTE Tournée implantation saisonnière</t>
  </si>
  <si>
    <t>retour NF semaine 27 : 7 europes + 1 dussel</t>
  </si>
  <si>
    <t>VENTE Nettoyage des parkings du lundi 13 juin 2022</t>
  </si>
  <si>
    <t>VENTE Nettoyage des parkings du mercredi 8 juin 2022</t>
  </si>
  <si>
    <t>VENTE Nettoyage des parkings du vendredi 3 juin 2022</t>
  </si>
  <si>
    <t>VENTE Nettoyage des parkings du mercredi 15 juin 2022</t>
  </si>
  <si>
    <t>VENTE Nettoyage des parkings du vendredi 10 juin 2022</t>
  </si>
  <si>
    <t>VENTE Nettoyage des parkings du mercredi 1er juin 2022</t>
  </si>
  <si>
    <t>Retour NF 
 4 europe et 1 düssel</t>
  </si>
  <si>
    <t>retrait de vente kinder maxi</t>
  </si>
  <si>
    <t>retour NFU semaine 24</t>
  </si>
  <si>
    <t>retour graine et semence</t>
  </si>
  <si>
    <t>‘DS Smith’ , à faire début semaine 01 2023
 Pour : 
 -Récupérer à la cellule consomag les nouveaux panneaux
 -En spm, retirer et détruire le visuel en place.
 -Mettre en place l visuel ‘depuis 13 ans…’
 Pour info : 
 -Nouveau visuel dispo cellule consomag</t>
  </si>
  <si>
    <t>VENTE Nettoyage des parkings du vendredi 16 septembre 2022</t>
  </si>
  <si>
    <t>les bandes de prix ne tiennent plus il faut tous changer
 merci</t>
  </si>
  <si>
    <t>pose du classeur erratum à l entree</t>
  </si>
  <si>
    <t>VENTE Divers RMR vendredi 16 juin 2023, dans la journée
 Pour : 
 -Récupérer à la cellule consomag 1 station B5/B10 (une nouvelle)
 -Déposer la station dans la V2 du spm de Bourtzwiller 2806
 Pour info : 
 -La station B5/B10 est disponible à la cellule consomag, c’est une nouvelle station identifiée 2806, elle est stockée à l’entrée de la cellule consomag.</t>
  </si>
  <si>
    <t>Mise à jour du registre de sécurité dans l’onglet 40 avec le document accessibilité. ODM fait par AT3 . Travail fini</t>
  </si>
  <si>
    <t>VENTE Nettoyage des parkings du vendrei 2 décembre 2022</t>
  </si>
  <si>
    <t>VENTE Nettoyage des parkings du lundi 15 mai 2023</t>
  </si>
  <si>
    <t>VENTE Nettoyage des parkings du mercredi 8 mars 2023</t>
  </si>
  <si>
    <t>VENTE Nettoyage des parkings du mercredi 21 septembre 2022</t>
  </si>
  <si>
    <t>VENTE dés que possible
 Pour : 
 - Récupérer les nouveaux visuels à la cellule consomag
 - Retirer les visuels en place et les détruire
 - Mettre les nouveaux en place, coté jeu concours (voiture) visible
 Pour info 
 - Nouveaux visuels dispo à la cellule consomag</t>
  </si>
  <si>
    <t>VENTE Nettoyage des parkings du Lundi 5 septembre 2022</t>
  </si>
  <si>
    <t>VENTE Nettoyage des parkings du mercredi 14 septembre 2022</t>
  </si>
  <si>
    <t>Vente Nettoyage des parkings du Lundi 10 octobre 2022</t>
  </si>
  <si>
    <t>VENTE Nettoyage des parkings du lundi 3 octobre 2022</t>
  </si>
  <si>
    <t>VENTE Nettoyage des parkings du vendredi 23 septembre 2022</t>
  </si>
  <si>
    <t>VENTE Nettoyage des parkings du lundi 12 septembre 2022</t>
  </si>
  <si>
    <t>VENTE 8 spm (en bleu, ci-dessous) avant ce soir
 Pour : 
 - Remplacer les visuels en place par celle de la foire aux vins
 - Jeter le panneau « recrutement »
 Pour info : Panneau dispo quai n°70</t>
  </si>
  <si>
    <t>VENTE Nettoyage des parkings du mercredi 30 novembre 2022</t>
  </si>
  <si>
    <t>il nous faut un nouveau support de panneau horaires</t>
  </si>
  <si>
    <t>AT3 check list trimestrielle 2807</t>
  </si>
  <si>
    <t>AT3 check-list 2807</t>
  </si>
  <si>
    <t>AT3 check-list trimestrielle 2807</t>
  </si>
  <si>
    <t>Nettoyage complet magasin</t>
  </si>
  <si>
    <t>VENTE Illzach 2807 – Sierentz 2235, vendredi 26 août 2022 (date à respecter)
 Pour : 
 - Récupérer sur le spm de Illzach 2807, 1 station B5/B10 gauche et 4 rolls
 - Ramener ce matériel dans la V2 du spm de Sierentz 2235
 Pour info : A faire impérativement le 26/08</t>
  </si>
  <si>
    <t>VENTE lundi 28 mars 2022, à partir de 19h30 
 Pour : 
 - Démonter et conditionner sur palette la table de caisse n°1
 - Monter des axes à la place et implanter la famille Alcool
 - Implanter le bloc ou a été retiré l’alcool
 Pour info : 
 - Le matériel sera en réserve
 - Les implanteurs seront présent
 - Les plans suivront par mail</t>
  </si>
  <si>
    <t>VENTE spm e Illzach, jeudi 14 avril 2022
 Pour : 
 - Mettre panneaux sur la CF+ frais</t>
  </si>
  <si>
    <t>VENTE Surveillance des nuits du 01 au 04 août 2022. Migration STORESERVER</t>
  </si>
  <si>
    <t>VENTE à faire mercredi 16 mars à partir de 6h. Veuillez nettoyer les zones : Réserve, caisse et Vitres frais et bordures / grilles frais</t>
  </si>
  <si>
    <t>VENTE Pour : 
 - Mise en place d’axes sec dans les CF- 
 - Mettre 1 niveau d étagères 62 cm par axe (avec bande de prix)
 Pour info : 
 - Vous prenez le matériel à la cellule consomag
 - Pas de mélaminé à mettre en place
 - Pas de podiums à mettre 
 - Demander validation de l’emplacement au responsable du spm présent.
 - Vous avez reçu par mail le détail</t>
  </si>
  <si>
    <t>AT3 check list 2807</t>
  </si>
  <si>
    <t>Pompe gel hydro à l'entrée Hs, à changer</t>
  </si>
  <si>
    <t>Service Vente Divers RMR A faire lundi 20/03/2023 
 Monter 4 axes pour stockage matériel dans la V2 dans la continuité de l'existant. Matériel déjà sur place</t>
  </si>
  <si>
    <t>confirmation de la mise en place de la trame video-surveillance en salle de pause</t>
  </si>
  <si>
    <t>retour non food</t>
  </si>
  <si>
    <t>VENTE A faire le 11/10/2022. Réimplantation saisonnière.</t>
  </si>
  <si>
    <t>Mise à jour du registre de sécurité dans l’onglet 40 avec le document accessibilité. ODM fait par AT3. Travail fini</t>
  </si>
  <si>
    <t>VENTE Nettoyage patking du Mercredi 09/08/2023</t>
  </si>
  <si>
    <t>retour NF</t>
  </si>
  <si>
    <t>AT checklist tri</t>
  </si>
  <si>
    <t>Retour NF - 10 bargens mais 2 palettes sont gerbées -&gt; 8 euro palettes au sol</t>
  </si>
  <si>
    <t>Retour NF du 25/05</t>
  </si>
  <si>
    <t>VENTE entre le 09/05/2022 et le 13/05/2022
 Pour : 
 - Monter 2 axes en RT 2 pour le matériel dans la V2
 Pour info : 
 - Matériel à récupérer à la cellule à partir du 06/05
 - Le spm est informé et indiquera l’emplacement où monter les axes (de préférence près des fours)
 - Enlever le matériel de la table NF filaire
 - 2 étagères par axe de 60cm
 - Podiums à mettre en place 
 - Montants et pieds à mettre en place
 - Double entretoises à mettre en place
 - Fond gris à mettre en place
 - Mélaminé à mettre en place
 - Mettre des bandes de rives en place
 - Déposer la table NF filaire près du quai pour un retour DR 
 - Disposer le matériel sur les axes une fois montés (suivre le plano de la PJ)
 Merci d’envoyer une photo de l’intervention terminée par mail à laura.jung@lidl.fr</t>
  </si>
  <si>
    <t>AT checklist</t>
  </si>
  <si>
    <t>Porte chambre négative, sortie de son rail. Plus possibilité de l'ouvrir ou la ferme.</t>
  </si>
  <si>
    <t>RETOUR NF 11/05</t>
  </si>
  <si>
    <t>Retour NF du 14/04/2022</t>
  </si>
  <si>
    <t>Retour NF du 20/04/22</t>
  </si>
  <si>
    <t>Retour NF 2808 du 06/04/2022</t>
  </si>
  <si>
    <t>Retour NF S42</t>
  </si>
  <si>
    <t>AT3 check list trimestrielle 2808</t>
  </si>
  <si>
    <t>VENTE A faire le 13/10/2022. Réimplantation saisonnière.</t>
  </si>
  <si>
    <t>Retour NFU S40</t>
  </si>
  <si>
    <t>retour NF S39</t>
  </si>
  <si>
    <t>Retour NF</t>
  </si>
  <si>
    <t>RETOUR NF DU 02/03/22 - 3 palettes europe</t>
  </si>
  <si>
    <t>RETOUR NF PUB TV</t>
  </si>
  <si>
    <t>RETOUR NF DU 09/03/22</t>
  </si>
  <si>
    <t>Retour NF S38</t>
  </si>
  <si>
    <t>Retour NFU S36</t>
  </si>
  <si>
    <t>RETOUR NF S37</t>
  </si>
  <si>
    <t>Retour NF S35</t>
  </si>
  <si>
    <t>VENTE Divers RMR Faire retirer le bureau devant la</t>
  </si>
  <si>
    <t>Retour VAT S33</t>
  </si>
  <si>
    <t>Retour NF S33</t>
  </si>
  <si>
    <t>Retour NF S33
 annule et remplace</t>
  </si>
  <si>
    <t>Retour NF du 27/07/2022</t>
  </si>
  <si>
    <t>retour nf du 03/08/22</t>
  </si>
  <si>
    <t>retour NF S28</t>
  </si>
  <si>
    <t>RETOUR NF DU 20/07/22</t>
  </si>
  <si>
    <t>Tapis caisse 3 bloqué</t>
  </si>
  <si>
    <t>retour Nf S25</t>
  </si>
  <si>
    <t>VENTE Pour : 
 - Mettre en place les supports aimantés pour bandes de prix dans le frais 
 - Clipser les bandes de prix dessus
 - « faire » suivre (déplacer tous les prix dans le frais)
 - Décoller les bandes de prix qui se trouvent à l’extérieur en bas des meubles frais
 - Retirer si nécessaire les résidus de colles
 Pour info : 
 - Il faut couper à la bonne longueur les supports, car les t° de dégivrage et T° doivent rester visible des clients
 - Le matériel, sera mis à quai début S23</t>
  </si>
  <si>
    <t>A faire dés que possibe
 Pour : 
 -Remplacer un support mélaminé en L dans la famille papier
 -Habiller d’adhésif sonoma les 3 coffrets RIA 
 -Habiller d’1 joue frais d’adhésif
 Pou info :
 -S’assurer que le matériel soit en spm avant intervention</t>
  </si>
  <si>
    <t>Problème connexion caméra</t>
  </si>
  <si>
    <t>retour NFU</t>
  </si>
  <si>
    <t>AT tournee + verit FM</t>
  </si>
  <si>
    <t>VENTE CODE AVVP2023 à partir de 19h30
 Pour : (dans le cadre du rajout de deux vitrines VVP)
 -Implanter les vitrines VVP (ilot de 10 vitrines)
 -Mettre à jour les visuels 
 -Faire de la place
 -Implanter du sec (selon AIP)
 -Effectuer les taches demandés par l’AIP
 Pour info : 
 -Un implanteur sera présent</t>
  </si>
  <si>
    <t>Changer les électrodes du défibrillateur .ODM fait par AT3 .</t>
  </si>
  <si>
    <t>AT3 check list trimestrielle 2814</t>
  </si>
  <si>
    <t>VENTE dés que possible (un peu urgent)
 Pour : Déplacer la bâche de recrutement et la mettre sur la façade avant du spm.</t>
  </si>
  <si>
    <t>AT3 check-list 2814</t>
  </si>
  <si>
    <t>VENTE spm 2814 HEGENHEIM, avant vendredi 20 mai 2022
 Pour : 
 - Dans la CF- de la V2, mettre les axes en place comme indiqué sur le plan en PJ 
 - Mettre 1 étagère pour 2 références, 2 étagères si 3 références, etc… par axes en 60 cm
 Pour info : 
 - Il faut 18 axes en tout avec les existants
 - Mettre les axes vers le fond de la CF - 
 - Prendre tout le matériel à la cellule consomag, 
 - Pas de podiums à mettre en place 
 - Double entretoises à mettre en place
 - Le spm est informé
 - Pas de mélaminé à mettre en place
 - Mettre des bandes de rives en place</t>
  </si>
  <si>
    <t>VENTE dés que possible
 Pour : Fixer une bâche recrutement « 35h » sur la façade du spm de Hégenheim 2814
 Pour info : Vous récupérez la bâche à la cellule consomag</t>
  </si>
  <si>
    <t>VENTE Pour , avant S17 , mettre la DD de pdt côté frais.
 Pour info : Vous prenez le matériel à la cellule consomag.</t>
  </si>
  <si>
    <t>AT3 check-list trimestrielle 2814</t>
  </si>
  <si>
    <t>AT3 check list 2814</t>
  </si>
  <si>
    <t>VENTE A faire le 28/09/2022. Réimplantation saisonnière.</t>
  </si>
  <si>
    <t>VENTE AVVP implantation 3 personnes
 3 personnes de 19H30 à 23h30</t>
  </si>
  <si>
    <t>VENTE AVVP mercredi 22 février 2023, à partir de 19h30
 Pour : 
 -Mise à jour plano VVP (suite à rajout ou retrait VVP)
 -Panneaux et visuels à mettre à jour
 -Divers selon demande de l’implanteur
 Pour info : 
 -1 implanteur sera présent</t>
  </si>
  <si>
    <t>venir installer bac surge</t>
  </si>
  <si>
    <t>AT3 check- list 2814</t>
  </si>
  <si>
    <t>VENTE , dès que possible
 Pour : 
 - Retirer le lettrage « Lait » en place
 - Mettre à la place le lettrage lait à la bonne taille
 - Prévoir de peindre en blanc, car le lettrage est livré en gris
 - Prévoir retouche peinture mur gris
 Pour info : Livraison lettrage prévu cette semaine</t>
  </si>
  <si>
    <t>Retour Non Food Piano</t>
  </si>
  <si>
    <t>Vigile du 22/02/23 à 19h30 jusqu'au 23/02/23 à 06h00</t>
  </si>
  <si>
    <t>Besoin urgent d'un dépannage
 porte issue de secours face à la ligne de caisses
 la clef tourne dans le vide, ce qui fait qu'en cas d'ouverture de porte on ne peut pas désactiver l'alarme.</t>
  </si>
  <si>
    <t>VENTE Pour : 
 -Sur la CF de quai actuellement FL, retirer les adhésifs vert FL sur la porte et le panneau vert FL à l’intérieur
 -Mettre à la place des adhésifs bleu Frais et un grand panneau bleu Frais
 Pour info : 
 -Vous récupérez le grand panneau verticale bleu frais et les adhésifs à la cellule consomag
 -Axima interviendra avant le 1er décembre.
 -L’op consiste à modifier les adhésifs car cette même CF passa de FL à Frais
 Cdlt</t>
  </si>
  <si>
    <t>VENTE Divers RMR, 2 personnes, à partir de 07h30, mercredi 7 juin 2023
 Pour : 
 -Montage de 4 axes boissons dans le sas
 -Passer l’alcool en caisse n°7 (avec montage axe et retrait table de caisses)
 -Rallonger FL de 1 axe
 -Implantation des familles (déplacé, …)
 Pour info : 
 -Mehmet B., sera présent pour les explications et début des travaux</t>
  </si>
  <si>
    <t>Mise à jour du registre de sécurité dans l’onglet 40 avec le document accessibilité.ODM fait par AT3 . Travail fini.</t>
  </si>
  <si>
    <t>VENTE URGENT A faire mardi 29 novembre 2022. Récupérer 2 bacs 210 - MIAMI. Les déposer en réserve.</t>
  </si>
  <si>
    <t>arrivant pas a faire de demande avec les nouveau mobi 
 le bac surg numero 1004474226 qui vient d'etre changer le vendredi 12/08 ne fonctionne pas 
 urgent</t>
  </si>
  <si>
    <t>ECLAIRAGE NE FONCTIONNE PLUS MERCI DE FAIRE UNE INTERVENTION</t>
  </si>
  <si>
    <t>ECLAIRAGE NE FONCTIONNE PLUS</t>
  </si>
  <si>
    <t>LUMIERE INTERIEUR DU BAC SURGELE FAIBLE</t>
  </si>
  <si>
    <t>Eclairage defectueux</t>
  </si>
  <si>
    <t>Sonne et temperature baisse</t>
  </si>
  <si>
    <t>bac qui sonne -15C</t>
  </si>
  <si>
    <t>fait un bruit "bizzare" et temp a -10</t>
  </si>
  <si>
    <t>le noeon du bac surg glace est cassé</t>
  </si>
  <si>
    <t>Vitre bac surgelé sans joint, la vitre ce souleve.
 Bac de TG avant 
 URGENT ! plus d'étanchéité</t>
  </si>
  <si>
    <t>Joint à remplacer</t>
  </si>
  <si>
    <t>Joint HS</t>
  </si>
  <si>
    <t>Le bac surg que nous avons que nous avons recu semaine derniere qui est en reserve ne descend pas en dessous de -16.5 degrés
 Il est actuellement vide.</t>
  </si>
  <si>
    <t>Il manque un cache pour les cables électrique de l'ilot surg</t>
  </si>
  <si>
    <t>meubledecaler</t>
  </si>
  <si>
    <t>Il faudrait nous changer le meuble surgelé pour les patisseries. que nous avons en reserve. 
 Il nous en faudrait un plus grand.</t>
  </si>
  <si>
    <t>support affichage deboiter</t>
  </si>
  <si>
    <t>reste toujours sur -15</t>
  </si>
  <si>
    <t>condensation sur le dessus du bac</t>
  </si>
  <si>
    <t>Suite à un choc, le bac surgelé est décalé, tordu</t>
  </si>
  <si>
    <t>Tout le meuble surg detravers</t>
  </si>
  <si>
    <t>eclairage hs 
 support de prix a redresser</t>
  </si>
  <si>
    <t>Récupérer en DR un bac MIAMI 210 -, le remplacer en magasin. Ramener le bac HS en DR avec mention "Bac HS"</t>
  </si>
  <si>
    <t>Demande pour déplacer le bac surg "patisserie" dans la boulangerie à la place des 2 axes ou nous avons le matériel.
 L'idée est d'avoir le bac posé au sol + 2 RT sur 3/4 axes au dessus du bac pour le matériel "boulangerie"</t>
  </si>
  <si>
    <t>Samedi, le bac a sonné, température de 15 degrés
 on l'a vidé, la température n'est pas remontée.
 Je l'ai éteint, il est degivré. remise en route ce matin, il ne descend pas en température et reste a 0.5 degré</t>
  </si>
  <si>
    <t>Neon HS tg bac surg</t>
  </si>
  <si>
    <t>Néon HS sur la TG bac surgelé</t>
  </si>
  <si>
    <t>eclairage ne fonctionne pas</t>
  </si>
  <si>
    <t>A la demande du CM: retirer la glace sur l’entrée de la CFN.ODM fait par AT3 . Travail fini</t>
  </si>
  <si>
    <t>pas d eclairage + probleme sur l indicateur de temperature il signale eal</t>
  </si>
  <si>
    <t>prise en glace cote moteur</t>
  </si>
  <si>
    <t>urgent porte deboité</t>
  </si>
  <si>
    <t>porte bloquée en position ouverte de 50cm 
 déjà contacter la société, ils previennent les bureaux qui ouvrent à 8h</t>
  </si>
  <si>
    <t>Pose de l’affichage sous le report lumineux de la CFN .ODM fait par AT3 . Travail fini.</t>
  </si>
  <si>
    <t>la porte ne s'ouvre plus 
 URGENT</t>
  </si>
  <si>
    <t>chambre prise en glace et porte battante qui ferme mal et manque cycle de degivrage</t>
  </si>
  <si>
    <t>poignee cassee</t>
  </si>
  <si>
    <t>Porte ne se ferme pas entierement, temperature qui baisse.
 Urgent</t>
  </si>
  <si>
    <t>prise en glace plus poignet de porte casser</t>
  </si>
  <si>
    <t>URGENT : Grosse prise en glace chambre négative</t>
  </si>
  <si>
    <t>Le levier de la porte CFN est HS.voir RPS de AXIMA qui serait intervenu vu dans BO mais porte non réparé .la porte est dur à ouvrir sans la poignée qui n’est plus fonctionnelle .urgent.</t>
  </si>
  <si>
    <t>poignet hs nous devont pousser la porte pour l ouvrir</t>
  </si>
  <si>
    <t>poingnee casser</t>
  </si>
  <si>
    <t>poignee de porte de la chambre hs</t>
  </si>
  <si>
    <t>TROU DANS SOL ET PORTE PLASTIQUE CASSER</t>
  </si>
  <si>
    <t>Pose de l’affichage présence du report lumineux sur la CFN.ODM fait par AT3 . Travail fini.</t>
  </si>
  <si>
    <t>sol de la chambre casser</t>
  </si>
  <si>
    <t>porte intermediaire est casser</t>
  </si>
  <si>
    <t>porte qui est sportie des gong et il y a un ecart ,plus etanche</t>
  </si>
  <si>
    <t>la porte ne se ferme pas..axima deja contacter</t>
  </si>
  <si>
    <t>barre noire de la porte cassee</t>
  </si>
  <si>
    <t>givre cause porte intermediaire est casser</t>
  </si>
  <si>
    <t>* Replacement des portes battantes</t>
  </si>
  <si>
    <t>Poignée porte chambre froide négative défectueuse</t>
  </si>
  <si>
    <t>URGENT : Température chambre froide négative très haute</t>
  </si>
  <si>
    <t>Deplacement du bac surg 1mètre vers la gauche pour mise en place de 3 axes / RT 2 au dessus du Bac surg en reserve</t>
  </si>
  <si>
    <t>Decaler podium a gauche afin de mettre des europes en plus niveau PQ/essuie tout.</t>
  </si>
  <si>
    <t>bonjour pourriez vous demander a de pinho de venir m enlever un podium car il a ete viser je n y arrive pas merci</t>
  </si>
  <si>
    <t>clef du counter cash cassé</t>
  </si>
  <si>
    <t>URGENT : Tapis de caisse ne fonctionne plus !</t>
  </si>
  <si>
    <t>Balance + scanner de la caisse 3 HS.</t>
  </si>
  <si>
    <t>Caisse numéro 5 HS.</t>
  </si>
  <si>
    <t>anti vol en caisse qui ne fonctionne plus</t>
  </si>
  <si>
    <t>Système KLS fonctionne mal
 caisse 3 bloquée sur "appeler un responsable"
 caisse 2 bloquée "ouverte"</t>
  </si>
  <si>
    <t>Le tapis de caisse n'avance plus (meme après plusieurs essaie "On/Off)"</t>
  </si>
  <si>
    <t>rajouter prise electrique en reserve pour mobi qui arrive jeudi 11 aout 
 tres urgent</t>
  </si>
  <si>
    <t>Remplacement des tubes néon ,starters,plaques de glu sur les destructeurs d’insectes dans le labo pain.ODM fait par AT3 . Travail fini.</t>
  </si>
  <si>
    <t>Changement des tubes néon ,starters,plaques de glu sur les destructeurs d’insectes du labo pain.ODM fait par AT3 . Travail fini.</t>
  </si>
  <si>
    <t>Deux colonnes pain n'ont plus de lmumiere.</t>
  </si>
  <si>
    <t>eclairage led fl ne fonctionne pas du cote legumes</t>
  </si>
  <si>
    <t>Plusieurs néons FL hs</t>
  </si>
  <si>
    <t>Besoin de déplacer un spot au dessus de l'enseigne BIO</t>
  </si>
  <si>
    <t>1 : Plusieurs spots sont HS dans le magasin.
 2 : Besoin de deux nouveaux spots au dessus de la zone fleurs.</t>
  </si>
  <si>
    <t>AT lum hs caisse + sv</t>
  </si>
  <si>
    <t>AT Plusieurs Lum hs en sv</t>
  </si>
  <si>
    <t>AT. 2 spot ballast hs. Fleur+ pain</t>
  </si>
  <si>
    <t>nettoyage magasin
 sous les completes, surface de vente coins, entrée et sortie</t>
  </si>
  <si>
    <t>Remplacer les plaques de glu,les starters,les tubes sur les destructeurs d’insectes .ODM fait par AT3 .</t>
  </si>
  <si>
    <t>nettoyge vitres magasin</t>
  </si>
  <si>
    <t>Nettoyage complet des vitres magasin 
 Sas entrée sortie 
 Vitre arrière caisse 
 très urgent</t>
  </si>
  <si>
    <t>* Fientes oiseaux sur le rack à caddies / AE devis demandé</t>
  </si>
  <si>
    <t>photo demander dans la communiczgio</t>
  </si>
  <si>
    <t>Bonjour
 Pour un nettoyage magasin s'il vous plaît, magasin très sale et en manque de personnel</t>
  </si>
  <si>
    <t>Présence de toiles d’araignées au-dessus du parc. Caddie. ODM fait par AT3 . Travail fini.</t>
  </si>
  <si>
    <t>* Carrelages sur les murs qui ce détache dans le wc client( sur les 2 pans de murs placoplatre).déjà signalé sur les anciennes check list trimestrielle.danger pour les clients. / 15/12 KN : Att retour Benj pour infos presta</t>
  </si>
  <si>
    <t>Pose de l’explication tablette Léon .ODM fait par AT3 . Travail fini.</t>
  </si>
  <si>
    <t>la personne ne peut pas poursuivre son cours,la session rame et ce met sur une page blanche.</t>
  </si>
  <si>
    <t>reste bloquer</t>
  </si>
  <si>
    <t>personne pas enregistre</t>
  </si>
  <si>
    <t>Pose de l’explication de la tablette Léon.ODM fait par AT3 . Travail fini par.</t>
  </si>
  <si>
    <t>Installation nouvelle tablette léon - miv</t>
  </si>
  <si>
    <t>Lors du rallumage, la tablete demande d'ouvrir une session sur intranet-fr.lidl.net
 Je ne connais pas de nom d'utilisateur, ni de mot de passe.
 Si je passe cette étape. je n'ai pas de connexion internet</t>
  </si>
  <si>
    <t>INSTALLATION DU BRAS TABLETTE LEON (DEJA RECU EN MAGASIN), VU AVEC EMILIEN</t>
  </si>
  <si>
    <t>Remplacement du défibrillateur HS dans la SV.ODM fait par AT3 .</t>
  </si>
  <si>
    <t>Nous avons fait une demande sur BO pour reparer notre MDE ( boutons scann qui ne marche plus et bouton rouge)
 Le technicien est venu avec un autre MDE qui ne fonctionnait pas. Il ma demandé de faire une demande ici pour en commander un.
 Il nous faudrait également des batterie pour les deux MDE car celles que nous avons ne tiennent pas plus de 15 minutes de charge.</t>
  </si>
  <si>
    <t>Mise en place de l’explication de la tablette Léon.ODM fait par AT3 . Travail fini.</t>
  </si>
  <si>
    <t>Roue cassée sous un rolls</t>
  </si>
  <si>
    <t>Reglages ROLLS/FOUR</t>
  </si>
  <si>
    <t>Pour test: pose d’une résine sur l’entrée de la CFN .essaie non concluant .ODM fait par AT3 . Travail non fini.</t>
  </si>
  <si>
    <t>Pose de la résine dans l’entrée de la CFN .ODM fait par AT3 . Travail fini.</t>
  </si>
  <si>
    <t>portes montees a l envers</t>
  </si>
  <si>
    <t>A la demande du FM: contrôle des vitres (HS ou pas) restants à changées et références MF: ODM fait par AT3 .</t>
  </si>
  <si>
    <t>VENTE Surveillance des nettoyages jay cool du 19 avril au 29 avril 2022</t>
  </si>
  <si>
    <t>VENTE Surveillance de la nuit du 21 juillet. Remplacement arche pain</t>
  </si>
  <si>
    <t>VENTE Surveillance des nuits du 13 au 15 juin 2022. Migration STORESERVER</t>
  </si>
  <si>
    <t>VENTE Surveillance de la nuit du 27 juin. Réparation de l'arche pain</t>
  </si>
  <si>
    <t>VENTE CODE RMRDIVERS Surveillance de la nuit du 28 mars 2022. Travaux d'implantation</t>
  </si>
  <si>
    <t>VENTE Surveillance des nuits du 21 mars au 24 mars. Travaux STORE 4.0</t>
  </si>
  <si>
    <t>VENTE Surveillance des nuits du 29 août au 1er septembre 2022. Migration STORESERVER</t>
  </si>
  <si>
    <t>VENTE Surveillance des nuits du 7 au 10 février 2022. Travaux STORE 4.0</t>
  </si>
  <si>
    <t>VENTE Surveillance des nuits du 4 au 7 avril. Migration STORESERVER</t>
  </si>
  <si>
    <t>VENTE Surveillance de la nuit du 4 mai 2022. Opération pépinière - Gardiennage extérieur</t>
  </si>
  <si>
    <t>VENTE Surveillance des nuits du 16 mai au 19 mai 2022. Migration STORESERVER</t>
  </si>
  <si>
    <t>VENTE Surveillance des nuits du 23 mai au 24 mai 2022. Migration STORESERVER</t>
  </si>
  <si>
    <t>Tubes néon hs dans le bureau et salle des coffres.ODM fait par AT3 . Travail fini.</t>
  </si>
  <si>
    <t>Remplacement de 14 tubes néons par des tubes leds dans les sociaux .ODM fait par AT3 . Travail fini.</t>
  </si>
  <si>
    <t>Éclairage HS dans les sociaux bureau et couloir.ODM fait par AT3 . Travail fini.</t>
  </si>
  <si>
    <t>eclairage defectueux sas sociaux devant wc clients</t>
  </si>
  <si>
    <t>AT modif pour equipement lum led dans les sociaux</t>
  </si>
  <si>
    <t>La lumiere dans le SAS entre la zone client et les locaux sociaux ne fonctionne plus. Le neon a été changé il y a quelque jours mais il a tenu que 3 jours. Le probleme vient peut etre d'autre chose que le neon en lui meme.</t>
  </si>
  <si>
    <t>Le neon au niveau du SAS des wc clients est HS.</t>
  </si>
  <si>
    <t>Tube néon hs dans la salle de pause.ODM fait par AT3 . Travail fini.</t>
  </si>
  <si>
    <t>tapis de caisse qui ne fonctionne pas par moment</t>
  </si>
  <si>
    <t>le scannage ne fonction pas et la balance fonctionne 1 foiq sur 2</t>
  </si>
  <si>
    <t>portes western abimes</t>
  </si>
  <si>
    <t>merci de nous changer l arche pain le materiel est sur place</t>
  </si>
  <si>
    <t>Test de la nouvelle résine sur le sol de l’entrée de la CFN nok.</t>
  </si>
  <si>
    <t>CARRELAGE CASSE + PROTECTION ALU.</t>
  </si>
  <si>
    <t>fiente d'oiseau au niveau du rac a caddie</t>
  </si>
  <si>
    <t>caddie bloques au niveau des roues de securite</t>
  </si>
  <si>
    <t>* Fiantes oiseaux</t>
  </si>
  <si>
    <t>caddies bloquer ,impossible de les deploguer</t>
  </si>
  <si>
    <t>A la demande du FM: contrôle des roues de caddies et la télécommande .ODM fait par AT3 . Travail fini.</t>
  </si>
  <si>
    <t>tapis qui ne fonctionne pas</t>
  </si>
  <si>
    <t>impossible de mettre le magasin sous alarme.</t>
  </si>
  <si>
    <t>alarme froid deux frigo vvp temperature-1,7</t>
  </si>
  <si>
    <t>vitrine vvp sortie du rail du coup la porte ne se ferme plus correctement reste entre ouverte</t>
  </si>
  <si>
    <t>Vitrine hors axe</t>
  </si>
  <si>
    <t>Problème de fuite, eau au sol.</t>
  </si>
  <si>
    <t>vitrine se ferme pas</t>
  </si>
  <si>
    <t>Le meuble VVP montent souvent en température (entre 3 et 5°C), puis redescend. Pas de soucis majeur mais controle a effectuer merci</t>
  </si>
  <si>
    <t>Joint vitrine VVP à changer - problème de condensation /buée</t>
  </si>
  <si>
    <t>Lumère HS</t>
  </si>
  <si>
    <t>VVP plan de dégivrage non mis en place sur une vitrine.</t>
  </si>
  <si>
    <t>Ce meuble VVP sonne régulièrement, avec des température qui monte au dessus de 4°C
 Le meuble en TG avant sonne également régulièrement pour des température allant dans le négatif (entre 0°C et -1.5°C)</t>
  </si>
  <si>
    <t>Vitrine enlevé par un client.</t>
  </si>
  <si>
    <t>frigofuit</t>
  </si>
  <si>
    <t>Nous avons la derniere porte VVP (au niveau du bac à rabais) qui s'ouvre dans le mauvais sens.
 Nous avons une autre porte qui a toujours de la buée. (Porte au niveau des merguez)</t>
  </si>
  <si>
    <t>alarme froid avec appel de la telesurveillance mais meuble affichant temperature à -1.6°C 
 prise de temeperature a coeur +6°C comme indiquer par alarme froid. 
 meubles vidés</t>
  </si>
  <si>
    <t>Nous avons la vitrine VVP ADR 48 qui est en defaut froid.</t>
  </si>
  <si>
    <t>Meuble VVP a coter de la TG arrières, fuite d'eau importante</t>
  </si>
  <si>
    <t>poignée de porte à remplacer</t>
  </si>
  <si>
    <t>Plusieurs joints de portes au niveau des vitrines VV qui sont en mauvais état.</t>
  </si>
  <si>
    <t>Nous avons un meuble VVP qui fuit.</t>
  </si>
  <si>
    <t>Un des meubles VV du magasin fuit</t>
  </si>
  <si>
    <t>frigo qui sonne</t>
  </si>
  <si>
    <t>une poignee de porte de la vv est decolee</t>
  </si>
  <si>
    <t>probleme temperature sur les memes meubles que l'intervention de mardi. Meuble 46/47/48</t>
  </si>
  <si>
    <t>pouvez vousn nous envoyé la PLV orange a mettre au dessus de la vitrine VV one shot</t>
  </si>
  <si>
    <t>temperature à -2 degres</t>
  </si>
  <si>
    <t>alarme declenchee ecran moins2</t>
  </si>
  <si>
    <t>eclairage et joint porte hs</t>
  </si>
  <si>
    <t>vitrine fuit de l eau par terre merci d intervenir rapidement</t>
  </si>
  <si>
    <t>Fuite meuble VVP</t>
  </si>
  <si>
    <t>Nous avons eu plusieurs alarmes (courte durée) sur des meubles VVP (47/48)
 Cf: Photos</t>
  </si>
  <si>
    <t>porte ne se ferme pas entierement</t>
  </si>
  <si>
    <t>Alarme froid sur le meuble problème sonde. Le meuble est à bonne température après test.</t>
  </si>
  <si>
    <t>URGENT PRESSE HS !</t>
  </si>
  <si>
    <t>PERTES D HUILE PRESSE HS URGENT MERCI</t>
  </si>
  <si>
    <t>meuble fui</t>
  </si>
  <si>
    <t>societe de netroyage passer ce jour impossible de nettoyer la pompe ils arrivent pas a l enlever</t>
  </si>
  <si>
    <t>la joue a ete abimé</t>
  </si>
  <si>
    <t>1540 pour la vitre gauchz</t>
  </si>
  <si>
    <t>vitre porte casse</t>
  </si>
  <si>
    <t>manque 2 autocollants a 2 caisse</t>
  </si>
  <si>
    <t>Clima en défaut en sv. Redémarrage du sytème .ODM fait par AT3 . Travail fini.</t>
  </si>
  <si>
    <t>14.9° dans le magasin, 14.3° au niveau des caisses !!</t>
  </si>
  <si>
    <t>temperature trop haute</t>
  </si>
  <si>
    <t>Éclairage nok sur FL.fil sectionné .ODM fait par AT3</t>
  </si>
  <si>
    <t>Eclairage qhS sur une partie du FL à cause de fil sectionnés.ODM fait par AT3 . Travail fini.</t>
  </si>
  <si>
    <t>neons casser</t>
  </si>
  <si>
    <t>Éclairage led sur FL HS.ODM fait par AT3 . Travail fini</t>
  </si>
  <si>
    <t>LED HS sur plusieurs mobilier FL</t>
  </si>
  <si>
    <t>AT Plusieurs lum hs sur fl</t>
  </si>
  <si>
    <t>AT Lum hs au FL.</t>
  </si>
  <si>
    <t>Éclairage leds HS sur structure FL.ODM fait par AT3 . Travail fini</t>
  </si>
  <si>
    <t>AT Lum hs au fl</t>
  </si>
  <si>
    <t>Eclairage LED Cosmétique HS</t>
  </si>
  <si>
    <t>Éclairage HS sur une moitié du FL.fils sectionnés .ODM fait par AT3 . Travail fini</t>
  </si>
  <si>
    <t>clim qui fuit dans la reserve urgent</t>
  </si>
  <si>
    <t>la porte ne se ferme plus reste ouvert en permanance</t>
  </si>
  <si>
    <t>cle cassee</t>
  </si>
  <si>
    <t>FUITES AU NIVEAU DU SNACKING</t>
  </si>
  <si>
    <t>Tube de led deboîté, impossible de le remettre en place</t>
  </si>
  <si>
    <t>fuite d'eau au niveau du meuble frais snaking</t>
  </si>
  <si>
    <t>Porte fissuree, coin cassee, plus de poignet</t>
  </si>
  <si>
    <t>Le meuble frais a une fuite, de l'eau coule sur le sol dans l'allée client (risque de glissade)</t>
  </si>
  <si>
    <t>manque clef pour pouvoir mettre corectement l'essuis tous pour le gel hydroalcolique</t>
  </si>
  <si>
    <t>Merci de prévoir un débouchage au niveau de la zone autolaveuse 
 Bouché depuis l’intervention de jaycool (sachant que la réserve avait été nettoyée par msk avant)
 Cf photo</t>
  </si>
  <si>
    <t>distributeur gel ne fonctionne pas correctement</t>
  </si>
  <si>
    <t>Gel ne coule plus, distributeur cassé/bouché</t>
  </si>
  <si>
    <t>Distributeur de gel hydroalcoolique ne coule plus.pompe bouchée par du gel hydroalcoolique visqueux et quand il sèche il obstrue la pompe .ODM fait par AT3 . Travail fini.</t>
  </si>
  <si>
    <t>pourriez vous nous couper le chauffage svp</t>
  </si>
  <si>
    <t>ne fonctiinne pas</t>
  </si>
  <si>
    <t>la clim dans la salle de pause coule fuite d'eau</t>
  </si>
  <si>
    <t>la clim ne fonctionne pas dans le bureau ni locaux sociaux</t>
  </si>
  <si>
    <t>recu clim , en attente d installation</t>
  </si>
  <si>
    <t>AT fuite eau écoulement salle de pause</t>
  </si>
  <si>
    <t>La clim du bureau fuit</t>
  </si>
  <si>
    <t>bonjour caisson casser alarme ne s active plus quand les voleurs sort par l entree merci de lancer une intervention rapide</t>
  </si>
  <si>
    <t>Le système anti-retour à l'entrée du magasin sonne de manière aléatoire sans raisons.</t>
  </si>
  <si>
    <t>verrin hayon sur le quai de chargement/déchargement cassé</t>
  </si>
  <si>
    <t>Néon HS (Pb de branchement? Faux contact?)</t>
  </si>
  <si>
    <t>Spot HS</t>
  </si>
  <si>
    <t>Eclairage LED rayon FL HS.</t>
  </si>
  <si>
    <t>Bonjour, nous vous informons que la borne de recharge SCHNEIDER LFR2807EVCP01 (n° série 3N22508011B55) est en défaut.
 Merci d'intervenir pour la réparation et de programmer un reboot journalier si ce n'est pas déjà fait.</t>
  </si>
  <si>
    <t>Bonjour, nous vous informons que la borne de recharge SCHNEIDER LFR2814EVCP01 (n° série 3N22508111B55) est en défaut.
 Merci d'intervenir pour la réparation et de programmer un reboot journalier si ce n'est pas déjà fait.</t>
  </si>
  <si>
    <t>bonjour
 prevoir svp changement de tapis ou gros nettoyage car chewingum</t>
  </si>
  <si>
    <t>le tapis ne caisse ne roule pas . il ne fonctionne plus du tout</t>
  </si>
  <si>
    <t>il manque une partie de la caisse n°4 sur l'angle</t>
  </si>
  <si>
    <t>systeme antivol ne fonctionne pluw cable casser</t>
  </si>
  <si>
    <t>Le tapis de la caisse 3 ne fonctionne plus, le bouton marche / arrêt est endommager et fais un tour complet donc impossible de faire avancer le tapis.</t>
  </si>
  <si>
    <t>Serait-il possible d'enlever le CB uniquement qur cette caisse car utilisee tous les jours par la cca</t>
  </si>
  <si>
    <t>Le tapis de caisse ne fonctionne plus, nous avons essayer de l'eteindre et allumer, de nettoyer en dessous du tapis mais ca ne fonctionne pas. Le tapis fonctionnait très bien dans la matinée.</t>
  </si>
  <si>
    <t>tapis de la caisse 4 ne fonctionne plus du tout 
 ce qui nous fait deux caisses en moins car le tapis de la caisse 3 ne fonctionne pas non plus (demande faite ce matin).</t>
  </si>
  <si>
    <t>counter cash bloque en caisse n3</t>
  </si>
  <si>
    <t>La balance de la caisse n°5 ne fonctionne pas, elle s'allume mais ne pèse pas les articles, nous l'avons redémarré plusieurs fois mais ca ne fonctionne toujours pas.</t>
  </si>
  <si>
    <t>le desactivateur des antis vole sur la caisse 5 n'est pas fonctionnel</t>
  </si>
  <si>
    <t>un counter cash est bloqué en caisse 5 sans clé</t>
  </si>
  <si>
    <t>le sacannage de la carte lidl plus ne fonctionne pas</t>
  </si>
  <si>
    <t>four qui dijoncte a chaque lavage</t>
  </si>
  <si>
    <t>les fours n'arretent pas de disjoncter, il y a que les deux fours qui marchent. le disjoncteur ne semble pas assez puissant</t>
  </si>
  <si>
    <t>la molette tourne dans le vide</t>
  </si>
  <si>
    <t>porte bloquee</t>
  </si>
  <si>
    <t>Le programme baguette en prechauffage ne se lance pas et commence a faire buguer les autres programmes.</t>
  </si>
  <si>
    <t>ils ont lavés hier du c toutes les fours ont sautés ce matin et impossible à alllumer</t>
  </si>
  <si>
    <t>bonjour
 urgent 2 four h.s les plomds sautent à chaque fois</t>
  </si>
  <si>
    <t>fais sauter les plombs</t>
  </si>
  <si>
    <t>le four ne se lance pas en prechauffage pour le programme baguette et commence a buguer sur les autres programmes</t>
  </si>
  <si>
    <t>les plombs ont sauter enclenchement impossible 
 URGENT</t>
  </si>
  <si>
    <t>les plombs ont sauter enclanchement impossible
 uragents</t>
  </si>
  <si>
    <t>les four fuits au nettoyage</t>
  </si>
  <si>
    <t>le four s'est etaint seul impossible de le redemarrer</t>
  </si>
  <si>
    <t>URGENT. Four verouillé, impossible de l'ouvrir.
 Plus que 3 fours à disposition.. intervention urgente</t>
  </si>
  <si>
    <t>Fuite d'eau + sonnerie HS</t>
  </si>
  <si>
    <t>Lors de le cuisson, le four était plein de fumée blanche. Nous arretons de l'utiliser. Merci de prévoir un controle rapidement</t>
  </si>
  <si>
    <t>bruit plus tremblement anormal tout les 30 secondes</t>
  </si>
  <si>
    <t>message d erreur pour la fermeture du four</t>
  </si>
  <si>
    <t>Nous avons fait une demande le 25.04 pour une poignet qi ne marche pas.
 Le 26 la société a appelé le magasin et a ce moment la la poignet remarchait.
 Depuis ce matin elle ne remarche plus.
 C'est le four du haut en coté magasin.</t>
  </si>
  <si>
    <t>Le four que nous avons en reserve fuit quand nous lançons le programme de nettoyage.</t>
  </si>
  <si>
    <t>Depuis la revision debut de semaine nous avons des problemes avec les portes des fours. Depuis aujourd'hui le four du bas de la reserve ne se ferme plus du tout.</t>
  </si>
  <si>
    <t>le four semble abime. voir photo + message qui nous dit fermer la porte alors que celle ci est bien fermėe.</t>
  </si>
  <si>
    <t>la led de l alarme reste tjrs verte. pas dalarme sur cstte porte</t>
  </si>
  <si>
    <t>Faisant suite à ma demande de badge pour pouvoir enlever l'alarme du quai 
 Tatjana m'a demander de vous envoyer le nom et prenom de tous les encadrants 
 Drabczynski Severine 
 Fracasetti Lauredana 
 Pautas Corinne 
 Danancier Claire 
 Gendrey Ninice 
 Vizitiu Roxana</t>
  </si>
  <si>
    <t>BESOIN DE REALISATION BADGE ALARME MAGASIN : 
 SERTIN SIMON (RM) MATRICULE : 681946
 MUNIER MIKE (CCA) MATRICULE : 706319
 ARNOLD STEPHANIE (FFCCA) MATRICULE : 748401</t>
  </si>
  <si>
    <t>FM : Nettoyage caisses - Module 6 - S29. Joindre impérativement les checklistes.</t>
  </si>
  <si>
    <t>FM : Intervenir pour des problèmes de fours non connectés. Le tech doit contacter le 03 75 08 95 25 une fois sur place pour apporter les corrections nécessaires et s’assurer que les connexions sont OK au départ du tech. Taillecourt : S’il y a vraiment 6 IP à pinger, alors seuls 4 équipements sont connectés au switch. // Ingwiller : S’il y a vraiment 3 IP à pinger, alors seuls 1 équipements sont connectés au switch. // Bourtzwiller : S’il y a vraiment 3 IP à pinger, alors seuls 1 équipements sont connectés au switch.</t>
  </si>
  <si>
    <t>FM : Nettoyage boulangerie - Module 5 - S31. Joindre impérativement les checklistes.</t>
  </si>
  <si>
    <t>FM : Nettoyage vitres basses - Module 7 - S29. Joindre impérativement les checklistes.</t>
  </si>
  <si>
    <t>FM : Nettoyage parc à chariots - Module 12 - S29. Joindre impérativement les checklistes. BOURTZWILLER : Nettoyer les pares-soleil en même temps.</t>
  </si>
  <si>
    <t>FM : merci d'intervenir pour le remplacement du détecteur de fumée de la réserve.</t>
  </si>
  <si>
    <t>FM : Remplacement pièce arrosage centrale positive</t>
  </si>
  <si>
    <t>VENTE Divers RMR Pour l'intégralité des SPM de la DR02 A faire avant la fin S31voir devis
 Installer les visuels de la campagne agressivité prix. Le détail est dans le PDF joint</t>
  </si>
  <si>
    <t>FM : Demande suite à validation devis n°GF14-23-08-391045-A. Rpct électrovanne d'eau arrosage CF-</t>
  </si>
  <si>
    <t>FM : Intervenir pour réparation de la fuite sur conduite PER concernant l'arrosage auto centrale meuble frais.</t>
  </si>
  <si>
    <t>FM : Bonjour, Veuillez trouver ci-joint la feuille de synthèse des observations suite au passage du bureau Véritas pour l’année 2023. Nous vous demandons de bien vouloir lever les observations dans les meilleurs délais et de nous retourner dès l’intervention terminée le(s) document(s) complété(s), signé(s) et cacheté(s) par vos soins. Cordialement. ELEC</t>
  </si>
  <si>
    <t>VENTE Nettoyage des parkings du Lundi 11 avril 2022</t>
  </si>
  <si>
    <t>FM : merci d'intervenir suite à la validation du devis n°FQ2211230221. Rpct du radar.</t>
  </si>
  <si>
    <t>VENTE - Nettoyage des parkings du vendredi 18 novembre 2022</t>
  </si>
  <si>
    <t>FM : Marche forcée enseigne et parking HS.</t>
  </si>
  <si>
    <t>VENTE - Nettoyage des parkings du vendredi 28 avril 2023</t>
  </si>
  <si>
    <t>FM : suite audit, température trop élevée dans le laboratoire pain, 28,4 °.</t>
  </si>
  <si>
    <t>FM : Merci de remettre les temporisations éclairage extérieur et enseigne à jour suivant MOP</t>
  </si>
  <si>
    <t>FM : Gardiennage de nuit lundi 12 septembre pour travaux e-gate.</t>
  </si>
  <si>
    <t>VENTE - Nettoyage des parkings du mercredi 23 novembre 2022</t>
  </si>
  <si>
    <t>VENTE - Nettoyage des parkings du vendredi 21 octobre 2022</t>
  </si>
  <si>
    <t>VENTE - Nettoyage des parkings du vendredi 14 octobre 2022</t>
  </si>
  <si>
    <t>FM : merci d'intervenir suite à la validation du devis n° DEV005834. Réparation du ralentisseur.</t>
  </si>
  <si>
    <t>FM : Demande suivant devis n°P222569 Dplct antenne EAS</t>
  </si>
  <si>
    <t>FM : Suite rapport de la télésurveillance, il y aurait eu un défaut du 20/02 au 23/02. Merci de vérifier l'ensemble des équipements froid.</t>
  </si>
  <si>
    <t>FM : Suite rapport télésurveillance, il y a eu des défauts cette nuit. Merci de vérifier l'ensemble des équipements froid.</t>
  </si>
  <si>
    <t>FM : merci d'intervenir pour le remplacement de luminaires défectueux. 1 spot hs au-dessus des Imbattables et plusieurs tubes au-dessus des caisses.</t>
  </si>
  <si>
    <t>VENTE - Nettoyage des parkings du mercredi 12 octobre 2022</t>
  </si>
  <si>
    <t>VENTE - Nettoyage des parkings du lundi 17 avril 2023</t>
  </si>
  <si>
    <t>VENTE - Nettoyage des parkings du mercredi 19/04/2023</t>
  </si>
  <si>
    <t>FM : Nettoyage caisses - Module 2 - S16. Joindre impérativement les checklistes.</t>
  </si>
  <si>
    <t>FM : Remontée zone de quai suivant Tableau joint</t>
  </si>
  <si>
    <t>FM : Nettoyage vitres basses - Module 7 - S16. Joindre impérativement les checklistes.</t>
  </si>
  <si>
    <t>FM : Merci de poser une alimentation dans le faux-plafond pour un e-gates</t>
  </si>
  <si>
    <t>FM : merci d'intervenir pour remplacer 5 tubes leds HS. 4 en caisses et 1 en allée 01.</t>
  </si>
  <si>
    <t>FM : Néon HS au dessus des caisses + spot au dessus du rayon pain.</t>
  </si>
  <si>
    <t>FM : Nettoyage selon module 7 Vitres basses S38</t>
  </si>
  <si>
    <t>VENTE - Nettoyage des parkings du vendredi 31 mars 2023</t>
  </si>
  <si>
    <t>VENTE - Nettoyage des parkings du lundi 3 avril 2023</t>
  </si>
  <si>
    <t>VENTE - Nettoyage des parkings du mercredi 19 avril 2023</t>
  </si>
  <si>
    <t>FM CODE AFFICHEUR : Merci de poser les afficheurs températures dans les supermarchés suivant le modop fournit</t>
  </si>
  <si>
    <t>FM : Remplacement électrodes défibrillateur selon mode opératoire. Merci de ramener les anciennes électrodes en DR.</t>
  </si>
  <si>
    <t>FM : merci d'intervenir sur la CF -, éclairage HS sur une des trois réglette.</t>
  </si>
  <si>
    <t>VENTE - Nettoyage des parkings du vendredi 10 mars 2023</t>
  </si>
  <si>
    <t>VENTE - Nettoyage des parkings du vendredi 24 mars 2023</t>
  </si>
  <si>
    <t>FM : Gardiennage de nuit pour nettoyage magasin. Bourtzwiller : lundi 27 février &amp; St Louis : mardi 28 février.</t>
  </si>
  <si>
    <t>VENTE - Nettoyage des parkings du vendredi 17 mars 2023</t>
  </si>
  <si>
    <t>FM : merci d'intervenir suite au rapport de la télésurveillance, un défaut froid de plus de 2h.</t>
  </si>
  <si>
    <t>FM : merci d'intervenir pour configurer le four, contacter Interway pour vérifier le statut de connexion (cf logigramme en PJ).</t>
  </si>
  <si>
    <t>VENTE Divers RMR, A faire dés que possible
 Pour : 
 -Récupérer les 18 visuels à la cellule consomag.
 -Retirer et détruire le visuel actuellement en place.
 -Mettre en place sur tous les spm concerné le visuel rouge.
 Pour info : 
 -Dispo cellule consmag</t>
  </si>
  <si>
    <t>FM : Nettoyage selon module n°2 : Caisses.</t>
  </si>
  <si>
    <t>urgent nettoyage vitres int/ext et sas</t>
  </si>
  <si>
    <t>VENTE - Nettoyage des parkings du lundi 20 mars 2023</t>
  </si>
  <si>
    <t>VENTE - Nettoyage des parkings du mercredi 15 mars 2023</t>
  </si>
  <si>
    <t>FM : merci d'intervenir après le 09/02 pour couper l'ancienne sonnerie de téléphone.</t>
  </si>
  <si>
    <t>FM : Nettoyage selon module n°3 : Boulangerie planning S32</t>
  </si>
  <si>
    <t>FM : Nettoyage Module 7 Vitres basses selon planning juillet S30</t>
  </si>
  <si>
    <t>FM : Gardiennage de nuit pour travaux arche pain jeudi 21 juillet.</t>
  </si>
  <si>
    <t>VENTE - Nettoyage des parkings du lundi 27 février 2023</t>
  </si>
  <si>
    <t>VENTE - Nettoyage des parkings du vendredi 24 février 2022</t>
  </si>
  <si>
    <t>VENTE - Nettoyage des parkings du mercredi 25 janvier 2023</t>
  </si>
  <si>
    <t>VENTE - Nettoyage des parkings du lundi 20 février 2023</t>
  </si>
  <si>
    <t>VENTE - Nettoyage des parkings du lundi 23 janvier 2023</t>
  </si>
  <si>
    <t>VENTE - Nettoyage des parkings du lundi 6 mars 2023</t>
  </si>
  <si>
    <t>VENTE - Nettoyage des parkings du mercredi 1er mars 2023</t>
  </si>
  <si>
    <t>VENTE - Nettoyage des parkings du mercredi 15 février 2023</t>
  </si>
  <si>
    <t>VENTE - Nettoyage des parkings du lundi 9 janvier 2023</t>
  </si>
  <si>
    <t>VENTE - Nettoyage des parkings du lundi 2 janvier 2023</t>
  </si>
  <si>
    <t>VENTE - Nettoyage des parkings du mercredi 11 janvier 2023</t>
  </si>
  <si>
    <t>VENTE - Nettoyage des parkings du lundi 13 février 2023</t>
  </si>
  <si>
    <t>VENTE - Nettoyage des parkings du mercredi 4 janvier 2023</t>
  </si>
  <si>
    <t>VENTE - Nettoyage des parkings du mercredi 21 février 2023</t>
  </si>
  <si>
    <t>VENTE - Nettoyage des parkings du mercredi 8 février 2023</t>
  </si>
  <si>
    <t>VENTE - Nettoyage des parkings du vendredi 17 février 2023</t>
  </si>
  <si>
    <t>FM : Merci de rebrancher les chauffe eaux dans les cuisines et boulangerie.</t>
  </si>
  <si>
    <t>FM : controler si le local TGBT est accessible depuis l’extérieur. Si oui, peut on y accéder avec la clé 7/7 ? si non, prendre la mesure du cylindre à commander. Voir mail Ali du 30/12.</t>
  </si>
  <si>
    <t>FM : merci de contrôler lors de ton passages si le logo "Bienvenue" est caché par un casier Mondial Relay (cf photo). Si c'est le cas, merci de retirer le logo derrière le casier.</t>
  </si>
  <si>
    <t>FM : suite demande interne merci d'intervenir pour extraire les vidéos dans l'allée 1 ainsi que les caisses de 17h45 à 19h40 le 16/06. Le lien de téléversement se trouve dans le corps du mail.</t>
  </si>
  <si>
    <t>FM : SOUS GARANTIE : merci d'intervenir caméra cosmétique et allée 1 et 5 film les caisses (A masquer ou débrancher du live) / caméra entrée et caisse auto film la rue (A réorienter)</t>
  </si>
  <si>
    <t>FM : CODE FICHE BA – installer les adhésifs consignes de sécurité.
 Échéance 30/04/2023</t>
  </si>
  <si>
    <t>FM : Vérification affichages vidéosurveillance selon mail d'Ali du 30/12.</t>
  </si>
  <si>
    <t>FM : merci d'intervenir suite à la validation du devis n° GF 14-23-05-360654-A. Rpct poignée de porte CF-.</t>
  </si>
  <si>
    <t>FM : Nettoyage parc à chariots - Module 12 - S29. Joindre impérativement les checklistes.</t>
  </si>
  <si>
    <t>VENTE Divers RMR installation Visuels campagne agressivité prix.
 A faire avant fin S31 pour l'intégralité de la DR 02 soit 69 SPM.
 Détail de l'installation voir PDF</t>
  </si>
  <si>
    <t>FM : merci d'intervenir pour la modification des fours selon le plan en PJ.</t>
  </si>
  <si>
    <t>casse ,il arrive pas a bien a descendre</t>
  </si>
  <si>
    <t>FM : Intervenir pour un nettoyage complet de nuit, avec checkliste à remplir impérativement le lendemain. St Louis : lundi 27 mars &amp; Bourtzwiller : mardi 28 mars.</t>
  </si>
  <si>
    <t>FM : RMRDIVERS : merci d'intervenir en même temps que les levées de réserve. Modifications des prises pour les fours selon plans en PJ (brancher les fours en croisés le temps que Wiesheu intervient) et remplacement de la prise 380V par une 220V au niveau de la trancheuse.</t>
  </si>
  <si>
    <t>VENTE - Nettoyage des parkings du vendredi 26 mai 2023</t>
  </si>
  <si>
    <t>VENTE - Nettoyage des parkings du mercredi 24 mai 2023</t>
  </si>
  <si>
    <t>VENTE - Nettoyage des parkings du lundi 19 juin 2023</t>
  </si>
  <si>
    <t>VENTE - nettoyage des parkings du lundi 12 juin 2023</t>
  </si>
  <si>
    <t>VENTE - Nettoyage des parkings du lundi 5 juin 2023</t>
  </si>
  <si>
    <t>VENTE - Nettoyage des parkings du vendredi 16 juin 2023</t>
  </si>
  <si>
    <t>VENTE - Nettoyage des parkings du mercredi 31 mai 2023</t>
  </si>
  <si>
    <t>VENTE - Nettoyage des parkings du mercredi 17 mai 2023</t>
  </si>
  <si>
    <t>FM : Merci de changer le mdp DSB lors de ton prochain passage.</t>
  </si>
  <si>
    <t>FM : Demande suite à validation devis n°D0220713. Adjonction d'une caméra en réserve.</t>
  </si>
  <si>
    <t>Bonjour, Veuillez trouver ci-joint la feuille de synthèse des observations suite au passage du bureau Véritas pour l’année 2022. Nous vous demandons de bien vouloir lever les observations dans les meilleurs délais et de nous retourner dès l’intervention terminée le(s) document(s) complété(s), signé(s) et cacheté(s) par vos soins. Cordialement.</t>
  </si>
  <si>
    <t>FM : suite rapport télésurveillance, merci d'intervenir pour 1 défaut froid de 10h cette nuit.</t>
  </si>
  <si>
    <t>VENTE - Nettoyage des parkings du mercredi 1er février 2023</t>
  </si>
  <si>
    <t>VENTE - Nettoyage des parkings du vendredi 3 février 2023</t>
  </si>
  <si>
    <t>sol intérieur caisse 4 HS</t>
  </si>
  <si>
    <t>FM ECO ECL : éteindre les systèmes de comptage covid à l’entrée des SPM. Echéance fin janvier.</t>
  </si>
  <si>
    <t>VENTE - Nettoyage des parkings du lundi 21 novembre 2022</t>
  </si>
  <si>
    <t>VENTE - Nettoyage des parkings du mercredi 21 décembre 2022</t>
  </si>
  <si>
    <t>VENTE - Nettoyage des parkings du vendredi 13 janvier 2023</t>
  </si>
  <si>
    <t>VENTE - Nettoyage des parkings du lundi 19 décembre 2022</t>
  </si>
  <si>
    <t>VENTE - Nettoyage des parkings du mercredi 9 novembre 2022</t>
  </si>
  <si>
    <t>VENTE - Nettoyage des parkings du mercredi 7 décembre 2022</t>
  </si>
  <si>
    <t>VENTE - Nettoyage des parkings du vendredi 6 janvier 2023</t>
  </si>
  <si>
    <t>VENTE - Nettoyage des parkings du vendredi 20 janvier 2023</t>
  </si>
  <si>
    <t>VENTE - Nettoyage des parkings du lundi 24 octobre 2022</t>
  </si>
  <si>
    <t>VENTE - Nettoyage des parkings du vendredi 10 février 2023</t>
  </si>
  <si>
    <t>VENTE - Nettoyage des parkings du lundi 14 novembre 2022</t>
  </si>
  <si>
    <t>VENTE - Nettoyage des parkings du mercredi 25 octobre 2022</t>
  </si>
  <si>
    <t>VENTE - Nettoyage des parkings du mercredi 16 novembre 2022</t>
  </si>
  <si>
    <t>VENTE - Nettoyage des parkings du lundi 17 octobre 2022</t>
  </si>
  <si>
    <t>VENTE - Nettoyage des parkings du lundi 5 décembre 2022</t>
  </si>
  <si>
    <t>VENTE - Nettoyage des parkings du lundi 7 novembre 2022</t>
  </si>
  <si>
    <t>VENTE - Nettoyage des parkings du lundi 26 septembre 2022</t>
  </si>
  <si>
    <t>VENTE - Nettoyage des parkings du mercredi 19 octobre 2022</t>
  </si>
  <si>
    <t>VENTE - Nettoyage des parkings du lundi 12 décembre 2022</t>
  </si>
  <si>
    <t>VENTE - Nettoyage des parkings du lundi 28 novembre 2022</t>
  </si>
  <si>
    <t>FM : merci d'intervenir pour replacer le boîtier d'alarme.</t>
  </si>
  <si>
    <t>FM : module 7 : merci d'intervenir pour le nettoyage vitres basses. Ne pas oublier impérativement de demander le RPS et la check-list de contrôle signés et tamponnés par le supermarché.</t>
  </si>
  <si>
    <t>FM : module 2 : merci d'intervenir pour le nettoyage complet des caisses. Ne pas oublier impérativement de demander le RPS et la check-list de contrôle signés et tamponnés par le supermarché.</t>
  </si>
  <si>
    <t>FM : module 3 : merci d'intervenir pour le nettoyage complet de la boulangerie.Ne pas oublier impérativement de demander le RPS et la check-list de contrôle signés et tamponnés par le supermarché.</t>
  </si>
  <si>
    <t>FM : merci d'installer un détecteur de présence dans le vestiaire femme.</t>
  </si>
  <si>
    <t>FM : merci d'intervenir au rayon fruits et légumes. Éclairage sur 1/3 éteint.</t>
  </si>
  <si>
    <t>VENTE - Nettoyage des parkings du vendredi 27 janvier 2023</t>
  </si>
  <si>
    <t>VENTE - Nettoyage des parkings du lundi 30 janvier 2023</t>
  </si>
  <si>
    <t>FM : merci d'intervenir, infiltration d'eau dans le labo pain.</t>
  </si>
  <si>
    <t>VENTE - Nettoyage des parkings du vendredi 4 novembre 2022</t>
  </si>
  <si>
    <t>FM : Demande suite à validation devis n°A7E13DV143706. Remplacement tôle de sous face quai.</t>
  </si>
  <si>
    <t>Cache moteur TG VV 
 URGENT</t>
  </si>
  <si>
    <t>temperature magasin et caisse a 28degres</t>
  </si>
  <si>
    <t>VENTE - Nettoyage des parkings du vendredi 30 décembre 2022</t>
  </si>
  <si>
    <t>VENTE - Nettoyage des parkings du mercredi 28/12/2022</t>
  </si>
  <si>
    <t>VENTE - Nettoyage des parkings du vendredi 23 décembre 2022</t>
  </si>
  <si>
    <t>VENTE - Nettoyage des parkings du vendredi 16 décembre 2022</t>
  </si>
  <si>
    <t>VENTE - Nettoyage des parkings du vendredi 25 novembre 2022</t>
  </si>
  <si>
    <t>VENTE - Nettoyage des parkings du mercredi 28 décembre 2022</t>
  </si>
  <si>
    <t>FM : Nettoyage caisses - Module 2 S47-48.</t>
  </si>
  <si>
    <t>FM : Nettoyage boulangerie - Module 3 S49-50.</t>
  </si>
  <si>
    <t>FM : Nettoyage vitres basses - Module 7 - S46 et 47.</t>
  </si>
  <si>
    <t>FM : merci d'intervenir, la lecture des courbes sous alarmes froids est impossible. Merci de contrôler ce point de toute urgence.</t>
  </si>
  <si>
    <t>FM : ECO ECLAIRAGE : ajustement des consignes d’extinction, selon consignes suivantes : 1- SPM classés en PRIO 1 dans le tableau en PJ : rallumer la surface de vente à 100% sauf lettrages aux murs. Les lettrages « offres spéciales » et sur l’arche pain doivent être allumés. // 2- SPM classés en PRIO 2 et 3 dans le tableau en PJ : rallumer uniquement les spots sur la zone boulangerie, FL, cosmétique, caisses, meubles frais, surgelés et bacs. Les lettrages aux murs doivent rester éteints (sauf « offres spéciales » et sur l’arche pain). // Planifier les sites selon l’ordre de priorité indiqué. Les réserves et locaux sociaux éteints partiellement ne sont pas concernées par ce réajustement. En revanche, les réserves et locaux sociaux qui n’avaient pas été optimisés lors de la première vague sont à optimiser. Pour les SPM nécessitant une nacelle, merci de regrouper ces magasins afin d’optimiser la location de la nacelle, transmettre impérativement le devis avant intervention. Renvoyer un récap sur l’avancement de la tournée tous les vendredis à Ali et Benjamin.</t>
  </si>
  <si>
    <t>VENTE - Nettoyage des parkings du vendredi 9 décembre 2022</t>
  </si>
  <si>
    <t>FM : suite à ta check-list, merci de repeindre le petit couloir entrée sociaux + porte :)</t>
  </si>
  <si>
    <t>FM : Défaut batterie basse.</t>
  </si>
  <si>
    <t>FM : merci d'intervenir, il y a une ouverture dans le bardage, au niveau du plafond du quai de déchargement.</t>
  </si>
  <si>
    <t>FM : D'après la TSV, défaut GSM.</t>
  </si>
  <si>
    <t>cle n ouvre pas le rideau metallique</t>
  </si>
  <si>
    <t>VENTE - Nettoyage des parkings du vendredi 2 décembre 2022</t>
  </si>
  <si>
    <t>FM : Nettoyage boulangerie - Module 3 - S18. Joindre impérativement les checklistes.</t>
  </si>
  <si>
    <t>VENTE - Nettoyage des parkings du mercredi 5 avril 2023</t>
  </si>
  <si>
    <t>VENTE - Nettoyage des parkings du lundi 13 mars 2023</t>
  </si>
  <si>
    <t>VENTE - Nettoyage des parkings du mercredi 26 avril 2023</t>
  </si>
  <si>
    <t>VENTE - Nettoyage des parkings du lundi 24 avril 2023</t>
  </si>
  <si>
    <t>VENTE - Nettoyage des parkings du lundi 31 octobre 2022</t>
  </si>
  <si>
    <t>FM ECO ÉCLAIRAGE : Merci de mettre en place le mode éco éclairage suivant mode opératoire en PJ.</t>
  </si>
  <si>
    <t>FM : l'onduleur sonne</t>
  </si>
  <si>
    <t>FM : merci d'intervenir suite à la validation du devis n° 00377180-0002. 5 passages rongeurs intervalle 7 jours.</t>
  </si>
  <si>
    <t>FM : 1 ou plusieurs fours ne sont pas connectés, intervenir pour configurer le four, contacter interway pour vérifier le statut de connexion (cf logigramme en PJ).</t>
  </si>
  <si>
    <t>FM : Gardiennage de nuit vendredi 28 juillet pour nettoyage suite nuisibles.</t>
  </si>
  <si>
    <t>FM : merci d'intervenir pour contrôler la centrale positive.</t>
  </si>
  <si>
    <t>FM : Gardiennage de nuit pour nettoyage suite nuisibles. Illkirch : jeudi 3 août et Illzach : vendredi 4 août.</t>
  </si>
  <si>
    <t>FM : merci d'intervenir sur les bornes IRVE, elles sont en défauts sur Has To Be.</t>
  </si>
  <si>
    <t>FM : Nettoyage boulangerie - Module 5 - S28. Joindre impérativement les checklistes.</t>
  </si>
  <si>
    <t>AUDIT STRUCTURE : merci d'intervenir pour reprendre les conduits de désenfumage, voir fiche en PJ.</t>
  </si>
  <si>
    <t>FM: Nous souhaitons un surveillant pour le 23/06/2023. Merci de nous transmettre une confirmation par mail.</t>
  </si>
  <si>
    <t>FM : merci d'intervenir suite à la validation du devis n° 14-23-07-386015-A. Rpct poignée de porte CF-.</t>
  </si>
  <si>
    <t>FM : Suite à ta checklist, refixer le plan d'évacuation dans la réserve.</t>
  </si>
  <si>
    <t>alarme defait froid qui ne sarrete pas</t>
  </si>
  <si>
    <t>Station de charge électrique non fonctionnelle</t>
  </si>
  <si>
    <t>FM : Gardiennage de nuit suivant tableau PJ</t>
  </si>
  <si>
    <t>FM : merci d'intervenir suite à la validation du devis n° 00371644-0003. 5 passages rongeurs 1 passage par semaine.</t>
  </si>
  <si>
    <t>FM : Gardiennage de nuit pour nettoyages. ILLZACH : vendredi 11 août // VOLGELSHEIM : jeudi 10 août // VALDAHON : mercredi 16 août.</t>
  </si>
  <si>
    <t>FM: merci d'intervenir suite à la validation du devis n° 23138. Rpct des groupes 51 et 52.</t>
  </si>
  <si>
    <t>souris encore et toujours</t>
  </si>
  <si>
    <t>FM : merci d'intervenir suite à la validation du devis n° 23095. Rpct du compresseur. Livraison prévue dans vos locaux le 31/05/2023.</t>
  </si>
  <si>
    <t>FM : suite rapport télésurveillance, merci d'intervenir pour un défaut de plus de 5 jours.</t>
  </si>
  <si>
    <t>FM : Témoin lumineux non fixé sur la CF positive. Déplacement à mutualiser avec une prochaine intervention.</t>
  </si>
  <si>
    <t>FM : Régul coupure électrique</t>
  </si>
  <si>
    <t>FM : Suite rapport TSV, il y a eu un défaut froid du 28/02 au 01/03. Merci de vérifier l'ensemble des équipements froid.</t>
  </si>
  <si>
    <t>FM : Contrôle groupe chambre froide.</t>
  </si>
  <si>
    <t>FM : Demande suite à validation devis n°GF14-23-01-314840-A. Remplacement tôles meubles EPTA.</t>
  </si>
  <si>
    <t>FM : Gardiennage de nuit pour dératisation. Schiltigheim le 10/07 et Illzach le 11/07.</t>
  </si>
  <si>
    <t>FM : suite à l'intervention d'Axima sur la chambre froide positive, merci d'intervenir, la porte sectionnelle frotte le bloc frigorifique à chaque ouverture et fermeture ce qui abîme le bloc évaporateur.</t>
  </si>
  <si>
    <t>FM : Intervenir pour le prolongement de la butée au niveau du quai (vu avec Benjamin)</t>
  </si>
  <si>
    <t>FM : code : connexion fours : merci d'intervenir pour la vérification de la connexion réseau.</t>
  </si>
  <si>
    <t>FM : suite au rapport de télésurveillance, ces 3 magasins ont eu des défauts de nuit. Merci de contrôler l'ensemble des équipements froid.</t>
  </si>
  <si>
    <t>FM : merci d'intervenir pour la mise à l'arrêt de la CF- pour dégivrage. Vu avec Mme Blondel-Prevot.</t>
  </si>
  <si>
    <t>FM : merci d'intervenir pour le remplacement de la résistance de carter du compresseur de la CF-.</t>
  </si>
  <si>
    <t>FM : Merci de remplacer les codes DSB lors de tes prochains passages.</t>
  </si>
  <si>
    <t>FM : Problème caisses et onduleurs</t>
  </si>
  <si>
    <t>FM : merci d'intervenir suite à la validation du devis n° A7E13DV107659. Recherche de fuite et réparations.</t>
  </si>
  <si>
    <t>FM : Suite passage Rentokil, vérifier tous les bas de porte et mettre un balai si besoin (voir en réserve)</t>
  </si>
  <si>
    <t>FM : plus de courant dans la quasi totalité du magasin.</t>
  </si>
  <si>
    <t>FM : Nettoyage boulangerie - Module 3 - S15. Joindre impérativement les checklistes.</t>
  </si>
  <si>
    <t>FM : Nettoyage caisses - Module 2 - S15. Joindre impérativement les checklistes.</t>
  </si>
  <si>
    <t>FM : merci d'intervenir pour le changement de deux spots HS. Merci de les remplacer par des spots led.</t>
  </si>
  <si>
    <t>FM : suite à ta check-list, la porte d'entrée pour le groupe froid ne tient que sur un gond. Prévoir la soudure d'une platine pour scellage au mur :)</t>
  </si>
  <si>
    <t>Bonjour, Veuillez trouver ci-joint la feuille de synthèse des observations suite au passage du bureau Véritas pour l’année 2022. Nous vous demandons de bien vouloir lever les observations dans les meilleurs délais et de nous retourner dès l’intervention terminée le(s) document(s) complété(s), signé(s) et cacheté(s) par vos soins. Cordialement. QUADRIENNAL</t>
  </si>
  <si>
    <t>FM : SINISTRES : merci d'intervenir suite à la validation du devis n°23-00761. Nettoyage du parking au jet haute pression suite aux incendies véhicules.</t>
  </si>
  <si>
    <t>FM : Nettoyage caisses - Module 6 - S28. Joindre impérativement les checklistes.</t>
  </si>
  <si>
    <t>FM : Dératisation de nuit. Magasin de Lidl Fischer le 10/07/2023 et Lidl Illzach le 11/07/2023.</t>
  </si>
  <si>
    <t>Plus de courant sur l'ensemble matériel labo pain HS (Fours, trancheuse, chambre froide négative) URGENT</t>
  </si>
  <si>
    <t>FM : A la demande du siège, merci de vérifier le brassage complet de l’armoire A1. Concernant le 2230, le ping est KO.</t>
  </si>
  <si>
    <t>FM : merci d'intervenir pour couper l'ancienne sonnerie téléphonique suite au passage de la téléphonie en MOBI.</t>
  </si>
  <si>
    <t>FM : merci d'intervenir suite à la validation du devis n°A7E13DV111439. Réfection étanchéité noue.</t>
  </si>
  <si>
    <t>FM : merci d'intervenir pour remplacer les spots sodium hs au-dessus du FL par des spots led.</t>
  </si>
  <si>
    <t>FM : merci d'intervenir pour le raccordement de la box SFR aux équipements Switch.</t>
  </si>
  <si>
    <t>FM : merci d'intervenir pour un nettoyage nuisible de nuit le 23/06/2023.</t>
  </si>
  <si>
    <t>FM : Merci d'effectuer un contrôle nuisible suite au passage du 23/06/2023</t>
  </si>
  <si>
    <t>FM : merci d'intervenir pour un nettoyage des zones FL / sas d’entrée et fleurs / boulangerie / caisse – à faire lundi 12/06 dès 6h00 (transmettre checklistes correspondantes à faire signer et tamponner, et préciser qu’il faut nettoyer aussi sous les podiums FL).</t>
  </si>
  <si>
    <t>FM : merci d'intervenir suite à la validation du devis n° 23-00747. Nettoyage du bardage haut et bas.</t>
  </si>
  <si>
    <t>FM : merci de changer le MDP DSB lors de ton prochain passage.</t>
  </si>
  <si>
    <t>FM : suite rapport télésurveillance, merci d'intervenir pour un défaut froid cette nuit.</t>
  </si>
  <si>
    <t>FM : Demande suite à validation devis n°22149. Remplacement disconnecteur.</t>
  </si>
  <si>
    <t>FM : merci d'intervenir suite à un défaut froid ce week-end d'une durée de 19h35.</t>
  </si>
  <si>
    <t>FM : Merci de remplacer les têtes de candélabre suivant devis joint et tableau joint</t>
  </si>
  <si>
    <t>FM : merci d'intervenir suite à un courrier de la ville de Mulhouse pour sur-consommation d'eau. Merci de contrôler l'index du compteur par rapport à celui relevé et vérifier les installations sanitaire après compteur (voir courrier ci-joint). Il faudra anti-dater la facture avant le 9 juin.</t>
  </si>
  <si>
    <t>FM : Déconnexion électrique du rideau métallique qui est HS et non réparé.</t>
  </si>
  <si>
    <t>FM : Suite audit, 1 cache TPE est manquant + orientation de la caméra sur la voie publique, merci de la tourner.</t>
  </si>
  <si>
    <t>detecteur ne fonctionne pas quand on tente de sortir par l'entrée</t>
  </si>
  <si>
    <t>FM : Demande suite à validation devis n°22-00708. Dépose des panneaux pub.</t>
  </si>
  <si>
    <t>FM : Demande suite à validation devis n°FQ2304210178. Rpct moteur entrée int.</t>
  </si>
  <si>
    <t>FM : merci d'intervenir pour un nettoyage module 4 réserve pour le 2807, à faire impérativement le 26/05 à 9h00 (horaire demandé à respecter).
 Merci de nous faire parvenir une confirmation par mail de l'acceptation de la demande de nettoyage.</t>
  </si>
  <si>
    <t>FM : Veuillez trouver ci-joint la feuille de synthèse des observations suite au passage du bureau Véritas pour l’année 2023. Nous vous demandons de bien vouloir lever les observations dans les meilleurs délais et de nous retourner dès l’intervention terminée le(s) document(s) complété(s), signé(s) et cacheté(s) par vos soins. Cordialement.ELEC</t>
  </si>
  <si>
    <t>FM : Réfection du sol de la CF- à ton prochain passage.</t>
  </si>
  <si>
    <t>FM : Veuillez trouver ci-joint la feuille de synthèse des observations suite au passage du bureau Véritas pour l’année 2023. Nous vous demandons de bien vouloir lever les observations dans les meilleurs délais et de nous retourner dès l’intervention terminée le(s) document(s) complété(s), signé(s) et cacheté(s) par vos soins. Cordialement. ERP</t>
  </si>
  <si>
    <t>FM : merci d'intervenir pour réparer les fuites.</t>
  </si>
  <si>
    <t>FM : suite rapport télésurveillance, merci d'intervenir pour 2 défauts froid cette nuit.</t>
  </si>
  <si>
    <t>FM Merci d'intervenir en urgence suite à coupure électrique onduleur HS pas de caisses pas de BO et pas d'alarme froid</t>
  </si>
  <si>
    <t>annonce de fermeture a decaler de 19h30 a 20h</t>
  </si>
  <si>
    <t>FM : Merci d'intervenir le mardi 21/03/2023 pour déconnecter l'alarme de la CF-, la mise à l'arrêt se fera par le personnel le soir même et d'intervenir le mercredi 22/03/2023 en fin d'après-midi pour la remettre en fonction.</t>
  </si>
  <si>
    <t>FM : Refaire les fixations de la conduite.</t>
  </si>
  <si>
    <t>FM :merci de remettre en route les chauffes-eau.</t>
  </si>
  <si>
    <t>FM : Consommation d'eau anormale, merci de vérifier.</t>
  </si>
  <si>
    <t>FM : merci d'intervenir, le néon dans TG bac surg ne fonctionne plus</t>
  </si>
  <si>
    <t>FM : L'éclairage côté quai et convoyeur reste allumé en permanence.</t>
  </si>
  <si>
    <t>FM : Demande suite à validation devis n°FQ2304170238. Rpct moteur entrée int.</t>
  </si>
  <si>
    <t>FM : merci de mettre de la résine sur le sol devant la CF - (voir photo).</t>
  </si>
  <si>
    <t>2808 Wintzenheim : aucun fours connectés. Intervenir pour configurer le four et s’assurer que la connexion est OK // 2813 Kingersheim : 2 fours / 3 non connectés. Intervenir pour configurer le four et s’assurer que la connexion est OK // 3445 Oberhausbergen : 1 four / 2 non connecté. Intervenir pour configurer le four et s’assurer que la connexion est OK // 4047 Schiltigheim Fischer : 2 IP non connectées. Intervenir pour configurer le four et s’assurer que la connexion est OK</t>
  </si>
  <si>
    <t>FM : Protection manquante CF réserve</t>
  </si>
  <si>
    <t>FM : Urgent vérin cassé, grosses difficultés à lever la plaque</t>
  </si>
  <si>
    <t>FM : merci d'intervenir suite à la validation du devis n° FQ2306280136. Pose d'un kit Ixio en rpct des cellules de sécurité.</t>
  </si>
  <si>
    <t>FM : Demande suite à validation devis n°GF14-23-02-327285-A. Remplacement de tôles supportrices.</t>
  </si>
  <si>
    <t>FM : Tournée vitre VVP avec MSK le 7 juin.</t>
  </si>
  <si>
    <t>FM : Fuite arrosage condenseur. Raccord cassé</t>
  </si>
  <si>
    <t>FM : Nettoyage vitres basses - Module 7 - S31. Joindre impérativement les checklistes.</t>
  </si>
  <si>
    <t>FM : Nettoyage parc à chariots - Module 12 - S31. Joindre impérativement les checklistes.</t>
  </si>
  <si>
    <t>FM : Suite intervention WIESHEU, intervenir pour vérifier les prises RJ45 ainsi que les baies de brassage.</t>
  </si>
  <si>
    <t>AUDIT STRUCTURE : merci d'intervenir pour reprendre les conduits de désenfumage, voir fiche en pj.</t>
  </si>
  <si>
    <t>FM : merci d'intervenir suite à la validation du devis n° FQ2307030093. Rpct du rail vertical droit.</t>
  </si>
  <si>
    <t>FM : check-list AT : merci de repeindre les portes des sociaux.</t>
  </si>
  <si>
    <t>FM : merci d'intervenir suite à la validation du devis n° GF 14-22-06-248813-A. Rpct d'un profil cache-cordon côté latéral droit sur la CF - Boulangerie.</t>
  </si>
  <si>
    <t>FM : Tournée avec intégrateur SNEF semaines 18 et 19 selon planning.</t>
  </si>
  <si>
    <t>FM : merci d'intervenir suite à un défaut froid cette nuit.</t>
  </si>
  <si>
    <t>FM : merci d'intervenir pour remplacer la poignée de CF- (déjà signalé par un de vos tech).</t>
  </si>
  <si>
    <t>FM : Dysfonctionnement Alarme froid</t>
  </si>
  <si>
    <t>FM : merci d'intervenir aujourd'hui pour le nettoyage de la réserve</t>
  </si>
  <si>
    <t>FM : suite audit, merci d'installer dans les WC clients un distributeur de savon et de papier essuie-mains</t>
  </si>
  <si>
    <t>FM : merci d'intervenir, le vérin de la plaque de quai est HS.</t>
  </si>
  <si>
    <t>FM : Remplacement code DSB lors de ton prochain passage.</t>
  </si>
  <si>
    <t>FM : merci d'intervenir suite à la validation du devis n° 0202049. Pose de 8 blocs types Lego.</t>
  </si>
  <si>
    <t>FM : Gardiennage le 10 février à partir de 5h00 pour des travaux sur le parking du restaurant chinois. Merci de rester jusqu'à la fin des travaux. Vu par téléphone avec Kamel.</t>
  </si>
  <si>
    <t>FM : Nettoyage selon module 7 Vitres basses S37</t>
  </si>
  <si>
    <t>FM : merci d'intervenir suite à la validation du devis n° D230165. Rpct du cylindre provisoire sur la porte convoyeur.</t>
  </si>
  <si>
    <t>FM : merci d 'intervenir suite à la validation du devis n° 145530. Rpct vérin intérieur droit.</t>
  </si>
  <si>
    <t>FM : merci d'intervenir suite à la validation du devis n° FQ2201210097. Rpct des supports et ressorts de guidage, porte souple.</t>
  </si>
  <si>
    <t>FM : Suite mail, vérifier l'utilité du câble et voir si réparable ?</t>
  </si>
  <si>
    <t>FM : Demande suite à validation devis pour la pose de blocs béton au parking.</t>
  </si>
  <si>
    <t>FM : A la demande du DR, faire un nettoyage parking du restaurant chinois à côté du magasin 1x par mois. Ce nettoyage est à facturer comme les autres nettoyage parking et à intégrer dans le planning. 
 Les RPS seront à prendre au magasin Wintzenheim.</t>
  </si>
  <si>
    <t>FM : merci d'intervenir suite à la validation du devis n°00321498-0001. Traitement nuisibles 4 passages.</t>
  </si>
  <si>
    <t>FM : Consommation d'eau anormale à Illkirch et Wintzenheim. Merci de vérifier s'il y a des fuites.</t>
  </si>
  <si>
    <t>FM : suite rapport télésurveillance (voir PJ), merci d'intervenir pour des défauts froid cette nuit (plus de 3h).</t>
  </si>
  <si>
    <t>FM : Suite rapport TSV, défaut de nuit. Merci de vérifier l'ensemble des équipements froid.</t>
  </si>
  <si>
    <t>FM : suite au rapport de la télésurveillance, merci d'intervenir pour un défaut froid de plus de 5h hier.</t>
  </si>
  <si>
    <t>FM : merci d'intervenir suite à la validation du devis n° 22052. Rpct RIA (mag n°3 + Réserve n°4)</t>
  </si>
  <si>
    <t>FM :suite à ta check-list, merci de remplacer le bec verseur du gel hydroalcoolique manquant (refaire un stock).</t>
  </si>
  <si>
    <t>FM : merci d'intervenir le lundi 13 à partir de 13h30 pour inhiber l'alarme de la chambre, d'intervenir le mardi 14 à partir de 8h pour procéder à divers travaux et de remettre la chambre en route.</t>
  </si>
  <si>
    <t>FM : Veuillez trouver ci-joint la feuille de synthèse des observations suite au passage du bureau Véritas pour l’année 2023. Nous vous demandons de bien vouloir lever les observations dans les meilleurs délais et de nous retourner dès l’intervention terminée le(s) document(s) complété(s), signé(s) et cacheté(s) par vos soins. Cordialement.ELEC.</t>
  </si>
  <si>
    <t>FM : Veuillez trouver ci-joint la feuille de synthèse des observations suite au passage du bureau Véritas pour l’année 2023. Nous vous demandons de bien vouloir lever les observations dans les meilleurs délais et de nous retourner dès l’intervention terminée le(s) document(s) complété(s), signé(s) et cacheté(s) par vos soins. Cordialement. MOYENS DE SECOURS.</t>
  </si>
  <si>
    <t>FM : prévoir 1 personne avec hayon mercredi 7 juin - Venir en DR charger les 4 caissons de vitres vvp / RDV avec Pascal au 2809 Ladhof à 9h45 / Tournée pour remplacer 20 portes gauches et 20 droites avec Pascal dans les spm 243 – 2809 – 2808 – 3713 – 1623 – 3444 – 3935 / Jeter les vitres remplacées dans la benne à vitres en DR le soir, et casser les box en bois pour les mettre dans la benne à bois en DR.</t>
  </si>
  <si>
    <t>FM : Remplacement des portes VVP embuées + remise en place stickers sur portes.</t>
  </si>
  <si>
    <t>FM : suite à ta check-list, merci d'intervenir quand même, il faut baliser la zone</t>
  </si>
  <si>
    <t>FM : merci d'intervenir pour le changement de deux dalles de faux-plafond.</t>
  </si>
  <si>
    <t>FM : Demande suite à validation devis n°23060. Remplacement disconnecteur.</t>
  </si>
  <si>
    <t>FM : merci d'intervenir, 2 pièges HS. Un devant la porte de quai à l'extérieur et l'autre le long de la clôture côté quai.</t>
  </si>
  <si>
    <t>FM : merci d'intervenir, début de prise en glace au plafond de la CF, ainsi que la sonde.</t>
  </si>
  <si>
    <t>BUEE VVP : remplacement des portes vitrées VVP selon plans et quantités fournies</t>
  </si>
  <si>
    <t>EXP : Gardiennage de nuit pour sondages lundi 16 mai.</t>
  </si>
  <si>
    <t>FM : merci de changer le code DSB.</t>
  </si>
  <si>
    <t>FM : merci d'intervenir suite à la validation du devis n° GF 14-23-03-341820-A. Rpct du transfo sur le meuble VVP.</t>
  </si>
  <si>
    <t>bonjour mes cameras sont flou et joystick defectueux merci de faire le necessaire</t>
  </si>
  <si>
    <t>FM : merci d'intervenir, lors de la livraison de nuit, le chauffeur est dans le noir.</t>
  </si>
  <si>
    <t>FM : suite au rapport de la télésurveillance, merci d'intervenir pour deux défauts froid cette nuit.</t>
  </si>
  <si>
    <t>FM : Demande suite à validation devis n°23120. Rpct chauffe-eau de la cuisine.</t>
  </si>
  <si>
    <t>FM : merci d'intervenir suite à la validation du devis n° 23-00753. Dépose des panneaux Brahming 2 fois + évacuation et remise en peinture.</t>
  </si>
  <si>
    <t>FM : Nettoyage vitres basses - Module 7 - S18. Joindre impérativement les checklistes.</t>
  </si>
  <si>
    <t>FM : Le disjoncteur du BO ne fait que sauter suite à une intervention.</t>
  </si>
  <si>
    <t>FM : merci d'intervenir , les disjoncteurs des sociaux + bo + téléphonie ,ont sauté et impossible de les remonter.</t>
  </si>
  <si>
    <t>* Suite au passage des gens du voyage sur le terrain acquis par LIDL (ancien chinois à côté du magasin). Des travaux sont à prévoir d'urgence :
 - Remise en place des pierres pour bloquer l'accès au parking
 - Les portes avant et arrière du restaurant ont été forcé, il faut des condamner</t>
  </si>
  <si>
    <t>ECO ECLAIRAGE : Merci de mettre une horloge pour le parking et enseigne</t>
  </si>
  <si>
    <t>FM : merci d'intervenir suite à un défaut froid actif depuis 18 jours. Il n'est apparu sur le rapport de la télésurveillance que depuis aujourd'hui !!</t>
  </si>
  <si>
    <t>FM : merci d'intervenir, les modifications apportées sur webvisu ne restent pas enregistrées dans l’automate, impossible donc de faire des modifs à distance.</t>
  </si>
  <si>
    <t>FM : suite rapport télésurveillance, merci d'intervenir suite à un défaut froid de plus de 3 jours.</t>
  </si>
  <si>
    <t>FM : suite rapport télésurveillance, merci d'intervenir pour un défaut froid de 21h.</t>
  </si>
  <si>
    <t>Bonjour, Veuillez trouver ci-joint la feuille de synthèse des observations suite au passage du bureau Véritas pour l’année 2022. Nous vous demandons de bien vouloir lever les observations dans les meilleurs délais et de nous retourner dès l’intervention terminée le(s) document(s) complété(s), signé(s) et cacheté(s) par vos soins. Cordialement. MOYENS DE SECOURS</t>
  </si>
  <si>
    <t>FM : merci d'intervenir suite à la validation du devis n° GF 14-22-09-271971-A. Rpct bac récup et serpentin.</t>
  </si>
  <si>
    <t>FM : check-list AT : merci de refixer la sonnette côté porte souple réserve.</t>
  </si>
  <si>
    <t>FM : suite check-list : merci de repeindre la porte du SAS (voir photo).</t>
  </si>
  <si>
    <t>FM : suite check-list AT : merci de vérifier les panneaux des plans d'évacuation des le RIA. S'ils sont bons les raccrocher au bon endroit.</t>
  </si>
  <si>
    <t>FM : Nettoyage parc à chariots - Module 12 - S30. Joindre impérativement les checklistes.</t>
  </si>
  <si>
    <t>FM : Villers le lac : Défaut GSM // Hegenheim : Absence test cyclique GSM.</t>
  </si>
  <si>
    <t>FM : Nettoyage vitres basses - Module 7 - S30. Joindre impérativement les checklistes.</t>
  </si>
  <si>
    <t>FM : Absence test cyclique GSM</t>
  </si>
  <si>
    <t>FM : Gardiennage de nuit ce soir le jeudi 4 mai car problème avec la porte automatique.</t>
  </si>
  <si>
    <t>FM : Nettoyage condenseur + recherche d'infos techniques ventilateur condenseur</t>
  </si>
  <si>
    <t>FM : merci d'intervenir suite à la validation du devis n° FQ2306140172. Rpct cellule de sécurité.</t>
  </si>
  <si>
    <t>L'alarme magasin sonne plusieurs fois dans la nuit depuis deux nuits.
 Les voisins l'entendent beaucoup.</t>
  </si>
  <si>
    <t>FM : suite à ta check-list, merci de prévoir 7 dalles de faux-plafond.</t>
  </si>
  <si>
    <t>FM : REPLUM : mise en place report lumineux sur CF</t>
  </si>
  <si>
    <t>FM : suite rapport télésurveillance merci d'intervenir, 30 mn de défaut froid cette nuit.</t>
  </si>
  <si>
    <t>FM : Suite rapport TSV, il y a eu un défaut froid d'1h10 cette nuit. Merci de vérifier tous les équipements froid svp.</t>
  </si>
  <si>
    <t>FM : merci d'intervenir suite à la validation du devis n°GF 14-22-06-243686-A. Rpct du ventilateur sur le condenseur de la centrale positive.</t>
  </si>
  <si>
    <t>FM : merci de reprendre les endroits où il y avait du lettrage.</t>
  </si>
  <si>
    <t>/!\ alarme magasin pas alarme froid /!\
 Nous n'avons pas reussi a mettre l'alarme du magasin hier soir. Il y a un message d'erreur qui parle de la porte convoyeur.</t>
  </si>
  <si>
    <t>FM : merci d'intervenir suite à la validation du devis n° FQ220215007.Rpct du bouton poussoir porte sect.</t>
  </si>
  <si>
    <t>Il faudrait nous changer l'evier dans le labo pain.</t>
  </si>
  <si>
    <t>FM : Veuillez trouver ci-joint la feuille de synthèse des observations suite au passage du bureau Véritas pour l’année 2023. Nous vous demandons de bien vouloir lever les observations dans les meilleurs délais et de nous retourner dès l’intervention terminée le(s) document(s) complété(s), signé(s) et cacheté(s) par vos soins. Cordialement. ELEC</t>
  </si>
  <si>
    <t>FM : Intervention CF nég suite astreinte 07/12</t>
  </si>
  <si>
    <t>FM : suite à ta check-list, merci de remplacer le carreau cassé dans la réserve à ton prochain passage.</t>
  </si>
  <si>
    <t>FM : merci de remplacer la dalle de plafond humide en surface de vente</t>
  </si>
  <si>
    <t>FM : merci d'intervenir pour le remplacement de 2 spots HS en surface de vente</t>
  </si>
  <si>
    <t>FM : suite rapport télésurveillance, plusieurs défauts froid dans la journée de dimanche.Porte de la CF + bien fermée, défauts venant d'ailleurs.</t>
  </si>
  <si>
    <t>FM : suite à 2 coupures de courant pouvant aller de 2 à 5 min, autour de 6h30 et vers 8h00 prévu le 14/09. Merci d'être présent pour accompagner Priméo dès 6h15 et vérifier que nos installations fonctionnent correctement</t>
  </si>
  <si>
    <t>FM : Suite PV de commission de sécurité, merci de déplacer plus haut le détecteur de fumée</t>
  </si>
  <si>
    <t>FM : merci d'intervenir suite à la validation du devis n°22061. Rpct RIA + commande fémorale</t>
  </si>
  <si>
    <t>FM : la petite enseigne au dessus de l'entrée ne s'allume pas.
 Merci d'intervenir.</t>
  </si>
  <si>
    <t>FM : merci d'intervenir suite au mail de la télésurveillance, défaut de réception du test cyclique GSM.</t>
  </si>
  <si>
    <t>FM : merci d'intervenir suite à la validation du devis n° D0220805. Rpct d'une caméra extérieure.</t>
  </si>
  <si>
    <t>FM : suite rapport télésurveillance, merci d'intervenir suite à un défaut froid de plus 11 h.</t>
  </si>
  <si>
    <t>FM : Suite rapport TSV, il y a eu un long défaut cette nuit. Merci de vérifier l'ensemble des équipements froid.</t>
  </si>
  <si>
    <t>Nous avons du mal a activer l'alarme le soir. car cette porte ne détecte plus le système de l'alarme</t>
  </si>
  <si>
    <t>Lévier du labos pain est bouché et le syphon n'est pas accessible.</t>
  </si>
  <si>
    <t>La canalisation de levacuation de l'autolaveuse est bouchée.
 Ce n'est pas le filtre mais bien à l'interieur de la canalisation.</t>
  </si>
  <si>
    <t>FM : suite à ta check-list : merci de poser un balais de porte à la porte piétonne de quai et de mettre un coup de peinture.</t>
  </si>
  <si>
    <t>FM : merci d'intervenir au rayon cosmétique, les réglettes leds sont HS.</t>
  </si>
  <si>
    <t>FM : merci d'intervenir, vérification surconsommation CVC (à mutualiser avec la maintenance si pas encore effectuée).</t>
  </si>
  <si>
    <t>FM : merci d'intervenir suite à la validation du devis n° D23006. Dépose de la porte réserve.</t>
  </si>
  <si>
    <t>FM : merci d'intervenir, un extincteur est HS en réserve.</t>
  </si>
  <si>
    <t>FM : suite rapport télésurveillance, merci d'intervenir pour un défaut froid cette nuit de 10h.</t>
  </si>
  <si>
    <t>FM : Merci de nous fournir 5 badges chauffeurs pour Bischheim et 4 pour Hegenheim.</t>
  </si>
  <si>
    <t>FM : merci d'intervenir suite à la validation du devis n° FQ2305050139. Rpct de 3 moteurs.</t>
  </si>
  <si>
    <t>rideau en fer ne fonctionne plus urgent merci</t>
  </si>
  <si>
    <t>FM BUEE VVP : remplacement des portes avec buee selon mode opératoire et plans</t>
  </si>
  <si>
    <t>FM BUEE VVP : remplacement des portes avec buee selon plans et livraisons</t>
  </si>
  <si>
    <t>FM : merci de tailler les branches arrachées et pendantes sur le parking et de tailler les branches de l'arbre côté quai.</t>
  </si>
  <si>
    <t>FM : Demande suite à validation devis n°D0220712. Rpct sismique coffre.</t>
  </si>
  <si>
    <t>changer four à micro ondes des sociaux pour les salariés car il chauffe plus</t>
  </si>
  <si>
    <t>FM : merci d'intervenir suite à la validation du devis n° A7E13DV166624. Reprise des relevés défectueux.</t>
  </si>
  <si>
    <t>VVP : Nous allons rajouter deux vitrines VVP le 14/02, merci d'installer les alimentations et disjoncteurs en conséquence</t>
  </si>
  <si>
    <t>PDR : Demande suite à validation devis en PJ. Pose radar de détection côté réserve.</t>
  </si>
  <si>
    <t>FM : bonjour David !! Suite à ta check-list, merci de peindre le mur côté porte de quai.</t>
  </si>
  <si>
    <t>Le distributeur de liquide pour les clients a l'entrée du magasin ne fonctionne plus.</t>
  </si>
  <si>
    <t>FM : merci d'intervenir suite à la validation du devis n° 142825. Rpct du vérin ext droit.</t>
  </si>
  <si>
    <t>FM : Demande suite à validation devis n°D220510A. Pose verrou sur portes automatiques. Echéance fin S51.</t>
  </si>
  <si>
    <t>FM : merci d'intervenir suite au rapport de la télésurveillance : défaut froide de plus de 9h cette nuit.</t>
  </si>
  <si>
    <t>FM : merci d'intervenir pour passer la chambre FL en chambre frais.</t>
  </si>
  <si>
    <t>FM : merci d'intervenir sur la porte de la CF + de quai, la porte a dû mal à se fermer et à s'ouvrir normalement.</t>
  </si>
  <si>
    <t>FM : suite rapport télésurveillance, merci d'intervenir pour un défaut froid de plus de 2 jours.</t>
  </si>
  <si>
    <t>FM : Nous vous informons que nous n'avons pas reçu le TEST CYCLIQUE GSM.</t>
  </si>
  <si>
    <t>prise hs on ne peut plus charger mobi en réserve</t>
  </si>
  <si>
    <t>FM : merci d'intervenir pour le remplacement de la carte de régule sur le VVP n° LI742143.</t>
  </si>
  <si>
    <t>FM : Suite passage Rentokil, mettre un balai de porte en réserve NT05.</t>
  </si>
  <si>
    <t>FM : suite à ta check-list, merci de remplacer la dalle cassée dans le sas de sortie. Refaire ton stock de dalles : )</t>
  </si>
  <si>
    <t>* Il faudrait traiter le sol avec de l'anti-moisissure ainsi que faire un entretien des espaces vert svp.</t>
  </si>
  <si>
    <t>FM : des coupures de courant sont prévues sur la magasin le 14/09 entre 6h et 8h. Merci d'envoyer un technicien à partir de 8h pour contrôle du fonctionnement des équipements froids.</t>
  </si>
  <si>
    <t>FM : Nettoyage vitres basses - Module 7 - S17. Joindre impérativement les checklistes.</t>
  </si>
  <si>
    <t>bas de porte demonter</t>
  </si>
  <si>
    <t>alarme qui sonne sans arret</t>
  </si>
  <si>
    <t>La porte coupe feu se déclenche toute seule, plusieurs fois dans la journée 
 (photo audit)</t>
  </si>
  <si>
    <t>Alarme dela porte qui sonne sans arret</t>
  </si>
  <si>
    <t>porte bloquée ne souvre plus. boitier durgence indique BMC motor fail.</t>
  </si>
  <si>
    <t>maintenance SHOP BOX</t>
  </si>
  <si>
    <t>bornes de recharge voitures éléctriques hs</t>
  </si>
  <si>
    <t>fuite au toit au dessus rayon action sec</t>
  </si>
  <si>
    <t>Le toit fuit à plusieurs endroits dans le SPM lorsqu'il pleut (derrière les caisses / dans le rayon DPH sur les gobelets)</t>
  </si>
  <si>
    <t>Fuites multiples du toit au niveau de la caisse numéro deux.
 Cela dure depuis l'ouverture du magasins.
 Demande d'intervention urgente.</t>
  </si>
  <si>
    <t>fuite au toit aller 4</t>
  </si>
  <si>
    <t>fuite tres importante au niveau de la tuyauterie dans la reserve non food</t>
  </si>
  <si>
    <t>fuite du sas/trappe desemfumage apres fruit et legumes</t>
  </si>
  <si>
    <t>fuite sas/trappe desemfumage au dessus de la caisse 2</t>
  </si>
  <si>
    <t>* Plusieurs fuites au sein du SPM - mail à Karen et Adrien</t>
  </si>
  <si>
    <t>fuite au toit eau aller 4</t>
  </si>
  <si>
    <t>Nous avons des fuites a plusieurs endroits dans le supermarché (allée DPH, allée frais pres des camenberts, devant le nez de caisse 4 et 5)</t>
  </si>
  <si>
    <t>Fuite d'eau urgent svp</t>
  </si>
  <si>
    <t>Store au sol</t>
  </si>
  <si>
    <t>rideau devant la caisse 6 est tombé au sol</t>
  </si>
  <si>
    <t>Pare soleil défectueux</t>
  </si>
  <si>
    <t>Un panneau est tombé ce week-end, IMS Urgent (DANGEREUX)</t>
  </si>
  <si>
    <t>à l'entrée du supermarché, le revetement n'est pas droit et cela créé une grosse flaque lorsqu'il pleut
 avec un gros risque de glisser</t>
  </si>
  <si>
    <t>La porte automatique à l'entrée ne fonctionne pas 
 Ce n'est pas la première demande d'intervention 
 Le prestataire a-t-il commandé une pièce ou faut-il le missionner à nouveau ?</t>
  </si>
  <si>
    <t>La porte automatique est bloqué à l'entrée du SPM 
 avec un gros risque de vol par l'entrée</t>
  </si>
  <si>
    <t>La porte continue de dysfonctionner</t>
  </si>
  <si>
    <t>vitre brisee</t>
  </si>
  <si>
    <t>La porte reste en ouverture constante. (regler sur overture/fermeture auto)</t>
  </si>
  <si>
    <t>La porte ne s'ouvre plus quand les clients arrivent devant la porte.</t>
  </si>
  <si>
    <t>Porte automatique entrée devant fl bloqué en position ouverte. 
 Voir photo de la postion demandé</t>
  </si>
  <si>
    <t>L'ouverture et fermeture de la porte est défectueuse, alors que celle-ci a déjà été réparée plusieurs fois</t>
  </si>
  <si>
    <t>Pose de l’affichage c’est utile! Dans le sas d’entrée sur l’erratum.ODM fait par AT3 . Travail fini.</t>
  </si>
  <si>
    <t>Porte automatique sortie ne fonctionne pas.</t>
  </si>
  <si>
    <t>Bonjour, la porte ne se ferme plus.
 Cordialement</t>
  </si>
  <si>
    <t>Porte automatique entrée SAS ne fonctionne pas.</t>
  </si>
  <si>
    <t>porte et anti retour HS</t>
  </si>
  <si>
    <t>Porte automatique ne fonctionne pas.</t>
  </si>
  <si>
    <t>porte automatique HS.</t>
  </si>
  <si>
    <t>porte automatique sans entrée du magasin ne fonctionne pas.</t>
  </si>
  <si>
    <t>Clés cassé sur le cylindre porte auto ims fait</t>
  </si>
  <si>
    <t>Faire installer des parkings à vélos ims fait ( at2 ne peus les refixer des vélos sont fixer dessus et des bornes ont été volés)</t>
  </si>
  <si>
    <t>le rideau du quai ne s'ouvre plus automatiquement</t>
  </si>
  <si>
    <t>évacuation bouché</t>
  </si>
  <si>
    <t>le rideau ne se ferme plus l'alarme sonne continuellement</t>
  </si>
  <si>
    <t>Vitre façade hs et tôle pliée côté porte local électrique</t>
  </si>
  <si>
    <t>Nettoyage parking complet demandé par Tatjana</t>
  </si>
  <si>
    <t>Barriere de sortie tordue.</t>
  </si>
  <si>
    <t>Barrière parking sortie fonctionne mais tordue.</t>
  </si>
  <si>
    <t>La barrière du parking a des difficultés à se fermer elle est tordu ims fait</t>
  </si>
  <si>
    <t>Bouche d'égout cassé</t>
  </si>
  <si>
    <t>Pose de l’affichage dixi sur la PAB .ODM fait par AT3 . Travail fini.</t>
  </si>
  <si>
    <t>ne demande pas de faire la balle alors que cest plein</t>
  </si>
  <si>
    <t>fait un bruit inhabituel lors de lutilisation</t>
  </si>
  <si>
    <t>impossible d extraire la balle, la presse ne répond plus et emet un bruit inhabituel</t>
  </si>
  <si>
    <t>fuite + bruit très fort anormal</t>
  </si>
  <si>
    <t>Prise connexion + boitier alimentation arrachée .ODM fait par AT3 . Travail fini.</t>
  </si>
  <si>
    <t>erreur grave le programme ne peut pas etre demarre</t>
  </si>
  <si>
    <t>Impossible de lancer un programme de cuisson, le message suivant s'affiche : "Erreur grave ! Le programme ne peut être démarré".</t>
  </si>
  <si>
    <t>message erreur du progrme.ne peut etre demarré</t>
  </si>
  <si>
    <t>ne veut pas souvrir</t>
  </si>
  <si>
    <t>urgent nettoyage vitres ext/int</t>
  </si>
  <si>
    <t>Pose de 4 pieux et de 4 pancarte fauchages tardif sur les différents espaces vert du parking .ODM fait par AT3 .</t>
  </si>
  <si>
    <t>Dépose de l’ancienne pancarte de travaux et installation de la nouvelle pancarte sur le portail d’entrée de parking.ODM fait par AT3 . Travail fini.</t>
  </si>
  <si>
    <t>Coller de l espace vert à l enseigne Lidl au sas</t>
  </si>
  <si>
    <t>Pose de stickers sur les 3 bornes Schneider .pour info pas de bornes ABB installées .ODM fait par AT3 . travail fini.</t>
  </si>
  <si>
    <t>joue TG saveurs du monde manquantes (a été cassée)</t>
  </si>
  <si>
    <t>Le panneau a été accidenté</t>
  </si>
  <si>
    <t>panneau d'affichage prix du pain + horaires magasin à l'entrée du magasin, cassé.
 Nous avons deja les panneaux de rechange en magasin , il nous faudrait juste quelqu'un pour les installer.</t>
  </si>
  <si>
    <t>Signalisation au parking sous-terrain qui affiche des emplacements complets avec une croix rouge alors que le parking est vide.</t>
  </si>
  <si>
    <t>La signalisation afdfiche un parking complet alors qu'il est vide.</t>
  </si>
  <si>
    <t>* La signalisation parking affiche un parking complet alors qu'il est vide. CH : Benj a fait un mail à Adrien, attente de son retour</t>
  </si>
  <si>
    <t>* le panneau lumineux a l'entrée du parking affiche zéro places disponibles alors que celui ci est vide.</t>
  </si>
  <si>
    <t>* les panneaux lumineux à l'intérieur du parking affichent des croix rouges (aucune place dispo alors que le parling est vide.</t>
  </si>
  <si>
    <t>Pose d’un cendrier devant la porte de quai.ODM fait par AT3 . Travail fini.</t>
  </si>
  <si>
    <t>Pose de 7 poteaux avec pancarte véhicule électrique sur les abords du parking .ODM fait par AT3 . Travail fini.</t>
  </si>
  <si>
    <t>Portants a vélos arrachés ( sur la place face entrée magasin)</t>
  </si>
  <si>
    <t>Portant à vélos à l'exterieur du magasin cassé.</t>
  </si>
  <si>
    <t>Ims fait Une borne à vélos est hs arrachée du sol et les trois autres se décroche .il faut re fixer les quatres .( il faut redresser le collier d un borne et fixer toute les bornes avec des goujons de diamètre 12 et longueur 20.)</t>
  </si>
  <si>
    <t>Porte du sas entrée magasin ne fonctionne pas.</t>
  </si>
  <si>
    <t>rideau noir automatique de la reserve au magasin ne souvre plus</t>
  </si>
  <si>
    <t>inscrit " BMC MOTOR FAIL". La porte reste fermee obligation de faire le tour de la reserve</t>
  </si>
  <si>
    <t>Porte automatique de sortie HS</t>
  </si>
  <si>
    <t>Porte automatique entrée ne fonctionne pas.</t>
  </si>
  <si>
    <t>Porte fonctionne mais un cable eléstiquer pend.</t>
  </si>
  <si>
    <t>Les bornes EAS ne fonctionnent pas. Aucune alarme quand on sort par l'entrée du magasin.</t>
  </si>
  <si>
    <t>L'axe saucissons a été déplacé, il faudrait donc deplacer la plv saucissons. merci</t>
  </si>
  <si>
    <t>Fixer les câbles de maintien des panneaux facade</t>
  </si>
  <si>
    <t>Suite au passage du préventeur chaine du froid, il manque le plan synoptique (plan en cas d'alarme froid) près du Dixell</t>
  </si>
  <si>
    <t>Panneaux d'affichage horaires+ prix du pain etc.. cassés ( 4 en tout)
 Cables du bas cassés également.</t>
  </si>
  <si>
    <t>Manque affiches de vidéosurveillance sur la porte convoyeurs et la porte chauffeur d'après l'audit.</t>
  </si>
  <si>
    <t>un support pouir le prix du pain est cassé à l'entrée du magasin.</t>
  </si>
  <si>
    <t>plinthe qui se décolle au niveau de l'ilot surgelé.</t>
  </si>
  <si>
    <t>Porte entrée boulangerie cassée.</t>
  </si>
  <si>
    <t>Morceau de la facade du mobilier pain cassé.</t>
  </si>
  <si>
    <t>Le distributeur à savon est défectueux et ne fonctionne pas 
 (photo audit )</t>
  </si>
  <si>
    <t>il manque un séparateur au niveau d'une vitre pain 
 (photo audit)</t>
  </si>
  <si>
    <t>La porte de la chambre FL ne se ferme plus automatiquement, ilk faut la fermer manuellement à chaque passage</t>
  </si>
  <si>
    <t>l'acces a la reserve est bloquee car la porte separatrice magasin-reserve ne fonctionne pas</t>
  </si>
  <si>
    <t>L'ouverture n'est pas relié au badge, on doit badger puis ouvrir avec le bouton alors que , normalement la porte s'ouvre en badgeant, ce qui déclenche des alarmes, et certains chauffeurs ne comprennent pas et débrayent la porte pour l'ouvir manuellement du coup , risque de déraillage ses câbles</t>
  </si>
  <si>
    <t>L'ouverture de cette porte ne fonctionne que manuellement</t>
  </si>
  <si>
    <t>A la demande du RM:Pour info : volets roulants de quai nok en défaut .IMS fait par AT3.</t>
  </si>
  <si>
    <t>L'ouverture est défectueuse et pourtant elle a déjà été réparée</t>
  </si>
  <si>
    <t>ne s'ouvre pas avec le badge</t>
  </si>
  <si>
    <t>Porte ouverte impossible de la refermer, même manuellement. 
 urgent svp</t>
  </si>
  <si>
    <t>cable de traction abimes equerre de poulie abimee</t>
  </si>
  <si>
    <t>urgent urgent urgent</t>
  </si>
  <si>
    <t>porte de quai hs. intervenir en urgence svp.</t>
  </si>
  <si>
    <t>La clé ne tourne plus dans la serrure et les grilles s'ouvrent sans clés</t>
  </si>
  <si>
    <t>Clé cassée a l'intérieur de la porte grillage.</t>
  </si>
  <si>
    <t>grillage de livraison défaillant.</t>
  </si>
  <si>
    <t>Démontage de la protection acier du robinet de puisage dans la réserve .découpage d’une trappe de visite pour accéder au robinet de puisage .fixation de l’affichage lieu robinet de puisage .ODM fait par AT3 . Travail fini.</t>
  </si>
  <si>
    <t>Remplacer le cache de protection du boitier is au parking</t>
  </si>
  <si>
    <t>fixer au sol la borne jaune au quai</t>
  </si>
  <si>
    <t>Retirer les palettes pour Coller les affiches palettes lourds au quai et nettoyage de la vitre cassée en façade vérifier serrures porte sociaux et vérifier bloc secours parking.</t>
  </si>
  <si>
    <t>Installer les mousses au echelle ch reserve</t>
  </si>
  <si>
    <t>Fixer des voisin mousse autour des échelles en reserve</t>
  </si>
  <si>
    <t>prise hs</t>
  </si>
  <si>
    <t>le transpalette a un problème au niveau de la prise
 impossible de le charger - il fait des étincelles au niveau de la prise</t>
  </si>
  <si>
    <t>Le transpalette electrique est bloqué 
 Nous arrivons à l'allumer mais il s'éteint directement et il est impossible de le bouger
 est-il possible d'en recevoir un autre svp ?en attendant la réparation</t>
  </si>
  <si>
    <t>Fait dysjonter BO et internet quand on le branche sur une prise</t>
  </si>
  <si>
    <t>le tire palette ne charge plus</t>
  </si>
  <si>
    <t>prise de chargement cassée</t>
  </si>
  <si>
    <t>la prise de charge a été écrasé + le bouton poussoir d'arrêt d'urgense est cassé.
 Si retour en DR du transpalette, peut-on prévoir un autre en dépanage?
 Il nous en resterait que 3 en magasin.
 Merci</t>
  </si>
  <si>
    <t>2 tire pal hs retour avec le camion daujourdhui</t>
  </si>
  <si>
    <t>Prise HS
 Pouvez vous nous preter un tire pal car renvoi des 2 tirepal HS au camion ce midi.</t>
  </si>
  <si>
    <t>prise electrique HS</t>
  </si>
  <si>
    <t>ne charge pas quand on le branche. attention ce nest paq le bon numero de serie car pas de Lin sur le tirepal defectueux.</t>
  </si>
  <si>
    <t>prise electrique cassee. envoi au camion ce jour le 10 fevrier</t>
  </si>
  <si>
    <t>le tirepalette ne se recharge plus</t>
  </si>
  <si>
    <t>le tire pal est hors service. il fait disjoncter le systeme electrique. vu avec electricien.</t>
  </si>
  <si>
    <t>les fouches nefonctionnent plus ou mal + fuite d'huile</t>
  </si>
  <si>
    <t>prise de recharge cassé</t>
  </si>
  <si>
    <t>gerbeure Hs ne fait que patiner, trop dificile de dėcharger le.camion et très dangereux !</t>
  </si>
  <si>
    <t>une fois le code saisi le transpalette s ėteint</t>
  </si>
  <si>
    <t>clef pour ouvrir et nettoyer la trancheuse a pain perdue</t>
  </si>
  <si>
    <t>le tirepal fait un clac puis s eteint. Ne charge plus. plus de batterie.</t>
  </si>
  <si>
    <t>Le gerbeur ne tient pas la charge ( environ 20 minutes à charge pleine.</t>
  </si>
  <si>
    <t>IL S AGIT DU GERBEURS
 LA BATTERIE NE TIENT PLUS LA CHARGE
 OBLIGE DE FAIRE ATTENDRE LE CHAUFFEUR DU CAMION ET DE METTRE EN CHARGE POUR POUVOIR TERMINER DE DECHARGER LE CAMION EN ENTIER</t>
  </si>
  <si>
    <t>brosse en moin</t>
  </si>
  <si>
    <t>Station de relevage pour eau pluviale ( alimentation wc et autolaveuse ) ne fonctionne pas, je suis passé sur le réseau de ville. ( pas d'eau au wc quand station en route )</t>
  </si>
  <si>
    <t>ne sort plus d'eau et aspire tres mal</t>
  </si>
  <si>
    <t>aspire tres mal et ne sort plus d'eau</t>
  </si>
  <si>
    <t>l'autolaveuse ne sort de l'eau que du côté gauche
 nous avons changé la roue pourtant et ceci ne solutionne pas le problème 
 le magasin est très sale, est-il possible d'avoir une autolaveuse de pret svp ?</t>
  </si>
  <si>
    <t>La roue de L'autolaveuse est cassée</t>
  </si>
  <si>
    <t>roulette sur le coté cassée</t>
  </si>
  <si>
    <t>une brosse de l'autolaveuse dysfonctionne ce qui fait de grosses trainées en SPM
 Est-il possible d'en avoir une rapidement (en vue de la visite d'Emmanuel SOLOFRIZZO jeudi) svp</t>
  </si>
  <si>
    <t>seulement une des brosse tourne et la raclette est a changer</t>
  </si>
  <si>
    <t>la machine ne crache pas d'eau</t>
  </si>
  <si>
    <t>Raclette arriere et aspirateur avant uses</t>
  </si>
  <si>
    <t>le joint au niveau de la brosse sest casser</t>
  </si>
  <si>
    <t>Urgent l'alarme anti-intrusion ne s'active plus. Le magasin reste sans alarme toute la nuit.</t>
  </si>
  <si>
    <t>Le signal ne sonne plus lorsqu'un client sort par l'entrée 
 Risque de DI pour le SPM 
 Demande RVS</t>
  </si>
  <si>
    <t>le boitier n'indique pas de zone a inhiber cependant a la fermeture du magasin imposible de mettre l'alarme en utilisant le badge prevu a cet effet. Cela fait donc 2 jours que nous fermons uniquement a l'aide de la cle la premiere porte du magasin. De ce fait les lumieres restent alumees ainsi que l'alarme n'est pas activee.</t>
  </si>
  <si>
    <t>Le boitier d'alarme n'indique aucune zone à inhiber cependant à la fermeture du magasin nous ne pouvons activer l'alarme en utilisant le badge prévu à cet effet. La lumière reste donc alumée tout la nuit et l'alarme n'est pas active, nous fermons uniquement à l'aide la clé la première porte d'entrée du magasin.</t>
  </si>
  <si>
    <t>L'alarme de la porte se declanche lorsqu'il y a du vent</t>
  </si>
  <si>
    <t>Merci d'attribuer le badge numéro : 1592015748 à Malik Abdelli DS de DELLE 4046 badge encadrant</t>
  </si>
  <si>
    <t>La porte à l'entrée est défectueuse et, le système d'alarme ne fonctionne plus. Autrement dit, si un client sort par l'entrée, l'alarme ne sonne plus.</t>
  </si>
  <si>
    <t>Alarme bien mise le soir mais apparait comme non mise à la centrale.</t>
  </si>
  <si>
    <t>impossible de se connecter via caméra 
 + écran éteint à l'entrée 
 + paramétrage badges nouveaux entrants (5)</t>
  </si>
  <si>
    <t>Impossible de se connecter sur le système
 Le service juridique du siège a appelé car un client a glissé devant le SPM or, celui-ci a fait deux déclarations identiques en 2 ans et ils nous demandent de vérifier les caméras car ils envisagent une "arnaque à l'assurance" 
 Donc la Di est assez urgente ...</t>
  </si>
  <si>
    <t>URGENT car réquisition de la gendarmerie 
 Impossible de consulter la vidéo surveillance</t>
  </si>
  <si>
    <t>Le système dysfonctionne 
 les gendarmes ont besoin de vidéo du 1/11.</t>
  </si>
  <si>
    <t>caisson videoprotection ne se ferme pas</t>
  </si>
  <si>
    <t>Le système de vidéo surveillance dysfonctionne à chaque fois que nous en avons besoin
 VOL ce jour à 14h45 par l'entrée du SPM
 Nous avons ainsi besoin des caméras afin de déposer plainte à la gendarmerie</t>
  </si>
  <si>
    <t>Contrôle du visuel des caisses sur le mode Live.Pas de vue sur les caisses en mode live.ODM fait par AT3 . Travail fini.</t>
  </si>
  <si>
    <t>A la demande du FM: contrôle de la vidéosurveillance .ODM fait par AT3 . Travail fini.</t>
  </si>
  <si>
    <t>PORTE AVANT DU CAISSON DE VIDEOPROTECTION DANS LE LOCAL TECHNIQUE N EST PAS FERMEE 
 URGENT</t>
  </si>
  <si>
    <t>Contrôle de la vidéosurveillance en live et DSB.erreur connexions réseau .ODM fait par AT3 . Travail fini.</t>
  </si>
  <si>
    <t>demande de réparation du système de vidéo surveillance
 aggression physique et raciste sur le directeur supermarché à 15h</t>
  </si>
  <si>
    <t>*Pas d'activation de lécran de vidéosurveillance d'après l'audit. / AE : spm injoignable, attente retour RVS pour explication</t>
  </si>
  <si>
    <t>Une vitre SCO est fissurée.</t>
  </si>
  <si>
    <t>toilettes du personnel bouchés, l'eau remonte qd on tire la chasse d'eau</t>
  </si>
  <si>
    <t>Défaut E3 micro onde HS.ODM fait par AT3 . Travail fini.</t>
  </si>
  <si>
    <t>J'ai du couper la vanne d'alimentation en eau du magasin. Juste apres le compteur on a une grosse fuite d'eau. Une élément de canalisation semble cassé.
 Sa se situ dans le local du surpresseur.
 URGENT
 Vous pouvez nous joindre au magasin pour nous dire si on laisse la vanne ouverte pour alimenter le mag en eau?</t>
  </si>
  <si>
    <t>affichage erreur E3. porte cassee. ne fonctionne plus.</t>
  </si>
  <si>
    <t>Déboucher le évier en v2</t>
  </si>
  <si>
    <t>podium a remplacer au niveau patisserie</t>
  </si>
  <si>
    <t>podium cassé 
 suite à la réunion de vendredi nous avons pris en photo le podium afin de recevoir la référence exacte du podium à installer car il y a une joue TG collé 
 et nous avons la visite de SOLOFRIZZO vendredi</t>
  </si>
  <si>
    <t>PLV Lettrages
 Elles sont tombées en SPM et disponible en réserve</t>
  </si>
  <si>
    <t>Est-il possible de changer les podiums en vue de la visite gérance jeudi svp ?</t>
  </si>
  <si>
    <t>Pose du stickers énergie verte dans l’entrée du Mag.ODM fait par AT3 . Travail fini.</t>
  </si>
  <si>
    <t>meuble cassé podium FL</t>
  </si>
  <si>
    <t>podium cassé 
 l'un des podium est collé à une joue TG donc impossible à changer sans l'intervention de MSK</t>
  </si>
  <si>
    <t>meuble FL cassé. (angle gauche)</t>
  </si>
  <si>
    <t>Réglette en métal cassé sur un podium sec</t>
  </si>
  <si>
    <t>podium sec cassé. Impossible à changer nous même cas fixé avec joue latérale.</t>
  </si>
  <si>
    <t>Absence de réglette en métal sur un podium sec (saveurs de saisons)</t>
  </si>
  <si>
    <t>podium cassé</t>
  </si>
  <si>
    <t>Podium FL endommagé.</t>
  </si>
  <si>
    <t>1/2 podium incliné si DD à côté avec encoche droite pour axe bio. (non commandable sur consomag avec habillage bio)
 réf consomage sans habillage bio : 11604485</t>
  </si>
  <si>
    <t>Podium FL cassé</t>
  </si>
  <si>
    <t>Podium sec avec retour droit cassé.</t>
  </si>
  <si>
    <t>Joue axe saveurs du monde tg arriere cassée.</t>
  </si>
  <si>
    <t>Remplacer les deux radiateur hs ( les cartes de commande sont grillés ) au vestiaire homme/femme voir avec fm si at2 dois en commander . at2 les a débranchés .il faut commander des radiateurs sans écran lcd juste avec un thermostat réglable.ims fait</t>
  </si>
  <si>
    <t>toilette bouchée l'eau remonte qd on tire la chasse d'eau</t>
  </si>
  <si>
    <t>Fuite d’eau importante sur l’arrivée d’eau RIA.Purge de la conduite avant démontage de la bride .ODM fait par AT3 . Travail fini.</t>
  </si>
  <si>
    <t>urgent. fuite!!!</t>
  </si>
  <si>
    <t>Il y a une fuite très importante qui coule dans les sociaux qui commencent un peu à être inondé
 nous mettons un sceau que nous devons changer toutes les 20 minutes
 c'est très urgent svp</t>
  </si>
  <si>
    <t>Bec verseur sur distributeur de gel hydroalcoolique manquant.ODM fait par AT3 . Travail fini.</t>
  </si>
  <si>
    <t>Wc client et personnel bouché</t>
  </si>
  <si>
    <t>Pour info: toilettes salariés + toilettes client bouchée .AT3 essaie avec du déboucheur chimique nok.magasin récent encore sous garantie car canalisation surment obstruée par des reste de ciment de chantier.</t>
  </si>
  <si>
    <t>wc client et personnel bouché</t>
  </si>
  <si>
    <t>toilette client et personnel bouché</t>
  </si>
  <si>
    <t>RADIATEURS DES VESTIAIRES HOMMES ET FEMMES TEMPERATURE ELEVEE 40° ET IMPOSSIBLE DE REGLER.
 RISQUE DE SUFFOCATION</t>
  </si>
  <si>
    <t>toutes les portes coupe feu se sont déclenchés et impossible de les réactiver</t>
  </si>
  <si>
    <t>Défaut de fermeture sur porte coupe feu grillagée dans la réserve .ODM fait par AT3 . Travail fini.</t>
  </si>
  <si>
    <t>Les radiateurs dans le sas de l'entrée soufflent de l'air chaud ainsi que dans le magasin. Les meublent frais fuient à nouveau et la chaleur en magasin est excessive 24.6° ! (cf photo prise en caisse)</t>
  </si>
  <si>
    <t>NON PAS POUR LE RADIATEUR MAIS POUR LA CLIM ABSENTE.
 LA TEMPERATURE DANS LE MAGASIN EST DE PLUS DE 28 DEGRES (PHOTO)
 C'EST INSUPPORTABLE ! 
 QUE CE SOIT POUR LE PERSONNEL ET MEME EN CAISSE (PHOTO) POUR LES CLIENTS QUI SE PLAIGNENT D'ETRE DANS UN SAUNA QUE CE SOIT POUR LE MATERIEL, FUITES DES MEUBLES FRAIS, SINISTRE SURGELE ETC...
 MAIS EGALEMENT POUR LA MARCHANDISE FL (FRAICHEUR?)
 ET AUSSI POUR LES PALETTES DE FRAIS QUI SONT TRAITEES EN MAGASIN ET QUI RESTE PLUSIEURES MINUTES SOUS CETTE CHALEUR LE TEMPS DE LES METTRE EN RAYON ...
 MERCI POUR LES PACKS D'EAU MIS A NOTRE DISPOSITION MAIS CETTE CHALEUR EST DEVENUE INSUPPORTABLE.</t>
  </si>
  <si>
    <t>Ré fixation de l’extincteur à son support.ODM fait par AT3 . Travail fini.</t>
  </si>
  <si>
    <t>extincteur parking souterrain utilisé.</t>
  </si>
  <si>
    <t>Remplacer la grille du boite is a7 parking</t>
  </si>
  <si>
    <t>RIA qui fuit en surface de vente.</t>
  </si>
  <si>
    <t>Est-il possible de missionner le prestataire pour les badges de 
 Aurélie VIGOT EP
 Ajla SULEJMANOVIC CCA
 Merci par avance SVP ne supprimez pas cette demande, il leur faut un accès portes</t>
  </si>
  <si>
    <t>Est-il possible de missionner le prestataire pour paramétrer les badges SPM svp</t>
  </si>
  <si>
    <t>RIA mal fixé au mur</t>
  </si>
  <si>
    <t>Une nouvelle EP a besoin d'un badge avec accès au porte
 Une nouvelle CCA
 Nous n'avons pas le logiciel afin de donner les codes directement 
 es-il possible de missionner le prestataire svp ?</t>
  </si>
  <si>
    <t>Test alarme incendie le 30/06 à 8h15, réarmement dans la foulé.
 Depuis les boitiers alarme (voir photo) dans les sociaux ont une lumière rouge et bipe à intervalle régulier.
 + la porte d'entrée aux sociaux ne nécéssite plus de badge pour s'ouvrir, le boitier badge reste sur le vert</t>
  </si>
  <si>
    <t>Mise en place des documents accessibilités dans les onglets registre de sécurité .ODM fait par AT3 . Travail fini.</t>
  </si>
  <si>
    <t>Descendre le skydom en mag et réserve</t>
  </si>
  <si>
    <t>les prises electriques de la réserve ne rechargent plus les tire pale électriques. Impossible de les utiliser
 le chauffeur n',as pas pu dechargé au trans pale électrique 
 URGENT
 S'il vous plait</t>
  </si>
  <si>
    <t>A la demande du Fm : disjoncter le régulateur de tension .ODM fait par AT3 . Travail fini.</t>
  </si>
  <si>
    <t>A la demande de Maud RM( IMS fait par AT3)Les prises de courants transpalette nok.d’après les dires de la RM Maud,les électriciens lui auraient dit que c’était un transpalette qui ferait disjoncté le disjoncteur mais selon Maud ça le ferait avec tout les transpalettes .c’est une urgence de pouvoir rétablir le rechargement dès transpalette dans cette zone de quai.</t>
  </si>
  <si>
    <t>Armoire electrique disjoncteur BO pc 
 URGENT Svp</t>
  </si>
  <si>
    <t>Fixer l interrupteur des wc</t>
  </si>
  <si>
    <t>URGENT 
 LA PRISE DE COURANT SUR LAQUELLE LA SCO 83 EST BRANCHEE NE FONCTIONNE PLUS. IMPOSSIBLE DE RALLUMER LA CAISSE AUTO 
 =&gt; PAS DE CLÔTURE HIER SOIR PUISQU'ON NE PEUX PAS PRELEVER LA CAISSE ET PAS DE CLÔTURE EGALEMENT CE SOIR ...</t>
  </si>
  <si>
    <t>Pose d’une butée pour la porte du local en réserve et mise en peinture galva.ODM fait par AT3 .</t>
  </si>
  <si>
    <t>Remplacement des cylindre sur Borne ABB et sur le tableau divisionnaire .ODM fait par AT3 .</t>
  </si>
  <si>
    <t>A la demande du FM: contrôle des différents accès aux sociaux .ODM fait par AT3 . Travail fini.</t>
  </si>
  <si>
    <t>Pas de LIN sur la porte FL
 C'est la porte FL côté quai qui dysfonctionne
 Elle ne s'ouvre que manuellement et ne répond pas quand on souhaite l'ouvrir via le bouton automatique (pareil pour la fermeture, elle ne se ferme donc plus automatiquement)</t>
  </si>
  <si>
    <t>Lame de pare soleil arrachée .ODM fait par AT3 . Travail fini.</t>
  </si>
  <si>
    <t>URGENT : porte convoyeur qui ne verrouille pas, on opeut l'ouvrir de l'extérieur juste en poussant ( elle est sous alarme ) mais pas " vérrouilée"</t>
  </si>
  <si>
    <t>Porte chauffeur quai. Ne s'ouvre plus de l'extérieur.
 Très urgent car le chauffeur de cette nuit ne pourra pas déposer le fl/vv.</t>
  </si>
  <si>
    <t>Problème avec l'alarme de la porte convoyeur, elle sonne tout le termps ( soit réglage de la porte, soit problème avec l'aimant qui permet que l'alarme ne sonne pas )</t>
  </si>
  <si>
    <t>A la demande du RM Léa .porte de la CFN extérieur dégondée.ODM fait par AT3 . Travail fini</t>
  </si>
  <si>
    <t>Absence de butée sur la porte grillagée de l'accès toit.fabrication d’une butée .ODM fait par AT3 . Travail fini.</t>
  </si>
  <si>
    <t>La porte en reserve direction la salle de pause ne se verouille plus, pose problème pour la mise en alarme nuit.
 Merci</t>
  </si>
  <si>
    <t>la porte de la reserve donnant sur les sociaux est toujours ouverte sans passer le badge</t>
  </si>
  <si>
    <t>A la demande du RM: plaque inox de protection sur la porte entrée sociaux qui se décolle .ODM fait par AT3 .</t>
  </si>
  <si>
    <t>Butée du point de fermeture sur is face au caisse défectueuse .ODM fait par AT3 . Travail fini.</t>
  </si>
  <si>
    <t>Pose des stickers informations relatives à la vidéosurveillance Sur la porte convoyeur est sur la porte de quai.ODM fait par AT3. Travail fini.</t>
  </si>
  <si>
    <t>Reparer la poignée de la porte rue maire sorgus.</t>
  </si>
  <si>
    <t>porte issue de secours au parking ne s'ouvre pas.</t>
  </si>
  <si>
    <t>Le piège situé à coté de la presse à balle est cassé et n'est plus conforme, demande de remplacement</t>
  </si>
  <si>
    <t>Fourniture d’une barre télescopique et de sa brosse au CM et déposé dans le local matériel de la réserve .ODM fait par AT3 . Travail fini.</t>
  </si>
  <si>
    <t>Urgent deux souris coller dans le piège</t>
  </si>
  <si>
    <t>Bonjour, nous retrouvons toujours des crottes de souris ainsi que des colis grignotés dans les allées : gateaux/choco/viennoiserie/petfood.</t>
  </si>
  <si>
    <t>Fixer la grille au local drycolor et bouche les trous autour des câbles électrique et rampe reserve pour nuisible</t>
  </si>
  <si>
    <t>uvc et cartons rongés par des souris dans l'allée des gateaux/choco ceréales et viennoiserie. tracts rongés également en caisse numéro 5.</t>
  </si>
  <si>
    <t>Nuisibles dans les boitiers mort aux rats+ souris aperçue dans le magasin.</t>
  </si>
  <si>
    <t>Boite nuisible hs en reserve cote quai</t>
  </si>
  <si>
    <t>souris présentent dans les pièges, des souris on également été aperçu en reserve ainsi qu'en surface de ventes.</t>
  </si>
  <si>
    <t>Suite au passage des dératiseurs il y à de celà 2 semaines, on trouve toujours des uvc rongés par les souris au niveau de l'allée viennoiserie et gateaux aini que des tracs publicitaires rongés en caisse numéro 5.</t>
  </si>
  <si>
    <t>Le joint du rideau de quai et déchiré se qui laisse un jour et les souris peuvent passer</t>
  </si>
  <si>
    <t>Boite nuisibles cassée.</t>
  </si>
  <si>
    <t>Boucher le trous au tuyau d évacuation des four pour éviter lés nids de souris</t>
  </si>
  <si>
    <t>Un nid de souris est formé dans l évacuation d eau des fours et une souris et bloqué dans le piège at2 a boucher le trous.
 Faire remplacer le piège à souris</t>
  </si>
  <si>
    <t>Dalle de FP humide dans le labo pain.ODM fait par AT3 . Travail fini.</t>
  </si>
  <si>
    <t>Remplacement de dalle de faux plafond dans le labo( deja remplacer récemment par AT3 )fuite de toiture. Pain. ODM fait par AT3 . Travail fini.</t>
  </si>
  <si>
    <t>Remplacer par at2 la dalles fp led par une dalle fp e5 isoler les câbles électrique</t>
  </si>
  <si>
    <t>tâches d'humidité sur 2 dalles de faux plafond en salle de pause.</t>
  </si>
  <si>
    <t>Grosse fuite d'eau an plafond au dessus du FL. Intervention d'urgence svp.</t>
  </si>
  <si>
    <t>fuite au plafond dans le mag au niveau de la tg fl, pas de photos possibles</t>
  </si>
  <si>
    <t>Fuite d'eau au plafond en salle de pause. (Impossible de prendre une photo, bug MOBI)</t>
  </si>
  <si>
    <t>Un carreau est cassé en surface de vente entre la VV et le NF</t>
  </si>
  <si>
    <t>il pleut en réserve!!
 grosse fuite qui inonde la réserve!!!
 URGENT!!!!</t>
  </si>
  <si>
    <t>Remplacement des électrodes sur le défibrillateur. ODM fait par AT3 . Travail fini.</t>
  </si>
  <si>
    <t>Tuyau qui fuit</t>
  </si>
  <si>
    <t>fixer la boite verte a pansement en v2</t>
  </si>
  <si>
    <t>Installer un grillage au local drycolor</t>
  </si>
  <si>
    <t>Plinthe dans le labo pain cassée.</t>
  </si>
  <si>
    <t>carrelage au mur + plinthe à la boulangerie cassés</t>
  </si>
  <si>
    <t>Carrelage murale en boulangerie cassé.</t>
  </si>
  <si>
    <t>*Suite au passage des installateurs clim il y a quelques mois, ceux ci n'ont pas repeint les murs et plafonds. - Pour Adrien</t>
  </si>
  <si>
    <t>VENTE Divers RMR A faire, refixer le lutin erratum dans le SAS d'entrée</t>
  </si>
  <si>
    <t>rideau manquant suite aux orages</t>
  </si>
  <si>
    <t>VENTE à faire en semaine 34 (impérativement)
 Pour : 
 - Récupérer du matériel à la cellule consomag 
 - Dans les réserve des spm, monter 8 axes (pieds, montant, 2 entretoises par axe et fond gris)
 Pour info : 
 - Le matériel sera dispo à la cellule consomag, 
 90 montants de 180 cm
 90 réhausses de 20 cm tego
 400 fond gris
 160 entretoises de 63.5cm
 90 pieds de 67 cm
 10 sachets de vis pour monter les axes
 - Les spm vous indiqueront ou installer les axes en réserve.
 - En PJ la note (pour vous permettre une meilleure compréhension du projet)</t>
  </si>
  <si>
    <t>VENTE Divers RMR Installation ESL AF/NF A faire le 9/08/2023 2 personnes de 9h30-15h30 heure de fin à définir encore selon charge de travail.</t>
  </si>
  <si>
    <t>AT3 check list trimestrielle 4046</t>
  </si>
  <si>
    <t>AT3 check-list 4046</t>
  </si>
  <si>
    <t>VENTE Mercredi 25 mai 2022 (impératif), 
 Pour : 
 - Récupérer la bâche ouverture les dimanches à la cellule consomag
 - Poser la bâche le long de la route (voir photo)
 Pour info : 
 - La bâche sera livrée à la cellule consomag le Mardi 24 mai
 - Vous fournissez les barrières Heras et les plots</t>
  </si>
  <si>
    <t>VENTE Tournée implantation</t>
  </si>
  <si>
    <t>AT3 check-list trimestrielle 4046</t>
  </si>
  <si>
    <t>VENTE avant vendredi 14 avril 2022
 Pour : 
 - Dans la CF- de la V2, mettre 6 axes à gauche et 6 axes à droite.
 - Mettre deux étagères par axes en 60 cm
 Pour info : 
 - Il faut 12 axes en tout avec les existants
 - Les axes doivent être recentrés dans la chambre également, et pas tout au fond coté chambre froide. 
 - Prendre tout le matériel à la cellule consomag, 
 - Pas de podiums à mettre en place 
 - Double entretoises à mettre en place
 - Le spm est informé
 - Pas de mélaminé à mettre en place
 - Mettre des bandes de rives en place</t>
  </si>
  <si>
    <t>VENTE Avant début, S17.
 Pour : 
 - Implantation DD pdt côté frais
 - Contrôler le fonctionnement des Led’s FL
 - Effectuer marquage sol organe de sécurité réserve</t>
  </si>
  <si>
    <t>VENTE A faire le 05/10/2022. Réimplantation saisonnière.</t>
  </si>
  <si>
    <t>VENTE avant le 18 février 2022
 Pour : Installer deux grilles latéral de distribution dans les axes pain
 Pour info : Vous prenez le matériel en DR</t>
  </si>
  <si>
    <t>VENTE Tapis de caisse HS caisse n°7</t>
  </si>
  <si>
    <t>VENTE (travaux à réaliser à la cellule consomag), jeudi 17 février 2022, 
 Pour : Monter 36 tables action food</t>
  </si>
  <si>
    <t>VENTE , (pour visite, urgent)
 Pour : Différents point de concept</t>
  </si>
  <si>
    <t>VENTE Pour : 
 - mettre en place 10x Bdr frais pour toblerone (affichage prix par le haut)
 - mettre en place 10x stickers OS surg en Sonoma + 6x stop famille OS + support
 - mettre en place 1x habillage borne électrique parking
 - mettre adhésif covid rouge aux caisses
 - mettre1 grille de côté, distribution latéral pour boulangerie 
 - Allongé les mela TG de l îlot sec (140 cm actuellement)
 Pour info : le matériel sera mis à quai aujourd'hui</t>
  </si>
  <si>
    <t>A la demande de la DR.remise des clés a la RM Léa .ODM fait par AT3 . Travail fini.</t>
  </si>
  <si>
    <t>la voix du matin pour annoncer l'ouverture du magasin est décalée: elle annonce l'ouverture du magasin a 8h40</t>
  </si>
  <si>
    <t>VENTE Tournée
 Pour : 
 - Faire tournée des SPM avant le 19/08.
 Pour info : 
 - Le matériel sera livré à Baume les Dames à partir du 25/07
 - Le matériel nécessaire aux Surgelés ainsi que les adhésifs frais seront livrés ultérieurement. Un mail vous sera envoyé à partir du moment où cela sera disponible à Baume les Dames. 
 - La liste des SPM et des points à effectuer se trouvent en PJ</t>
  </si>
  <si>
    <t>AT3 check list 4046</t>
  </si>
  <si>
    <t>Retour NF 3 palettes Europe</t>
  </si>
  <si>
    <t>* nous avons toujours une fuite dans l'allée 4 
 fuite du toit sur les tablettes lave vaisselle / KN 14/02 : Transmis à Adrien</t>
  </si>
  <si>
    <t>dès que possible
 Pour : 
 -Retirer la bâche « ouverture dimanche » et support bâche</t>
  </si>
  <si>
    <t>Check, liste trimestrielle</t>
  </si>
  <si>
    <t>Check list trimestrielle</t>
  </si>
  <si>
    <t>Controle divert,vérifier boite à clés au bureau,</t>
  </si>
  <si>
    <t>Travaux effectués avec fm grillage drycolor,balais de porte,</t>
  </si>
  <si>
    <t>VENTE lundi 23 mai 2022, de 12h15 à 15h30, 2 personnes
 Pour : Implantation du surgelé en spm.
 Pour info : Implanteur présent sur site</t>
  </si>
  <si>
    <t>Check list,installer une poubelle sortie parking ,vérifier le chauffage sociaux ,</t>
  </si>
  <si>
    <t>VENTE spm 4047 SCHILTIGHEIM, entre le 25/04/2022 et le 29/04/2022
 Pour : 
 - Monter 3 axes en RT 2 pour le matériel en réserve
 - Démonter les étagères au-dessus des bacs surgelé dans la V2
 Pour info : 
 - Matériel à récupérer à la cellule à partir du 22/04
 - Le spm est informé et indiquera l’emplacement où monter les axes (de préférence près des fours)
 - Enlever les étagères présentes au-dessus des bacs surgelé dans la V2
 - 2 étagères par axe de 60cm
 - Podiums à mettre en place 
 - Montants et pieds à mettre en place
 - Double entretoises à mettre en place
 - Fond gris à mettre en place
 - Mélaminé à mettre en place
 - Mettre des bandes de rives en place
 - Disposer le matériel sur les axes une fois montés (suivre le plano de la PJ)
 Merci d’envoyer une photo de l’intervention terminée par mail à laura.jung@lidl.fr</t>
  </si>
  <si>
    <t>VENTE , jeudi 28 avril 2022, à partir de 17h30, 3 personnes
 Pour : 
 - Implantation du frais (saisonnière et modification implant)
 - Mise à jour des visuels sur les portes frais
 Pour info : 
 - Un implanteur sera présent
 - Certaines tâches complémentaire pourront être demandé (nettoyages des vitres frais, …) par L’AIP</t>
  </si>
  <si>
    <t>VENTE A faire le 07/10/2022. Réimplantation saisonnière.</t>
  </si>
  <si>
    <t>Check list trimestrielle et depose document accessibilité dans le classeur rouge.</t>
  </si>
  <si>
    <t>FUITE AU NIVEAU DU MEUBLE FRAIS QUE L'ON VOIT CHAQUE MATIN</t>
  </si>
  <si>
    <t>At2 Check list et vérification divert</t>
  </si>
  <si>
    <t>Affiche HSQE
 Fermer le tuyau du four v2
 Spray graisse sur ferme porte
 Check list trimestrielle</t>
  </si>
  <si>
    <t>VENTE , avant vendredi 18 mars 2022
 Pour : 
 - Dans la CF- de la V2, mettre 5 axes à gauche et 5 axes à droite
 - Mettre deux étagères par axes en 60 cm
 Pour info : 
 - Il faut 10 axes en tout avec les existants
 - Prendre tout le matériel à la cellule consomag, 
 - Pas de podiums à mettre en place 
 - Double entretoises à mettre en place
 - Le spm est informé
 - Pas de mélaminé à mettre en place
 - Mettre des bandes de rives en place</t>
  </si>
  <si>
    <t>VENTE dés que possible 
 Pour : Mise en place de trois « clefs de départ » chariot ELP 240
 Pour info : Vous prenez les clefs de départ à la cellule consomag</t>
  </si>
  <si>
    <t>VENTE dés que possible
 Pour : Mise en place d’un distributeur de savon dans la V2
 Pour info : Prendre le porte savon à la cellule consomag</t>
  </si>
  <si>
    <t>At2 : Installer une mini borne au quai pour protéger les porte du local des groupes ventilateurs ,contrôle divers,coller les affichent vidéosurveillance ,installer une lisse pvc pour protéger la porte compteur d eau</t>
  </si>
  <si>
    <t>VENTE Révision FL, fixations étagères, déplacement PDT</t>
  </si>
  <si>
    <t>VENTE TOURNÉE Pour : 
 - Faire tournée des SPM avant le 19/08.
 Pour info : 
 - Prendre tout le matériel à la cellule consomag à partir du 22/07
 - Le matériel nécessaire aux Surgelés ainsi que les adhésifs frais seront livrés ultérieurement. Un mail vous sera envoyé à partir du moment où cela sera disponible à Consomag. 
 - La liste des SPM et des points à effectuer se trouvent en PJ</t>
  </si>
  <si>
    <t>at2 check list,remplacer tube et plaque insect,fixer avec cadenas la chaine au escalier,verifeir la serrure is</t>
  </si>
  <si>
    <t>VENTE dés que possible 
 Pour : 
 - Coller l’adhésif stationnement à 6 m à droite de la porte sectionnelle de livraison (côté rue) , sur la façade (emplacement facilement reconnaissable)
 - Coller sur la façade côté porte d’accès du spm, sur les vitres, pour indiquer des deux côtés de la porte l’accès aux spm.
 - Coller les deux adhésifs au sous sol, au dessus des deux poubelles à gauche et à droite de la caisse automatique
 - Coller les panneaux poubelles au sous sol, à proximité des deux poubelles à coté des rack a caddies.
 En cas de doute me contacter. 
 Pour info : Les adhésifs sont dispo à la cellule consomag</t>
  </si>
  <si>
    <t>Check list trimestriel,affiche borne de recharge ,fixer les blocs secour au sous sol parking,</t>
  </si>
  <si>
    <t>VENTE Divers RMR dés que possible
 Pour : 
 -Récupérer tous les caddies (chariots de courses) qui se trouvent au fond du parking souterrain (par rapport à l’accès piéton à l’étage)
 -Déposer les caddies à la cellule consomag
 Pour info : 
 -Bien valider lesquelles sont à prendre avec le RM</t>
  </si>
  <si>
    <t>VENTE Divers RMR A faire dès que possible
 Pour : 
 -Récupérer 40 chariots de courses gris avec poignée ergo 240 l à la cellule consomag
 -Les déposer dans le parking sous terrain du spm de Fischer
 -Remplir tous les racks sauf celui au fond du parking
 Pour info : 
 -Les chariots sont dispo à la cellule consomag</t>
  </si>
  <si>
    <t>VENTE dés que possible
 Pour : Habiller 5 rolls dixi de décartonnage avec les panneaux recyclage cartons, les fixer à l’aide des serres câbles.
 Pour info : Vous récupérez les panneaux et serres câbles à la cellule consomag</t>
  </si>
  <si>
    <t>Contrôle divers et coupe le rideau d air à l entree et régler le détecteur de présence en reserve</t>
  </si>
  <si>
    <t>VENTE CODE SAISON , mardi 14 juin, à partir de 19h30, 6 personnes
 Pour : 
 - Implantation saisonnière sec 
 - Tout travaux demandé par l’implanteur
 Pour info : 
 - Un Implanteur sera sur place
 - Prévoir du matériel (coupe méla, ….)</t>
  </si>
  <si>
    <t>VENTE à faire avant le vendredi 17 juin, 
 Pour : 
 - Récupérer le four B5/B10 (celui le plus à gauche des trois)
 - Récupérer 4 rolls pain B5/B10
 - Déposer le tout à la cellule consomag, côté service technique
 Pour info : SPM et RVS informé</t>
  </si>
  <si>
    <t>VENTE à faire avant le 10 juin 2022
 Pour : 
 - Mettre en place à droite au dessus des poubelles du sas entrée, l’adhésif vert 100 % électricité verte
 - Couper les aimants facers dans le snacking frais
 - Mettre en place deux clips d’angles pour panneau vitrines VVP
 - Mettre à jour adhésifs demi cercle porte frais
 - Mettre en place 1 panneau surg balisage famille Pizza + support
 - Mettre en place 2 panneaux surg balisage famille Glace + support
 - Mettre en place 7 kits adhésifs joue TG skylight
 - Mettre en place un bandeau Bio segmentation allée (magnétique fond gris)
 - Déplacer la demi lune saucisson (au dessus de la famille)
 - Mettre en place 3 demi lune Brasseur + supports
 - Mettre en place 1 demi lune Bébé + supports
 - Replacer podium sec Alcool et Petfood
 - 10 bandes de rives autocollant Tables Action food à remplacer
 - 2 podium FL à réaxer
 Pour info : Le matériel sera dispo à la cellule consomag</t>
  </si>
  <si>
    <t>Check list,remettre la trappe d entree ,installer un thermomètre vente,mise en place de caméra au escalier ,installer une grille de protection boîtier secour en sortie parking ,remplacer le cylindre porte local vélos,dépose perche</t>
  </si>
  <si>
    <t>Note d'information sur la videosurveillance affichée en salle de pause. (pour la vente)</t>
  </si>
  <si>
    <t>Lundi 28, mardi 29 et mercredi 30 novembre 2022 (impératif)
 Pour : 
 -Récupérer avant d’intervenir sur le 1er spm, 40 pieds de 67 cm tego, 20 adhésifs cercle et 20 adhésif rectangle pour les joues TG
 -Aller sur les spm et monter à l’emplacement (voir tableau ci-dessous) le meuble TG (dispo dans la réserve du spm)
 -Coller les 4 adhésifs sur les joues (deux adhésifs X deux joues)
 -Mettre en place les étagères (trou 8-15-22-29)
 -Mettre en place un mélaminé sonoma de 1.80 m en TG, en remplacement de celle en place (méla dispo sur la palette)
 -Mettre dans le triangle les deux panneaux corner local (sur les faces avant du triangle et non à l’arrière) panneaux dans un carton
 -Remettre au spm les visuels qui sont sur la palette (dans un carton, visuels brun, corner local)
 Pour info : 
 -Les palettes de matériel de chaque spm seront mis à quai vendredi 25/11
 -Les RVS sont informés
 -Nous avons contacté les spm pour l’emplacement
 -En cas de problème me contacter</t>
  </si>
  <si>
    <t>le voyant report présence dysfonctionne</t>
  </si>
  <si>
    <t>sol glissant dans la chambre negative</t>
  </si>
  <si>
    <t>2 porte sur CFN dégondées dont une ou l’ouverture fermeture ne fonctionnait plus.ODM fait par AT3 . Travail fini.</t>
  </si>
  <si>
    <t>nous avions une longue alarme froid sur la CF- 
 Température correcte à ce jour mais demande d'intervention pour assurer le bon fonctionnement</t>
  </si>
  <si>
    <t>La premiere porte ne s'ouvre plus que manuellement, le cable a lacher</t>
  </si>
  <si>
    <t>Bug sur la porte qui donne du FL au frais.
 Quand elle s'ouvre elle afiche bien le décompte de 10 seconde avant fermeture puis se ferme, SAUF si on passe par la porte ( il y a un faisceau laser je pense qui empêche la porte de se fermer sur quelqu'un) à ce moment elle se met en défaut et reste ouverte générant une alarme.</t>
  </si>
  <si>
    <t>porte sorti des rails, ne se ferme pas. Urgent svp</t>
  </si>
  <si>
    <t>Température ok -24, mais lumière qui clognote. Tous les ventilateurs ne sont pas actifs dans la chambre froide.</t>
  </si>
  <si>
    <t>Pose de l’affichage report lumineux de la CFN.ODM fait par AT3 . Travail fini.</t>
  </si>
  <si>
    <t>La porte de la chambre ne ferme plus correctement, elle est en biais. Ce qui entraine du degivrage dans la chambre (eau qui coule par terre) + prise en givre des ventilateurs.</t>
  </si>
  <si>
    <t>Girophare d'alarme froid allumé en permanance alors que tout est OK.</t>
  </si>
  <si>
    <t>Prise en glace dans la CF-</t>
  </si>
  <si>
    <t>bruit du tapis insuportable</t>
  </si>
  <si>
    <t>tapis ne fonction pas</t>
  </si>
  <si>
    <t>Le tapis de la caisse 4 ne fonctionne pas .</t>
  </si>
  <si>
    <t>Le tapis de caisse ne fonctionne plus</t>
  </si>
  <si>
    <t>le tapis n'avance plus</t>
  </si>
  <si>
    <t>pc ne se rallume plus voir photo</t>
  </si>
  <si>
    <t>caisse ne se rlume plus</t>
  </si>
  <si>
    <t>Suite au deéplacement et l'agrandissement de l'axe OS cosmétique, il faudrait nous faire déplace la demie lune "offre spéciale et en rajouter une car nous l'avons mis sur deux axes. Si possible nous faire parvenir un habillage orange supplementaire pour mélaminé et bandes de rives.
 Les lumiéres led ne fonctionne pas également.
 merci</t>
  </si>
  <si>
    <t>ne fonctionne plus</t>
  </si>
  <si>
    <t>Depuis le passage des techniciens en S06, les clients ne peuvent plus recharger leurs voitures. Les bornes n'indiquent pas de défaut et ont l'air de fonctionner, mais au moment ou les utilisateurs branchent leurs voitures, le courant n'est pas transmis vers la batterie du véhicule</t>
  </si>
  <si>
    <t>Remplacement des tubes et des plaques autocollantes des destructeurs d’insectes .ODM fait par AT3 . Travail fini</t>
  </si>
  <si>
    <t>Demande pour NETTOYAGE PARKING + RACK A CADDIES en prévision de la visite de Friedrich Fuchs (vendredi 18/02/2022)</t>
  </si>
  <si>
    <t>Les peintres ont mis de la résine au sol dans la baie informatique, ce matin, securité concpet à du entrer dans la salle sans le savoir, la résine était fraîche et du coup j'ai des traces de pas dans le SPM et Réserve qui ne partent pas à l'autolaveuse</t>
  </si>
  <si>
    <t>Vérification à la demande du FM les résidus de saletés sas d’entrée et dans le labo pain RAS.ODM fait par AT3 . Travail fini.</t>
  </si>
  <si>
    <t>Bec verseur du distributeur de gel hydroalcoolique cassée .ODM fait par AT3 . Travail fini.</t>
  </si>
  <si>
    <t>Pose de l’explication de la tablette Léon.ODM fait par AT3 . Travail fini.</t>
  </si>
  <si>
    <t>les clients se plaignent de ne pas pouvoir activer leur carte lidl + et/ou acceder à l'application, en magasin car il n'y a pa s de reseau ni de wifi.</t>
  </si>
  <si>
    <t>Impossible d'entrer dans l'application "congés" un message affiche" maintenance en cours".
 Cet item n'existe pas dans SSP.</t>
  </si>
  <si>
    <t>2 roue desserrées sur charriot inox dans le labo pain.ODM fait par AT3 . Travail fini.</t>
  </si>
  <si>
    <t>impossible de pousser l'étagère à plaque du bas dans les fours</t>
  </si>
  <si>
    <t>Roue cassée sur le rolls de decongelation
 Merci</t>
  </si>
  <si>
    <t>bas du rolls casse</t>
  </si>
  <si>
    <t>Rolls meuble à décongélation deux roues arrière cassées.</t>
  </si>
  <si>
    <t>Plinthe boulangerie cassée
 (Je l'ai fait passer sur "carrelage" car il n' y a pas d'item "plinthe")</t>
  </si>
  <si>
    <t>A la demande du FM: contrôlée et faire des photos de l’éco éclairage de la SV et dans la réserve et en caisse.ODM fait par AT3 .</t>
  </si>
  <si>
    <t>Éclairage des rayonnages viennoiseries HS.recherche de pannes .disjoncteur au TGBT non enclenché .ODM fait par AT3 . Travail fini.</t>
  </si>
  <si>
    <t>Changement de tubes néon ,starters,plaques de glu sur les deux distributeur d’insectes Dans le labo pain. ODM fait par AT3 . Travail fini.</t>
  </si>
  <si>
    <t>la vitrine coule.</t>
  </si>
  <si>
    <t>certains meubles ont des fuites d'eau 
 + alarme froid de prio 1</t>
  </si>
  <si>
    <t>Le prestataire est intervenu suite à un défaut froid
 Nous avons vidé le meuble
 A ce jour, la température est correcte cela dit nous ne savons pas si nous pouvons remplir le meuble ou non
 Nous n'avons aucune consigne du prestataire</t>
  </si>
  <si>
    <t>La vitre a été cassée</t>
  </si>
  <si>
    <t>Nous avons reçu la porte du meuble surgelé, vous pouvez déclencher l'intervention pour son remplacement
 Merci</t>
  </si>
  <si>
    <t>de l'eau coule du meuble
 voir avec le prestataire avant que le compresseur soit défectueux</t>
  </si>
  <si>
    <t>Plus de lien avec BO. L'affichage du thermometre est éteint ce qui crée une alarme active.</t>
  </si>
  <si>
    <t>Le prestataire est intervenu début de semaine mais n'a rien réparé ... 
 Il nous a dit qu'il repasserait le lendemain mais RAS à ce jour 
 Et visite chaine du froid donc item rouge sur ce meuble</t>
  </si>
  <si>
    <t>s'est mis en defaut pendant 16 minutes a 2h44 cette nuit. demande de verification de la vitrine par un technicien</t>
  </si>
  <si>
    <t>Vitrine surg température haute.
 Intervention ce matin sur le meuble, la température ne tiens pas après mise en rayon des produits.
 Adre. 109 Adr. 129</t>
  </si>
  <si>
    <t>doublure vitre brisee tres coupante porte ferme tres mal tres dangereux commence a surgeler URGENT</t>
  </si>
  <si>
    <t>La porte a été changé et le joint a été mal mis ainsi, il y a une prise en glace depuis longtemps
 le prestataire était passé un soir mais a été appelé en astreinte et nous a dit qu'il reviendrait 
 à ce jour, aucunes nouvelles
 et visite RVR ce jour donc relance SVP</t>
  </si>
  <si>
    <t>Aimant sortie de sa gaine joint de porte .ODM fait par AT3 . Travail fini.</t>
  </si>
  <si>
    <t>joint de porte defectueux.</t>
  </si>
  <si>
    <t>porte TG Surg cassée.</t>
  </si>
  <si>
    <t>prise en glace sur porte.</t>
  </si>
  <si>
    <t>Suite à un chagement de porte d'un meuble surg il y a 2 semaines, celle-ci est prise en glace.</t>
  </si>
  <si>
    <t>prise en glace du meuble surgelé après le changement de la vitre cassé.</t>
  </si>
  <si>
    <t>Join de porte déféctueux</t>
  </si>
  <si>
    <t>Début de prise en glace meubles 121 à 125</t>
  </si>
  <si>
    <t>JOINT CASSE</t>
  </si>
  <si>
    <t>Vitre surgélé (Skylight) cassée.</t>
  </si>
  <si>
    <t>Prise en glace dans un meuble surgelé surement dû à un problème d'étanchéité de la porte.</t>
  </si>
  <si>
    <t>en defaut froid depuis 8h (probleme de sonde)</t>
  </si>
  <si>
    <t>Joint de porte defectueux</t>
  </si>
  <si>
    <t>Prise en glace.</t>
  </si>
  <si>
    <t>LE MEUBLE NE PRODUIT PLUS DE FROID TEMPERATURE AFFICHE A -4
 TEMPERATURE A COEUR -10</t>
  </si>
  <si>
    <t>Flaque d'eau tous les matins près d'un meuble surgelé. Surement dû au dégivrage du soir.</t>
  </si>
  <si>
    <t>A la demande du FM: scellé dans un enveloppe et y mettre dedans les clés du coffret vidéo baie info puis la déposer dans le coffre fort et prendre une photo.</t>
  </si>
  <si>
    <t>création badge Malik DM à 4046 
 le numéro étant sur l'ancienne DI sans photo
 Merci</t>
  </si>
  <si>
    <t>Nous avons des nouveaux salariés qui n'ont pas accès aux sociaux 
 Jennifer BARTHELET (retour de congé mat)
 Kevin LITZLER
 Laura MONTAC (retour de congé mat)
 Pinar METE (mutation)
 est-il possible de faire intervenir le prestataire svp ? 
 Et je pense que les caméras ne fonctionnent pas</t>
  </si>
  <si>
    <t>Serrure sur la petite armoire électrique HS dns le local info.ODM fait par AT3 .</t>
  </si>
  <si>
    <t>Remplacer le coffret clés au bureau</t>
  </si>
  <si>
    <t>Bonjour, 
 Jai perdu mon badge d'accès locaux encadrant, pouvez-vous me configurer le badge ci-joint svp.
 numéro badge : 0001214759284
 Nom : UCMAZ
 Prénom : DEnis
 Poste : AMG</t>
  </si>
  <si>
    <t>1 badge a passer en mode "encadrant" (mise sous alarme, porte de quai etc..). n° de badge : 0001215445988. Nom: Boukraa Mohamed
 Fonction: responsable de supermarché.</t>
  </si>
  <si>
    <t>Bonjour, 
 il nous faudrait 2 clés du supermarché:
 1 pour le responsable du supermarché : Boukraa Mohamed (clé cassée)
 1 pour la CCA Brander Cathy car clé perdue.</t>
  </si>
  <si>
    <t>Bonjour,
 pouvez vous activer ces badges en urgence pour les accés locaux svp. Il s'agit de badges noirs a 10 chiffres ainsi que des badges a fond blanc a 9 chiffres qu'il faudrait configurer.
 -BADGES NOIRS A 10 chiffres:
 FEUGEY Ludovic . Encadrant : 1214736804
 BA Khady : EP : 1652253738
 WANDER Mike: EP: 1652215610
 MAKIWA Cynthia: EP : 1591578692
 -BADGES BLANCS A 9 CHIFFRES:
 DREWS Cassandra: EP: 996717028
 TAHERJOUYAN Fatemeh: EP: 997984164
 DAAM Rabia: EP: 904378666
 JADALLAH Khalil: EP: 998494948
 PETER Rachel: EP: 997797236</t>
  </si>
  <si>
    <t>La porte d'accès sociaux ne s'ouvre plus avec les badges.</t>
  </si>
  <si>
    <t>VENTE CODE ASAISON Surveillance de la nuit du 28 avril 2022. Travaux d'implantation saisonnière</t>
  </si>
  <si>
    <t>VENTE CODE SAISON Surveillance de la nuit du 14 juin 2022. Travaux d'implantation saisonnière</t>
  </si>
  <si>
    <t>Éclairage rampe leds hs.ODM fait par AT3 . Travail fini.</t>
  </si>
  <si>
    <t>Pose de l’affichage sur la borne ABB.ODM fait par AT3 . Travail fini</t>
  </si>
  <si>
    <t>tuyau d'eau pour remplir l'auto laveuse cassé trop court pour etre utilisé</t>
  </si>
  <si>
    <t>À la demande de la DR : vérification des câblage de l’éclairage VVP.ODM fait par AT3 . Travail fini.</t>
  </si>
  <si>
    <t>La vitre de la VVP en TG arrière est cassé</t>
  </si>
  <si>
    <t>Vitre mal paramétrée. elle ne s'ouvre plus correctement et elle pousse la vitre d'à côté.</t>
  </si>
  <si>
    <t>code eurreur fatal 9023
 le service client nous a dit que nous avons besoins de la clef du coffre pour resoudre le probleme, le coffre est en attendant inutilisable.
 urgent</t>
  </si>
  <si>
    <t>Lors du ramassage de fond avec les convoyeurs le tiquet recap nest pas sorti ce qui a engendrer une mauvaise edition coffre.</t>
  </si>
  <si>
    <t>le bouton code ne s'allume plus et donc impossible d'ouvrir la porte pour recuperer pochette convoyeurs</t>
  </si>
  <si>
    <t>lors des ramassage de fond avec les convoyeurs, le tiquet du ramassage de sac de prelevement ne sort pas, et le coffre auto ne se ramet pas a jour, ce qui engendre une édition coffre a plus 66....</t>
  </si>
  <si>
    <t>momtant du sac verser au convoyeur non retirer du coffre, ce qui donner une fausse edition coffre</t>
  </si>
  <si>
    <t>ecran se fige, obligé de debrancher et rebrancher pour quil redemarre</t>
  </si>
  <si>
    <t>pieces bloqué impossible a sortir</t>
  </si>
  <si>
    <t>URGENT
 L'écran s'affiche noir, nous avons de tres grosses difficultées à récupérer les caisses.</t>
  </si>
  <si>
    <t>Nous avons un problème avec le coffre
 Le technicien de la société est intervenu et nous a demandé de faire intervenir un electricien (voir rapport Glory) 
 Le sac est rempli à + de 100% et nous rencontrons des problèmes de prélèvement</t>
  </si>
  <si>
    <t>Suite au passage de l electricien, 
 merci de missionner EN urgence l alarmiste pour le coffre.
 et le système video surveillance est deconnecté -et badge salarié à creer
 URGENT</t>
  </si>
  <si>
    <t>Clavier ne répond plus et quand il fonctionne impossible de prendre une caisse.
 URGENT !</t>
  </si>
  <si>
    <t>URGENT le coffre est bloque 
 le service assistance souhaite la cle dallas 
 nous ne pouvons pas cloturer - donner de caissons etc ...</t>
  </si>
  <si>
    <t>nous avons loupé les convoyeurs et le sac est rempli
 est-il possible d'obtenir un double de la clé dallas svp car nous avons un problème avec le coffre avec un écart de 66 760€ car informatiquement l'ancien sac n'est pas versé</t>
  </si>
  <si>
    <t>Beug souvent s'arrete tout seul on est obligé de le rallumer une inspection et a faire d'urgence svp merci.</t>
  </si>
  <si>
    <t>COFFRE BLOQUE CF PHOTO</t>
  </si>
  <si>
    <t>Remplacer par at2 le coffret clés du bureau</t>
  </si>
  <si>
    <t>coffre inutilisable</t>
  </si>
  <si>
    <t>COFFRE HS, LA PARTIE BILLETS NE REPONDS PLUS.
 J AI ARRETE PUIS REDEMARRE, DEBRANCHE PUIS REBRANCHE MAIS CA NE FONCTIONNE TJS PAS. 
 IMPOSSIBLE DE DEVERROUILLER POUR POUVOIR ACCEDER A L INTERIEUR DU COFFRE EGALEMENT.</t>
  </si>
  <si>
    <t>Le coffre automatique ne prend plus les billets lors des prélevements, les billets se bloque tous. 
 Après avoir décoincer tout les billets bloquer un test à était refais mais le problème persiste le coffre auto n'accepte pas les billets lors des prélevements.</t>
  </si>
  <si>
    <t>Aucune interaction possible avec le coffre automatique</t>
  </si>
  <si>
    <t>Le coffre est inutilisable : message d'erreur lors de l'autotest "automate actuellement occupé..."</t>
  </si>
  <si>
    <t>2 neons HS</t>
  </si>
  <si>
    <t>Pouvez- vous mettre un capteur poiur l'éclairage en milieu de reserve..merci</t>
  </si>
  <si>
    <t>L eclairage reserve cote quai ne fonctionne plus defaut détecteur présence</t>
  </si>
  <si>
    <t>* LES LUMIERES S ETEIGNENT TROP RAPIDEMENT DANS LA RESERVE !
 PEUT ETRE MANQUE T IL DES CAPTEURS ?
 CAR NOUS NOUS RETROUVONS DANS LE NOIR ET NOUS DEVONS FAIRE PLUSIEURS METRES POUR DECLANCHER LA LUMIERE.
 LES TECHNICIEN NE PEUVENT INTERVENIR CORRECTEMENT.
 DE PLUS RISQUE DE CHUTES DU PERSONNEL TRAVAILLANT DANS LA RESERVE: BALLE, RETOUR NF, SAISIE DES PERTES ETC....</t>
  </si>
  <si>
    <t>Porte bloqué en position ouverte</t>
  </si>
  <si>
    <t>Porte d'entrée HS</t>
  </si>
  <si>
    <t>Porte d'entrée (sas ascenseur) qui grince énormement.</t>
  </si>
  <si>
    <t>porte ne s'ouvre\ferme pas, porte sorti du rail.</t>
  </si>
  <si>
    <t>boitier de commande de la porte hs la porte ne se ferme plus.</t>
  </si>
  <si>
    <t>Clé cassée dans le barillet.</t>
  </si>
  <si>
    <t>Porte automatique entrée (après ascenseur) ne fonctionne pas.</t>
  </si>
  <si>
    <t>Une deuxième porte automatique d'entrée du supermarché ne fonctionne pas. porte coté ascenseur)</t>
  </si>
  <si>
    <t>La porte automatique d'entrée du supermarché ne fonctionne pas. Elle fonctionne pour entrer mais pas pour sortir (surement un problème de capteur)</t>
  </si>
  <si>
    <t>le joint de la porte est decolle se qui provoque une prise en glace. cf photo. intervention urgente. armoire surgele ref Adr:109 / Adr :129</t>
  </si>
  <si>
    <t>La porte ne se ferme pas entièrement et le joint est abimé</t>
  </si>
  <si>
    <t>alarme froid
  pas de liaison sur le meuble</t>
  </si>
  <si>
    <t>La porte du meuble frais ne se ferme pas correctement</t>
  </si>
  <si>
    <t>meuble a 6 degres alors que la vitre est fermé. ventilateur fait du bruit</t>
  </si>
  <si>
    <t>Pas à température</t>
  </si>
  <si>
    <t>temperature alarme haute dry cooler. technicien deja sur place</t>
  </si>
  <si>
    <t>Défaut compresseur sur un meuble frais 
 donc sinistre frais</t>
  </si>
  <si>
    <t>frigo monte a 11 degres</t>
  </si>
  <si>
    <t>temperature trop basse -4,6</t>
  </si>
  <si>
    <t>temperature trop basse -3,5</t>
  </si>
  <si>
    <t>suite au passage d'EPTA le 5/07/2022, manque de charge sur le meuble 7 
 En attente d'intervention 
 vu avec technicien AXIMA 
 (le SPM ne fait que de faire des sinistres ... toutes les semaines ... )</t>
  </si>
  <si>
    <t>défaut froid 
 alarme température haute</t>
  </si>
  <si>
    <t>Meuble frais monté en température à 13° le 29/06/22 à 19h04.
 Sinistre déclaré le 30/06/22
 Axima contacté le 30/06/22 à 10h30</t>
  </si>
  <si>
    <t>Alarme froid déclenchée il y a 18min, 
 Meuble froid Action gauche, 
 Suite à panne mardi soir, intervention ce matin pour changement de pièce, 
 Le meuble est actctuellment à 7,8°C
 Axima prévenu par téléphone</t>
  </si>
  <si>
    <t>Pb compresseur</t>
  </si>
  <si>
    <t>mmeuble frais HS</t>
  </si>
  <si>
    <t>Remplacement compresseur
 techniciens sur place</t>
  </si>
  <si>
    <t>PB COMPRESSEUR</t>
  </si>
  <si>
    <t>le ventilateur du meuble est probablement pris en glace 
 c'est la 4e fois (au moins) que le prestataire intervient pour ce meuble</t>
  </si>
  <si>
    <t>toujours la prise en glace qui fait du bruit
 le prestataire est venu 5 fois je crois
 et nous en avons marre de vider le frigo à chaque fois ... 
 et, BONNE ANNEE 2023 !!</t>
  </si>
  <si>
    <t>la porte ne se ferme pas completement</t>
  </si>
  <si>
    <t>Alarme déclenchée pendant plus d'une heure, plusieurs fois hier. Sonde et meuble à vérifier, température actuelle 3,5°C.</t>
  </si>
  <si>
    <t>L'affichage est HS, ainsi il est impossible de connaitre la température, sauf avec un contrôle thermomètre</t>
  </si>
  <si>
    <t>Nous avons une alarme froid 15 minutes après le départ du technicien
 Les numéros des meubles ne correspondent pas 
 Et, nous n'avons pas de plan synoptique pour nous référer aux équipements frigorifiques</t>
  </si>
  <si>
    <t>le meuble fait beaucoup de bruit dans le magasin. un intervenant est deja venu la semaine précédente mais le probleme persiste.
 ventilateur probablement pris en glace</t>
  </si>
  <si>
    <t>Meuble qui fait du bruit probablement du a une prise en glace. Prestataire deja intervenu semaine derniere.</t>
  </si>
  <si>
    <t>le meuble fait à nouveau beaucoup de bruit 
 probablement une prise en glace du ventilateur
 le prestataire est déjà intervenu 2 fois pour ce meuble, il y a quelques semaines</t>
  </si>
  <si>
    <t>le meuble fait un bruit, comme si la résistance tremblait et qu'il allait bientot lâcher 
 URGENT SVP</t>
  </si>
  <si>
    <t>prise en glace de la ventilation du meuble qui fait beaucoup de bruit
 URGENT
 le prestataire est déjà intervenu milieu de semaine pourtant</t>
  </si>
  <si>
    <t>alarme froid de priorité 1 déclenché
 meuble à températures, vérifié à plusieurs reprises
 demande d'intervention car meuble pour lequel le prestataire est déjà intervenu 2 fois en 10 jours</t>
  </si>
  <si>
    <t>Fuites d'eau le long du frais sur plusieurs axes.</t>
  </si>
  <si>
    <t>eclairage hs</t>
  </si>
  <si>
    <t>Température meuble 12 degrés.</t>
  </si>
  <si>
    <t>température meuble 12 degrés.</t>
  </si>
  <si>
    <t>Température meuble 12 degrés</t>
  </si>
  <si>
    <t>Tous les meuibles frais fuient.</t>
  </si>
  <si>
    <t>Suite au passage du préventeur chaine du froid, il manque l'affichage visible des températures sur les meubles frais.</t>
  </si>
  <si>
    <t>Axima a éteint deux meubles frais le 29/08 car prise en glace. Ils sont passé hier (30/08) en fin d'après midi pour le rallumer maisd aujourdui ils sont à 14 degrés.</t>
  </si>
  <si>
    <t>Eclairage hs sur 11 meubles frais ( tous les fusibles sont relevés)
 (Impossible de prendre photo car bug MOBI)</t>
  </si>
  <si>
    <t>Les meubles frais fuient énormement, pourriez-vous nous envoyer quelqu'un pour les vider svp. merci</t>
  </si>
  <si>
    <t>l'eau coule au niveau des armoires produits frais depuis longtemps , cest dangereux en été pour les clients , il est nécessaire de jeter un oeil</t>
  </si>
  <si>
    <t>fuite du meuble</t>
  </si>
  <si>
    <t>Meuble frais qui fuit.</t>
  </si>
  <si>
    <t>éclairage hs.</t>
  </si>
  <si>
    <t>bruit du ventilateur et temperature eleve en haut et instable</t>
  </si>
  <si>
    <t>température trop haute.</t>
  </si>
  <si>
    <t>Température trop haute.</t>
  </si>
  <si>
    <t>Fuite d'eau au niveau de plusieurs meuble frais.</t>
  </si>
  <si>
    <t>Eclairage HS</t>
  </si>
  <si>
    <t>Lumière meubles frais HS (nous devons relever le fusible tous les matins dans le local TGBT)</t>
  </si>
  <si>
    <t>Eclairage hs sur 21 meubles frais. (Tous les fusibles sont relevés dans le local TGBT)</t>
  </si>
  <si>
    <t>fuite, un danger pour la clientele</t>
  </si>
  <si>
    <t>Fuite d'eau au sol</t>
  </si>
  <si>
    <t>2 réglettes de portes sur aimant arrachée( percée et riveter).ODM fait par AT3 .</t>
  </si>
  <si>
    <t>* La climatisation fait un énorme bruit en SPM
 Le DR est passé l'année dernière afin de mentionner le même problème
 il risque de passer vendredi avec M. SOLOFRIZZO 
 (j'en ai discuté vendredi à la réunion avec Ali) - KN voir avec ALi</t>
  </si>
  <si>
    <t>A la demande du FM: couper l’alimentation du rideau air chaud froid.ODM fait par AT3 . Travail fini.</t>
  </si>
  <si>
    <t>Photo des gaines</t>
  </si>
  <si>
    <t>possibilité d'augmenter la consigne de chauffage ?</t>
  </si>
  <si>
    <t>Il fait tellement chaud à l'intérieur du SPM que lorsque nous remplissons du frais ou du surgelé, certaines alarmes chaine du froid se déclenchent</t>
  </si>
  <si>
    <t>la clim fonctionne partielement .</t>
  </si>
  <si>
    <t>la clim fonctionne partiellement</t>
  </si>
  <si>
    <t>Purge du robinet de puisage pour l’hiver.ODM fait par AT3 . Travail fini.</t>
  </si>
  <si>
    <t>Bouton d'appel hs au niveau -1</t>
  </si>
  <si>
    <t>Bonjour, il faudrait des piles pour la télécommande des SCO.</t>
  </si>
  <si>
    <t>Fabrication de 2 angles métalliques pour 2 tablette face aux caisses.ODM fait par AT3 .</t>
  </si>
  <si>
    <t>il fait très chaud en SPM</t>
  </si>
  <si>
    <t>Suite à l’audit.enlever les cartons contenant les filtre de CTA dans le local CTA .laisser les filtres dans le local et jeté les cartons à la poubelle .ODM fait par AT3 . Travail fini.</t>
  </si>
  <si>
    <t>Éteindre les chauffages d appoint et installer les affiche arrêtez préfectoral .</t>
  </si>
  <si>
    <t>Fuite d'eau au niveau de la chambre froide frais (photo indisponible car impossible avec mde car carte SD indisponible).</t>
  </si>
  <si>
    <t>Chambre froide positive (frais) innondée (fuite d'eau du plafond), le technicien est passé hier soir ( 29/08) mais rien ne change.
 Il a également éteint 2 meubles frais car prise en glace, toujours en attente du redemarrage des meubles.</t>
  </si>
  <si>
    <t>Chanbre froide positive (frais) fuit au niveau du plafond. Température ok.</t>
  </si>
  <si>
    <t>Fuite d'eau du plafond dans la chambre froide frais. D'aprés axima c'est la climatisation au dessus de la chambre qui n'a pas été raccordée au bon endroit.</t>
  </si>
  <si>
    <t>ouverture et fermeture automatique hs car sangle crantée coupée.</t>
  </si>
  <si>
    <t>courroie sectionné</t>
  </si>
  <si>
    <t>la porte ne se ferme plus automatiquement</t>
  </si>
  <si>
    <t>la temperature en magasin est trop haute</t>
  </si>
  <si>
    <t>temparature magasin trop elever</t>
  </si>
  <si>
    <t>il fait trop chaud dans le magasin!
 impossible de travailler, les salariés se plaignent!</t>
  </si>
  <si>
    <t>bonjour, 
 il fait tres chaud dans le magasin , pouvez vous remedier merci .</t>
  </si>
  <si>
    <t>mise en fonctionnent des rideau d air chaud sas entree le rideau souffle de l air froid</t>
  </si>
  <si>
    <t>La lumière du SPM ne s'allume qu'à 8h40</t>
  </si>
  <si>
    <t>Bonjour, nous vous demandons de bien vouloir intervenir sur la borne de recharge SCHNEIDER (LFR4047EVCP02) suite à un défaut constaté sur le site Has to be. Merci d'avance.</t>
  </si>
  <si>
    <t>Bonjour, nous vous informons que la borne de recharge SCHNEIDER LFR4047EVCP02 (n° série 3N214020502H1S1B7551700017) est en défaut.
 Merci d'intervenir pour la réparation et de programmer un reboot journalier si ce n'est pas déjà fait.</t>
  </si>
  <si>
    <t>lumière rouge</t>
  </si>
  <si>
    <t>roule uns fois sur deux</t>
  </si>
  <si>
    <t>Support bande de rives déboité ( à visser)</t>
  </si>
  <si>
    <t>un caisson avec monnaie est coincé dans la caisse, impossible de le sortir car celle ci ne s'allume plus. ni l'écran, ni le scanner ni le tpe ne fonctionnent , tout reste éteint malgré nos tentatives.
  -&gt; problème électrique</t>
  </si>
  <si>
    <t>Tapis de caisse grince et fonctionne 1 fois sur 2</t>
  </si>
  <si>
    <t>la porte ne se ferme plus. urgent.</t>
  </si>
  <si>
    <t>PORTE CAISSE 6 A REMPLACER</t>
  </si>
  <si>
    <t>Balance HS
 Après plusieurs tentative de résoudre le problème la balance ne fonctionne toujours pas.</t>
  </si>
  <si>
    <t>balance non initialisable de la caisse numero 2</t>
  </si>
  <si>
    <t>2 caissons argent cassés. ne ferme plus</t>
  </si>
  <si>
    <t>Le tapis de caisse ne tourne plus
 J'ai déjà essayer de tourner le bouton On/Off + Débrancher/Rebrancher la prise du tapis
 URGENT : 2ème caisse espèce HS !</t>
  </si>
  <si>
    <t>le scanner de la caisse 2 ne fonctionne plus ni le petit scan pour scanner la carte lidl plus</t>
  </si>
  <si>
    <t>photos tables de caisses.</t>
  </si>
  <si>
    <t>Balance H.S</t>
  </si>
  <si>
    <t>lecteur lidl plus hs</t>
  </si>
  <si>
    <t>le caisse caisse bloquer</t>
  </si>
  <si>
    <t>ecran ne fonctionne pas</t>
  </si>
  <si>
    <t>La balance de la caisse n'arrete pas de beuger. meme apres avoir redémarré la caisse a plusieurs reprises.</t>
  </si>
  <si>
    <t>2 caissons qui ne se ferment plus 
 voir photos jointes 
 numero de serie des deux caissons dans les photos</t>
  </si>
  <si>
    <t>nous avons eu la visite du service des eaux de la ville de Delle qui nous signale que nous avons une énorme fuite d'eau avec 1000m3 d'eau de consommation depuis quelques jours 
 URGENT car ils veulent couper l'eau du SPM 
 (voir avec Malik au 0695366607) car en déplacement cet AM</t>
  </si>
  <si>
    <t>SOUS GARANTIE : on nous signale une fuite d'eau dans la surface de vente au dessus des produits de lave-vaisselle.
 merci d'intervenir dans le cadre de la garantie.
 numéro de téléphone du magasin si besoin : 03 63 78 01 17</t>
  </si>
  <si>
    <t>FM : Vérifier si le bac à piles se trouve sur l’étagère. Si non, il faut baisser l’étagère et mettre le bac dessus. Photos en PJ</t>
  </si>
  <si>
    <t>FM : Veuillez trouver ci-joint la feuille de synthèse des observations suite au passage du bureau Véritas pour l’année 2023. Nous vous demandons de bien vouloir lever les observations dans les meilleurs délais et de nous retourner dès l’intervention terminée le(s) document(s) complété(s), signé(s) et cacheté(s) par vos soins. Cordialement. ELEC.</t>
  </si>
  <si>
    <t>FM : Les bornes sont sous tension mais sont défectueuses. Les clés ne sont pas présentes en supermarché.</t>
  </si>
  <si>
    <t>URGENT POINT DE SECURITE = RISQUE DE CHUTES 
 il y a une FORTE fuite au plafond dans le sas de reserve du FL
 certainement dû au systeme de climatisation du sas FL . 
 CF PHOTOS CI JOINTES 
 merci d'intervenir rapidement</t>
  </si>
  <si>
    <t>FM : merci d'intervenir suite au rapport de la télésurveillance, un défaut froid de 5h dimanche.</t>
  </si>
  <si>
    <t>*La voix annonce l'ouverture du SPM à 8h45 quand celui-ci est déjà ouvert ... donc problème de paramètrage</t>
  </si>
  <si>
    <t>FM : merci d'intervenir, Vi2Vi n'a pas accès aux serveurs à distance pour procéder à la mise à jour. Il est obligatoire lors de l'intervention de contacter Vi2Vi afin de s'assurer que tout est ok.</t>
  </si>
  <si>
    <t>FM : check-list : merci d'intervenir sur le problème de fermeture des deux portes grillagées du local matériel (intervention à mutualiser).</t>
  </si>
  <si>
    <t>FM : check-list : merci d'intervenir pour la redresser le auvent du quai.</t>
  </si>
  <si>
    <t>FM : Nettoyage vitres basses - Module 7 - S28. Joindre impérativement les checklistes.</t>
  </si>
  <si>
    <t>FM : A mutualiser avec une autre intervention dans ces 4 SPM : activer le badge d’Hélène Chillet (n° badge honeywell 1000602358 et siemens (finit par 58196).</t>
  </si>
  <si>
    <t>FM : Nettoyage vitres hautes - Module 7 - S30. Joindre impérativement les checklistes.</t>
  </si>
  <si>
    <t>FM Merci d'intervenir sous le cadre de la garantie, pour le BSO qui n'est plus fixe vois photos envoyées par mail</t>
  </si>
  <si>
    <t>FM : merci d'intervenir le détecteur de présence individu à l'intérieur de la CF ne fonctionne pas.</t>
  </si>
  <si>
    <t>FM : check-list : merci d'intervenir pour fixer une marche de l'escalier, voir photo (intervention à mutualiser).</t>
  </si>
  <si>
    <t>FM : merci de nous faire parvenir 5 badges chauffeur.</t>
  </si>
  <si>
    <t>FM : Nettoyage parc à chariots - Module 12 - S28. Joindre impérativement les checklistes.</t>
  </si>
  <si>
    <t>FM ECO ECLAIRAGVE : Merci de mettre en place le mode éco éclairage suivant mode opératoire en PJ.</t>
  </si>
  <si>
    <t>FM : merci d'intervenir pour séparer le disjoncteur 230 v de la ligne BSO.</t>
  </si>
  <si>
    <t>FM : Suite mail de Mme EL HAIK, merci d’être présent le 25-04-2022 à 18h00 pour le MES du régulateur de tension. Vous trouverez ci-dessous les coordonnées de M Antoniol de la société SA3I qui est en charge de cette MES. Il faudra les accompagner sur les points suivants : qui nous accueillera vers 18H pour faire nos essais sur la machine sans coupure électrique, qui nous autorisera à couper l’alimentation électrique du magasin, qui devra vérifier que tout est bien redémarrer après la coupure. Merci de me confirmer votre présence.</t>
  </si>
  <si>
    <t>FM : suite au rapport de la télésurveillance, merci d'intervenir suite à un défaut froid cette nuit.</t>
  </si>
  <si>
    <t>FM : Nettoyage selon module 7 Vitres basses S39.</t>
  </si>
  <si>
    <t>FM : Suite audit, la porte coupe feu se ferme sans raison.</t>
  </si>
  <si>
    <t>FM : suite rapport télésurveillance, un défaut froid cette nuit de plus de 5h.</t>
  </si>
  <si>
    <t>FM : merci d'intervenir suite à un défaut froid de plus de 3h cette nuit.</t>
  </si>
  <si>
    <t>FM : merci d'intervenir suite à des alarmes froid cette nuit.</t>
  </si>
  <si>
    <t>FM Merci d'intervenir sous le cadre de la garantie pour une porte automatique qui ne fonctionne pas correctement</t>
  </si>
  <si>
    <t>FM : merci de poser les housses de protection des RIA et des extincteurs</t>
  </si>
  <si>
    <t>FM : Suite audit, 1 cache TPE manquant.</t>
  </si>
  <si>
    <t>FM Merci d'intervenir pour modifier le brassage</t>
  </si>
  <si>
    <t>FM : merci d'intervenir pour remettre en place un bloc de pierre qui est sur le parking</t>
  </si>
  <si>
    <t>FM : merci d'intervenir suite à un défaut froid de 20 mns cette nuit.</t>
  </si>
  <si>
    <t>FM : Nettoyage vitres basses - Module 7 - S15. Joindre impérativement les checklistes.</t>
  </si>
  <si>
    <t>FM Merci d'intervenir pour la porte de quai qui n'est plus sous alarme</t>
  </si>
  <si>
    <t>toilettes du personnel bouché (wc hommes et femmes)</t>
  </si>
  <si>
    <t>FM : merci d'intervenir après le 13/02/23 pour couper l'ancienne sonnerie téléphonique suite au passage de la téléphonie en MOBI.</t>
  </si>
  <si>
    <t>FM : distributeur d’essuie main à retirer</t>
  </si>
  <si>
    <t>FM : Problème de disjoncteur centrale d'alarme</t>
  </si>
  <si>
    <t>FM : merci d'intervenir pour le nettoyage devant le quai. Attention vous aurez besoin d'un Karcher, il y a beaucoup de boue. Une entreprise de terrassement est intervenue et il y a eu une rétention d'eau stagnante pendant plusieurs semaines. Intervention à mutualiser.</t>
  </si>
  <si>
    <t>GARDIENNAGE : Problème de mise sous alarme</t>
  </si>
  <si>
    <t>FM : Il y a un des défauts de production dans les SPM suivants : Valdahon (sous garantie), Delle (sous garantie), Montbéliard (sous garantie), Sélestat et Eckbolsheim. Merci d'intervenir</t>
  </si>
  <si>
    <t>FM : Suite courrier mairie, une fuite importante a été constaté après le compteur d'eau qui alimente le SPM. Merci de vérifier.</t>
  </si>
  <si>
    <t>FM Merci d'intervenir sous le cadre de la garantie pour 1 report de défaut Calpeda dans le bureau, il n'est pas relié et il est sur OFF, dans le placard surpresseur dans les sociaux pas d'équipements??</t>
  </si>
  <si>
    <t>FM : PDR : : installer 1 alimentation pour Photomaton dans le SAS d’entrée (travaux identiques à Baume ou Mulhouse), l’appareil sera installé devant la vitrine côté sortie (et non pas côté meuble tri). Installation dans goulotte grise.
 Echéance : 24/06</t>
  </si>
  <si>
    <t>FM Merci d'intervenir sous le cadre de la garantie pour une recherche de fuite toiture, dalle de FP humide en V2 voir photo+ reprise fuite descente EP en réserve ( déjà missionné debut de semaine)</t>
  </si>
  <si>
    <t>La porte entre la chambre FL et chambre Frais est déféctueuse suite à un coup. 
 Celle-ci fonctionne car elle s'ouvre et se ferme mais les portes battantes vont bientôt tomber car la fixation ne tient plus beaucoup</t>
  </si>
  <si>
    <t>FM : Intervention sur la porte métallique accès sociaux de la SV et la porte accès sociaux vers réserve .</t>
  </si>
  <si>
    <t>FM Merci de créer le badge envoyé par mail</t>
  </si>
  <si>
    <t>FM : merci de vérifier les installations PV suite aux orages (grêle). Vérifier en priorité les magasins du 25-90-68.</t>
  </si>
  <si>
    <t>FM : Nettoyage Module 8 Vitres haute selon planning Juillet S30.</t>
  </si>
  <si>
    <t>FM : Pas de visuel sur les caméras de vidéosurveillance.</t>
  </si>
  <si>
    <t>FM Merci d'intervenir sous garantie, pour une fuite sur le surpresseur, voir mail envoyé ce jour e 05-01-2023 à Yannick Burckbuchler</t>
  </si>
  <si>
    <t>FM : présence d'eau au sol au niveau des frites (concerne les skylight)</t>
  </si>
  <si>
    <t>FM : merci d'intervenir suite au rapport de Cythelia ci-joint : informations manquantes</t>
  </si>
  <si>
    <t>FM : Ce SPM a son routeur Bouygues qui coupe toutes les nuits, il doit être mal branché. Intervenir pour corriger les branchements électriques.
 Tout doit être sur le courant ondulé.</t>
  </si>
  <si>
    <t>FM : merci d'intervenir sous garantie. Pas de données transmises les dimanches et la nuit. Les prises ne sont pas alimentés en permanence.</t>
  </si>
  <si>
    <t>FM : merci d'intervenir, une prise fume lorsque l'on débranche le tire-palettes.</t>
  </si>
  <si>
    <t>pour securité concept
 inscription badge 1591487876 en cadre, NEYMEYER Helene</t>
  </si>
  <si>
    <t>FM Merci d'intervenir pour brasser et connecter le téléphone fixe du magasin voir pièce jointe</t>
  </si>
  <si>
    <t>pour securité concept : 
 Autorisation pour badge 996905540 badge CADRE
 Fatima Frikess RVS</t>
  </si>
  <si>
    <t>FM: Nous souhaitons un surveillant pour le 05/07/2022. Merci de nous transmettre une confirmation par mail.</t>
  </si>
  <si>
    <t>FM : merci d'intervenir pour remplacer un piège cassé en réserve côté porte de quai.</t>
  </si>
  <si>
    <t>FM : Demande d'extraction vidéos. Date : 03/06/2023 - Horaires : de 11h23 à 11h33 - Zones : Caisse n°7 / Sortie supermarché / Parking.</t>
  </si>
  <si>
    <t>FM : merci d'intervenir suite au rapport de la télésurveillance, un défaut froid cette nuit de 20 mn.</t>
  </si>
  <si>
    <t>FM : merci d'intervenir suite à un défaut froid.</t>
  </si>
  <si>
    <t>FM : Les onduleurs ont été détectés mais l'installation n'est pas en service car il y a un problème de différentiel. URGENT</t>
  </si>
  <si>
    <t>FM : Il y aura une modification des horaires à compter du 1er juin : on ouvre le dimanche de 9h à 12h. Merci d'intervenir en S22 pour remplacement des informations horaires sur le totem.</t>
  </si>
  <si>
    <t>FM : URGENT le coffre est offline et le SPM ouvre ce dimanche.</t>
  </si>
  <si>
    <t>FM : merci d'intervenir suite à l'intervention de l'alarmiste sur la porte d'accès aux sociaux. Le fusible de la gâche a été remplacé. C'est la gâche qui est cassée.</t>
  </si>
  <si>
    <t>FM Merci d'intervenir pour plusieurs fuites en toiture, voir mail envoyé ce jour le 05-01-2023</t>
  </si>
  <si>
    <t>FM : gâche électrique de la porte d’accès aux locaux sociaux HS.</t>
  </si>
  <si>
    <t>FM Merci d'intervenir sous le cadre de la garantie pour des i,filtrations d'eau à travers la fenêtre dans les locaux sociaux + 1 BSO sur le mur rideau qui ne descend pas voir photos</t>
  </si>
  <si>
    <t>FM: PEPINIERES : - S19 – S20 : Installer les barrières mardi 09/05 dans les SPM 204-3713-4046-4116 selon plans en PJ // Récupérer les 53 barrières le lundi 22/05 et les restituer à Kiloutou Geispolsheim. Merci de prendre un RPS pour chaque SPM.</t>
  </si>
  <si>
    <t>FM : Opération pépinière du 10/05 au 20/05, l'accès des clients se fera par l'IS arrière caisse. Intervenir le 09/05 pour désactiver l'alarme jour sur l'IS et réintervenir le 22 mai pour réactiver l'alarme.</t>
  </si>
  <si>
    <t>FM : suite check-list : cylindre 7x7 à installer sur les portillons donnant accès sur le côté du mag.</t>
  </si>
  <si>
    <t>FM : suite rapport télésurveillance, merci d'intervenir suite à un défaut froid de plus de 7h cette nuit.</t>
  </si>
  <si>
    <t>FM : suite rapport télésurveillance, merci d'intervenir suite à un défaut froid de 58 mns cette nuit.</t>
  </si>
  <si>
    <t>FM : merci d'intervenir suite rapport de la télésurveillance, plusieurs défauts froid.</t>
  </si>
  <si>
    <t>La climatisation fait un drôle de bruit au niveau des meubles frais</t>
  </si>
  <si>
    <t>VENTE Divers RMR 
 A faire pour le 03/05/2023 Monter une structure bois pour bâches 4m/1m et mettre la bâche à récupérer en DR côté PEPINIERE.
 - Tout retirer le 12/05/2023 la bâche ainsi que la structure. 
 Merci</t>
  </si>
  <si>
    <t>VENTE Divers RMR, en même temps que le retrait de la bâche pépinière.
 -3713 Munster : La place pour l’EP de Cristalline + l'IMS qui suis
 4046 Delle :La place pour l’EP de Cristalline 
 Le remplacement du tableau de briefing 
 La màj des panneaux frais
 La màj des clips et aimants panneaux VVP</t>
  </si>
  <si>
    <t>FM : suite check-list : Coin de la tablette en arrière caisse : à raboter ou poser une petite tôle d’angle.</t>
  </si>
  <si>
    <t>FM : suite check-list AT : merci de ranger le tuyau d'arrosage.</t>
  </si>
  <si>
    <t>FM :check-list : merci de changer les dalles humides dans le labo pain.</t>
  </si>
  <si>
    <t>Ne fonctionne pas et nous n'avons pas le bouton afin de l'allumer ou de l'éteindre manuellement, comme dans d'autres SPM
 VOL ce jour par l'entrée du SPM</t>
  </si>
  <si>
    <t>FM Merci d'intervenir sous le cadre de la garantie pour verifier les prises posées dans le local PV sont bien sur le courant continu et non sur le 1/3</t>
  </si>
  <si>
    <t>FM Merci d'intervenir sous le cadre de la garantie pour les enrochements sur le talus qui sont tombés en bas du quai voir photo jointe</t>
  </si>
  <si>
    <t>FM Merci d'intervenir sous le cadre de la garantie, pour un candélabre installé de travers ( 1 lampe éclaire les EV) + la coupure d'urgence pompier pour le PV qui est allumé en rouge voir les photos en pièces jointes</t>
  </si>
  <si>
    <t>FM : suite rapport télésurveillance, merci d'intervenir suite à un défaut de plus de 16h ce week-end.</t>
  </si>
  <si>
    <t>Nous n'avons plus de signal sonore concernant l'annonce de la fermeture 
 Très problématique les soirs et surtout les dimanches pour informer la clientèle que nous fermons le SPM</t>
  </si>
  <si>
    <t>1 Borne de recharge pour voitures éléctriques ne fonctionne pas.</t>
  </si>
  <si>
    <t>FM : merci d'intervenir suite à la validation des devis n° FQ2302240187 et FQ2302240188.Rpct des boîtiers de commandes endommagés sur l'entrée/sortie su SAS extérieur.</t>
  </si>
  <si>
    <t>FM: Nous souhaitons un surveillant pour le 22/06/2023. Merci de nous transmettre une confirmation par mail.</t>
  </si>
  <si>
    <t>FM : Nettoyage parc à chariots - Module 12 - à finir en S32. Joindre impérativement les checklistes.</t>
  </si>
  <si>
    <t>FM : merci de remettre le balais de porte sous une des portes auto du sas (le balais manquant se trouve dans le local matériel du magasin, voir pj).</t>
  </si>
  <si>
    <t>FM : merci d'intervenir dans la nuit du jeudi 23/02/2023 pour un nettoyage de la surface de vente.</t>
  </si>
  <si>
    <t>FM : Nettoyage vitres basses - Module 7 - S34. Joindre impérativement les checklistes.</t>
  </si>
  <si>
    <t>FM : Vérifier si le bac à piles se trouve sur l’étagère. Si non, il faut baisser l’étagère et mettre le bac dessus. Photo en PJ.</t>
  </si>
  <si>
    <t>FM : Gardiennage de nuit suivant tableau joint</t>
  </si>
  <si>
    <t>FM : merci d'intervenir pour connecter 2 nouvelles télécommandes posées par KW.</t>
  </si>
  <si>
    <t>FM : Facility Park nous signale que la barrière en BS a du être percutée. Elle ne descend plus dans son appui et claque dessus à répétition et laisse le message « Barrière ouverte ». Merci d'intervenir.</t>
  </si>
  <si>
    <t>FM : merci de repasser sous garantie pour l’extincteur non vérifié dans le local surpresseur. Nous n’avons pas été prévenu lorsque le tech était sur place et nous aurions pu éviter une ré intervention.</t>
  </si>
  <si>
    <t>FM : merci d'intervenir suite à la validation du devis n° FQ2305190053. Rpct des gridscan défectueux par un radar de sécurité.</t>
  </si>
  <si>
    <t>FM : merci d'intervenir suite à la validation du devis n° 00378906-0001. 5 passages rongeurs intervalle 1 semaine entre les passages.</t>
  </si>
  <si>
    <t>FM : merci d'intervenir suite au rapport de la télésurveillance, défaut froid de 30 mn.</t>
  </si>
  <si>
    <t>FM : DI de régul dératisation de nuit 18/08</t>
  </si>
  <si>
    <t>FM : suite rapport de la télésurveillance, merci d'intervenir pour plusieurs défauts froid cette nuit.</t>
  </si>
  <si>
    <t>FM : suite rapport télésurveillance, merci d'intervenir pour un défaut froid de 30mn cette nuit.</t>
  </si>
  <si>
    <t>FM : merci de piéger la pièce où se trouve les débuts de nids cf photos</t>
  </si>
  <si>
    <t>FM : merci d'intervenir pour nettoyer les lamelles des drycoolers, elles sont obstruées.</t>
  </si>
  <si>
    <t>FM : Nettoyage Parking couvert R+1 - Module 11 - MOIS D’AOÛT. Joindre impérativement les checklistes.</t>
  </si>
  <si>
    <t>FM Regul Merci d'intervenir pour le remplacement de la sonde caisses</t>
  </si>
  <si>
    <t>FM : merci d'intervenir, les désactivateurs sur les caisses auto n° 81 et n° 84 ne fonctionnent plus et les détecteurs anti-vol ne fonctionnent plus sur toutes les caisses.</t>
  </si>
  <si>
    <t>FM : merci d'intervenir suite à la validation du devis n° 00370706-0001.
 5 passages à une semaine intervalle.</t>
  </si>
  <si>
    <t>FM : suite check-list AT : merci d'intervenir, l'éclairage "défaut" situé à l'entrée de la CF clignote en continue.</t>
  </si>
  <si>
    <t>FM : suite rapport télésurveillance, merci d'intervenir pour un défaut froid cette nuit d'une demie heure.</t>
  </si>
  <si>
    <t>FM : suite à ta check-list, merci de redresser et de refixer les plinthes des Skylight.</t>
  </si>
  <si>
    <t>FM : merci d'intervenir suite au rapport de télésurveillance, plusieurs petits défauts froid cette nuit.</t>
  </si>
  <si>
    <t>FM : merci d'intervenir pour réparer la porte coupe feu.</t>
  </si>
  <si>
    <t>FM : merci d'intervenir pour vérifier l'étanchéité de la CF -.</t>
  </si>
  <si>
    <t>FM : suite rapport de télésurveillance, merci d'intervenir pour plusieurs défauts froid ce week-end.</t>
  </si>
  <si>
    <t>FM : suite rapport de télésurveillance merci d'intervenir, défaut froid de 34 mn</t>
  </si>
  <si>
    <t>FM : merci d'intervenir suite au rapport de la télésurveillance. Défaut froid d'une heure cette nuit.</t>
  </si>
  <si>
    <t>FM : suite rapport de télésurveillance, merci d'intervenir pour un défaut froid de 53 mns.</t>
  </si>
  <si>
    <t>FM : merci d'intervenir suite à plusieurs défauts froid cette nuit.</t>
  </si>
  <si>
    <t>FM : Prise en glace évapo CF négative</t>
  </si>
  <si>
    <t>FM : suite rapport télésurveillance. Merci d'intervenir pour un défaut froid cette nuit d'une durée de 56 mn.</t>
  </si>
  <si>
    <t>FM : problème récurrent sur les portes auto du sas d'entrée : porte d'entrée SPM : ne fonctionne pas. Porte de sortie du SPM : capot ouvert, ouverture porte très lente. Porte entre sas et sas ascenseur : s'ouvre lentement et grince beaucoup.</t>
  </si>
  <si>
    <t>FM : merci d'intervenir pour un défaut d'éclairage MF allée 1. Le disjoncteur est bien levé.</t>
  </si>
  <si>
    <t>FM : merci d'intervenir suite à 1 alarme sur MF.</t>
  </si>
  <si>
    <t>FM : merci d'intervenir suite à un défaut froid de 46 mns cette nuit.</t>
  </si>
  <si>
    <t>FM : merci d'intervenir suite à un défaut froid de 50 mn.</t>
  </si>
  <si>
    <t>FM : merci d'intervenir suite à un à défaut froid cette nuit. Et merci de trouver une solution durable car toutes les nuits il y a un défaut froid.</t>
  </si>
  <si>
    <t>FM : merci d'intervenir suite à plusieurs défauts froid cette nuit. Pour info, les chauffages d'appoint ont été coupés.</t>
  </si>
  <si>
    <t>FM : merci d'intervenir suite au rapport de télésurveillance, 1 défaut froid cette nuit.</t>
  </si>
  <si>
    <t>FM : suite au rapport de télésurveillance, merci d'intervenir pour un défaut froid d'une demi-heure cette nuit.</t>
  </si>
  <si>
    <t>FM : Suite au rapport de télésurveillance, des défauts froid ont eu lieu la nuit. Merci de vérifier l'ensemble des équipements froid.</t>
  </si>
  <si>
    <t>FM : merci d'intervenir suite au rapport de télésurveillance. 2 alarmes cette nuit.</t>
  </si>
  <si>
    <t>FM : merci d'intervenir suite à un défaut froid de 53 mn cette nuit.</t>
  </si>
  <si>
    <t>FM : Remplacement d’un extincteur avec coffret de protection devant le local « vélos » avant la visite de la gérance du 17/06 svp.</t>
  </si>
  <si>
    <t>FM : merci d'intervenir suite à un défaut froid cette nuit d'une demi-heure.</t>
  </si>
  <si>
    <t>FM : merci d'intervenir suite au rapport de la télésurveillance. 1 défaut froid cette nuit de plus 1/2 heure.</t>
  </si>
  <si>
    <t>FM : DI de régul - 13/08/2022 – Lidl Val de Moder – Dépannage caisse N°4 // 17/08/2022 – Lidl Fischer – Disjonction meubles frais // 20/08/2022 – Lidl Drusenheim – Dépannage porte accès coffre // 25/08/2022 – Lidl Koenigshoffen – Dépannage onduleur</t>
  </si>
  <si>
    <t>FM : merci d'intervenir suite à plusieurs défauts froid ce week-end.</t>
  </si>
  <si>
    <t>FM : merci d'intervenir sur la partie FL le rail et la roue de guidage sur la porte semi-auto sont à remplacer.</t>
  </si>
  <si>
    <t>FM : plusieurs défauts froids sont apparus cette nuit. Merci d'intervenir</t>
  </si>
  <si>
    <t>FM : merci d'intervenir pour vérification suite à plusieurs défauts froid.</t>
  </si>
  <si>
    <t>FM : suite au rapport de télésurveillance. Plusieurs défauts froid sont apparus cette nuit. Merci d'intervenir pour vérification</t>
  </si>
  <si>
    <t>FM : Mise à l'arrêt meubles skylight 133 et 134 samedi 12/02 pour dégivrage et intervention lundi 14/02.</t>
  </si>
  <si>
    <t>2 bornes de recharge voiture éléctrique en rouge</t>
  </si>
  <si>
    <t>FM : Merci de modifier les codes DSB.</t>
  </si>
  <si>
    <t>FM : CASSE : merci d'intervenir suite à la validation du devis n° FQ2303200228.Rpct chariots de roulement du vantail gauche.</t>
  </si>
  <si>
    <t>FM : Nettoyage Module 9a : Parking couvert R+1 selon planning août.</t>
  </si>
  <si>
    <t>FM: Nous souhaitons un surveillant pour le 23/02/2023. Merci de nous transmettre une confirmation par mail.</t>
  </si>
  <si>
    <t>FM : Intervention commune avec l'IT pour effectuer un test de connexion au matériel Connect+. Le mardi 28 mars à 9h30.</t>
  </si>
  <si>
    <t>FM Merci d'intervenir pour le remplacement de la sonde caisses et surface de vente</t>
  </si>
  <si>
    <t>AT 2 : check-list HS. La fiche sécurité a été collée, installation d'un cendrier au quai, installation protection pvc sur les portes du local CTA, et vérification du bon fonctionnement du défibrillateur.</t>
  </si>
  <si>
    <t>SOUS GARANTIE : on nous signale une fuite sur le réseau d'évacuation des eaux des condensations des 4 cassettes de climatisation de la surface de vente. Le réseau est à raccorder sur la descente verticale à côté de la chambre froide côté CTA.
 numéro de téléphone du magasin : 03 88 18 91 25</t>
  </si>
  <si>
    <t>FM : Nettoyage selon module 7 Vitres basses S36</t>
  </si>
  <si>
    <t>L'anti retour ne fonctionne pas et ne sonnent pas quand un client sort par l'entrée du magasin.</t>
  </si>
  <si>
    <t>FM : merci d'intervenir après le 14/02/23 pour couper l'ancienne sonnerie de téléphone suite au passage de la téléphonie en MOBI.</t>
  </si>
  <si>
    <t>FM : merci d'intervenir suite à un mail de la télésurveillance, pas de transmission depuis le 06/12.</t>
  </si>
  <si>
    <t>FM : merci d'intervenir suite au rapport télésurveillance pour un défaut cette nuit de 15 mns.</t>
  </si>
  <si>
    <t>FM : Merci d'enlever les déchets dans les escaliers qui mènent en dessous de notre parking + nettoyage</t>
  </si>
  <si>
    <t>FM Merci d'intervenir pour la barrière sortie du parking qui reste ouverte</t>
  </si>
  <si>
    <t>FM : Nous avons eu aucun défauts froid sur le mois de janvier, merci de vérifier que tout fonctionne au niveau de la supervision + transmission des défauts à la télésurveillance Ineo.</t>
  </si>
  <si>
    <t>FM : merci d'intervenir, la barrière de sortie est bloquée en position ouverte suite à un choc.</t>
  </si>
  <si>
    <t>FM Merci d’intervenir pour vérifier les points suivants car nous avons des fuites récurrentes sur l'ensemble des MF:
 - Le bon positionnement du flexible d’évacuation. 
 - La bonne isolation des meubles (possible de condenser au-dessous si ce n’est pas le cas)
 INTERVENTION SOUS GARANTIE</t>
  </si>
  <si>
    <t>FM : Nettoyage vitres basses - Module 7 - S21. Joindre impérativement les checklistes.</t>
  </si>
  <si>
    <t>FM : merci d'intervenir pour rattacher les centrales d’alarme à SPC connect. Il s’agit des derniers tests avant déploiement national, ces interventions seront prises en charge par le CSO. 
 Pour info ci-dessous les dates de passage : 
 - FEGERSHEIM le 20 juin
 - LINGOLSHEIM le 21 juin
 - MEINAU le 21 juin
 - FISHER le 22 juin
 - HOENHEIM le 22 juin</t>
  </si>
  <si>
    <t>FM : Nettoyage Parking couvert R+1 - Module 11 - MOIS DE JUIN. Joindre impérativement les checklistes.</t>
  </si>
  <si>
    <t>FM : merci d'intervenir pour un nettoyage nuisibles de nuit + parking à faire en même temps.</t>
  </si>
  <si>
    <t>FM : Nettoyage Parking couvert R+1 - Module 9a - MOIS D'AVRIL. Joindre impérativement les checklistes.</t>
  </si>
  <si>
    <t>FM : Merci d’effectuer un nettoyage de nuit le 03/07/2023</t>
  </si>
  <si>
    <t>FM : Gardiennage de nuit pour travaux sur meubles frais : MONTBELIARD le 26/07 // SCHILTIGHEIM le 27/07 // ECKBOLSHEIM le 28/07.</t>
  </si>
  <si>
    <t>N'ayant pas trouvé d'item pour les bornes de recharges pour voitures éléctriques, je me permet de faire une demande sous l'item parc à chariots).
 2 bornes de recharge sur 4 sont en rouge donc non fonctionnelles.</t>
  </si>
  <si>
    <t>La chaleur est trop élevée en magasin 27,3 degrés.
 La marchandise notamment le fl pourri rapidement, le chocolat fond et j'en passe ..
 L'ensemble du personnel se sent mal ! Et les clients se plaignent !</t>
  </si>
  <si>
    <t>FM : Faïence cassée dans boulangerie à remplacer et fixer une lisse pvc devant // Résine fissurée entre quai et réserve</t>
  </si>
  <si>
    <t>FM : merci d'intervenir pour le remplacement de deux carreaux au niveau du sas d'entrée. A mutualiser avec l'intervention pour 1 carreau dans la boulangerie.</t>
  </si>
  <si>
    <t>FM : Nettoyage Module 7 Vitres Basses selon planning juillet S28</t>
  </si>
  <si>
    <t>FM : Nettoyage module parking à faire le 16/06, les bandes piétonnes sont aussi à nettoyer // Nettoyer le local « vélos » // Nettoyer couloir et escaliers menant au supermarché depuis le parking.</t>
  </si>
  <si>
    <t>FM : Nettoyage module parking à faire le 16/06, les bandes piétonnes sont aussi à nettoyer // Nettoyer le local « vélos » // Nettoyer couloir et escaliers menant au supermarché depuis le parking // Vitres basses // Sas d’entrée</t>
  </si>
  <si>
    <t>Bonjour,
 Merci d'intervenir le 12-05-2022 à 20h00 pour des travaux électriques dans la surface de vente 
 Merci de me transmettre une confirmation de la bonne prise en compte de cette demande</t>
  </si>
  <si>
    <t>FM : module 9a : merci d'intervenir pour le nettoyage du parking couvert R+1, nettoyage avec machine auto-portée. Ne pas oublier impérativement de demander le RPS et la check-list de contrôle signés et tamponnés par le supermarché.</t>
  </si>
  <si>
    <t>FM : merci de voir si une desserte optique est présente entre le coffret Télécom et l'armoire A2.1. S'il n'y a pas de desserte, merci de faire l'installation et en même temps de déplacer les équipements CISCO BTEL et Box FTTH C+ SFR qui doivent normalement se trouver dans l'armoire A2.1. Lors du déplacement des équipements, si besoin vous pouvez contacter par téléphone madame Anne GEFFROY chef de projets déploiement informatique Lidl au 07.88.97.03.13 pour corriger le raccordement.</t>
  </si>
  <si>
    <t>FM : Nettoyage selon module 7 Vitres basses S44-S45.</t>
  </si>
  <si>
    <t>FM Validation devis 2065 fourniture d'un encadrement en bois avec plexiglas pour protection du tableau végétalisé</t>
  </si>
  <si>
    <t>FM : Suite présence nuisibles, intervenir un matin dès 6h00 pour nettoyer sous l'ensemble des podiums et particulièrement un gros nettoyage au niveau des biscuits. Nous faire parvenir la date afin qu'on puisse prévenir le SPM.</t>
  </si>
  <si>
    <t>FM Merci de passer pour vérifier :
 - Le bon positionnement du flexible d’évacuation. 
 - La bonne isolation des meubles (possible de condenser au-dessous si ce n’est pas le cas)
 Sous le cadre de la Garantie</t>
  </si>
  <si>
    <t>FM : suite rapport télésurveillance, merci d'intervenir pour deux défauts froids cette nuit.</t>
  </si>
  <si>
    <t>FM : merci d'intervenir suite à un défaut froid de plus de 30 mns hier.</t>
  </si>
  <si>
    <t>FM : Problème d'éclairage sur un meuble frais, faire un diagnostic.</t>
  </si>
  <si>
    <t>FM : concerne meuble Skylight : merci d'intervenir pour remplacer une porte Skylight à venir chercher en direction régionale.</t>
  </si>
  <si>
    <t>FM : Régularisation suite demande de Monsieur Meyer, intervention le 17/10/2022 pour le remplacement de l’éclairage des meubles frais.</t>
  </si>
  <si>
    <t>FM Merci d'intervenir pour une intervention commune avec l’intégrateur</t>
  </si>
  <si>
    <t>FM : suite rapport télésurveillance, merci d'intervenir suite à plusieurs défauts froid.</t>
  </si>
  <si>
    <t>FM : suite rapport télésurveillance, merci d'intervenir pour 2 défauts froid de plus 30 mn chacun.</t>
  </si>
  <si>
    <t>La porte de se referme plus</t>
  </si>
  <si>
    <t>rideau en position ouverte. Message 'Motor Fail'</t>
  </si>
  <si>
    <t>la fermeture de la porte est mal calibrée. la porte descend trop. INTERVENTION DEJA REALISEE IL Y A 1 SEMAINE</t>
  </si>
  <si>
    <t>la porte descend trop, reglage de course à faire</t>
  </si>
  <si>
    <t>la porte ne se ferme plus, message derreur BMC Motor fail</t>
  </si>
  <si>
    <t>reste ouverte - message d'erreur</t>
  </si>
  <si>
    <t>porte reste bloquee apres avoir etee heurtee par un rolls</t>
  </si>
  <si>
    <t>porte souple qui semble etre deboitee et coincee</t>
  </si>
  <si>
    <t>reste ouverte</t>
  </si>
  <si>
    <t>BMC Motor Fail</t>
  </si>
  <si>
    <t>fientes urgent</t>
  </si>
  <si>
    <t>urgent bcpdz fientes merci par avance</t>
  </si>
  <si>
    <t>l'alarme anti retour ne fonctionne plus depuis l'intervention d'hier</t>
  </si>
  <si>
    <t>porte bloque en ouverture,urgent merci</t>
  </si>
  <si>
    <t>la porte reste bloquée en position fermée</t>
  </si>
  <si>
    <t>La porte ne s'ouvre plus. Ouverture forcee la porte reste ouverte en continue. Deja 2 interventions en 1 semaine le pb revient à chaque fois le lendemain</t>
  </si>
  <si>
    <t>la porte ne s'ouvre plus</t>
  </si>
  <si>
    <t>la porte est bloquée en position ouverte</t>
  </si>
  <si>
    <t>la porte ne s'ouvre plus il faut la forcer, nous sommes obliges de faire entrer les clients ainsi que les salaries par la sortie</t>
  </si>
  <si>
    <t>porte deboite suite a l impacte d une caissiere avec l autolaveuse</t>
  </si>
  <si>
    <t>deja intervenu mercredi la porte reste a nouveau fermee</t>
  </si>
  <si>
    <t>Porte bloquee - impossible d'entrer</t>
  </si>
  <si>
    <t>AT redresser poteaux mondial relais mail FM</t>
  </si>
  <si>
    <t>ceci est un test, vous recevez ?</t>
  </si>
  <si>
    <t>le four indiue fatal erreur quand on veut demarrer le programme</t>
  </si>
  <si>
    <t>Il ne veut paw lancer de programme il marqué erreur grave ! .le programme ne peut pas ētre demarré</t>
  </si>
  <si>
    <t>le four indique une erreur grave</t>
  </si>
  <si>
    <t>les plombs ont sauté 2x déjà @/ impossible de le rallumer</t>
  </si>
  <si>
    <t>AT. Réparation portail arr quai Mail FM</t>
  </si>
  <si>
    <t>creation d'un passage pieton pour l'acces au mag</t>
  </si>
  <si>
    <t>trou</t>
  </si>
  <si>
    <t>Totem cassé</t>
  </si>
  <si>
    <t>Installer un panneau vidéo entrée piéton</t>
  </si>
  <si>
    <t>une partie des messages n'est plus diffusée en réserve ni dans les sociaux</t>
  </si>
  <si>
    <t>la caisse redemarre mal</t>
  </si>
  <si>
    <t>Recoller la baguette alu du meuble comptage</t>
  </si>
  <si>
    <t>fixation led hs</t>
  </si>
  <si>
    <t>urgent distributeur à savon HS.</t>
  </si>
  <si>
    <t>prise cassée. ne charge plus</t>
  </si>
  <si>
    <t>voyant stop allumé</t>
  </si>
  <si>
    <t>le tire palette s'eteind à chaque fois qu'on pe descend. Le capot bloque à droite</t>
  </si>
  <si>
    <t>il ne charge plus et ne peut plus etre utiliser convenablement</t>
  </si>
  <si>
    <t>autolaveuse ne nettoie plus</t>
  </si>
  <si>
    <t>l'autolaveuse n'aspire plus correctement</t>
  </si>
  <si>
    <t>declenchement intempestif de l alarme a 7 heure la sirene est coupee mais la centrale sonne encore ( pas de boitier a reenclencher )</t>
  </si>
  <si>
    <t>après connexion</t>
  </si>
  <si>
    <t>Pas dacces video surveillance</t>
  </si>
  <si>
    <t>AT verifier les horaires alumage du 2/3 mail FM</t>
  </si>
  <si>
    <t>urgent : depuis passage préstataire l'acces est securisé par un MDP hors le MDP qui a étè communiqué au magasin est erroné.</t>
  </si>
  <si>
    <t>urgent svp: malgrès le bon mdp la conexion ne se fait pas et il est impossible au vigile de faire ses contrôle.</t>
  </si>
  <si>
    <t>urgent suite passage tech pour maintenance le vigile n'a plis accées aux cameras . le vigile n'a pas le mdp pour deverouiller la session windows.merci par avance</t>
  </si>
  <si>
    <t>Vérifier connection et remise en fonctionnement de l écran éco au sas</t>
  </si>
  <si>
    <t>suite audit : faire passer société pour regler les disfonctionnements constates</t>
  </si>
  <si>
    <t>le frigo ne se ferme plus correctement</t>
  </si>
  <si>
    <t>AT fuite douchette évier labo Mail Fm</t>
  </si>
  <si>
    <t>test ne pas tenir compte</t>
  </si>
  <si>
    <t>AT modif affichage leon</t>
  </si>
  <si>
    <t>podium FL cassé au niveau devla TG avant</t>
  </si>
  <si>
    <t>installation de 4 casiers supplémentaires dans le vestiaire hommes. Récupérer les casiers en DR.</t>
  </si>
  <si>
    <t>Fixer les balais</t>
  </si>
  <si>
    <t>installation de 2 butees de palette au niveau de la TG FL</t>
  </si>
  <si>
    <t>podiums à remplacer :
 1 demi podium FL derrière la TG avant
 1 demi podium sous les sirops
 1 demi podium avec protection à côté du lait
 Matériel à récupérer en DR</t>
  </si>
  <si>
    <t>les deux joues de la TG arriere (corner regional) sont tombées les vices et les crochets ont lachés.</t>
  </si>
  <si>
    <t>AT modif distri gel &amp; papier</t>
  </si>
  <si>
    <t>poignee porte cassée, car systeme ouverture bloqueé nous devons forcer pour ouvrir apres avoir badgeé</t>
  </si>
  <si>
    <t>AT livraison perche longue nettoyage sas</t>
  </si>
  <si>
    <t>AT mail FM modif des cylindres. Sociaux /tgbt// acces tech</t>
  </si>
  <si>
    <t>Merci de configurer les badges d'accès pour les personnes suivantes :
 CELIK Cihad : 1591707588 (EP)
 GRUBER Gaelle : 1591915732 (EP)
 JAEGLE Bérénice : 1592120036 (EP)
 TEIXEIRA Diogo : 1591679844 (EP)
 WENDLING Yann : 1592196980 (EP)
 Merci de désactiver les accès suivants :
 BITTMANN Laureen : 998689972
 N'DIAYE Onil : 225517998
 BOYRAZ Yasin : 1500491787
 TAUFFREUND Mick : 1670311078
 Cordialement</t>
  </si>
  <si>
    <t>Merci de configurer les badges suivants :
 SHURZ Lucas : 997255764 (encadrant)
 JACQUES Claudia : 998510580 (caissier)
 SARAFALY Gautier : 998154452 (caissier)
 Merci de modifier le badge suivant :
 SPAHIC Merisa : 4120977810 à mettre en statut encadrant
 Merci de supprimer les badges suivants :
 BENA : 998213700
 BRIDDA : 998544916
 TAUFREUND : 1670311078
 XHELA : 1670315078
 HOCHWELKER : 211863970
 ROLIN : 998045828
 HIRTZ : 996824420
 PEDROSA : 1592095684
 Merci 
 Benoît</t>
  </si>
  <si>
    <t>Configuration des badges d'accès suivants :
 JOVIC Ana 998147652 EP
 SYLLA Safi 998704980 Encadrant
 SPAHIC Merisa 4120977810 Encadrant
 ER RABOUHI Yousra 1591373428 EP
 PANTEA Tatiana 1592123796 EP
 BALVA Alyssa 1591601572 EP
 KOKESHA Jennifer 1592245508 EP
 SUAREZ Daniela 1591409956 EP
 PEDROSA Lario 1592095684 EP
 HAMDI Sabina 996840884 EP
 SACKO Ramata 996794372 EP
 SCHMITT Lauryne 997588196 EP</t>
  </si>
  <si>
    <t>Configuration des badges d'accès suivants :
 SPILLER Jeanne : 1591905604 (EP)
 KOERCKEL Hugo : 1670316406 (EP)
 VAUTRIN Dylan : 1592029412 (Encadrant)
 ANCKENMANN Maylis : 997956004 (EP)
 SHELVA Kabamouaki : 998174324 (EP)
 Mme TRAUTMANN : 997776644 (EP)
 Merci
 Benoît</t>
  </si>
  <si>
    <t>Configuration de badges d'accès
 Miguel CASTILLO : 998612916 (équipier)
 Mickael PELLEGRINELLI : 996705252 (équipier)
 Jordan EHRHAR : 997098676 (équipier)</t>
  </si>
  <si>
    <t>2 nouveaux arrivants sur le SPM :
 Lila SEMRANI (EP)
 Julien PIERRON (AMG)
 Ont besoin d'une configuration de leur badge PZE pour l'accès. Est-il possible de faire intervenir l'alarmiste ? Merci</t>
  </si>
  <si>
    <t>Declenchement porte coupe feu, rearmement effectué</t>
  </si>
  <si>
    <t>pb d'etancheite sur le lanterneau en reserve</t>
  </si>
  <si>
    <t>les équipements informatiques se coupent la nuit et la clôture ne passe pas</t>
  </si>
  <si>
    <t>AT enclenchement dis 400A solar log mail FM</t>
  </si>
  <si>
    <t>Fixer les prises reserve et ims rps</t>
  </si>
  <si>
    <t>alimenter les caisses automatiques sur du secouru non concerné par le 2/3. Les SCO doivent rester sous tension en permance</t>
  </si>
  <si>
    <t>Les prises au niveau du meuble pertes ne fonctionnent plus</t>
  </si>
  <si>
    <t>Serrure porte principale magasin difficile à fermer/ouvrir</t>
  </si>
  <si>
    <t>Porte d.entree coffre, impossible de rentrer en scanant le badge, uniquement avec la clef magasin, l'alarme retentit a chaque ouverture de porte , le coffre est ferme, les issues sont fermee</t>
  </si>
  <si>
    <t>urgent suite suspission de presence de rongeur dans un box d'oeufs nous avons eu confirmation grace a un des pieges present en reserve.merci de missioner.</t>
  </si>
  <si>
    <t>3 fois de suite que nous trouvons un oiseau dans le magasin et conduit de ventilation d'où sortent des bruits et en mauvais etat</t>
  </si>
  <si>
    <t>Souris apercu sur le quai</t>
  </si>
  <si>
    <t>Redresser la trappe en salle de réunion</t>
  </si>
  <si>
    <t>AT Modif le tube. Moche au skylight Mail Fm</t>
  </si>
  <si>
    <t>VENTE Réimplantation 2023, lundi 21, mardi 22 et mercredi 23 aout 2023, 2 personnes de 17h00 à 02h00 
 Pour : (dans le cadre de l’implantation 2023 du spm)
 -Implantation SPM
 -Travaux technique
 Pour info : 
 -AIP présent en spm
 -Prévoir matériel</t>
  </si>
  <si>
    <t>VENTE Divers RMR, Lundi 31 juillet 2023, 1 personne de 08h00 à 15h00 
 Pour : (dans le cadre de la mise en place des ESL NF et AF)
 -Remplacer les tabliers tables NF et AF (spm et réserve)
 -Mettre en place les protections tables AF (spm et réserve)
 -Remplacer et refixer les bandes de prix ESL tables action
 -Remplacer et refixer les bandes de prix ESL tables NF
 -Tous travaux demandés par l’AIP
 Pour info : 
 -Un AIP sera présent 
 -Prévoir du matériel (perceuse, …)</t>
  </si>
  <si>
    <t>VENTE Réimplantation 2023, lundi 21 et mardi 22 aout 2023, 2 personnes de 15h00 à 24h00 .
 Pour : (dans le cadre de l’implantation 2023 du spm)
 -Implantation SPM
 -Travaux technique
 Pour info : 
 -AIP présent en spm
 -Prévoir matériel</t>
  </si>
  <si>
    <t>VENTE Démontage pépinière</t>
  </si>
  <si>
    <t>VENTE entre le 09/05/2022 et le 13/05/2022
 Pour : 
 - Enlever 2 axes pour passer à 2 axes en RT 3 pour le matériel en V2
 Pour info : 
 - Matériel à récupérer à la cellule à partir du 06/05
 - Le spm est informé 
 - 3 étagères par axe de 60cm
 - Podiums à mettre en place 
 - Fond gris à mettre en place
 - Mélaminé à mettre en place
 - Mettre des bandes de rives en place
 - Disposer le matériel sur les axes une fois montés (suivre le plano de la PJ)
 Merci d’envoyer une photo de l’intervention terminée par mail à laura.jung@lidl.fr</t>
  </si>
  <si>
    <t>VENTE travaux à effectuer à la cellule consomag
 Pour : Remplacer les roues de 15 tables action food
 Pour info : 
 - Les tables action food seront vide
 - Les roues de remplacements seront disponible à la cellule consomag (attention stock gerber)</t>
  </si>
  <si>
    <t>VENTE A faire jeudi 10 novembre après-midi et samedi 12 novembre au matin. Mise en rayon, prévoir 2-3 personnes</t>
  </si>
  <si>
    <t>VENTE Surveillance des nuits du 21 au 22 avril 2022. Clef xref : ASAISON</t>
  </si>
  <si>
    <t>VENTE mardi 3 mai 2022, (début d’après midi)
 Pour 
 - Confectionner 13 barrières pour pépinière avec des palettes
 Pour info :
 - Le RM souhaite fixer trois palettes ensemble et mettre des supports / pieds au sol
 - Prévoir de la visserie et planche méla</t>
  </si>
  <si>
    <t>defaut surpresseur sur voyant rouge</t>
  </si>
  <si>
    <t>VENTE spm de Eckbolsheim 3709, jeudi 21 avril 2022 à partir de 19h30, 3 personnes
 Pour : 
 - Terminer implantation saisonnière
 Pour info : 
 - 1 implanteur sera présent</t>
  </si>
  <si>
    <t>VENTE dés que possible, spm de Eckbolsheim 3709.
 Pour : 
 - Mise en place d’une bâche « recrutement CDI »
 - Mise en place de panneaux Heras sur les barrière bois
 Pour info : 
 - Les bâches « recrutement CDI » sont disponible et identifiées à la cellule consomag.
 - La bâche est à positionner au même emplacement que la « dernière », au croisement.
 - Vous fournissez les barrières Heras.</t>
  </si>
  <si>
    <t>VENTE jeudi 07 avril 2022, à partir de 19h30
 Pour : Implantation saisonnière
 Pour info : Un implanteur sera présent</t>
  </si>
  <si>
    <t>VENTE Divers travaux visite CSA</t>
  </si>
  <si>
    <t>VENTE Mise en rayon</t>
  </si>
  <si>
    <t>VENTE Décartonnage + Nettoyage</t>
  </si>
  <si>
    <t>retour nfu s 16 6 europes</t>
  </si>
  <si>
    <t>AT tournee at + verif</t>
  </si>
  <si>
    <t>nettoyage du carrelage extérieur pour enlever le dépôt de sable</t>
  </si>
  <si>
    <t>nettoyage des vitrines suite au dépôt de sable</t>
  </si>
  <si>
    <t>Controle divers</t>
  </si>
  <si>
    <t>montage de 15 rt dans la CF-</t>
  </si>
  <si>
    <t>VENTE avant vendredi 04 mars 2022
 Pour : 
 - Dans la CF- de la V2, mettre 3 axes à droite
 - Mettre deux étagères par axes en 60 cm
 Pour info : 
 - Il faut 3 axes en tout avec les existants
 - Prendre tout le matériel à la cellule consomag, 
 - Pas de podiums à mettre en place 
 - Double entretoises à mettre en place
 - Le spm est informé
 - Pas de mélaminé à mettre en place
 - Mettre des bandes de rives en place</t>
  </si>
  <si>
    <t>VENTE jeudi 15 septembre 2022, 2 personnes de 08h30 à 14h30
 Pour : 
 - Récupérer le matériel à la cellule consomag (quai n°70)
 - Mise à jour concept, travaux divers
 Pour info : Implanteurs seront présent</t>
  </si>
  <si>
    <t>AT checklist tri,</t>
  </si>
  <si>
    <t>VENTE à faire avant Jeudi 06 janvier 2022, 
 Pour : 
 - Remplacer un podium central XL gondole sonoma (dans les conserves FL)
 - Refixer 40 ‘’angles’’ gris de podiums (DD à côté)
 Pour info : Vous récupérez le matériel à la cellule consomag (au passage)</t>
  </si>
  <si>
    <t>merci de faire refixer les melamines</t>
  </si>
  <si>
    <t>retour nfu s 5. 5europes</t>
  </si>
  <si>
    <t>AT checklist + rearmement dij extr</t>
  </si>
  <si>
    <t>pose d'une butée de palette au niveau de la zone pertes</t>
  </si>
  <si>
    <t>retour nfu s2. 3 europes</t>
  </si>
  <si>
    <t>à partir du 2 janvier 2022 (sus réserve de livraison du matériel le 31/12)
 Pour : 
 -Fixer les nouveaux supports de pinces (voir notice en PJ)
 -Récupérer les supports de pinces et pinces à la cellule consomag
 Pour info : 
 -Livraison prévue le 31/12 à la cellule consomag</t>
  </si>
  <si>
    <t>VENTE mercredi 03 novembre 2022, (à faire avant la visite du 04/11)
 Pour :
  - démonter une butée + rajout 1/2 podium ( déjà présent local matériel ) 
  - déplacer et recentrée les 1/2 l'une bio 
  - remonter d'un trou étagères 42 FL au 2ieme îlot FL
  - peut-être rajouté 2 axes dans l'eau ( prévoir matériel ) 
  - reprendre mélaminé eaux boissons 
 Pour info : 
 - Récupérer le matériel à la cellule consomag</t>
  </si>
  <si>
    <t>VENTE Urgent (à faire Mardi 07 juin 2022)
 Pour : 
 - Remplacer 4 podiums Fl
 - Coller sur 2 panneaux bio l'adhésif si bon si bio.
 - 1 x demi podium central gondole ( café)
 - Manque tout l'habillage bière (bdr,mélaniné,demi lune et visuel pour magnétique facer)
 - Réaligner les podiums sec un peu partout dans le mag 
 - Couper et remettre le panneau os coter frais de la vvp
 - 4x a7 tripartie porc à mettre dans bandes de prix
  - 1 sticker porc vitre 
 - 1x stickers bœuf
 - 1x stickers porte fromage
 - 1x stickers porte pâtisserie
 - 1x box 0 gaspi à remplacer / mettre en place
 - 15 x bdr surctruture à remplacer
 - 15x bdr NF à remplacer
 Pour info : le matériel sera dispo à la cellule consomag (mardi matin)</t>
  </si>
  <si>
    <t>Pour : 
 -Réparer et Déplacer la TG arrière du Bloc D vers le bloc B
 Pour info :
 -Garder l’implantation à l’identique</t>
  </si>
  <si>
    <t>AT tournee at + verif video + classeur</t>
  </si>
  <si>
    <t>Mise en rayon 25 palettes de détails pour le SPM Eckbolsheim 3709 A traiter pour le 03/12/2022</t>
  </si>
  <si>
    <t>Vente à faire le 24 Octobre 2022 Réimplantation saisonnière</t>
  </si>
  <si>
    <t>AT checklist tri. &amp; divers. Mail Fm</t>
  </si>
  <si>
    <t>VENTE Préparation visite. A faire le jeudi 27, vendredi 28 et samedi 29 octobre au matin : Mise en rayon du sec.</t>
  </si>
  <si>
    <t>Pour : dés que possible
 -Déplacer la TG arrière Corner Local du bloc B vers le Bloc C (à côté du « Papier »)</t>
  </si>
  <si>
    <t>choc detecteur de presence. la porte ne fonctionne plus correctement</t>
  </si>
  <si>
    <t>urgent carrelage cassé risque chute CF negative</t>
  </si>
  <si>
    <t>AT mettre en place une protection alu sur la porte CF entree fl mail FM</t>
  </si>
  <si>
    <t>porte sortie du rail</t>
  </si>
  <si>
    <t>porte chambre fl degondee par livreur ensuite remise en place mais l ouverture et la fermeture auto ne fonctionnent plus</t>
  </si>
  <si>
    <t>carrelage cassé à l'entree de la chambre</t>
  </si>
  <si>
    <t>la porte entre le fl et le frais ne fonctionne plus</t>
  </si>
  <si>
    <t>la porte coulissante de la chambre froide positive ne se ferme et ne q ouvre plus toute seule</t>
  </si>
  <si>
    <t>urgent: La porte de la chambre frais ne fonctionne pas corretement et 1 fois sur 2 elle ne se ferme que en manuel ce quo declanche des défauts.</t>
  </si>
  <si>
    <t>urgenr : fuite d'eau provenant de l'un des blocs de ventilation.</t>
  </si>
  <si>
    <t>ventilateur pris en glace la chambre est a temperature mais un des blocs de ventilateurs ne tourne plus</t>
  </si>
  <si>
    <t>urgent pluqieurs pieces a verifier et changer sur porte chambre froide negative.</t>
  </si>
  <si>
    <t>urgent suite choc au niveau du capteur de presence de la porte de la chambre FL elle ne se referme plus .</t>
  </si>
  <si>
    <t>urgent fuite tjrs presente une demade avait deja ete faite il y a 3 semaines suite au passage du technicien elle est tjrs presente</t>
  </si>
  <si>
    <t>porte auto separant la reserve de la chambre fl</t>
  </si>
  <si>
    <t>urgent svp suite choc la porte entre le surg et le frais ne ferme plus.</t>
  </si>
  <si>
    <t>4 bornes sur 6 sont indisponibles</t>
  </si>
  <si>
    <t>AT affichage borne de charge</t>
  </si>
  <si>
    <t>suite multiples chocs plusieurs parties en bois sont cassées .</t>
  </si>
  <si>
    <t>urgent prise en glace multiple et givre.</t>
  </si>
  <si>
    <t>tsmpdrature monte et descend, alarme froid en continue pour ce meuble</t>
  </si>
  <si>
    <t>vitre porte meuble explosee</t>
  </si>
  <si>
    <t>urgent suspission prise glace , alarme froid active toute la nuit malgrès temperature bonne sur afficheur skylight.</t>
  </si>
  <si>
    <t>AT Plinthes KC M surg</t>
  </si>
  <si>
    <t>defaut froid pendant la nuit</t>
  </si>
  <si>
    <t>la vitrine ne se met plus à la bonne température</t>
  </si>
  <si>
    <t>defaut froid pendant la nuit de samedi à dimanche en fin de dégivrage</t>
  </si>
  <si>
    <t>la temperature du meuble a augmenté a _9 degre</t>
  </si>
  <si>
    <t>urgent: excès de givre.</t>
  </si>
  <si>
    <t>urgent multiples prises en galce skylight surgelé.</t>
  </si>
  <si>
    <t>Problème température régulier : dès que l'on ouvre la porte le meuble descend à -2 degrés et sonne</t>
  </si>
  <si>
    <t>ilot surgelé qui fuit</t>
  </si>
  <si>
    <t>poignee cassee sur la vitrine surgelee</t>
  </si>
  <si>
    <t>VENTE Surveillance de la nuit du 7 avril 2022. Travaux d'implantation</t>
  </si>
  <si>
    <t>VENTE Surveillance des nuits du 3 mai au 6 mai 2022. Opération pépinière - Gardiennage extérieur</t>
  </si>
  <si>
    <t>les carreaux du seuil de porte entre réserve et sdv partent à nouveau (intervention faite il y a 2 mois)</t>
  </si>
  <si>
    <t>plusieurq arrets de porte endommagés</t>
  </si>
  <si>
    <t>fuite d'eau</t>
  </si>
  <si>
    <t>miroir vv casse</t>
  </si>
  <si>
    <t>alarme froid pendant 1 journée</t>
  </si>
  <si>
    <t>lumiere fond du quaiHS</t>
  </si>
  <si>
    <t>porte bloqué en ouverture, si on peut pas la fermer onne peut pas mettrel'alarme</t>
  </si>
  <si>
    <t>la porte grince fortement</t>
  </si>
  <si>
    <t>urgent la porte ne qe ferme plus elle reste en mode ouverture, il me semble que c'est du au detecteur centrale qui est HS (ne s'allume pas lorsqu'il y a du mouvement)</t>
  </si>
  <si>
    <t>la porte reste ouverte</t>
  </si>
  <si>
    <t>eclairage de 3 blocs hs</t>
  </si>
  <si>
    <t>Meuble avec alarme alors que l t° est bonne</t>
  </si>
  <si>
    <t>l'eclairage de tout le lineaire frais est HS</t>
  </si>
  <si>
    <t>meuble avec une alarme alors que la température est bonne</t>
  </si>
  <si>
    <t>AT. Lum hs MF allée du fond</t>
  </si>
  <si>
    <t>l'eclairage ne fonctionne plus</t>
  </si>
  <si>
    <t>eclairage hs .</t>
  </si>
  <si>
    <t>AT remplacer les 2 pare choc des MF mail FM</t>
  </si>
  <si>
    <t>AUTRE
 Alarme froid : Dry cooler extérieur 1 depuis 2h27 cette nuit</t>
  </si>
  <si>
    <t>il n'y a plus de lumiere active</t>
  </si>
  <si>
    <t>aucune lumiere sur un second meuble accoler</t>
  </si>
  <si>
    <t>Problèmes sur portes meubles frais.</t>
  </si>
  <si>
    <t>moisissures innacessibles</t>
  </si>
  <si>
    <t>meuble enfoncé</t>
  </si>
  <si>
    <t>AT remplacer la grille du MF cassée Mail Fm</t>
  </si>
  <si>
    <t>meuble frais qui fait beaucoup de bruits</t>
  </si>
  <si>
    <t>portillon caisse endommagé</t>
  </si>
  <si>
    <t>photos tables de caisse demande BO</t>
  </si>
  <si>
    <t>Est-il possible de venir bouger la caisse pour retirer les objets/articleq tombeés derriere? Merci</t>
  </si>
  <si>
    <t>Photos tables de caisse - demande BO</t>
  </si>
  <si>
    <t>bras de force cassé</t>
  </si>
  <si>
    <t>ne prends plus d'espece</t>
  </si>
  <si>
    <t>manque clé noire donc pasd'acces au monnayeur</t>
  </si>
  <si>
    <t>on arrive pas a ouvrir la porte / problrme materiek détecté</t>
  </si>
  <si>
    <t>Ne fonctionne plus ne recois plus d'espece</t>
  </si>
  <si>
    <t>la caisse automatique ne demarre pas apres 3 fois allumer.</t>
  </si>
  <si>
    <t>Ne redemmare plus ,</t>
  </si>
  <si>
    <t>urgezbt sco hs malgres plusieurs redemarage et manipulation</t>
  </si>
  <si>
    <t>sco 83 hs ne fonctionne plus</t>
  </si>
  <si>
    <t>ne s'allume pas</t>
  </si>
  <si>
    <t>ne marche pas</t>
  </si>
  <si>
    <t>urgent sco 81 et 83 ne fonctionne plus , Sco 84 ne prend plus les especes</t>
  </si>
  <si>
    <t>la sco 83 ne demmarre plus, elle reste sur attente demarrage partie caisse .</t>
  </si>
  <si>
    <t>la sco 83 ne s'allume plus, après plusieurs tentatives</t>
  </si>
  <si>
    <t>le distributeur de billets ne fonctionne plus</t>
  </si>
  <si>
    <t>disjoncteur saute , probleme electrique.caisse Hors service</t>
  </si>
  <si>
    <t>urgent la temperature ressentie enagasin est élevée. il est désagréable de travailler dans ces conditions.</t>
  </si>
  <si>
    <t>Coller l isolant des ventilations en réserve</t>
  </si>
  <si>
    <t>vi+pi+ressencemment +ouverture capot espfr DEKRA</t>
  </si>
  <si>
    <t>urgent svp la temperature ef anormalement basse en surface de vente et en reserve. merci par avance.</t>
  </si>
  <si>
    <t>beaucoup trop de vapeur a l'ouveture risque de brulure</t>
  </si>
  <si>
    <t>la porte ne veut plus s'ouvrir</t>
  </si>
  <si>
    <t>eau qui coule au sol</t>
  </si>
  <si>
    <t>urgent plusieurs portes défectueuses. risque de blessure équipe et clients.</t>
  </si>
  <si>
    <t>portillon defectueux caisse 3</t>
  </si>
  <si>
    <t>AT Caisse KC</t>
  </si>
  <si>
    <t>le tapis s'arrete de manière intempestive car la plaque aubout se soulève</t>
  </si>
  <si>
    <t>ivansion des petit verre au nivau de la balance</t>
  </si>
  <si>
    <t>le portique ne sonne pas malgrès la présence d'antivol</t>
  </si>
  <si>
    <t>RMRDIVERS : Merci de mettre en place une alimentation éclairage en face de l'actuel cosmétique pour rajout d'axes cosmétique.</t>
  </si>
  <si>
    <t>FM : Nettoyage caisses - Module 6 - S32. Joindre impérativement les checklistes.</t>
  </si>
  <si>
    <t>FM : merci d'intervenir suite au rapport de Cythélia, défaut de communication : redémarrage du routeur (Solarlog) sur site.</t>
  </si>
  <si>
    <t>FM : Nettoyage vitres hautes - Module 7 - S28. Joindre impérativement les checklistes.</t>
  </si>
  <si>
    <t>FM : suite rapport télésurveillance, merci d'intervenir suite à un défaut froid de plus d'un jour.</t>
  </si>
  <si>
    <t>FM : borne eas ne fonctionnent pas + désactivateur HS caisse 6</t>
  </si>
  <si>
    <t>FM : Ouverture anti panique issue de secours du quai, HS</t>
  </si>
  <si>
    <t>FM : Merci de lever les observations</t>
  </si>
  <si>
    <t>FM : Configuration badge selon liste en PJ.</t>
  </si>
  <si>
    <t>FM : merci d'intervenir, la température de consigne RÉSERVE est de 23° C+ installation en défaut cf photo.</t>
  </si>
  <si>
    <t>FM : Intervenir dans les 5 spm pour :
 - Paramétrage des badges salariés (liste salariés dans le fichier en PJ ‘listing spm flop DI’). Le technicien doit obligatoirement valider la liste lors de son intervention. Aucun badge sans nom ne doit être laissé actif.
 - Paramétrage des badges DR + Elus
 - Création de 10 badges non encadrants + 10 badges encadrants (à nommer « encadrant 1 – encadrant 2 – etc.) // laisser sur site au responsable magasin 2 badges non encadrants et 5 badges encadrants, à stocker dans le coffre. Le reste est à livrer en DR.
 - Paramétrage des temporisations zones de livraison à 60 minutes (nouvelle consigne siège)
 - Paramétrage des centrales pour basculer vers SPC CONNECT pour les spm 3709 – 3772 – 3946</t>
  </si>
  <si>
    <t>FM : merci d'intervenir le 30/08 à partir de10h pour tester la connexion (voir mail).</t>
  </si>
  <si>
    <t>FM: Nous souhaitons un surveillant pour le 07/06/2023. Merci de nous transmettre une confirmation par mail.</t>
  </si>
  <si>
    <t>FM : merci d'intervenir pour un nettoyage complet mercredi 7/06 après fermeture (transmettre la checkliste « nett complet » à faire signer tamponner par le spm)</t>
  </si>
  <si>
    <t>FM : suite à ta check-list, merci de remettre un abattant sur les toilettes.</t>
  </si>
  <si>
    <t>FM : merci d'intervenir suite à la validation du devis n°11000580. Modification de la cassette. Merci de laisser l'ancienne cassette horaire ( à laisser dans la réserve du magasin).</t>
  </si>
  <si>
    <t>FM : Problème disjonction SCO</t>
  </si>
  <si>
    <t>FM : merci d'intervenir suite à trois défauts froid cette nuit.</t>
  </si>
  <si>
    <t>FM : Des meubles boissons vont être installés prochainement (cf plans en PJ). Merci d'intervenir avant les dates suivantes pour mettre en place les alimentations. Molsheim : 04/04 // Meinau : 05/04 // Eckbolsheim : 06/04 // Lingolsheim : 07/04 // Hoenheim : 11/04.</t>
  </si>
  <si>
    <t>FM : Des bacs surg seront installés le 30/03 en boulangerie, merci d'être présent ce jour ou le lendemain afin de prévoir les alimentations</t>
  </si>
  <si>
    <t>FM : Gardiennage de nuit ce soir le 12/04 pour nettoyage magasin.</t>
  </si>
  <si>
    <t>FM : Nettoyage Caisses-Boulangerie-Locaux Sociaux-Vitres basses. Lingolsheim sera à réaliser le 14/04 en journée et Eckbolsheim après fermeture ce soir le 12/04. Nous vous transmettrons la checklist de vérifications.</t>
  </si>
  <si>
    <t>FM : suite visite gérance le 08/06, merci d'intervenir pour le 7/06, enlever les toiles d'araignées dans le sas d'entré, y compris les lampes.</t>
  </si>
  <si>
    <t>FM : suite visite gérance, merci d'intervenir : tôle de protection porte local poubelle abimée. Enlever protection et bâton maréchal et remplace le tour par une "boule" et mettre un capuchon sur le trou du bas</t>
  </si>
  <si>
    <t>FM : les meubles frais penchent vers l'avant, vérifier le niveau des meubles et les réaligner si nécessaire (plusieurs portes restent entrouvertes)</t>
  </si>
  <si>
    <t>FM : suite rapport télésurveillance, merci d'intervenir pour de 2 défauts cette nuit.</t>
  </si>
  <si>
    <t>FM : Cette demande concerne les meubles skylight, les fuites sont toujours présentes au niveau de l'ilôt surgelés. Le problème est existant depuis l'ouverture, intervention à régler définitivement et sous garantie svp.</t>
  </si>
  <si>
    <t>FM : Lumière du meuble boisson ne fonctionne pas</t>
  </si>
  <si>
    <t>FM : merci d'intervenir suite à un défaut froid d'une heure cette nuit.</t>
  </si>
  <si>
    <t>FM : merci d'intervenir pour le remplacement d'un piège cassé.</t>
  </si>
  <si>
    <t>FM : suite au mail de M. Schneider, merci d'intervenir : 5 chariots possèdent des roues endommagées ou non équipées. Il faut également procéder à un petit réglage de signaux au niveau du parking.</t>
  </si>
  <si>
    <t>FM : le portillon côté quai s’ouvre tout seul avec le vent (installer une butée comme sur l’autre portillon)</t>
  </si>
  <si>
    <t>FM : suite visite gérance, merci de faire en sorte que les espaces verts soient propres (tonte, mauvaises herbes).</t>
  </si>
  <si>
    <t>FM : mise en place de la supervision des bornes IRVE.</t>
  </si>
  <si>
    <t>Sous garantie / La sirène de l'issue de secours allée 6 en PJ se déclenche au bout de 72sec. Merci d'intervenir pour corriger cela.</t>
  </si>
  <si>
    <t>porte savon boulangerie decrocher et pas de fixation prevue sur le mur</t>
  </si>
  <si>
    <t>FM : Nettoyage boulangerie - Module 3 - S14. Joindre impérativement les checklistes.</t>
  </si>
  <si>
    <t>FM : vérification du fonctionnement des transmissions d’alarmes vers la télésurveillance suite à la suppression de la ligne RTC (box Orange).</t>
  </si>
  <si>
    <t>FM : Bascule de la télésurveillance DELTA vers INEO.</t>
  </si>
  <si>
    <t>FM : Nettoyage selon module n°2 : Caisses planning S36-37.</t>
  </si>
  <si>
    <t>FM : Nettoyage selon module n°3 : Boulangerie planning S37-38.</t>
  </si>
  <si>
    <t>FM : installer une tablette à gauche de la TV dans la salle de réunion</t>
  </si>
  <si>
    <t>FM : merci d'intervenir pour mettre en place une protection pour le piège, localisation NT13 en réserve, voir plan en pièce jointe.</t>
  </si>
  <si>
    <t>FM : remplacer la protection de la porte local matériel en réserve avant lundi 10/11 car visite de la gérance.</t>
  </si>
  <si>
    <t>FM : Demande suite à validation devis n°DV2207010012. Modification de l'écoulement de l’îlot surgelés.</t>
  </si>
  <si>
    <t>FM : De nombreuses portes s'ouvrent de manière intempestives</t>
  </si>
  <si>
    <t>FM : merci d'intervenir après le 09/02 pour couper la sonnerie de l'ancien téléphone.</t>
  </si>
  <si>
    <t>FM : merci d'intervenir suite au rapport de la télésurveillance, un défaut hier soir d'une demie heure.</t>
  </si>
  <si>
    <t>FM : suite au rapport de télésurveillance, merci d'intervenir pour un défaut froid de 12h.</t>
  </si>
  <si>
    <t>controle de l'installation</t>
  </si>
  <si>
    <t>FM : merci d'intervenir suite au rapport de télésurveillance, 1 défaut de plus de 20 mns cette nuit.</t>
  </si>
  <si>
    <t>FM : Début de prise en glace</t>
  </si>
  <si>
    <t>FM : suite au rapport de Cythelia, merci d'intervenir sur site pour remettre la centrale en service (voir rapport).</t>
  </si>
  <si>
    <t>FM : Nettoyage boulangerie - Module 5 - S27. Joindre impérativement les check-lists.</t>
  </si>
  <si>
    <t>FM : Nettoyage caisses - Module 6 - S31. Joindre impérativement les checklistes.</t>
  </si>
  <si>
    <t>FM : merci d'intervenir le boutoir à droite du quai est arraché (voir photos).</t>
  </si>
  <si>
    <t>FM : A la demande du siège, merci de vérifier l'onduleur du magasin. Les caisses redémarrent en boucle électriquement.</t>
  </si>
  <si>
    <t>FM : Suite mail M.Vagne, intervenir le 12/05 à Eckbolsheim // le 19/05 à Lingolsheim // le 19/05 à Strasbourg Meinau.</t>
  </si>
  <si>
    <t>FM : Nettoyage Module 2 Caisses selon planning juillet S28</t>
  </si>
  <si>
    <t>FM : Nettoyage Module 8 Vitres Hautes selon planning juillet S28</t>
  </si>
  <si>
    <t>FM : Nettoyage Module 3 Boulangerie selon planning juillet S30.</t>
  </si>
  <si>
    <t>FM : visite gérance du 4/11 : nettoyage complet du magasin (voir détails avec Erhan mail du 14/10).</t>
  </si>
  <si>
    <t>FM : Nettoyage Module 2 Caisses selon planning juillet S30.</t>
  </si>
  <si>
    <t>FM : suite à l'intervention de votre technicien, merci d'intervenir pour refaire la charge fluidique des 2 groupes.</t>
  </si>
  <si>
    <t>FM : mettre une attache pour cacher les câbles sous l'écran dans le sas d'entrée</t>
  </si>
  <si>
    <t>FM : suite visite gérance, merci de régler les portes dans le frais, car les portes restent entre ouvertes selon le RM.</t>
  </si>
  <si>
    <t>FM : remise des cailloux dans l'ilôt devant l'entrée</t>
  </si>
  <si>
    <t>FM : remettre un scotch "alu gris" sur le calorifugeage de la soufflerie au niveau du quai</t>
  </si>
  <si>
    <t>FM : Merci de changer les codes DSB.</t>
  </si>
  <si>
    <t>FM : visite gérance le mercredi 8/6, intervention à commencer vers 16h le mardi 7 juin, présence du personnel sur site jusqu'à 23h. prendre attache avec Katia pour plus de précisions.
 Nettoyage complet comprenant l'extérieur (vitres et rebords vitrines (sol carrelé), parking, quai) + sols intérieur (surface de vente, sociaux, réserve) + boulangerie (sol &amp; mobiliers)</t>
  </si>
  <si>
    <t>FM : Cuvette à jeter + Lisse pour meuble à visser + Commande clim bureau non bloquée + Mettre bande collante isolante + borne jaune devant mondial relay à redresser.</t>
  </si>
  <si>
    <t>FM : nous souhaitons un surveillant pour le 03/11/2022. Merci de nous transmettre une confirmation par mail.</t>
  </si>
  <si>
    <t>FM : Nettoyage boulangerie - Module 3 S46-48.</t>
  </si>
  <si>
    <t>Bonjour, Veuillez trouver ci-joint la feuille de synthèse des observations suite au passage du bureau Véritas pour l’année 2022. Nous vous demandons de bien vouloir lever les observations dans les meilleurs délais et de nous retourner dès l’intervention terminée le(s) document(s) complété(s), signé(s) et cacheté(s) par vos soins. Cordialement. ELEC</t>
  </si>
  <si>
    <t>FM : Le badge n°1000733142 d'Antoine GRISS (RVS) n'ouvre pas les portes. Merci de l'activer (à mutualiser avec une autre intervention si possible)</t>
  </si>
  <si>
    <t>FM : alarme jour IS ne fonctionne pas.</t>
  </si>
  <si>
    <t>FM : Nettoyage caisses - Module 2 - S19. Joindre impérativement les checklistes.</t>
  </si>
  <si>
    <t>FM : Un caddie se trouve devant la maison d'une cliente 23 rue des Jardins à Eckbolsheim. Merci de le récupérer et de le remettre au lidl à Eckbolsheim. Me dire quand c'est possible svp.</t>
  </si>
  <si>
    <t>FM : Vérifier la clim dans le local informatique, car taux humidité trop élevée (70%) + Récupérateur d’eau ne fonctionne pas en auto, le mag n’avait plus d’eau dans les wc donc ils ont du toucher aux vannes</t>
  </si>
  <si>
    <t>pas d item porte deboité</t>
  </si>
  <si>
    <t>FM : merci d'intervenir suite à la validation du devis n° MFQ-000479231-0. Remise en état de l'alarme anti-retour.</t>
  </si>
  <si>
    <t>FM : suite rapport télésurveillance, merci d'intervenir pour un défaut froid de 3h.</t>
  </si>
  <si>
    <t>FM : suite rapport télésurveillance, merci d'intervenir suite à un défaut froid de plus de 4h cette nuit.</t>
  </si>
  <si>
    <t>Repeindre poteau jaune et noir + mur sur le quai.</t>
  </si>
  <si>
    <t>FM : merci d'intervenir suite à la validation du devis n° DV2211030007. Réparation éclairage.</t>
  </si>
  <si>
    <t>A la demande du CM:refixer la cornière d’angle en aluminium sur le podium des vins.ODM fait par AT3 . Travail fini</t>
  </si>
  <si>
    <t>Remplacement des plaques autocollantes des destructeurs d’insectes dans le labo pain.ODM fait par AT3. Travail fini</t>
  </si>
  <si>
    <t>cable qui pend</t>
  </si>
  <si>
    <t>bouton central defectueux</t>
  </si>
  <si>
    <t>porte emboutie. n'est plus dans le rail. ne se ferme presque plus</t>
  </si>
  <si>
    <t>Bonjour, suite à la vérification du bureau de contrôle véritas, veuillez lever les observations mentionnées sur les photos ci-jointes dans le cadre de la garantie.</t>
  </si>
  <si>
    <t>FM : merci d'intervenir l'onduleur est en défaut.</t>
  </si>
  <si>
    <t>store hs</t>
  </si>
  <si>
    <t>FM : suite rapports télésurveillance, plusieurs micros défauts cette nuit.</t>
  </si>
  <si>
    <t>evier dans labo pain boucher</t>
  </si>
  <si>
    <t>il ne monte pas jusqu.en haut il s.arrete augomatiquement au milieu</t>
  </si>
  <si>
    <t>Les désactivateurs sont HS sur mes caisses 3 et 5 (CB) ainsi que sur mes 6 caisses automatiques. Contrôle effectué avec la carte de l API ainsi qu avec des produits antivolés.
 Prestataire Checkpoint</t>
  </si>
  <si>
    <t>meuble a cote HS et celui ci n arrive pasa garder labonne temperature. 6 degres affiché</t>
  </si>
  <si>
    <t>FM : suite rapport de la télésurveillance, merci d'intervenir pour un défaut froid de plus de 18h.</t>
  </si>
  <si>
    <t>FM : merci d'activé le badge de Paul FISCHER, fonction RVS sur tout l'ensemble du magasin et de vérifier ses accès sur l'ensemble des magasins de la direction régionale.
 Numéro de badges :
 Noir : 0001000646630
 Gris : 0010340644689</t>
  </si>
  <si>
    <t>meuble pouvant descendre jusqu'a -8 degres. alarme frois declenchee</t>
  </si>
  <si>
    <t>meuble à 6 degres</t>
  </si>
  <si>
    <t>meuble a 6 degres</t>
  </si>
  <si>
    <t>meublesqui fuit</t>
  </si>
  <si>
    <t>FM : merci d'intervenir suite à la validation du devis n° DV00027886. Rpct complet d'un store BSO.</t>
  </si>
  <si>
    <t>AT3 check list trimestrielle 3862.ODM fait par AT3 . Travail fini</t>
  </si>
  <si>
    <t>FM : Nettoyage boulangerie - Module 5 - S32. Joindre impérativement les checklistes.</t>
  </si>
  <si>
    <t>FM : Le verrou du rideau de quai est cassé.</t>
  </si>
  <si>
    <t>FM : Suite mail M. René COEZY (Facility Park), merci d'intervenir car la borne de sortie affiche un message d’erreur tout les 10 minutes ce qui bloque le client à la sortie.</t>
  </si>
  <si>
    <t>alarme froid continue</t>
  </si>
  <si>
    <t>FM : Il y a eu 78 défauts froid de nuit sur le mois de juillet. Merci de vérifier si tout fonctionne correctement.</t>
  </si>
  <si>
    <t>butee endommagee. pose probleme pour la livraison</t>
  </si>
  <si>
    <t>FM : suite rapport mensuel télésurveillance, merci d'intervenir il y a des défauts froid trop importants, vérifier le journal des alarmes et paramétrages pour solutionner ces problèmes.</t>
  </si>
  <si>
    <t>eclairage allumee en permanence</t>
  </si>
  <si>
    <t>il fait trop chaud dans le magasin,. les meubles vv commence a tous lacher.</t>
  </si>
  <si>
    <t>Il ny a plus de possibilite de choisir des fruits ou legumes sur la sco82 ni viennoiserie ou petit pain sale</t>
  </si>
  <si>
    <t>Du parement est tombé le long du mur de la zone de quai.ODM fait par AT3 .</t>
  </si>
  <si>
    <t>Chargement dans la camionnette de 8 paquets de carrelage de 40x60 pour retour DR.ODM fait par AT3 .</t>
  </si>
  <si>
    <t>FM : merci d'intervenir suite au rapport de la télésurveillance. Défaut froid d'1h40.</t>
  </si>
  <si>
    <t>manque etiquette cycle de degivrage</t>
  </si>
  <si>
    <t>FM : merci d'intervenir suite au rapport de la télésurveillance, plusieurs micro défauts froid.</t>
  </si>
  <si>
    <t>luttes contre les nuisibles probleme de rousillememt dans les chocolats</t>
  </si>
  <si>
    <t>languettes du bord de la porte defecteuse</t>
  </si>
  <si>
    <t>faience qui tombe au sol</t>
  </si>
  <si>
    <t>FM : Veuillez trouver ci-joint la feuille de synthèse des observations suite au passage du bureau Véritas pour l’année 2023. Nous vous demandons de bien vouloir lever les observations dans les meilleurs délais et de nous retourner dès l’intervention terminée le(s) document(s) complété(s), signé(s) et cacheté(s) par vos soins. Cordialement. ERP. Le délais est d'un mois pour la levée des observations.</t>
  </si>
  <si>
    <t>FM : Veuillez trouver ci-joint la feuille de synthèse des observations suite au passage du bureau Véritas pour l’année 2023. Nous vous demandons de bien vouloir lever les observations dans les meilleurs délais et de nous retourner dès l’intervention terminée le(s) document(s) complété(s), signé(s) et cacheté(s) par vos soins. Cordialement. ELEC. Les observations 4 et 8 ont été levées par notre électricien. Le délais est d'un mois pour la levée des observations.</t>
  </si>
  <si>
    <t>FM : merci d'intervenir pour relever les courbes suite au sinistre du 23/07 sur les meubles 5.1, 5.2 et 5.3.</t>
  </si>
  <si>
    <t>FM : Prise en glace entrée CF- et plafond</t>
  </si>
  <si>
    <t>sqvt</t>
  </si>
  <si>
    <t>joint cassė</t>
  </si>
  <si>
    <t>prise eb glace ventilo</t>
  </si>
  <si>
    <t>joint casser</t>
  </si>
  <si>
    <t>Alarme de la vitrine et message d erreur</t>
  </si>
  <si>
    <t>viens de se mettre a sonner</t>
  </si>
  <si>
    <t>Alarme longue durée</t>
  </si>
  <si>
    <t>sonnerie</t>
  </si>
  <si>
    <t>alarme froid. pas de liaison</t>
  </si>
  <si>
    <t>FM : Intervenir pour basculer les centrales intrusion des spm vers la ligne SFR.</t>
  </si>
  <si>
    <t>La borne EAS de l 'entrée ne sonne plus en cas de sortie par celle ci</t>
  </si>
  <si>
    <t>AT3 check-list 3862</t>
  </si>
  <si>
    <t>Remplacement des électrodes du défibrillateur .ODM fait par AT3 . Travail fini.</t>
  </si>
  <si>
    <t>FM : Suite passage Rentokil, vérifier l'herméticité de la canalisation au local électrique.</t>
  </si>
  <si>
    <t>FM : URGENT merci de vérifier l'onduleur svp. Me dire quand un tech peut passer.</t>
  </si>
  <si>
    <t>VENTE La lame de la trancheuse ne s'enclenche pas</t>
  </si>
  <si>
    <t>Detritus dans le parc groupe froid .ODM fait par AT3 . Travail fini.</t>
  </si>
  <si>
    <t>A la demande du FM: fermeture de l’alimentation rideau air chaud/froid entrée mag.ODM fait par AT3 . Travail fini.</t>
  </si>
  <si>
    <t>les boutons ouvertures et fermetures ne fonctionne pas impossibilite de faire la balle</t>
  </si>
  <si>
    <t>VENTE Trancheuse à pain HS lame ne remonte pas</t>
  </si>
  <si>
    <t>VENTE avant vendredi 20 mai 2022
 Pour : 
 - Dans la CF- de la V2, mettre 7 axes à gauche et 9 axes à droite
 - Mettre deux étagères par axes en 60 cm
 Pour info : 
 - Il faut 16 axes en tout avec les existants
 - Mettre les axes au fond de la CF-
 - Prendre tout le matériel à la cellule consomag, 
 - Pas de podiums à mettre en place 
 - Double entretoises à mettre en place
 - Le spm est informé
 - Pas de mélaminé à mettre en place
 - Mettre des bandes de rives en place</t>
  </si>
  <si>
    <t>bac surgelé action qui coule</t>
  </si>
  <si>
    <t>AT3 check list trimestrielle 3862</t>
  </si>
  <si>
    <t>Protection sous M surg emboutie.ODM fait par AT3 . Travail fini.</t>
  </si>
  <si>
    <t>Chargement matériel camionnette AT3 suite au montage de la galerie de toit pour la pirl à Strasbourg .montage et réglage de la pirl sur la galerie.ODM fait par AT3 . Travail fini.</t>
  </si>
  <si>
    <t>FM : merci d'intervenir suite au rapport d'incident de Cythelia, vérification sur site pour remettre l'onduleur en service.</t>
  </si>
  <si>
    <t>SOUS GARANTIE : on nous signale un problème de code d'accès et le manque de masque (voir photos ci-jointes)
 merci de faire le nécessaire dans le cadre de la garantie.
 numéro de téléphone du magasin si besoin : 03 81 97 61 52</t>
  </si>
  <si>
    <t>SOUS GARANTIE : on nous signale que le mot de passe live et dsb ne fonctionne pas, seul le code tech déverrouille mais le système n'est plus en réseau même après le redémarrage du PC. merci d'intervenir dans le cadre de la garantie. numéro de téléphone du magasin si besoin : 03 81 97 61 52</t>
  </si>
  <si>
    <t>problèmes de nuisible une souris qui est sortie d'une palette de Fl se balade dans le magasin. vu dans la boulangerie ainsi que dans la reserve vers la presse à balle</t>
  </si>
  <si>
    <t>portes entre la chambre negative et la chambre positive qui s.ouvre seule et qui reste ouverte</t>
  </si>
  <si>
    <t>bac surg dans le coin pain se met en erreur 60 des qu'il arrive à une certaine température ( 1degrès)
 ne peut pas faire de photos problème de réseau avec le mobi</t>
  </si>
  <si>
    <t>tempéraure haute meuble frais</t>
  </si>
  <si>
    <t>température haute</t>
  </si>
  <si>
    <t>four disjoncté qui ne veut pas se rearmé</t>
  </si>
  <si>
    <t>VENTE , jeudi 14 ou vendredi 15 avril.
 Pour : 
 - Débrancher la 3eme station B5/B10, qui se trouve dans la V2
 - Ramener cette station + 4 rolls B5/B10 à la cellule consomag
 Pour info : 
 - Le spm est « normalement » informé
 - Ne pas intervenir avant le mercredi 13 avril</t>
  </si>
  <si>
    <t>SOUS GARANTIE : on nous signale que l'onduleur 3 ne fonctionne pas suite à une supervision. merci de faire le nécessaire dans le cadre de la garantie. numéro de téléphone du magasin si besoin : 03 81 97 61 52</t>
  </si>
  <si>
    <t>AT3 check-list trimestrielle 3862</t>
  </si>
  <si>
    <t>Plaque d’egout non fermée sur le trottoir du parking (risque de chute) ODM fait par AT3 . Travail fini.</t>
  </si>
  <si>
    <t>FM : Demande suite à validation devis n°FQ2210120039. Remplacement moteur sortie intérieur.</t>
  </si>
  <si>
    <t>default froid a notre arriver a 7h +9 ne resescend pas probleme se temperature survenu la veille egalement</t>
  </si>
  <si>
    <t>alarme pompe de relevage</t>
  </si>
  <si>
    <t>FM : merci d'intervenir suite à un défaut froid de 20 mn cette nuit.</t>
  </si>
  <si>
    <t>joint d'etanchéité cassé</t>
  </si>
  <si>
    <t>FM : suite rapport télésurveillance, merci d'intervenir suite à des défauts froids de plus 1h.</t>
  </si>
  <si>
    <t>FM : merci d'intervenir suite à un défaut froid cette nuit de plus de 2H.</t>
  </si>
  <si>
    <t>FM : Un meuble boissons va être installé prochainement (cf plan en PJ). Merci d'intervenir avant le 25 avril pour mettre en place les alimentations.</t>
  </si>
  <si>
    <t>FM : merci d'intervenir suite à la validation du devis n°FQ2202140129. Réparation de la porte sectionnelle quai.</t>
  </si>
  <si>
    <t>meuble vv en defaut froid</t>
  </si>
  <si>
    <t>item non referencer espaceq vert tonte er desherbage</t>
  </si>
  <si>
    <t>porte d'entrée décaler.
 il est difficile de l'ouvrir ou de la fermer à clé</t>
  </si>
  <si>
    <t>Vu avec RVS alarme se déclanche toute les nuits</t>
  </si>
  <si>
    <t>FM : Suite rapport télésurveillance, il y a eu un défaut froid cette nuit. Merci de vérifier l'ensemble des équipements froid.</t>
  </si>
  <si>
    <t>La porte de l'issue de secours situé au niveau des caisses automatiques se deverouille dès que le vent souffle trop fort. Déclencement alarme ce dimanche après midi</t>
  </si>
  <si>
    <t>SOUS GARANTIE : on nous signale que l'éclairage au dessus de la porte convoyeur et de l'issue de secours est HS (voir photo)</t>
  </si>
  <si>
    <t>FUITE dans le local surpresseur 
 goutte à goutte sur tuyau voir photo</t>
  </si>
  <si>
    <t>SOUS GARANTIE : on nous signale que le récupérateur d'eau dans les sociaux est débranché (photo de droite) + fuite d'eau (voir photo de gauche).</t>
  </si>
  <si>
    <t>FM : suite au rapport de télésurveillance, il y a eu un défaut froid de 1h34 cette nuit. Merci de bien vouloir faire le tour de tous les équipements froids.</t>
  </si>
  <si>
    <t>il n'y a plus besoin de passer le badge pour la porte d'entree des sociaux. porte constament ouverte</t>
  </si>
  <si>
    <t>urgent !!!</t>
  </si>
  <si>
    <t>Pose du nouveau distributeur essuie main sur le distributeur de gel hydroalcoolique + dépose de l’ancien distributeur essuie main et remise en état de son support .ODM fait par AT3 . Travail fini.</t>
  </si>
  <si>
    <t>Pose de 3 thermomètres dans le MAG .ODM fait par AT3 . Travail fini.</t>
  </si>
  <si>
    <t>Pose l’explication de la tablette Léon.ODM fait par AT3 . Travail fini.</t>
  </si>
  <si>
    <t>Pose d’un cadenas sur le distributeur de gel hydroalcoolique car il a disparu + nettoyage de la bonbonne et remplissage de gel et remplacement du bec verseur cassé .ODM fait par AT3 . Travail fini.</t>
  </si>
  <si>
    <t>la porte s'ouvre toute seule sans arrêt</t>
  </si>
  <si>
    <t>le transpalette montre le signe de recharge en cours puis fait comme si on le debranchait sur toute les prises du quai</t>
  </si>
  <si>
    <t>FM : Nettoyage caisses - Module 2 - S14. Joindre impérativement les checklistes.</t>
  </si>
  <si>
    <t>checkpoint est passe pour les desactivateurs dantivol aux caisqes normal mais ce nest pas eux pour les sco, les fabricants pour ledispositif antivol deac sco est nedap</t>
  </si>
  <si>
    <t>dans l allee cosmetique il faut rajouter deux spots jusqua la parapharmacie. il daut retirer une geande barre de led et mettre a la place deux barres plus petites et 2 spots. precisions chez pe rvs si besoin</t>
  </si>
  <si>
    <t>nettoyage des vitres interieurs et exterieurs au dessus du surgeles</t>
  </si>
  <si>
    <t>FM : A la demande du siège, vérifier le filtre maître + desserte interne.</t>
  </si>
  <si>
    <t>support de la boite a pharmacie situé dans le labo pain cassé.
 la boite ne tiens plus dans son support</t>
  </si>
  <si>
    <t>le tire palette ne charge pas du tout probleme de contact</t>
  </si>
  <si>
    <t>essayer sur plusieur prise il ne veut pas charger</t>
  </si>
  <si>
    <t>erreur grave ne peut pas demarrer les programmes + erreur moteur surchauffe</t>
  </si>
  <si>
    <t>désactivateur HS sur toutes les caisses</t>
  </si>
  <si>
    <t>FM : merci d'intervenir le 04/04 pour déposer le BSO cassé.</t>
  </si>
  <si>
    <t>Les deux fours du bas affiche le message d'erreur suivant "Erreur grave ! Le programme ne peut pas être démarré"
 et le troisiéme four du bas lui marque de fermer la porte alors que la porte est bien fermer
 merci de faire intervenir un technicien au plus vite car la situation va devenir vite compliqué
 cordialement</t>
  </si>
  <si>
    <t>on ne peut plus ouvrir la porte . la poignée reste bloquée</t>
  </si>
  <si>
    <t>FM : merci d'intervenir après le 21/02 pour retirer l'ancienne sonnerie téléphonique.</t>
  </si>
  <si>
    <t>le store se detache</t>
  </si>
  <si>
    <t>Baisser le bac à piles usagées dans le sas d’entré Mag.ODM fait par AT3 . Travail fini.</t>
  </si>
  <si>
    <t>voitures c3 picasso noir immatricule BH-807-WP qui est stationner sur le parking depuis 2 semaines elle ne bouge pas du tout elle a la vitre du coffre casser. avec un sac plastique coller dessus. elle est garer juste a coter des panneaux photovoltaique</t>
  </si>
  <si>
    <t>voitures citroen c3 picasso noir immatriculer BH-807-WP elle a la vitre casser du coffre scotched avec un sac poubelle. ca fait 2 semaine quelle est la. garer a coter des panneaux phofovoltaique.</t>
  </si>
  <si>
    <t>la clim ne fonctionne pas dans le local tgbt chaleur anormal</t>
  </si>
  <si>
    <t>ne veut plus charger on a tester sur plusieurs prises sans résultat</t>
  </si>
  <si>
    <t>Demande de paramétrage de badge encadrant pour Mme Le Parc Samantha CCA badge N°159151204</t>
  </si>
  <si>
    <t>FM : Nettoyage selon module n°2 : Caisses planning S35</t>
  </si>
  <si>
    <t>photo caisse</t>
  </si>
  <si>
    <t>photos caiss pmr</t>
  </si>
  <si>
    <t>FM : merci d'intervenir pour remplacer deux spots LED HS au-dessus du FL.</t>
  </si>
  <si>
    <t>SOUS GARANTIE : on nous signale que des morceaux de parement se détachent du mur. Merci d'intervenir dans le cadre de la garantie.
 Numéro de téléphone du magasin si besoin : 03 81 97 61 52</t>
  </si>
  <si>
    <t>Pose de pancarte sur le grillage extérieur relatives à la vidéosurveillance et aux obligations sur le parking .ODM fait par AT3 . Travail fini</t>
  </si>
  <si>
    <t>FM : Suite mail M. Ercerman, intervenir concernant les nombreux défauts en janvier.</t>
  </si>
  <si>
    <t>SOURIS en magasins ( pas d'item referencé )</t>
  </si>
  <si>
    <t>FM : suite rapport télésurveillance, merci d'intervenir pour un défaut froid de 20 mns cette nuit.</t>
  </si>
  <si>
    <t>4 protections sol VVP manquantes .ODM fait par AT3 . Travail fini.</t>
  </si>
  <si>
    <t>Pour info fm : contrôle de l’absence de visuel sur les caisses en mode LIVE .ODM fait par AT3 . Travail fini.</t>
  </si>
  <si>
    <t>Merci de bien vouloir venir me remplacer les podiums FL(6) ainsi les socles casses en magasin (3)</t>
  </si>
  <si>
    <t>VENTE 3862 (travaux à effectuer sur le spm de Kléber)
 Pour : 
 - Passer à la cellule consomag pour récupérer (des demi cartons retour NF, des palettes plastiques et du film transparent)
 - Aller sur le spm de Kléber pour démonter 90 présentoirs fleurs
 - Les mettre dans des cartons, identifier les cartons et mettre les cartons sur palettes
 Pour info : 
 - Les clefs sont à la cellule consomag
 - Me tenir informé de la date d’intervention</t>
  </si>
  <si>
    <t>Le symbole d'une clé est affiché sur l 'écran, la machie bip et ne fonctionne plus</t>
  </si>
  <si>
    <t>Bip. N'arrête pas de sonner et code erreur "3163"</t>
  </si>
  <si>
    <t>SOUS GARANTIE : on nous signale que l'éclairage des enseignes en façade du magasin ne fonctionne pas, alors que l'éclairage du parking est ok.
 merci d'intervenir dans le cadre de la garantie.
 n° de téléphone du magasin si besoin : 03 81 97 61 52</t>
  </si>
  <si>
    <t>VENTE dés que possible
 Pour : Effectuer la tournée.
 Pour info : 
 - Il s’agit d’un oubli de ma part 
 - Il vous reste du matériel</t>
  </si>
  <si>
    <t>bac surg dans la rėserve qui marque erreur 60 il se met en erreur de quil arrive a 1 degres</t>
  </si>
  <si>
    <t>SOUS GARANTIE : on nous signale qu'un onduleur ne produit plus depuis votre passage du 22/12/22.
 Merci de bien vouloir intervenir dans le cadre de la garantie.
 Numéro de téléphone si besoin : 03 81 97 61 52</t>
  </si>
  <si>
    <t>FM : merci d'intervenir suite au passage de l'agent technique Lidl, il n'y a pas de courant sur le ballon d'eau chaude du labo pain.</t>
  </si>
  <si>
    <t>FM : merci d'intervenir suite au rapport de la télésurveillance, défaut de 20 mns.</t>
  </si>
  <si>
    <t>porte auto decalee. difficulte a se fermer</t>
  </si>
  <si>
    <t>cordon cassé dans la chambre froide positive FL</t>
  </si>
  <si>
    <t>miroir interieur cassé</t>
  </si>
  <si>
    <t>FM : merci de mettre en place des chauffages d'appoint.</t>
  </si>
  <si>
    <t>quand on met l'alarme le soir l'éclairage complet du magasin reste allumé pendant au moins 10 minutes.
 quand on arrive le matin et qu'on enlève l'alarme le magasin ne s'allume pas; il reste éteint pendant quelques minutes. * 30/12 KN : réglé par GTB, à rappeler semaine pro pour savoir si ok</t>
  </si>
  <si>
    <t>FM : Défaut sur le régulateur de tension dans le TGBT.</t>
  </si>
  <si>
    <t>SOUS GARANTIE : depuis la reprise des branchements dans le TGBT, un des onduleurs (en bleu) ne produit plus rien (voir photo)</t>
  </si>
  <si>
    <t>borne de charge non fonctionnelle. Il n'y a aucune disjonction.</t>
  </si>
  <si>
    <t>Suite à un appel de l'IT, il nous faudrait une intervention sur la badgeuse qui est offline. Ils nous ont demandé un changement de cable.
 Envoi de la demande impossible avec le Mobi</t>
  </si>
  <si>
    <t>FM : Nettoyage boulangerie - Module 3 - S19. Joindre impérativement les checklistes.</t>
  </si>
  <si>
    <t>URGENT vitrine a -33 degre. astreinte deja appelée mais deja sur chantier</t>
  </si>
  <si>
    <t>enrouleur dans la reserve pour branchee les transpal ne fonctionne plus</t>
  </si>
  <si>
    <t>Probleme de connexion entre le logiciel de caisse et la balance. La balance à été controle RAS .
 Pas moyen de valide la pesé tout passe à 1€</t>
  </si>
  <si>
    <t>Bec verseur sur distributeur de gel hydroalcoolique HS et bonbonne de gel vide + pose d’un nouveau cadenas( disparus)ODM fait par AT3. Travail fini.</t>
  </si>
  <si>
    <t>Porte souple côté boulangerie HS.ODM fait par AT3. Travail fini</t>
  </si>
  <si>
    <t>Installation des luminaires FL, colis réceptionné</t>
  </si>
  <si>
    <t>AT3 check list 3862</t>
  </si>
  <si>
    <t>A la demande du FM.faire faire disjoncter le régulateur de tension.après recherche sur les armoires électriques ,pas de régulateur trouvé .ODM fait par AT3. Travail fini.</t>
  </si>
  <si>
    <t>Pose de l’affichage arrêté du Maire sur la vitre du sas d’entrée.ODM fait par AT3. Travail fini.</t>
  </si>
  <si>
    <t>le portail d'entree du parking ne souvre plus (portail haut bloqué fermé)</t>
  </si>
  <si>
    <t>SOUS GARANTIE : on nous signale une fuite du surpresseur. Merci de bien vouloir intervenir dans le cadre de la garantie.
 numéro de téléphone du magasin si besoin : 03 81 97 61 52</t>
  </si>
  <si>
    <t>La barrière supérieure du portail reste en position ouverte toute la journee .
 Prise de photo impossible avec mobi, envoyé par sms</t>
  </si>
  <si>
    <t>température trop basse dans les sociaux</t>
  </si>
  <si>
    <t>items non referencer espace vert tonte et desherbage</t>
  </si>
  <si>
    <t>surpresseur en defaut avec alarme sonore. pas d eau au toilette boulangerie autolaveuse</t>
  </si>
  <si>
    <t>FM : problème surpresseur et détecteur air</t>
  </si>
  <si>
    <t>FM : merci d'intervenir, 2 onduleurs ne produisent plus.</t>
  </si>
  <si>
    <t>piece en metal qui est tombee de lintzrieur de la serrure. la porte ne se verrouille plus. porte entre la reserve et la salle de pause</t>
  </si>
  <si>
    <t>ne fonctionne pas il fait trop froid dans lemag</t>
  </si>
  <si>
    <t>on ne peut plus fermer la porte</t>
  </si>
  <si>
    <t>la porte de la chambre pisitive ne se ferme plus</t>
  </si>
  <si>
    <t>SCO 82 éteinte , vu avec le tecnicien des SCO a priori pas de courant arrive à la prise</t>
  </si>
  <si>
    <t>revisser la barre en alu sur le podium (allée dph dentifrice) vers TG arrière
 ne peut pas faire de photos, problème de réseau avec mobi</t>
  </si>
  <si>
    <t>FM : merci d'intervenir pour la réparation du sas d'étanchéité situé sur le quai.</t>
  </si>
  <si>
    <t>le boitier ne ferme pas et il se xoupe a chaque descente du tire-pal.</t>
  </si>
  <si>
    <t>FM : merci d'intervenir suite au rapport de la télésurveillance, un défaut froid de plus d'une journée.</t>
  </si>
  <si>
    <t>sas d'etanchéité cassé par ls chauffeur + verrin de la plaque cassé</t>
  </si>
  <si>
    <t>Problème de joint de porte</t>
  </si>
  <si>
    <t>roue blanche sur le balai d'aspiration cassė</t>
  </si>
  <si>
    <t>FM : merci d'intervenir suite à un défaut froid de plus de 15h.</t>
  </si>
  <si>
    <t>Autolaveuse aspire tres mal et la brosse de gauche ne tourne pas malgre un nettoyage a pluqieurs</t>
  </si>
  <si>
    <t>ne charge pas</t>
  </si>
  <si>
    <t>URGENT. Cables des panneaux photovoltaïques qui fondent !!!!!!!!!</t>
  </si>
  <si>
    <t>Mise en place de l’affichage dixi sur le tableau de commande .ODM fait par AT3. Travail fini</t>
  </si>
  <si>
    <t>tout les fours reste bloquer sur le mode nettoyage 
 impossible de lancer une cuisson 
 faire une intervention en urgence car impossible de proposer la gamme pain au clients</t>
  </si>
  <si>
    <t>portes de la chambre froide positive qui s est dėgonder on a pu la remettre mais le cable de la porte est tordu. elle fait bruit à l ouverture</t>
  </si>
  <si>
    <t>aimants pour enlever les antivols absents sur 3 caisses (1,2,4)</t>
  </si>
  <si>
    <t>FM : Suite à ta checklist, revisser la descente des eaux pluviales côté grand parking.</t>
  </si>
  <si>
    <t>FM : suite rapport télésurveillance, merci d'intervenir plusieurs défauts froids.</t>
  </si>
  <si>
    <t>Installation du Corner Local</t>
  </si>
  <si>
    <t>les pales ne descendent plus jusqua la position la plus basse. les palettes restent coincė deçu.</t>
  </si>
  <si>
    <t>FM : merci de faire un diagnostic concernant des anomalies de températures. Zone SDV trop froide 16°C en S03.</t>
  </si>
  <si>
    <t>SOUS GARANTIE : on nous signale que le parement en façade du magasin ne tient pas, il est tombé à plusieurs endroits (voir photos ci-jointes). il reste du parement en stock au magasin dans le local CTA.
 merci d'intervenir dans le cadre de la garantie.
 N° de téléphone du magasin si besoin : 03 81 97 61 52</t>
  </si>
  <si>
    <t>on ne peut pas lancer les programmes 
 marque "erreur grave"</t>
  </si>
  <si>
    <t>tapis roulant HS</t>
  </si>
  <si>
    <t>Changement des tubes néon ,starters,plaques de glu sur le destructeur d’insectes .ODM fait par AT3 . Travail fini.</t>
  </si>
  <si>
    <t>Remise de la perche télescopique avec sa brosse à un responsable de magasin .ODM fait par AT3 . Travail fini.</t>
  </si>
  <si>
    <t>Pose d’autocollants sur les 4 bornes de recharge véhicule .ODM fait par AT3 . Travail fini.</t>
  </si>
  <si>
    <t>porte chambre froide degondee. risque de defaut et de danger</t>
  </si>
  <si>
    <t>Pour : 
 -Remplacer dans la réserve un bac surg TG par un bac surg 210
 -Mettre les protections autour de ces bacs
 Pour info : 
 -Le bac à remplacer et protections seront mis à quai vendredi 06 janvier 2023
 -S’assurer que le matériel soit en réserve avant d’intervenir</t>
  </si>
  <si>
    <t>il fait trop froid dans tous le mag</t>
  </si>
  <si>
    <t>Camera de surveillance qui ne fonctionnent pas. ( pas d'item pour ça)</t>
  </si>
  <si>
    <t>Vente réimplantation saisonnière du 02 novembre 2022</t>
  </si>
  <si>
    <t>systems douverture et fermeture de la porte du quaie</t>
  </si>
  <si>
    <t>porte casser</t>
  </si>
  <si>
    <t>FM : une borne de recharge ne fonctionne pas.</t>
  </si>
  <si>
    <t>Dalle de FP humide dans le bureau .ODM fait par AT3 .</t>
  </si>
  <si>
    <t>Éclairage FL nok sur la moitié de la structure ( câbles sectionnés une fois de plus).ODM fait par AT3 .</t>
  </si>
  <si>
    <t>Protection devant barrière automatique emboutie .ODM fait par AT3 .</t>
  </si>
  <si>
    <t>A la demande du FM: chercher le carrelage au LIdl de Lure et le ramener sur montbéliard .ODM fait par AT3 . Travail fini</t>
  </si>
  <si>
    <t>FM : maintenance barrière</t>
  </si>
  <si>
    <t>le haut du portail ne souvre pas et reste bloqué au milieu</t>
  </si>
  <si>
    <t>items non referencer video surveillance voie publique visible tpe visible bureau</t>
  </si>
  <si>
    <t>FM : merci d'intervenir pour la mise en place de chauffage d'appoint dans les sociaux.</t>
  </si>
  <si>
    <t>FM : merci d'intervenir sur les portes anti-retours, elles ne sonnent pas.</t>
  </si>
  <si>
    <t>Pose de l’affichage c’est utile ! Dans le sas d’entrée sur l’erratum .ODM fait par AT3 . Travail fini.</t>
  </si>
  <si>
    <t>FM : merci d'intervenir suite rapport télésurveillance, un défaut froid de 30 mn.</t>
  </si>
  <si>
    <t>FM : suite rapport télésurveillance, merci d'intervenir, une dizaine de petits défauts froid.</t>
  </si>
  <si>
    <t>FM : suite au passage de notre agent technique, celui-ci a remarqué que la barrière de sortie ne se ferme pas assez vite, les voitures peuvent sortir deux par deux.</t>
  </si>
  <si>
    <t>Problème lors de la mise sous alarme du magasin. Pourrions nous avoir un controle car nous mettons tous les soirs le magasin sous alarme mais la société nous signale que nous sommes hors alarme????
 Photo impossible</t>
  </si>
  <si>
    <t>le roll en bas n est pas correctement en face des rails ce qui oblige l employe a soulever le roll pour pouvoir enfourner le pain</t>
  </si>
  <si>
    <t>activation du badge en responsable pour mettre l'alarme du magasin pour les personnes suivantes:
 LEPARC SAMANTHA CCA N° BADGE 523798
 GOBERVILLE JOY FFCCA N° BADGE 1162820</t>
  </si>
  <si>
    <t>URGENT souris en reserve quai
 ( Pas d'item référencié )</t>
  </si>
  <si>
    <t>Récupération et chargement de carrelages au Lidl Chalezeule Besançon pour déchargement et stockage provisoire LIDL Montbéliard .ODM fait par AT3. Travail fini</t>
  </si>
  <si>
    <t>* portail de sortie qui reste fermer en continue il ne souvre pas meme en faisant le code /* KN attente retour Benj pour savoir si record peut intervenir</t>
  </si>
  <si>
    <t>Les barres de maintien main courantes ne sont plus sécurisées( dangereux) .ODM fait par AT3 . Travail fini</t>
  </si>
  <si>
    <t>Pose du stickers informations relatives à la vidéosurveillance sur la porte convoyeur et de quai.woDM fait par AT3 . Travail fini</t>
  </si>
  <si>
    <t>Mise à jour du registre de sécurité de l’onglet 40 avec le document accessibilité. ODM fait par AT3 . Travail fini</t>
  </si>
  <si>
    <t>A la demande du FM: contrôle de la vidéosurveillance en mode live et DSB sur la zone ,déchargement ,quai,coffre et bureau ,caisses + TPE.ODM fait par AT3 . Travail fini.</t>
  </si>
  <si>
    <t>Prise en glace, fonte de glace devant la porte</t>
  </si>
  <si>
    <t>Désactivateur d'antivols HS sur trois caisses</t>
  </si>
  <si>
    <t>tablette leon quand on se connecte sur sfl la page reste blanche</t>
  </si>
  <si>
    <t>FM : suite rapport télésurveillance, merci d'intervenir pour deux défauts froid cette nuit.</t>
  </si>
  <si>
    <t>VENTE Divers RMR Pour : 
 -Remplacement du tableaux de briefing
 -Màj panneaux frais
 -Mise en place clips et remplacement aimants panneaux vitrines VVP</t>
  </si>
  <si>
    <t>lorsqu on ouvre la porte la matin avec la cle la porte ne veur pas souvrir on est obliger de forcer pour louvrir</t>
  </si>
  <si>
    <t>FM : des défauts récurrents la nuit. Sur le magasin de Pont de roide, meubles négatifs 2 et 3. Et sur le magasin de Montbéliard, sur les meubles VVP 3,4 et 5</t>
  </si>
  <si>
    <t>Vider camionnette dans la réserve mag 3862 .chercher du carrelage au LIDL de Lure pour stockage réserve montbéliard .ODM fait par AT3 . Travail fini.</t>
  </si>
  <si>
    <t>Quand on lance un programe le four met un msg d'erreur</t>
  </si>
  <si>
    <t>URGENT La trancheuse est HS depuis 2 mois. Elle a été mise en réserve. toujours en attente de réparation</t>
  </si>
  <si>
    <t>porte casse. le cable nest plus dans lenrouleur</t>
  </si>
  <si>
    <t>FM : Remplacement mitigeur de la boulangerie (suite intervention du 10/10)</t>
  </si>
  <si>
    <t>Mise en place de la documentation accessibilité dans le classeur rouge.ODM fait par AT3 . Travail fini.</t>
  </si>
  <si>
    <t>Purge de la vanne de puisage groupe froid.ODM fait par AT3 . Travail fini.</t>
  </si>
  <si>
    <t>le socle qui est devant les caisses (qui protège les vitres) est embouti
 ne peut pas faire de photos via mobi 
 problème de connection</t>
  </si>
  <si>
    <t>Montage d’étagères dans la réserve pour recevoir le matériel de AT3 , suite au transferts de voujeaucourt à Montbéliard . ODM fait par AT3 . Travail fini.</t>
  </si>
  <si>
    <t>A la demande de la DR. En attendant l’intervention de INEO pour le resserrage des connexions en amont du disjoncteur, merci baisser le disjoncteur photovoltaïque .ODM fait par AT3. Travail fini.</t>
  </si>
  <si>
    <t>Remettre en place le cache goulotte sur le système d’éclairage au dessus du rayon fleurs .ODM fait par AT3 . Travail fini.</t>
  </si>
  <si>
    <t>FM : merci d'intervenir au niveau de l'évier dans le labo pain, le siphon se décroche.</t>
  </si>
  <si>
    <t>Remise en état de la clôture derrière le MAG coté route vandalisée par les gens du voyage.arraché de nouveau par les gens du voyage une fois réparé devant AT3 .ODM fait par AT3 . Travail fini.</t>
  </si>
  <si>
    <t>fuite d'huile constatée dans le bac en dessous de la zone de levage du roll</t>
  </si>
  <si>
    <t>Enlever les détritus dans la clôture grillagée .ODM fait par AT3 . Travail fini.</t>
  </si>
  <si>
    <t>vitre laterale brisee</t>
  </si>
  <si>
    <t>plafond de la chambre FL qui coule</t>
  </si>
  <si>
    <t>Dalles de FP humides dans la salle de réunion .ODM fait par AT3 . Travail fini.</t>
  </si>
  <si>
    <t>imppssible douvrir le cendrier</t>
  </si>
  <si>
    <t>FM : Merci de retirer les chauffages d'appoint. INTERVENTION A MUTUALISER AVEC L'ECO ÉCLAIRAGE.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</si>
</sst>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rgb="FF000000"/>
      <name val="Calibri"/>
    </font>
    <font>
      <sz val="11.0"/>
      <color rgb="FF000000"/>
      <name val="Calibri"/>
    </font>
    <font>
      <b/>
      <sz val="8.0"/>
      <color theme="1"/>
      <name val="Arial"/>
    </font>
    <font>
      <color theme="1"/>
      <name val="Arial"/>
      <scheme val="minor"/>
    </font>
    <font>
      <sz val="8.0"/>
      <color rgb="FF000000"/>
      <name val="Arial"/>
    </font>
  </fonts>
  <fills count="4">
    <fill>
      <patternFill patternType="none"/>
    </fill>
    <fill>
      <patternFill patternType="lightGray"/>
    </fill>
    <fill>
      <patternFill patternType="solid">
        <fgColor rgb="FFD9E1F2"/>
        <bgColor rgb="FFD9E1F2"/>
      </patternFill>
    </fill>
    <fill>
      <patternFill patternType="solid">
        <fgColor rgb="FFD2D2D2"/>
        <bgColor rgb="FFD2D2D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0" fontId="2" numFmtId="0" xfId="0" applyAlignment="1" applyFont="1">
      <alignment shrinkToFit="0" vertical="bottom" wrapText="0"/>
    </xf>
    <xf borderId="1" fillId="2" fontId="1" numFmtId="0" xfId="0" applyAlignment="1" applyBorder="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horizontal="right" readingOrder="0" shrinkToFit="0" vertical="bottom" wrapText="0"/>
    </xf>
    <xf borderId="1" fillId="0" fontId="1" numFmtId="0" xfId="0" applyAlignment="1" applyBorder="1" applyFont="1">
      <alignment readingOrder="0" shrinkToFit="0" vertical="bottom" wrapText="0"/>
    </xf>
    <xf borderId="1" fillId="0" fontId="2" numFmtId="0" xfId="0" applyAlignment="1" applyBorder="1" applyFont="1">
      <alignment shrinkToFit="0" vertical="bottom" wrapText="0"/>
    </xf>
    <xf borderId="0" fillId="0" fontId="1" numFmtId="0" xfId="0" applyAlignment="1" applyFont="1">
      <alignment shrinkToFit="0" vertical="bottom" wrapText="0"/>
    </xf>
    <xf borderId="1" fillId="0" fontId="1" numFmtId="0" xfId="0" applyAlignment="1" applyBorder="1" applyFont="1">
      <alignment shrinkToFit="0" vertical="bottom" wrapText="0"/>
    </xf>
    <xf borderId="0" fillId="0" fontId="2" numFmtId="0" xfId="0" applyAlignment="1" applyFont="1">
      <alignment shrinkToFit="0" vertical="bottom" wrapText="0"/>
    </xf>
    <xf borderId="0" fillId="0" fontId="1" numFmtId="0" xfId="0" applyAlignment="1" applyFont="1">
      <alignment shrinkToFit="0" vertical="bottom" wrapText="0"/>
    </xf>
    <xf borderId="1" fillId="0" fontId="1" numFmtId="0" xfId="0" applyAlignment="1" applyBorder="1" applyFont="1">
      <alignment shrinkToFit="0" vertical="bottom" wrapText="0"/>
    </xf>
    <xf borderId="0" fillId="0" fontId="1" numFmtId="0" xfId="0" applyAlignment="1" applyFont="1">
      <alignment horizontal="right" readingOrder="0" shrinkToFit="0" vertical="bottom" wrapText="0"/>
    </xf>
    <xf borderId="0" fillId="2" fontId="1" numFmtId="0" xfId="0" applyAlignment="1" applyFont="1">
      <alignment shrinkToFit="0" vertical="bottom" wrapText="0"/>
    </xf>
    <xf borderId="0" fillId="2" fontId="1" numFmtId="0" xfId="0" applyAlignment="1" applyFont="1">
      <alignment horizontal="right" readingOrder="0" shrinkToFit="0" vertical="bottom" wrapText="0"/>
    </xf>
    <xf borderId="1" fillId="3" fontId="3" numFmtId="0" xfId="0" applyAlignment="1" applyBorder="1" applyFill="1" applyFont="1">
      <alignment horizontal="center" readingOrder="0"/>
    </xf>
    <xf borderId="0" fillId="0" fontId="4" numFmtId="0" xfId="0" applyAlignment="1" applyFont="1">
      <alignment readingOrder="0"/>
    </xf>
    <xf borderId="1" fillId="0" fontId="5" numFmtId="0" xfId="0" applyAlignment="1" applyBorder="1" applyFont="1">
      <alignment readingOrder="0" shrinkToFit="0" vertical="bottom" wrapText="0"/>
    </xf>
    <xf borderId="0" fillId="0" fontId="4" numFmtId="0" xfId="0" applyFont="1"/>
    <xf borderId="1" fillId="0" fontId="5"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13"/>
    <col customWidth="1" min="7" max="7" width="29.75"/>
  </cols>
  <sheetData>
    <row r="1">
      <c r="A1" s="1" t="s">
        <v>0</v>
      </c>
      <c r="B1" s="1" t="s">
        <v>1</v>
      </c>
      <c r="C1" s="1" t="s">
        <v>2</v>
      </c>
      <c r="D1" s="1" t="s">
        <v>3</v>
      </c>
      <c r="E1" s="2"/>
      <c r="F1" s="3" t="s">
        <v>0</v>
      </c>
      <c r="G1" s="3" t="str">
        <f>IFERROR(__xludf.DUMMYFUNCTION("GOOGLETRANSLATE(B1,""DE"",""EN"")"),"Problem type")</f>
        <v>Problem type</v>
      </c>
      <c r="H1" s="3" t="str">
        <f>IFERROR(__xludf.DUMMYFUNCTION("GOOGLETRANSLATE(C1,""DE"",""EN"")"),"Count of Type")</f>
        <v>Count of Type</v>
      </c>
      <c r="I1" s="3" t="str">
        <f>IFERROR(__xludf.DUMMYFUNCTION("GOOGLETRANSLATE(D1,""DE"",""EN"")"),"Count of model")</f>
        <v>Count of model</v>
      </c>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W1" s="2"/>
      <c r="CX1" s="2"/>
      <c r="CY1" s="2"/>
      <c r="CZ1" s="2"/>
      <c r="DA1" s="2"/>
      <c r="DB1" s="2"/>
      <c r="DC1" s="2"/>
      <c r="DD1" s="2"/>
      <c r="DG1" s="2"/>
    </row>
    <row r="2">
      <c r="A2" s="4" t="s">
        <v>4</v>
      </c>
      <c r="B2" s="5" t="s">
        <v>5</v>
      </c>
      <c r="C2" s="6">
        <v>1.0</v>
      </c>
      <c r="D2" s="6">
        <v>1.0</v>
      </c>
      <c r="E2" s="2"/>
      <c r="F2" s="7" t="s">
        <v>4</v>
      </c>
      <c r="G2" s="8" t="str">
        <f>IFERROR(__xludf.DUMMYFUNCTION("GOOGLETRANSLATE(B2,""DE"",""EN"")"),"Defect defect")</f>
        <v>Defect defect</v>
      </c>
      <c r="H2" s="8" t="str">
        <f>IFERROR(__xludf.DUMMYFUNCTION("GOOGLETRANSLATE(C2,""DE"",""EN"")"),"1")</f>
        <v>1</v>
      </c>
      <c r="I2" s="8" t="str">
        <f>IFERROR(__xludf.DUMMYFUNCTION("GOOGLETRANSLATE(D2,""DE"",""EN"")"),"1")</f>
        <v>1</v>
      </c>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W2" s="2"/>
      <c r="CX2" s="2"/>
      <c r="CY2" s="2"/>
      <c r="CZ2" s="2"/>
      <c r="DA2" s="2"/>
      <c r="DB2" s="2"/>
      <c r="DC2" s="2"/>
      <c r="DD2" s="2"/>
      <c r="DG2" s="2"/>
    </row>
    <row r="3">
      <c r="A3" s="1" t="s">
        <v>0</v>
      </c>
      <c r="B3" s="1" t="s">
        <v>1</v>
      </c>
      <c r="C3" s="1" t="s">
        <v>2</v>
      </c>
      <c r="D3" s="1" t="s">
        <v>3</v>
      </c>
      <c r="E3" s="2"/>
      <c r="F3" s="3" t="s">
        <v>0</v>
      </c>
      <c r="G3" s="3" t="str">
        <f>IFERROR(__xludf.DUMMYFUNCTION("GOOGLETRANSLATE(B3,""DE"",""EN"")"),"Problem type")</f>
        <v>Problem type</v>
      </c>
      <c r="H3" s="3" t="str">
        <f>IFERROR(__xludf.DUMMYFUNCTION("GOOGLETRANSLATE(C3,""DE"",""EN"")"),"Count of Type")</f>
        <v>Count of Type</v>
      </c>
      <c r="I3" s="3" t="str">
        <f>IFERROR(__xludf.DUMMYFUNCTION("GOOGLETRANSLATE(D3,""DE"",""EN"")"),"Count of model")</f>
        <v>Count of model</v>
      </c>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W3" s="2"/>
      <c r="CX3" s="2"/>
      <c r="CY3" s="2"/>
      <c r="CZ3" s="2"/>
      <c r="DA3" s="2"/>
      <c r="DB3" s="2"/>
      <c r="DC3" s="2"/>
      <c r="DD3" s="2"/>
      <c r="DG3" s="2"/>
    </row>
    <row r="4">
      <c r="A4" s="4" t="s">
        <v>4</v>
      </c>
      <c r="B4" s="5" t="s">
        <v>5</v>
      </c>
      <c r="C4" s="6">
        <v>1.0</v>
      </c>
      <c r="D4" s="6">
        <v>1.0</v>
      </c>
      <c r="E4" s="2"/>
      <c r="F4" s="7" t="s">
        <v>4</v>
      </c>
      <c r="G4" s="8" t="str">
        <f>IFERROR(__xludf.DUMMYFUNCTION("GOOGLETRANSLATE(B4,""DE"",""EN"")"),"Defect defect")</f>
        <v>Defect defect</v>
      </c>
      <c r="H4" s="8" t="str">
        <f>IFERROR(__xludf.DUMMYFUNCTION("GOOGLETRANSLATE(C4,""DE"",""EN"")"),"1")</f>
        <v>1</v>
      </c>
      <c r="I4" s="8" t="str">
        <f>IFERROR(__xludf.DUMMYFUNCTION("GOOGLETRANSLATE(D4,""DE"",""EN"")"),"1")</f>
        <v>1</v>
      </c>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W4" s="2"/>
      <c r="CX4" s="2"/>
      <c r="CY4" s="2"/>
      <c r="CZ4" s="2"/>
      <c r="DA4" s="2"/>
      <c r="DB4" s="2"/>
      <c r="DC4" s="2"/>
      <c r="DD4" s="2"/>
      <c r="DG4" s="2"/>
    </row>
    <row r="5">
      <c r="A5" s="9"/>
      <c r="B5" s="5" t="s">
        <v>6</v>
      </c>
      <c r="C5" s="6">
        <v>2.0</v>
      </c>
      <c r="D5" s="6">
        <v>2.0</v>
      </c>
      <c r="E5" s="2"/>
      <c r="F5" s="10"/>
      <c r="G5" s="8" t="str">
        <f>IFERROR(__xludf.DUMMYFUNCTION("GOOGLETRANSLATE(B5,""DE"",""EN"")"),"On/from alarm does not work")</f>
        <v>On/from alarm does not work</v>
      </c>
      <c r="H5" s="8" t="str">
        <f>IFERROR(__xludf.DUMMYFUNCTION("GOOGLETRANSLATE(C5,""DE"",""EN"")"),"2")</f>
        <v>2</v>
      </c>
      <c r="I5" s="8" t="str">
        <f>IFERROR(__xludf.DUMMYFUNCTION("GOOGLETRANSLATE(D5,""DE"",""EN"")"),"2")</f>
        <v>2</v>
      </c>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W5" s="2"/>
      <c r="CX5" s="2"/>
      <c r="CY5" s="2"/>
      <c r="CZ5" s="2"/>
      <c r="DA5" s="2"/>
      <c r="DB5" s="2"/>
      <c r="DC5" s="2"/>
      <c r="DD5" s="2"/>
      <c r="DG5" s="2"/>
    </row>
    <row r="6">
      <c r="A6" s="9"/>
      <c r="B6" s="5" t="s">
        <v>7</v>
      </c>
      <c r="C6" s="6">
        <v>11.0</v>
      </c>
      <c r="D6" s="6">
        <v>11.0</v>
      </c>
      <c r="E6" s="2"/>
      <c r="F6" s="10"/>
      <c r="G6" s="8" t="str">
        <f>IFERROR(__xludf.DUMMYFUNCTION("GOOGLETRANSLATE(B6,""DE"",""EN"")"),"approached")</f>
        <v>approached</v>
      </c>
      <c r="H6" s="8" t="str">
        <f>IFERROR(__xludf.DUMMYFUNCTION("GOOGLETRANSLATE(C6,""DE"",""EN"")"),"11")</f>
        <v>11</v>
      </c>
      <c r="I6" s="8" t="str">
        <f>IFERROR(__xludf.DUMMYFUNCTION("GOOGLETRANSLATE(D6,""DE"",""EN"")"),"11")</f>
        <v>11</v>
      </c>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W6" s="2"/>
      <c r="CX6" s="2"/>
      <c r="CY6" s="2"/>
      <c r="CZ6" s="2"/>
      <c r="DA6" s="2"/>
      <c r="DB6" s="2"/>
      <c r="DC6" s="2"/>
      <c r="DD6" s="2"/>
      <c r="DG6" s="2"/>
    </row>
    <row r="7">
      <c r="A7" s="9"/>
      <c r="B7" s="5" t="s">
        <v>8</v>
      </c>
      <c r="C7" s="6">
        <v>2.0</v>
      </c>
      <c r="D7" s="6">
        <v>2.0</v>
      </c>
      <c r="E7" s="2"/>
      <c r="F7" s="10"/>
      <c r="G7" s="8" t="str">
        <f>IFERROR(__xludf.DUMMYFUNCTION("GOOGLETRANSLATE(B7,""DE"",""EN"")"),"Display defect")</f>
        <v>Display defect</v>
      </c>
      <c r="H7" s="8" t="str">
        <f>IFERROR(__xludf.DUMMYFUNCTION("GOOGLETRANSLATE(C7,""DE"",""EN"")"),"2")</f>
        <v>2</v>
      </c>
      <c r="I7" s="8" t="str">
        <f>IFERROR(__xludf.DUMMYFUNCTION("GOOGLETRANSLATE(D7,""DE"",""EN"")"),"2")</f>
        <v>2</v>
      </c>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W7" s="2"/>
      <c r="CX7" s="2"/>
      <c r="CY7" s="2"/>
      <c r="CZ7" s="2"/>
      <c r="DA7" s="2"/>
      <c r="DB7" s="2"/>
      <c r="DC7" s="2"/>
      <c r="DD7" s="2"/>
      <c r="DG7" s="2"/>
    </row>
    <row r="8">
      <c r="A8" s="9"/>
      <c r="B8" s="5" t="s">
        <v>9</v>
      </c>
      <c r="C8" s="6">
        <v>3.0</v>
      </c>
      <c r="D8" s="6">
        <v>3.0</v>
      </c>
      <c r="E8" s="2"/>
      <c r="F8" s="10"/>
      <c r="G8" s="8" t="str">
        <f>IFERROR(__xludf.DUMMYFUNCTION("GOOGLETRANSLATE(B8,""DE"",""EN"")"),"Back program wrong")</f>
        <v>Back program wrong</v>
      </c>
      <c r="H8" s="8" t="str">
        <f>IFERROR(__xludf.DUMMYFUNCTION("GOOGLETRANSLATE(C8,""DE"",""EN"")"),"3")</f>
        <v>3</v>
      </c>
      <c r="I8" s="8" t="str">
        <f>IFERROR(__xludf.DUMMYFUNCTION("GOOGLETRANSLATE(D8,""DE"",""EN"")"),"3")</f>
        <v>3</v>
      </c>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W8" s="2"/>
      <c r="CX8" s="2"/>
      <c r="CY8" s="2"/>
      <c r="CZ8" s="2"/>
      <c r="DA8" s="2"/>
      <c r="DB8" s="2"/>
      <c r="DC8" s="2"/>
      <c r="DD8" s="2"/>
      <c r="DG8" s="2"/>
    </row>
    <row r="9">
      <c r="A9" s="9"/>
      <c r="B9" s="5" t="s">
        <v>10</v>
      </c>
      <c r="C9" s="6">
        <v>10.0</v>
      </c>
      <c r="D9" s="6">
        <v>9.0</v>
      </c>
      <c r="E9" s="2"/>
      <c r="F9" s="10"/>
      <c r="G9" s="8" t="str">
        <f>IFERROR(__xludf.DUMMYFUNCTION("GOOGLETRANSLATE(B9,""DE"",""EN"")"),"Lighting defect")</f>
        <v>Lighting defect</v>
      </c>
      <c r="H9" s="8" t="str">
        <f>IFERROR(__xludf.DUMMYFUNCTION("GOOGLETRANSLATE(C9,""DE"",""EN"")"),"10")</f>
        <v>10</v>
      </c>
      <c r="I9" s="8" t="str">
        <f>IFERROR(__xludf.DUMMYFUNCTION("GOOGLETRANSLATE(D9,""DE"",""EN"")"),"9")</f>
        <v>9</v>
      </c>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W9" s="2"/>
      <c r="CX9" s="2"/>
      <c r="CY9" s="2"/>
      <c r="CZ9" s="2"/>
      <c r="DA9" s="2"/>
      <c r="DB9" s="2"/>
      <c r="DC9" s="2"/>
      <c r="DD9" s="2"/>
      <c r="DG9" s="2"/>
    </row>
    <row r="10">
      <c r="A10" s="9"/>
      <c r="B10" s="5" t="s">
        <v>11</v>
      </c>
      <c r="C10" s="6">
        <v>32.0</v>
      </c>
      <c r="D10" s="6">
        <v>29.0</v>
      </c>
      <c r="E10" s="2"/>
      <c r="F10" s="10"/>
      <c r="G10" s="8" t="str">
        <f>IFERROR(__xludf.DUMMYFUNCTION("GOOGLETRANSLATE(B10,""DE"",""EN"")"),"Damage / break")</f>
        <v>Damage / break</v>
      </c>
      <c r="H10" s="8" t="str">
        <f>IFERROR(__xludf.DUMMYFUNCTION("GOOGLETRANSLATE(C10,""DE"",""EN"")"),"32")</f>
        <v>32</v>
      </c>
      <c r="I10" s="8" t="str">
        <f>IFERROR(__xludf.DUMMYFUNCTION("GOOGLETRANSLATE(D10,""DE"",""EN"")"),"29")</f>
        <v>29</v>
      </c>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W10" s="2"/>
      <c r="CX10" s="2"/>
      <c r="CY10" s="2"/>
      <c r="CZ10" s="2"/>
      <c r="DA10" s="2"/>
      <c r="DB10" s="2"/>
      <c r="DC10" s="2"/>
      <c r="DD10" s="2"/>
      <c r="DG10" s="2"/>
    </row>
    <row r="11">
      <c r="A11" s="9"/>
      <c r="B11" s="5" t="s">
        <v>12</v>
      </c>
      <c r="C11" s="6">
        <v>267.0</v>
      </c>
      <c r="D11" s="6">
        <v>201.0</v>
      </c>
      <c r="E11" s="2"/>
      <c r="F11" s="10"/>
      <c r="G11" s="8" t="str">
        <f>IFERROR(__xludf.DUMMYFUNCTION("GOOGLETRANSLATE(B11,""DE"",""EN"")"),"Description in the BO")</f>
        <v>Description in the BO</v>
      </c>
      <c r="H11" s="8" t="str">
        <f>IFERROR(__xludf.DUMMYFUNCTION("GOOGLETRANSLATE(C11,""DE"",""EN"")"),"267")</f>
        <v>267</v>
      </c>
      <c r="I11" s="8" t="str">
        <f>IFERROR(__xludf.DUMMYFUNCTION("GOOGLETRANSLATE(D11,""DE"",""EN"")"),"201")</f>
        <v>201</v>
      </c>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W11" s="2"/>
      <c r="CX11" s="2"/>
      <c r="CY11" s="2"/>
      <c r="CZ11" s="2"/>
      <c r="DA11" s="2"/>
      <c r="DB11" s="2"/>
      <c r="DC11" s="2"/>
      <c r="DD11" s="2"/>
      <c r="DG11" s="2"/>
    </row>
    <row r="12">
      <c r="A12" s="9"/>
      <c r="B12" s="5" t="s">
        <v>13</v>
      </c>
      <c r="C12" s="6">
        <v>1.0</v>
      </c>
      <c r="D12" s="6">
        <v>1.0</v>
      </c>
      <c r="E12" s="2"/>
      <c r="F12" s="10"/>
      <c r="G12" s="8" t="str">
        <f>IFERROR(__xludf.DUMMYFUNCTION("GOOGLETRANSLATE(B12,""DE"",""EN"")"),"Brushes don't turn")</f>
        <v>Brushes don't turn</v>
      </c>
      <c r="H12" s="8" t="str">
        <f>IFERROR(__xludf.DUMMYFUNCTION("GOOGLETRANSLATE(C12,""DE"",""EN"")"),"1")</f>
        <v>1</v>
      </c>
      <c r="I12" s="8" t="str">
        <f>IFERROR(__xludf.DUMMYFUNCTION("GOOGLETRANSLATE(D12,""DE"",""EN"")"),"1")</f>
        <v>1</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W12" s="2"/>
      <c r="CX12" s="2"/>
      <c r="CY12" s="2"/>
      <c r="CZ12" s="2"/>
      <c r="DA12" s="2"/>
      <c r="DB12" s="2"/>
      <c r="DC12" s="2"/>
      <c r="DD12" s="2"/>
      <c r="DG12" s="2"/>
    </row>
    <row r="13">
      <c r="A13" s="9"/>
      <c r="B13" s="5" t="s">
        <v>14</v>
      </c>
      <c r="C13" s="6">
        <v>4.0</v>
      </c>
      <c r="D13" s="6">
        <v>4.0</v>
      </c>
      <c r="E13" s="2"/>
      <c r="F13" s="10"/>
      <c r="G13" s="8" t="str">
        <f>IFERROR(__xludf.DUMMYFUNCTION("GOOGLETRANSLATE(B13,""DE"",""EN"")"),"Urgent / over consumption")</f>
        <v>Urgent / over consumption</v>
      </c>
      <c r="H13" s="8" t="str">
        <f>IFERROR(__xludf.DUMMYFUNCTION("GOOGLETRANSLATE(C13,""DE"",""EN"")"),"4")</f>
        <v>4</v>
      </c>
      <c r="I13" s="8" t="str">
        <f>IFERROR(__xludf.DUMMYFUNCTION("GOOGLETRANSLATE(D13,""DE"",""EN"")"),"4")</f>
        <v>4</v>
      </c>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W13" s="2"/>
      <c r="CX13" s="2"/>
      <c r="CY13" s="2"/>
      <c r="CZ13" s="2"/>
      <c r="DA13" s="2"/>
      <c r="DB13" s="2"/>
      <c r="DC13" s="2"/>
      <c r="DD13" s="2"/>
      <c r="DG13" s="2"/>
    </row>
    <row r="14">
      <c r="A14" s="9"/>
      <c r="B14" s="5" t="s">
        <v>15</v>
      </c>
      <c r="C14" s="6">
        <v>1.0</v>
      </c>
      <c r="D14" s="11"/>
      <c r="E14" s="2"/>
      <c r="F14" s="10"/>
      <c r="G14" s="8" t="str">
        <f>IFERROR(__xludf.DUMMYFUNCTION("GOOGLETRANSLATE(B14,""DE"",""EN"")"),"Window cleaning (42160003)")</f>
        <v>Window cleaning (42160003)</v>
      </c>
      <c r="H14" s="8" t="str">
        <f>IFERROR(__xludf.DUMMYFUNCTION("GOOGLETRANSLATE(C14,""DE"",""EN"")"),"1")</f>
        <v>1</v>
      </c>
      <c r="I14" s="8"/>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W14" s="2"/>
      <c r="CX14" s="2"/>
      <c r="CY14" s="2"/>
      <c r="CZ14" s="2"/>
      <c r="DA14" s="2"/>
      <c r="DB14" s="2"/>
      <c r="DC14" s="2"/>
      <c r="DD14" s="2"/>
      <c r="DG14" s="2"/>
    </row>
    <row r="15">
      <c r="A15" s="9"/>
      <c r="B15" s="5" t="s">
        <v>16</v>
      </c>
      <c r="C15" s="6">
        <v>2.0</v>
      </c>
      <c r="D15" s="6">
        <v>2.0</v>
      </c>
      <c r="E15" s="2"/>
      <c r="F15" s="10"/>
      <c r="G15" s="8" t="str">
        <f>IFERROR(__xludf.DUMMYFUNCTION("GOOGLETRANSLATE(B15,""DE"",""EN"")"),"Moist ceiling plates")</f>
        <v>Moist ceiling plates</v>
      </c>
      <c r="H15" s="8" t="str">
        <f>IFERROR(__xludf.DUMMYFUNCTION("GOOGLETRANSLATE(C15,""DE"",""EN"")"),"2")</f>
        <v>2</v>
      </c>
      <c r="I15" s="8" t="str">
        <f>IFERROR(__xludf.DUMMYFUNCTION("GOOGLETRANSLATE(D15,""DE"",""EN"")"),"2")</f>
        <v>2</v>
      </c>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W15" s="2"/>
      <c r="CX15" s="2"/>
      <c r="CY15" s="2"/>
      <c r="CZ15" s="2"/>
      <c r="DA15" s="2"/>
      <c r="DB15" s="2"/>
      <c r="DC15" s="2"/>
      <c r="DD15" s="2"/>
      <c r="DG15" s="2"/>
    </row>
    <row r="16">
      <c r="A16" s="9"/>
      <c r="B16" s="5" t="s">
        <v>17</v>
      </c>
      <c r="C16" s="6">
        <v>2.0</v>
      </c>
      <c r="D16" s="6">
        <v>1.0</v>
      </c>
      <c r="E16" s="2"/>
      <c r="F16" s="10"/>
      <c r="G16" s="8" t="str">
        <f>IFERROR(__xludf.DUMMYFUNCTION("GOOGLETRANSLATE(B16,""DE"",""EN"")"),"Filiatry temperature above 25 ° C")</f>
        <v>Filiatry temperature above 25 ° C</v>
      </c>
      <c r="H16" s="8" t="str">
        <f>IFERROR(__xludf.DUMMYFUNCTION("GOOGLETRANSLATE(C16,""DE"",""EN"")"),"2")</f>
        <v>2</v>
      </c>
      <c r="I16" s="8" t="str">
        <f>IFERROR(__xludf.DUMMYFUNCTION("GOOGLETRANSLATE(D16,""DE"",""EN"")"),"1")</f>
        <v>1</v>
      </c>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W16" s="2"/>
      <c r="CX16" s="2"/>
      <c r="CY16" s="2"/>
      <c r="CZ16" s="2"/>
      <c r="DA16" s="2"/>
      <c r="DB16" s="2"/>
      <c r="DC16" s="2"/>
      <c r="DD16" s="2"/>
      <c r="DG16" s="2"/>
    </row>
    <row r="17">
      <c r="A17" s="9"/>
      <c r="B17" s="5" t="s">
        <v>18</v>
      </c>
      <c r="C17" s="6">
        <v>2.0</v>
      </c>
      <c r="D17" s="6">
        <v>2.0</v>
      </c>
      <c r="E17" s="2"/>
      <c r="F17" s="10"/>
      <c r="G17" s="8" t="str">
        <f>IFERROR(__xludf.DUMMYFUNCTION("GOOGLETRANSLATE(B17,""DE"",""EN"")"),"Filiatry temperature below 18 ° C")</f>
        <v>Filiatry temperature below 18 ° C</v>
      </c>
      <c r="H17" s="8" t="str">
        <f>IFERROR(__xludf.DUMMYFUNCTION("GOOGLETRANSLATE(C17,""DE"",""EN"")"),"2")</f>
        <v>2</v>
      </c>
      <c r="I17" s="8" t="str">
        <f>IFERROR(__xludf.DUMMYFUNCTION("GOOGLETRANSLATE(D17,""DE"",""EN"")"),"2")</f>
        <v>2</v>
      </c>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W17" s="2"/>
      <c r="CX17" s="2"/>
      <c r="CY17" s="2"/>
      <c r="CZ17" s="2"/>
      <c r="DA17" s="2"/>
      <c r="DB17" s="2"/>
      <c r="DC17" s="2"/>
      <c r="DD17" s="2"/>
      <c r="DG17" s="2"/>
    </row>
    <row r="18">
      <c r="A18" s="9"/>
      <c r="B18" s="5" t="s">
        <v>19</v>
      </c>
      <c r="C18" s="6">
        <v>1.0</v>
      </c>
      <c r="D18" s="6">
        <v>1.0</v>
      </c>
      <c r="E18" s="2"/>
      <c r="F18" s="10"/>
      <c r="G18" s="8" t="str">
        <f>IFERROR(__xludf.DUMMYFUNCTION("GOOGLETRANSLATE(B18,""DE"",""EN"")"),"Tiles loose / broken")</f>
        <v>Tiles loose / broken</v>
      </c>
      <c r="H18" s="8" t="str">
        <f>IFERROR(__xludf.DUMMYFUNCTION("GOOGLETRANSLATE(C18,""DE"",""EN"")"),"1")</f>
        <v>1</v>
      </c>
      <c r="I18" s="8" t="str">
        <f>IFERROR(__xludf.DUMMYFUNCTION("GOOGLETRANSLATE(D18,""DE"",""EN"")"),"1")</f>
        <v>1</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W18" s="2"/>
      <c r="CX18" s="2"/>
      <c r="CY18" s="2"/>
      <c r="CZ18" s="2"/>
      <c r="DA18" s="2"/>
      <c r="DB18" s="2"/>
      <c r="DC18" s="2"/>
      <c r="DD18" s="2"/>
      <c r="DG18" s="2"/>
    </row>
    <row r="19">
      <c r="A19" s="9"/>
      <c r="B19" s="5" t="s">
        <v>20</v>
      </c>
      <c r="C19" s="6">
        <v>23.0</v>
      </c>
      <c r="D19" s="6">
        <v>23.0</v>
      </c>
      <c r="E19" s="2"/>
      <c r="F19" s="10"/>
      <c r="G19" s="8" t="str">
        <f>IFERROR(__xludf.DUMMYFUNCTION("GOOGLETRANSLATE(B19,""DE"",""EN"")"),"Doesn't work")</f>
        <v>Doesn't work</v>
      </c>
      <c r="H19" s="8" t="str">
        <f>IFERROR(__xludf.DUMMYFUNCTION("GOOGLETRANSLATE(C19,""DE"",""EN"")"),"23")</f>
        <v>23</v>
      </c>
      <c r="I19" s="8" t="str">
        <f>IFERROR(__xludf.DUMMYFUNCTION("GOOGLETRANSLATE(D19,""DE"",""EN"")"),"23")</f>
        <v>23</v>
      </c>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W19" s="2"/>
      <c r="CX19" s="2"/>
      <c r="CY19" s="2"/>
      <c r="CZ19" s="2"/>
      <c r="DA19" s="2"/>
      <c r="DB19" s="2"/>
      <c r="DC19" s="2"/>
      <c r="DD19" s="2"/>
      <c r="DG19" s="2"/>
    </row>
    <row r="20">
      <c r="A20" s="9"/>
      <c r="B20" s="5" t="s">
        <v>21</v>
      </c>
      <c r="C20" s="6">
        <v>1.0</v>
      </c>
      <c r="D20" s="6">
        <v>1.0</v>
      </c>
      <c r="E20" s="2"/>
      <c r="F20" s="10"/>
      <c r="G20" s="8" t="str">
        <f>IFERROR(__xludf.DUMMYFUNCTION("GOOGLETRANSLATE(B20,""DE"",""EN"")"),"Noise")</f>
        <v>Noise</v>
      </c>
      <c r="H20" s="8" t="str">
        <f>IFERROR(__xludf.DUMMYFUNCTION("GOOGLETRANSLATE(C20,""DE"",""EN"")"),"1")</f>
        <v>1</v>
      </c>
      <c r="I20" s="8" t="str">
        <f>IFERROR(__xludf.DUMMYFUNCTION("GOOGLETRANSLATE(D20,""DE"",""EN"")"),"1")</f>
        <v>1</v>
      </c>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W20" s="2"/>
      <c r="CX20" s="2"/>
      <c r="CY20" s="2"/>
      <c r="CZ20" s="2"/>
      <c r="DA20" s="2"/>
      <c r="DB20" s="2"/>
      <c r="DC20" s="2"/>
      <c r="DD20" s="2"/>
      <c r="DG20" s="2"/>
    </row>
    <row r="21">
      <c r="A21" s="9"/>
      <c r="B21" s="5" t="s">
        <v>22</v>
      </c>
      <c r="C21" s="6">
        <v>3.0</v>
      </c>
      <c r="D21" s="6">
        <v>3.0</v>
      </c>
      <c r="E21" s="2"/>
      <c r="F21" s="10"/>
      <c r="G21" s="8" t="str">
        <f>IFERROR(__xludf.DUMMYFUNCTION("GOOGLETRANSLATE(B21,""DE"",""EN"")"),"Glass/plexiglass defective")</f>
        <v>Glass/plexiglass defective</v>
      </c>
      <c r="H21" s="8" t="str">
        <f>IFERROR(__xludf.DUMMYFUNCTION("GOOGLETRANSLATE(C21,""DE"",""EN"")"),"3")</f>
        <v>3</v>
      </c>
      <c r="I21" s="8" t="str">
        <f>IFERROR(__xludf.DUMMYFUNCTION("GOOGLETRANSLATE(D21,""DE"",""EN"")"),"3")</f>
        <v>3</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W21" s="2"/>
      <c r="CX21" s="2"/>
      <c r="CY21" s="2"/>
      <c r="CZ21" s="2"/>
      <c r="DA21" s="2"/>
      <c r="DB21" s="2"/>
      <c r="DC21" s="2"/>
      <c r="DD21" s="2"/>
      <c r="DG21" s="2"/>
    </row>
    <row r="22">
      <c r="A22" s="9"/>
      <c r="B22" s="5" t="s">
        <v>23</v>
      </c>
      <c r="C22" s="6">
        <v>1.0</v>
      </c>
      <c r="D22" s="6">
        <v>1.0</v>
      </c>
      <c r="E22" s="2"/>
      <c r="F22" s="10"/>
      <c r="G22" s="8" t="str">
        <f>IFERROR(__xludf.DUMMYFUNCTION("GOOGLETRANSLATE(B22,""DE"",""EN"")"),"Glass lid defective")</f>
        <v>Glass lid defective</v>
      </c>
      <c r="H22" s="8" t="str">
        <f>IFERROR(__xludf.DUMMYFUNCTION("GOOGLETRANSLATE(C22,""DE"",""EN"")"),"1")</f>
        <v>1</v>
      </c>
      <c r="I22" s="8" t="str">
        <f>IFERROR(__xludf.DUMMYFUNCTION("GOOGLETRANSLATE(D22,""DE"",""EN"")"),"1")</f>
        <v>1</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W22" s="2"/>
      <c r="CX22" s="2"/>
      <c r="CY22" s="2"/>
      <c r="CZ22" s="2"/>
      <c r="DA22" s="2"/>
      <c r="DB22" s="2"/>
      <c r="DC22" s="2"/>
      <c r="DD22" s="2"/>
      <c r="DG22" s="2"/>
    </row>
    <row r="23">
      <c r="A23" s="9"/>
      <c r="B23" s="5" t="s">
        <v>24</v>
      </c>
      <c r="C23" s="6">
        <v>2.0</v>
      </c>
      <c r="D23" s="6">
        <v>2.0</v>
      </c>
      <c r="E23" s="2"/>
      <c r="F23" s="10"/>
      <c r="G23" s="8" t="str">
        <f>IFERROR(__xludf.DUMMYFUNCTION("GOOGLETRANSLATE(B23,""DE"",""EN"")"),"Handle defective")</f>
        <v>Handle defective</v>
      </c>
      <c r="H23" s="8" t="str">
        <f>IFERROR(__xludf.DUMMYFUNCTION("GOOGLETRANSLATE(C23,""DE"",""EN"")"),"2")</f>
        <v>2</v>
      </c>
      <c r="I23" s="8" t="str">
        <f>IFERROR(__xludf.DUMMYFUNCTION("GOOGLETRANSLATE(D23,""DE"",""EN"")"),"2")</f>
        <v>2</v>
      </c>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W23" s="2"/>
      <c r="CX23" s="2"/>
      <c r="CY23" s="2"/>
      <c r="CZ23" s="2"/>
      <c r="DA23" s="2"/>
      <c r="DB23" s="2"/>
      <c r="DC23" s="2"/>
      <c r="DD23" s="2"/>
      <c r="DG23" s="2"/>
    </row>
    <row r="24">
      <c r="A24" s="9"/>
      <c r="B24" s="5" t="s">
        <v>25</v>
      </c>
      <c r="C24" s="6">
        <v>1.0</v>
      </c>
      <c r="D24" s="6">
        <v>1.0</v>
      </c>
      <c r="E24" s="2"/>
      <c r="F24" s="10"/>
      <c r="G24" s="8" t="str">
        <f>IFERROR(__xludf.DUMMYFUNCTION("GOOGLETRANSLATE(B24,""DE"",""EN"")"),"Cash tape defective")</f>
        <v>Cash tape defective</v>
      </c>
      <c r="H24" s="8" t="str">
        <f>IFERROR(__xludf.DUMMYFUNCTION("GOOGLETRANSLATE(C24,""DE"",""EN"")"),"1")</f>
        <v>1</v>
      </c>
      <c r="I24" s="8" t="str">
        <f>IFERROR(__xludf.DUMMYFUNCTION("GOOGLETRANSLATE(D24,""DE"",""EN"")"),"1")</f>
        <v>1</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W24" s="2"/>
      <c r="CX24" s="2"/>
      <c r="CY24" s="2"/>
      <c r="CZ24" s="2"/>
      <c r="DA24" s="2"/>
      <c r="DB24" s="2"/>
      <c r="DC24" s="2"/>
      <c r="DD24" s="2"/>
      <c r="DG24" s="2"/>
    </row>
    <row r="25">
      <c r="A25" s="9"/>
      <c r="B25" s="5" t="s">
        <v>26</v>
      </c>
      <c r="C25" s="6">
        <v>1.0</v>
      </c>
      <c r="D25" s="6">
        <v>1.0</v>
      </c>
      <c r="E25" s="2"/>
      <c r="F25" s="10"/>
      <c r="G25" s="8" t="str">
        <f>IFERROR(__xludf.DUMMYFUNCTION("GOOGLETRANSLATE(B25,""DE"",""EN"")"),"Small animal infestation")</f>
        <v>Small animal infestation</v>
      </c>
      <c r="H25" s="8" t="str">
        <f>IFERROR(__xludf.DUMMYFUNCTION("GOOGLETRANSLATE(C25,""DE"",""EN"")"),"1")</f>
        <v>1</v>
      </c>
      <c r="I25" s="8" t="str">
        <f>IFERROR(__xludf.DUMMYFUNCTION("GOOGLETRANSLATE(D25,""DE"",""EN"")"),"1")</f>
        <v>1</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W25" s="2"/>
      <c r="CX25" s="2"/>
      <c r="CY25" s="2"/>
      <c r="CZ25" s="2"/>
      <c r="DA25" s="2"/>
      <c r="DB25" s="2"/>
      <c r="DC25" s="2"/>
      <c r="DD25" s="2"/>
      <c r="DG25" s="2"/>
    </row>
    <row r="26">
      <c r="A26" s="9"/>
      <c r="B26" s="5" t="s">
        <v>27</v>
      </c>
      <c r="C26" s="6">
        <v>1.0</v>
      </c>
      <c r="D26" s="6">
        <v>1.0</v>
      </c>
      <c r="E26" s="2"/>
      <c r="F26" s="10"/>
      <c r="G26" s="8" t="str">
        <f>IFERROR(__xludf.DUMMYFUNCTION("GOOGLETRANSLATE(B26,""DE"",""EN"")"),"Continuous alarm")</f>
        <v>Continuous alarm</v>
      </c>
      <c r="H26" s="8" t="str">
        <f>IFERROR(__xludf.DUMMYFUNCTION("GOOGLETRANSLATE(C26,""DE"",""EN"")"),"1")</f>
        <v>1</v>
      </c>
      <c r="I26" s="8" t="str">
        <f>IFERROR(__xludf.DUMMYFUNCTION("GOOGLETRANSLATE(D26,""DE"",""EN"")"),"1")</f>
        <v>1</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W26" s="2"/>
      <c r="CX26" s="2"/>
      <c r="CY26" s="2"/>
      <c r="CZ26" s="2"/>
      <c r="DA26" s="2"/>
      <c r="DB26" s="2"/>
      <c r="DC26" s="2"/>
      <c r="DD26" s="2"/>
      <c r="DG26" s="2"/>
    </row>
    <row r="27">
      <c r="A27" s="9"/>
      <c r="B27" s="5" t="s">
        <v>28</v>
      </c>
      <c r="C27" s="6">
        <v>4.0</v>
      </c>
      <c r="D27" s="6">
        <v>1.0</v>
      </c>
      <c r="E27" s="2"/>
      <c r="F27" s="10"/>
      <c r="G27" s="8" t="str">
        <f>IFERROR(__xludf.DUMMYFUNCTION("GOOGLETRANSLATE(B27,""DE"",""EN"")"),"Cooling alarm")</f>
        <v>Cooling alarm</v>
      </c>
      <c r="H27" s="8" t="str">
        <f>IFERROR(__xludf.DUMMYFUNCTION("GOOGLETRANSLATE(C27,""DE"",""EN"")"),"4")</f>
        <v>4</v>
      </c>
      <c r="I27" s="8" t="str">
        <f>IFERROR(__xludf.DUMMYFUNCTION("GOOGLETRANSLATE(D27,""DE"",""EN"")"),"1")</f>
        <v>1</v>
      </c>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W27" s="2"/>
      <c r="CX27" s="2"/>
      <c r="CY27" s="2"/>
      <c r="CZ27" s="2"/>
      <c r="DA27" s="2"/>
      <c r="DB27" s="2"/>
      <c r="DC27" s="2"/>
      <c r="DD27" s="2"/>
      <c r="DG27" s="2"/>
    </row>
    <row r="28">
      <c r="A28" s="9"/>
      <c r="B28" s="5" t="s">
        <v>29</v>
      </c>
      <c r="C28" s="6">
        <v>2.0</v>
      </c>
      <c r="D28" s="6">
        <v>2.0</v>
      </c>
      <c r="E28" s="2"/>
      <c r="F28" s="10"/>
      <c r="G28" s="8" t="str">
        <f>IFERROR(__xludf.DUMMYFUNCTION("GOOGLETRANSLATE(B28,""DE"",""EN"")"),"Shop construction (42500097)")</f>
        <v>Shop construction (42500097)</v>
      </c>
      <c r="H28" s="8" t="str">
        <f>IFERROR(__xludf.DUMMYFUNCTION("GOOGLETRANSLATE(C28,""DE"",""EN"")"),"2")</f>
        <v>2</v>
      </c>
      <c r="I28" s="8" t="str">
        <f>IFERROR(__xludf.DUMMYFUNCTION("GOOGLETRANSLATE(D28,""DE"",""EN"")"),"2")</f>
        <v>2</v>
      </c>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W28" s="2"/>
      <c r="CX28" s="2"/>
      <c r="CY28" s="2"/>
      <c r="CZ28" s="2"/>
      <c r="DA28" s="2"/>
      <c r="DB28" s="2"/>
      <c r="DC28" s="2"/>
      <c r="DD28" s="2"/>
      <c r="DG28" s="2"/>
    </row>
    <row r="29">
      <c r="A29" s="9"/>
      <c r="B29" s="5" t="s">
        <v>30</v>
      </c>
      <c r="C29" s="6">
        <v>3.0</v>
      </c>
      <c r="D29" s="6">
        <v>3.0</v>
      </c>
      <c r="E29" s="2"/>
      <c r="F29" s="10"/>
      <c r="G29" s="8" t="str">
        <f>IFERROR(__xludf.DUMMYFUNCTION("GOOGLETRANSLATE(B29,""DE"",""EN"")"),"Lamps failed")</f>
        <v>Lamps failed</v>
      </c>
      <c r="H29" s="8" t="str">
        <f>IFERROR(__xludf.DUMMYFUNCTION("GOOGLETRANSLATE(C29,""DE"",""EN"")"),"3")</f>
        <v>3</v>
      </c>
      <c r="I29" s="8" t="str">
        <f>IFERROR(__xludf.DUMMYFUNCTION("GOOGLETRANSLATE(D29,""DE"",""EN"")"),"3")</f>
        <v>3</v>
      </c>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W29" s="2"/>
      <c r="CX29" s="2"/>
      <c r="CY29" s="2"/>
      <c r="CZ29" s="2"/>
      <c r="DA29" s="2"/>
      <c r="DB29" s="2"/>
      <c r="DC29" s="2"/>
      <c r="DD29" s="2"/>
      <c r="DG29" s="2"/>
    </row>
    <row r="30">
      <c r="A30" s="9"/>
      <c r="B30" s="5" t="s">
        <v>31</v>
      </c>
      <c r="C30" s="6">
        <v>2.0</v>
      </c>
      <c r="D30" s="2"/>
      <c r="E30" s="2"/>
      <c r="F30" s="10"/>
      <c r="G30" s="8" t="str">
        <f>IFERROR(__xludf.DUMMYFUNCTION("GOOGLETRANSLATE(B30,""DE"",""EN"")"),"Fuel tube defective")</f>
        <v>Fuel tube defective</v>
      </c>
      <c r="H30" s="8" t="str">
        <f>IFERROR(__xludf.DUMMYFUNCTION("GOOGLETRANSLATE(C30,""DE"",""EN"")"),"2")</f>
        <v>2</v>
      </c>
      <c r="I30" s="8"/>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W30" s="2"/>
      <c r="CX30" s="2"/>
      <c r="CY30" s="2"/>
      <c r="CZ30" s="2"/>
      <c r="DA30" s="2"/>
      <c r="DB30" s="2"/>
      <c r="DC30" s="2"/>
      <c r="DD30" s="2"/>
      <c r="DG30" s="2"/>
    </row>
    <row r="31">
      <c r="A31" s="9"/>
      <c r="B31" s="5" t="s">
        <v>32</v>
      </c>
      <c r="C31" s="6">
        <v>1.0</v>
      </c>
      <c r="D31" s="11"/>
      <c r="E31" s="2"/>
      <c r="F31" s="10"/>
      <c r="G31" s="8" t="str">
        <f>IFERROR(__xludf.DUMMYFUNCTION("GOOGLETRANSLATE(B31,""DE"",""EN"")"),"Ventilation grille defective")</f>
        <v>Ventilation grille defective</v>
      </c>
      <c r="H31" s="8" t="str">
        <f>IFERROR(__xludf.DUMMYFUNCTION("GOOGLETRANSLATE(C31,""DE"",""EN"")"),"1")</f>
        <v>1</v>
      </c>
      <c r="I31" s="8"/>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W31" s="2"/>
      <c r="CX31" s="2"/>
      <c r="CY31" s="2"/>
      <c r="CZ31" s="2"/>
      <c r="DA31" s="2"/>
      <c r="DB31" s="2"/>
      <c r="DC31" s="2"/>
      <c r="DD31" s="2"/>
      <c r="DG31" s="2"/>
    </row>
    <row r="32">
      <c r="A32" s="9"/>
      <c r="B32" s="5" t="s">
        <v>33</v>
      </c>
      <c r="C32" s="6">
        <v>1.0</v>
      </c>
      <c r="D32" s="11"/>
      <c r="E32" s="2"/>
      <c r="F32" s="10"/>
      <c r="G32" s="8" t="str">
        <f>IFERROR(__xludf.DUMMYFUNCTION("GOOGLETRANSLATE(B32,""DE"",""EN"")"),"Painting requirement")</f>
        <v>Painting requirement</v>
      </c>
      <c r="H32" s="8" t="str">
        <f>IFERROR(__xludf.DUMMYFUNCTION("GOOGLETRANSLATE(C32,""DE"",""EN"")"),"1")</f>
        <v>1</v>
      </c>
      <c r="I32" s="8"/>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W32" s="2"/>
      <c r="CX32" s="2"/>
      <c r="CY32" s="2"/>
      <c r="CZ32" s="2"/>
      <c r="DA32" s="2"/>
      <c r="DB32" s="2"/>
      <c r="DC32" s="2"/>
      <c r="DD32" s="2"/>
      <c r="DG32" s="2"/>
    </row>
    <row r="33">
      <c r="A33" s="9"/>
      <c r="B33" s="5" t="s">
        <v>34</v>
      </c>
      <c r="C33" s="6">
        <v>1.0</v>
      </c>
      <c r="D33" s="6">
        <v>1.0</v>
      </c>
      <c r="E33" s="2"/>
      <c r="F33" s="10"/>
      <c r="G33" s="8" t="str">
        <f>IFERROR(__xludf.DUMMYFUNCTION("GOOGLETRANSLATE(B33,""DE"",""EN"")"),"Moth/cockroach infestation")</f>
        <v>Moth/cockroach infestation</v>
      </c>
      <c r="H33" s="8" t="str">
        <f>IFERROR(__xludf.DUMMYFUNCTION("GOOGLETRANSLATE(C33,""DE"",""EN"")"),"1")</f>
        <v>1</v>
      </c>
      <c r="I33" s="8" t="str">
        <f>IFERROR(__xludf.DUMMYFUNCTION("GOOGLETRANSLATE(D33,""DE"",""EN"")"),"1")</f>
        <v>1</v>
      </c>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W33" s="2"/>
      <c r="CX33" s="2"/>
      <c r="CY33" s="2"/>
      <c r="CZ33" s="2"/>
      <c r="DA33" s="2"/>
      <c r="DB33" s="2"/>
      <c r="DC33" s="2"/>
      <c r="DD33" s="2"/>
      <c r="DG33" s="2"/>
    </row>
    <row r="34">
      <c r="A34" s="9"/>
      <c r="B34" s="5" t="s">
        <v>35</v>
      </c>
      <c r="C34" s="6">
        <v>24.0</v>
      </c>
      <c r="D34" s="6">
        <v>22.0</v>
      </c>
      <c r="E34" s="2"/>
      <c r="F34" s="10"/>
      <c r="G34" s="8" t="str">
        <f>IFERROR(__xludf.DUMMYFUNCTION("GOOGLETRANSLATE(B34,""DE"",""EN"")"),"Opening/closure defective")</f>
        <v>Opening/closure defective</v>
      </c>
      <c r="H34" s="8" t="str">
        <f>IFERROR(__xludf.DUMMYFUNCTION("GOOGLETRANSLATE(C34,""DE"",""EN"")"),"24")</f>
        <v>24</v>
      </c>
      <c r="I34" s="8" t="str">
        <f>IFERROR(__xludf.DUMMYFUNCTION("GOOGLETRANSLATE(D34,""DE"",""EN"")"),"22")</f>
        <v>22</v>
      </c>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W34" s="2"/>
      <c r="CX34" s="2"/>
      <c r="CY34" s="2"/>
      <c r="CZ34" s="2"/>
      <c r="DA34" s="2"/>
      <c r="DB34" s="2"/>
      <c r="DC34" s="2"/>
      <c r="DD34" s="2"/>
      <c r="DG34" s="2"/>
    </row>
    <row r="35">
      <c r="A35" s="9"/>
      <c r="B35" s="5" t="s">
        <v>36</v>
      </c>
      <c r="C35" s="6">
        <v>1.0</v>
      </c>
      <c r="D35" s="6">
        <v>1.0</v>
      </c>
      <c r="E35" s="2"/>
      <c r="F35" s="10"/>
      <c r="G35" s="8" t="str">
        <f>IFERROR(__xludf.DUMMYFUNCTION("GOOGLETRANSLATE(B35,""DE"",""EN"")"),"Perso wardrobe defective")</f>
        <v>Perso wardrobe defective</v>
      </c>
      <c r="H35" s="8" t="str">
        <f>IFERROR(__xludf.DUMMYFUNCTION("GOOGLETRANSLATE(C35,""DE"",""EN"")"),"1")</f>
        <v>1</v>
      </c>
      <c r="I35" s="8" t="str">
        <f>IFERROR(__xludf.DUMMYFUNCTION("GOOGLETRANSLATE(D35,""DE"",""EN"")"),"1")</f>
        <v>1</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W35" s="2"/>
      <c r="CX35" s="2"/>
      <c r="CY35" s="2"/>
      <c r="CZ35" s="2"/>
      <c r="DA35" s="2"/>
      <c r="DB35" s="2"/>
      <c r="DC35" s="2"/>
      <c r="DD35" s="2"/>
      <c r="DG35" s="2"/>
    </row>
    <row r="36">
      <c r="A36" s="9"/>
      <c r="B36" s="5" t="s">
        <v>37</v>
      </c>
      <c r="C36" s="6">
        <v>3.0</v>
      </c>
      <c r="D36" s="11"/>
      <c r="E36" s="2"/>
      <c r="F36" s="10"/>
      <c r="G36" s="8" t="str">
        <f>IFERROR(__xludf.DUMMYFUNCTION("GOOGLETRANSLATE(B36,""DE"",""EN"")"),"Priority 1")</f>
        <v>Priority 1</v>
      </c>
      <c r="H36" s="8" t="str">
        <f>IFERROR(__xludf.DUMMYFUNCTION("GOOGLETRANSLATE(C36,""DE"",""EN"")"),"3")</f>
        <v>3</v>
      </c>
      <c r="I36" s="8"/>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W36" s="2"/>
      <c r="CX36" s="2"/>
      <c r="CY36" s="2"/>
      <c r="CZ36" s="2"/>
      <c r="DA36" s="2"/>
      <c r="DB36" s="2"/>
      <c r="DC36" s="2"/>
      <c r="DD36" s="2"/>
      <c r="DG36" s="2"/>
    </row>
    <row r="37">
      <c r="A37" s="9"/>
      <c r="B37" s="5" t="s">
        <v>38</v>
      </c>
      <c r="C37" s="6">
        <v>212.0</v>
      </c>
      <c r="D37" s="6">
        <v>132.0</v>
      </c>
      <c r="E37" s="2"/>
      <c r="F37" s="10"/>
      <c r="G37" s="8" t="str">
        <f>IFERROR(__xludf.DUMMYFUNCTION("GOOGLETRANSLATE(B37,""DE"",""EN"")"),"Cleaning outdoor area (42530002)")</f>
        <v>Cleaning outdoor area (42530002)</v>
      </c>
      <c r="H37" s="8" t="str">
        <f>IFERROR(__xludf.DUMMYFUNCTION("GOOGLETRANSLATE(C37,""DE"",""EN"")"),"212")</f>
        <v>212</v>
      </c>
      <c r="I37" s="8" t="str">
        <f>IFERROR(__xludf.DUMMYFUNCTION("GOOGLETRANSLATE(D37,""DE"",""EN"")"),"132")</f>
        <v>132</v>
      </c>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W37" s="2"/>
      <c r="CX37" s="2"/>
      <c r="CY37" s="2"/>
      <c r="CZ37" s="2"/>
      <c r="DA37" s="2"/>
      <c r="DB37" s="2"/>
      <c r="DC37" s="2"/>
      <c r="DD37" s="2"/>
      <c r="DG37" s="2"/>
    </row>
    <row r="38">
      <c r="A38" s="9"/>
      <c r="B38" s="5" t="s">
        <v>39</v>
      </c>
      <c r="C38" s="6">
        <v>1.0</v>
      </c>
      <c r="D38" s="6">
        <v>1.0</v>
      </c>
      <c r="E38" s="2"/>
      <c r="F38" s="10"/>
      <c r="G38" s="8" t="str">
        <f>IFERROR(__xludf.DUMMYFUNCTION("GOOGLETRANSLATE(B38,""DE"",""EN"")"),"Do not suck")</f>
        <v>Do not suck</v>
      </c>
      <c r="H38" s="8" t="str">
        <f>IFERROR(__xludf.DUMMYFUNCTION("GOOGLETRANSLATE(C38,""DE"",""EN"")"),"1")</f>
        <v>1</v>
      </c>
      <c r="I38" s="8" t="str">
        <f>IFERROR(__xludf.DUMMYFUNCTION("GOOGLETRANSLATE(D38,""DE"",""EN"")"),"1")</f>
        <v>1</v>
      </c>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W38" s="2"/>
      <c r="CX38" s="2"/>
      <c r="CY38" s="2"/>
      <c r="CZ38" s="2"/>
      <c r="DA38" s="2"/>
      <c r="DB38" s="2"/>
      <c r="DC38" s="2"/>
      <c r="DD38" s="2"/>
      <c r="DG38" s="2"/>
    </row>
    <row r="39">
      <c r="A39" s="9"/>
      <c r="B39" s="5" t="s">
        <v>40</v>
      </c>
      <c r="C39" s="6">
        <v>3.0</v>
      </c>
      <c r="D39" s="6">
        <v>3.0</v>
      </c>
      <c r="E39" s="2"/>
      <c r="F39" s="10"/>
      <c r="G39" s="8" t="str">
        <f>IFERROR(__xludf.DUMMYFUNCTION("GOOGLETRANSLATE(B39,""DE"",""EN"")"),"Castle defect")</f>
        <v>Castle defect</v>
      </c>
      <c r="H39" s="8" t="str">
        <f>IFERROR(__xludf.DUMMYFUNCTION("GOOGLETRANSLATE(C39,""DE"",""EN"")"),"3")</f>
        <v>3</v>
      </c>
      <c r="I39" s="8" t="str">
        <f>IFERROR(__xludf.DUMMYFUNCTION("GOOGLETRANSLATE(D39,""DE"",""EN"")"),"3")</f>
        <v>3</v>
      </c>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W39" s="2"/>
      <c r="CX39" s="2"/>
      <c r="CY39" s="2"/>
      <c r="CZ39" s="2"/>
      <c r="DA39" s="2"/>
      <c r="DB39" s="2"/>
      <c r="DC39" s="2"/>
      <c r="DD39" s="2"/>
      <c r="DG39" s="2"/>
    </row>
    <row r="40">
      <c r="A40" s="9"/>
      <c r="B40" s="5" t="s">
        <v>41</v>
      </c>
      <c r="C40" s="6">
        <v>1.0</v>
      </c>
      <c r="D40" s="6">
        <v>1.0</v>
      </c>
      <c r="E40" s="2"/>
      <c r="F40" s="10"/>
      <c r="G40" s="8" t="str">
        <f>IFERROR(__xludf.DUMMYFUNCTION("GOOGLETRANSLATE(B40,""DE"",""EN"")"),"Key in the castle")</f>
        <v>Key in the castle</v>
      </c>
      <c r="H40" s="8" t="str">
        <f>IFERROR(__xludf.DUMMYFUNCTION("GOOGLETRANSLATE(C40,""DE"",""EN"")"),"1")</f>
        <v>1</v>
      </c>
      <c r="I40" s="8" t="str">
        <f>IFERROR(__xludf.DUMMYFUNCTION("GOOGLETRANSLATE(D40,""DE"",""EN"")"),"1")</f>
        <v>1</v>
      </c>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W40" s="2"/>
      <c r="CX40" s="2"/>
      <c r="CY40" s="2"/>
      <c r="CZ40" s="2"/>
      <c r="DA40" s="2"/>
      <c r="DB40" s="2"/>
      <c r="DC40" s="2"/>
      <c r="DD40" s="2"/>
      <c r="DG40" s="2"/>
    </row>
    <row r="41">
      <c r="A41" s="9"/>
      <c r="B41" s="5" t="s">
        <v>42</v>
      </c>
      <c r="C41" s="6">
        <v>3.0</v>
      </c>
      <c r="D41" s="6">
        <v>3.0</v>
      </c>
      <c r="E41" s="2"/>
      <c r="F41" s="10"/>
      <c r="G41" s="8" t="str">
        <f>IFERROR(__xludf.DUMMYFUNCTION("GOOGLETRANSLATE(B41,""DE"",""EN"")"),"Cutting plant defective")</f>
        <v>Cutting plant defective</v>
      </c>
      <c r="H41" s="8" t="str">
        <f>IFERROR(__xludf.DUMMYFUNCTION("GOOGLETRANSLATE(C41,""DE"",""EN"")"),"3")</f>
        <v>3</v>
      </c>
      <c r="I41" s="8" t="str">
        <f>IFERROR(__xludf.DUMMYFUNCTION("GOOGLETRANSLATE(D41,""DE"",""EN"")"),"3")</f>
        <v>3</v>
      </c>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W41" s="2"/>
      <c r="CX41" s="2"/>
      <c r="CY41" s="2"/>
      <c r="CZ41" s="2"/>
      <c r="DA41" s="2"/>
      <c r="DB41" s="2"/>
      <c r="DC41" s="2"/>
      <c r="DD41" s="2"/>
      <c r="DG41" s="2"/>
    </row>
    <row r="42">
      <c r="A42" s="9"/>
      <c r="B42" s="5" t="s">
        <v>43</v>
      </c>
      <c r="C42" s="6">
        <v>3.0</v>
      </c>
      <c r="D42" s="6">
        <v>3.0</v>
      </c>
      <c r="E42" s="2"/>
      <c r="F42" s="10"/>
      <c r="G42" s="8" t="str">
        <f>IFERROR(__xludf.DUMMYFUNCTION("GOOGLETRANSLATE(B42,""DE"",""EN"")"),"Heavy contamination")</f>
        <v>Heavy contamination</v>
      </c>
      <c r="H42" s="8" t="str">
        <f>IFERROR(__xludf.DUMMYFUNCTION("GOOGLETRANSLATE(C42,""DE"",""EN"")"),"3")</f>
        <v>3</v>
      </c>
      <c r="I42" s="8" t="str">
        <f>IFERROR(__xludf.DUMMYFUNCTION("GOOGLETRANSLATE(D42,""DE"",""EN"")"),"3")</f>
        <v>3</v>
      </c>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W42" s="2"/>
      <c r="CX42" s="2"/>
      <c r="CY42" s="2"/>
      <c r="CZ42" s="2"/>
      <c r="DA42" s="2"/>
      <c r="DB42" s="2"/>
      <c r="DC42" s="2"/>
      <c r="DD42" s="2"/>
      <c r="DG42" s="2"/>
    </row>
    <row r="43">
      <c r="A43" s="9"/>
      <c r="B43" s="5" t="s">
        <v>44</v>
      </c>
      <c r="C43" s="6">
        <v>1.0</v>
      </c>
      <c r="D43" s="6">
        <v>1.0</v>
      </c>
      <c r="E43" s="2"/>
      <c r="F43" s="10"/>
      <c r="G43" s="8" t="str">
        <f>IFERROR(__xludf.DUMMYFUNCTION("GOOGLETRANSLATE(B43,""DE"",""EN"")"),"Disorder of electricity feed")</f>
        <v>Disorder of electricity feed</v>
      </c>
      <c r="H43" s="8" t="str">
        <f>IFERROR(__xludf.DUMMYFUNCTION("GOOGLETRANSLATE(C43,""DE"",""EN"")"),"1")</f>
        <v>1</v>
      </c>
      <c r="I43" s="8" t="str">
        <f>IFERROR(__xludf.DUMMYFUNCTION("GOOGLETRANSLATE(D43,""DE"",""EN"")"),"1")</f>
        <v>1</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W43" s="2"/>
      <c r="CX43" s="2"/>
      <c r="CY43" s="2"/>
      <c r="CZ43" s="2"/>
      <c r="DA43" s="2"/>
      <c r="DB43" s="2"/>
      <c r="DC43" s="2"/>
      <c r="DD43" s="2"/>
      <c r="DG43" s="2"/>
    </row>
    <row r="44">
      <c r="A44" s="9"/>
      <c r="B44" s="5" t="s">
        <v>45</v>
      </c>
      <c r="C44" s="6">
        <v>2.0</v>
      </c>
      <c r="D44" s="6">
        <v>2.0</v>
      </c>
      <c r="E44" s="2"/>
      <c r="F44" s="10"/>
      <c r="G44" s="8" t="str">
        <f>IFERROR(__xludf.DUMMYFUNCTION("GOOGLETRANSLATE(B44,""DE"",""EN"")"),"Temperature problem")</f>
        <v>Temperature problem</v>
      </c>
      <c r="H44" s="8" t="str">
        <f>IFERROR(__xludf.DUMMYFUNCTION("GOOGLETRANSLATE(C44,""DE"",""EN"")"),"2")</f>
        <v>2</v>
      </c>
      <c r="I44" s="8" t="str">
        <f>IFERROR(__xludf.DUMMYFUNCTION("GOOGLETRANSLATE(D44,""DE"",""EN"")"),"2")</f>
        <v>2</v>
      </c>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W44" s="2"/>
      <c r="CX44" s="2"/>
      <c r="CY44" s="2"/>
      <c r="CZ44" s="2"/>
      <c r="DA44" s="2"/>
      <c r="DB44" s="2"/>
      <c r="DC44" s="2"/>
      <c r="DD44" s="2"/>
      <c r="DG44" s="2"/>
    </row>
    <row r="45">
      <c r="A45" s="9"/>
      <c r="B45" s="5" t="s">
        <v>46</v>
      </c>
      <c r="C45" s="6">
        <v>3.0</v>
      </c>
      <c r="D45" s="6">
        <v>3.0</v>
      </c>
      <c r="E45" s="2"/>
      <c r="F45" s="10"/>
      <c r="G45" s="8" t="str">
        <f>IFERROR(__xludf.DUMMYFUNCTION("GOOGLETRANSLATE(B45,""DE"",""EN"")"),"Door defective")</f>
        <v>Door defective</v>
      </c>
      <c r="H45" s="8" t="str">
        <f>IFERROR(__xludf.DUMMYFUNCTION("GOOGLETRANSLATE(C45,""DE"",""EN"")"),"3")</f>
        <v>3</v>
      </c>
      <c r="I45" s="8" t="str">
        <f>IFERROR(__xludf.DUMMYFUNCTION("GOOGLETRANSLATE(D45,""DE"",""EN"")"),"3")</f>
        <v>3</v>
      </c>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W45" s="2"/>
      <c r="CX45" s="2"/>
      <c r="CY45" s="2"/>
      <c r="CZ45" s="2"/>
      <c r="DA45" s="2"/>
      <c r="DB45" s="2"/>
      <c r="DC45" s="2"/>
      <c r="DD45" s="2"/>
      <c r="DG45" s="2"/>
    </row>
    <row r="46">
      <c r="A46" s="9"/>
      <c r="B46" s="5" t="s">
        <v>47</v>
      </c>
      <c r="C46" s="6">
        <v>1.0</v>
      </c>
      <c r="D46" s="6">
        <v>1.0</v>
      </c>
      <c r="E46" s="2"/>
      <c r="F46" s="10"/>
      <c r="G46" s="8" t="str">
        <f>IFERROR(__xludf.DUMMYFUNCTION("GOOGLETRANSLATE(B46,""DE"",""EN"")"),"Door handle defective")</f>
        <v>Door handle defective</v>
      </c>
      <c r="H46" s="8" t="str">
        <f>IFERROR(__xludf.DUMMYFUNCTION("GOOGLETRANSLATE(C46,""DE"",""EN"")"),"1")</f>
        <v>1</v>
      </c>
      <c r="I46" s="8" t="str">
        <f>IFERROR(__xludf.DUMMYFUNCTION("GOOGLETRANSLATE(D46,""DE"",""EN"")"),"1")</f>
        <v>1</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W46" s="2"/>
      <c r="CX46" s="2"/>
      <c r="CY46" s="2"/>
      <c r="CZ46" s="2"/>
      <c r="DA46" s="2"/>
      <c r="DB46" s="2"/>
      <c r="DC46" s="2"/>
      <c r="DD46" s="2"/>
      <c r="DG46" s="2"/>
    </row>
    <row r="47">
      <c r="A47" s="9"/>
      <c r="B47" s="5" t="s">
        <v>48</v>
      </c>
      <c r="C47" s="6">
        <v>1.0</v>
      </c>
      <c r="D47" s="6">
        <v>1.0</v>
      </c>
      <c r="E47" s="2"/>
      <c r="F47" s="10"/>
      <c r="G47" s="8" t="str">
        <f>IFERROR(__xludf.DUMMYFUNCTION("GOOGLETRANSLATE(B47,""DE"",""EN"")"),"Defect door sensor")</f>
        <v>Defect door sensor</v>
      </c>
      <c r="H47" s="8" t="str">
        <f>IFERROR(__xludf.DUMMYFUNCTION("GOOGLETRANSLATE(C47,""DE"",""EN"")"),"1")</f>
        <v>1</v>
      </c>
      <c r="I47" s="8" t="str">
        <f>IFERROR(__xludf.DUMMYFUNCTION("GOOGLETRANSLATE(D47,""DE"",""EN"")"),"1")</f>
        <v>1</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W47" s="2"/>
      <c r="CX47" s="2"/>
      <c r="CY47" s="2"/>
      <c r="CZ47" s="2"/>
      <c r="DA47" s="2"/>
      <c r="DB47" s="2"/>
      <c r="DC47" s="2"/>
      <c r="DD47" s="2"/>
      <c r="DG47" s="2"/>
    </row>
    <row r="48">
      <c r="A48" s="9"/>
      <c r="B48" s="5" t="s">
        <v>49</v>
      </c>
      <c r="C48" s="6">
        <v>3.0</v>
      </c>
      <c r="D48" s="6">
        <v>3.0</v>
      </c>
      <c r="E48" s="2"/>
      <c r="F48" s="10"/>
      <c r="G48" s="8" t="str">
        <f>IFERROR(__xludf.DUMMYFUNCTION("GOOGLETRANSLATE(B48,""DE"",""EN"")"),"Leak")</f>
        <v>Leak</v>
      </c>
      <c r="H48" s="8" t="str">
        <f>IFERROR(__xludf.DUMMYFUNCTION("GOOGLETRANSLATE(C48,""DE"",""EN"")"),"3")</f>
        <v>3</v>
      </c>
      <c r="I48" s="8" t="str">
        <f>IFERROR(__xludf.DUMMYFUNCTION("GOOGLETRANSLATE(D48,""DE"",""EN"")"),"3")</f>
        <v>3</v>
      </c>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W48" s="2"/>
      <c r="CX48" s="2"/>
      <c r="CY48" s="2"/>
      <c r="CZ48" s="2"/>
      <c r="DA48" s="2"/>
      <c r="DB48" s="2"/>
      <c r="DC48" s="2"/>
      <c r="DD48" s="2"/>
      <c r="DG48" s="2"/>
    </row>
    <row r="49">
      <c r="A49" s="9"/>
      <c r="B49" s="5" t="s">
        <v>50</v>
      </c>
      <c r="C49" s="6">
        <v>1.0</v>
      </c>
      <c r="D49" s="11"/>
      <c r="E49" s="2"/>
      <c r="F49" s="10"/>
      <c r="G49" s="8" t="str">
        <f>IFERROR(__xludf.DUMMYFUNCTION("GOOGLETRANSLATE(B49,""DE"",""EN"")"),"Lumperities (roof)")</f>
        <v>Lumperities (roof)</v>
      </c>
      <c r="H49" s="8" t="str">
        <f>IFERROR(__xludf.DUMMYFUNCTION("GOOGLETRANSLATE(C49,""DE"",""EN"")"),"1")</f>
        <v>1</v>
      </c>
      <c r="I49" s="8"/>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W49" s="2"/>
      <c r="CX49" s="2"/>
      <c r="CY49" s="2"/>
      <c r="CZ49" s="2"/>
      <c r="DA49" s="2"/>
      <c r="DB49" s="2"/>
      <c r="DC49" s="2"/>
      <c r="DD49" s="2"/>
      <c r="DG49" s="2"/>
    </row>
    <row r="50">
      <c r="A50" s="9"/>
      <c r="B50" s="5" t="s">
        <v>51</v>
      </c>
      <c r="C50" s="6">
        <v>2.0</v>
      </c>
      <c r="D50" s="6">
        <v>2.0</v>
      </c>
      <c r="E50" s="2"/>
      <c r="F50" s="10"/>
      <c r="G50" s="8" t="str">
        <f>IFERROR(__xludf.DUMMYFUNCTION("GOOGLETRANSLATE(B50,""DE"",""EN"")"),"Icy")</f>
        <v>Icy</v>
      </c>
      <c r="H50" s="8" t="str">
        <f>IFERROR(__xludf.DUMMYFUNCTION("GOOGLETRANSLATE(C50,""DE"",""EN"")"),"2")</f>
        <v>2</v>
      </c>
      <c r="I50" s="8" t="str">
        <f>IFERROR(__xludf.DUMMYFUNCTION("GOOGLETRANSLATE(D50,""DE"",""EN"")"),"2")</f>
        <v>2</v>
      </c>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W50" s="2"/>
      <c r="CX50" s="2"/>
      <c r="CY50" s="2"/>
      <c r="CZ50" s="2"/>
      <c r="DA50" s="2"/>
      <c r="DB50" s="2"/>
      <c r="DC50" s="2"/>
      <c r="DD50" s="2"/>
      <c r="DG50" s="2"/>
    </row>
    <row r="51">
      <c r="A51" s="9"/>
      <c r="B51" s="5" t="s">
        <v>52</v>
      </c>
      <c r="C51" s="6">
        <v>7.0</v>
      </c>
      <c r="D51" s="6">
        <v>4.0</v>
      </c>
      <c r="E51" s="2"/>
      <c r="F51" s="10"/>
      <c r="G51" s="8" t="str">
        <f>IFERROR(__xludf.DUMMYFUNCTION("GOOGLETRANSLATE(B51,""DE"",""EN"")"),"Wach- and patrol service (42600001)")</f>
        <v>Wach- and patrol service (42600001)</v>
      </c>
      <c r="H51" s="8" t="str">
        <f>IFERROR(__xludf.DUMMYFUNCTION("GOOGLETRANSLATE(C51,""DE"",""EN"")"),"7")</f>
        <v>7</v>
      </c>
      <c r="I51" s="8" t="str">
        <f>IFERROR(__xludf.DUMMYFUNCTION("GOOGLETRANSLATE(D51,""DE"",""EN"")"),"4")</f>
        <v>4</v>
      </c>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W51" s="2"/>
      <c r="CX51" s="2"/>
      <c r="CY51" s="2"/>
      <c r="CZ51" s="2"/>
      <c r="DA51" s="2"/>
      <c r="DB51" s="2"/>
      <c r="DC51" s="2"/>
      <c r="DD51" s="2"/>
      <c r="DG51" s="2"/>
    </row>
    <row r="52">
      <c r="A52" s="12"/>
      <c r="B52" s="5" t="s">
        <v>53</v>
      </c>
      <c r="C52" s="6">
        <v>1.0</v>
      </c>
      <c r="D52" s="6">
        <v>1.0</v>
      </c>
      <c r="E52" s="2"/>
      <c r="F52" s="13"/>
      <c r="G52" s="8" t="str">
        <f>IFERROR(__xludf.DUMMYFUNCTION("GOOGLETRANSLATE(B52,""DE"",""EN"")"),"Toilet blocked")</f>
        <v>Toilet blocked</v>
      </c>
      <c r="H52" s="8" t="str">
        <f>IFERROR(__xludf.DUMMYFUNCTION("GOOGLETRANSLATE(C52,""DE"",""EN"")"),"1")</f>
        <v>1</v>
      </c>
      <c r="I52" s="8" t="str">
        <f>IFERROR(__xludf.DUMMYFUNCTION("GOOGLETRANSLATE(D52,""DE"",""EN"")"),"1")</f>
        <v>1</v>
      </c>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W52" s="2"/>
      <c r="CX52" s="2"/>
      <c r="CY52" s="2"/>
      <c r="CZ52" s="2"/>
      <c r="DA52" s="2"/>
      <c r="DB52" s="2"/>
      <c r="DC52" s="2"/>
      <c r="DD52" s="2"/>
      <c r="DG52" s="2"/>
    </row>
    <row r="53">
      <c r="A53" s="12"/>
      <c r="B53" s="5" t="s">
        <v>54</v>
      </c>
      <c r="C53" s="6">
        <v>2.0</v>
      </c>
      <c r="D53" s="6">
        <v>1.0</v>
      </c>
      <c r="E53" s="2"/>
      <c r="F53" s="13"/>
      <c r="G53" s="8" t="str">
        <f>IFERROR(__xludf.DUMMYFUNCTION("GOOGLETRANSLATE(B53,""DE"",""EN"")"),"Inverter defect")</f>
        <v>Inverter defect</v>
      </c>
      <c r="H53" s="8" t="str">
        <f>IFERROR(__xludf.DUMMYFUNCTION("GOOGLETRANSLATE(C53,""DE"",""EN"")"),"2")</f>
        <v>2</v>
      </c>
      <c r="I53" s="8" t="str">
        <f>IFERROR(__xludf.DUMMYFUNCTION("GOOGLETRANSLATE(D53,""DE"",""EN"")"),"1")</f>
        <v>1</v>
      </c>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W53" s="2"/>
      <c r="CX53" s="2"/>
      <c r="CY53" s="2"/>
      <c r="CZ53" s="2"/>
      <c r="DA53" s="2"/>
      <c r="DB53" s="2"/>
      <c r="DC53" s="2"/>
      <c r="DD53" s="2"/>
      <c r="DG53" s="2"/>
    </row>
    <row r="54">
      <c r="A54" s="4" t="s">
        <v>55</v>
      </c>
      <c r="B54" s="12"/>
      <c r="C54" s="14">
        <v>663.0</v>
      </c>
      <c r="D54" s="14">
        <v>494.0</v>
      </c>
      <c r="E54" s="2"/>
      <c r="F54" s="7" t="s">
        <v>55</v>
      </c>
      <c r="G54" s="8" t="str">
        <f>IFERROR(__xludf.DUMMYFUNCTION("GOOGLETRANSLATE(B54,""DE"",""EN"")"),"#VALUE!")</f>
        <v>#VALUE!</v>
      </c>
      <c r="H54" s="8" t="str">
        <f>IFERROR(__xludf.DUMMYFUNCTION("GOOGLETRANSLATE(C54,""DE"",""EN"")"),"663")</f>
        <v>663</v>
      </c>
      <c r="I54" s="8" t="str">
        <f>IFERROR(__xludf.DUMMYFUNCTION("GOOGLETRANSLATE(D54,""DE"",""EN"")"),"494")</f>
        <v>494</v>
      </c>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W54" s="2"/>
      <c r="CX54" s="2"/>
      <c r="CY54" s="2"/>
      <c r="CZ54" s="2"/>
      <c r="DA54" s="2"/>
      <c r="DB54" s="2"/>
      <c r="DC54" s="2"/>
      <c r="DD54" s="2"/>
      <c r="DG54" s="2"/>
    </row>
    <row r="55">
      <c r="A55" s="4" t="s">
        <v>56</v>
      </c>
      <c r="B55" s="5" t="s">
        <v>7</v>
      </c>
      <c r="C55" s="6">
        <v>4.0</v>
      </c>
      <c r="D55" s="6">
        <v>4.0</v>
      </c>
      <c r="E55" s="2"/>
      <c r="F55" s="7" t="s">
        <v>56</v>
      </c>
      <c r="G55" s="8" t="str">
        <f>IFERROR(__xludf.DUMMYFUNCTION("GOOGLETRANSLATE(B55,""DE"",""EN"")"),"approached")</f>
        <v>approached</v>
      </c>
      <c r="H55" s="8" t="str">
        <f>IFERROR(__xludf.DUMMYFUNCTION("GOOGLETRANSLATE(C55,""DE"",""EN"")"),"4")</f>
        <v>4</v>
      </c>
      <c r="I55" s="8" t="str">
        <f>IFERROR(__xludf.DUMMYFUNCTION("GOOGLETRANSLATE(D55,""DE"",""EN"")"),"4")</f>
        <v>4</v>
      </c>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W55" s="2"/>
      <c r="CX55" s="2"/>
      <c r="CY55" s="2"/>
      <c r="CZ55" s="2"/>
      <c r="DA55" s="2"/>
      <c r="DB55" s="2"/>
      <c r="DC55" s="2"/>
      <c r="DD55" s="2"/>
      <c r="DG55" s="2"/>
    </row>
    <row r="56">
      <c r="A56" s="9"/>
      <c r="B56" s="5" t="s">
        <v>57</v>
      </c>
      <c r="C56" s="6">
        <v>1.0</v>
      </c>
      <c r="D56" s="6">
        <v>1.0</v>
      </c>
      <c r="E56" s="2"/>
      <c r="F56" s="10"/>
      <c r="G56" s="8" t="str">
        <f>IFERROR(__xludf.DUMMYFUNCTION("GOOGLETRANSLATE(B56,""DE"",""EN"")"),"Impact protection stand")</f>
        <v>Impact protection stand</v>
      </c>
      <c r="H56" s="8" t="str">
        <f>IFERROR(__xludf.DUMMYFUNCTION("GOOGLETRANSLATE(C56,""DE"",""EN"")"),"1")</f>
        <v>1</v>
      </c>
      <c r="I56" s="8" t="str">
        <f>IFERROR(__xludf.DUMMYFUNCTION("GOOGLETRANSLATE(D56,""DE"",""EN"")"),"1")</f>
        <v>1</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W56" s="2"/>
      <c r="CX56" s="2"/>
      <c r="CY56" s="2"/>
      <c r="CZ56" s="2"/>
      <c r="DA56" s="2"/>
      <c r="DB56" s="2"/>
      <c r="DC56" s="2"/>
      <c r="DD56" s="2"/>
      <c r="DG56" s="2"/>
    </row>
    <row r="57">
      <c r="A57" s="9"/>
      <c r="B57" s="5" t="s">
        <v>10</v>
      </c>
      <c r="C57" s="6">
        <v>14.0</v>
      </c>
      <c r="D57" s="6">
        <v>14.0</v>
      </c>
      <c r="E57" s="2"/>
      <c r="F57" s="10"/>
      <c r="G57" s="8" t="str">
        <f>IFERROR(__xludf.DUMMYFUNCTION("GOOGLETRANSLATE(B57,""DE"",""EN"")"),"Lighting defect")</f>
        <v>Lighting defect</v>
      </c>
      <c r="H57" s="8" t="str">
        <f>IFERROR(__xludf.DUMMYFUNCTION("GOOGLETRANSLATE(C57,""DE"",""EN"")"),"14")</f>
        <v>14</v>
      </c>
      <c r="I57" s="8" t="str">
        <f>IFERROR(__xludf.DUMMYFUNCTION("GOOGLETRANSLATE(D57,""DE"",""EN"")"),"14")</f>
        <v>14</v>
      </c>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W57" s="2"/>
      <c r="CX57" s="2"/>
      <c r="CY57" s="2"/>
      <c r="CZ57" s="2"/>
      <c r="DA57" s="2"/>
      <c r="DB57" s="2"/>
      <c r="DC57" s="2"/>
      <c r="DD57" s="2"/>
      <c r="DG57" s="2"/>
    </row>
    <row r="58">
      <c r="A58" s="9"/>
      <c r="B58" s="5" t="s">
        <v>58</v>
      </c>
      <c r="C58" s="6">
        <v>1.0</v>
      </c>
      <c r="D58" s="6">
        <v>1.0</v>
      </c>
      <c r="E58" s="2"/>
      <c r="F58" s="10"/>
      <c r="G58" s="8" t="str">
        <f>IFERROR(__xludf.DUMMYFUNCTION("GOOGLETRANSLATE(B58,""DE"",""EN"")"),"Lighting times wrong")</f>
        <v>Lighting times wrong</v>
      </c>
      <c r="H58" s="8" t="str">
        <f>IFERROR(__xludf.DUMMYFUNCTION("GOOGLETRANSLATE(C58,""DE"",""EN"")"),"1")</f>
        <v>1</v>
      </c>
      <c r="I58" s="8" t="str">
        <f>IFERROR(__xludf.DUMMYFUNCTION("GOOGLETRANSLATE(D58,""DE"",""EN"")"),"1")</f>
        <v>1</v>
      </c>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W58" s="2"/>
      <c r="CX58" s="2"/>
      <c r="CY58" s="2"/>
      <c r="CZ58" s="2"/>
      <c r="DA58" s="2"/>
      <c r="DB58" s="2"/>
      <c r="DC58" s="2"/>
      <c r="DD58" s="2"/>
      <c r="DG58" s="2"/>
    </row>
    <row r="59">
      <c r="A59" s="9"/>
      <c r="B59" s="5" t="s">
        <v>11</v>
      </c>
      <c r="C59" s="6">
        <v>26.0</v>
      </c>
      <c r="D59" s="6">
        <v>23.0</v>
      </c>
      <c r="E59" s="2"/>
      <c r="F59" s="10"/>
      <c r="G59" s="8" t="str">
        <f>IFERROR(__xludf.DUMMYFUNCTION("GOOGLETRANSLATE(B59,""DE"",""EN"")"),"Damage / break")</f>
        <v>Damage / break</v>
      </c>
      <c r="H59" s="8" t="str">
        <f>IFERROR(__xludf.DUMMYFUNCTION("GOOGLETRANSLATE(C59,""DE"",""EN"")"),"26")</f>
        <v>26</v>
      </c>
      <c r="I59" s="8" t="str">
        <f>IFERROR(__xludf.DUMMYFUNCTION("GOOGLETRANSLATE(D59,""DE"",""EN"")"),"23")</f>
        <v>23</v>
      </c>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W59" s="2"/>
      <c r="CX59" s="2"/>
      <c r="CY59" s="2"/>
      <c r="CZ59" s="2"/>
      <c r="DA59" s="2"/>
      <c r="DB59" s="2"/>
      <c r="DC59" s="2"/>
      <c r="DD59" s="2"/>
      <c r="DG59" s="2"/>
    </row>
    <row r="60">
      <c r="A60" s="9"/>
      <c r="B60" s="5" t="s">
        <v>12</v>
      </c>
      <c r="C60" s="6">
        <v>240.0</v>
      </c>
      <c r="D60" s="6">
        <v>160.0</v>
      </c>
      <c r="E60" s="2"/>
      <c r="F60" s="10"/>
      <c r="G60" s="8" t="str">
        <f>IFERROR(__xludf.DUMMYFUNCTION("GOOGLETRANSLATE(B60,""DE"",""EN"")"),"Description in the BO")</f>
        <v>Description in the BO</v>
      </c>
      <c r="H60" s="8" t="str">
        <f>IFERROR(__xludf.DUMMYFUNCTION("GOOGLETRANSLATE(C60,""DE"",""EN"")"),"240")</f>
        <v>240</v>
      </c>
      <c r="I60" s="8" t="str">
        <f>IFERROR(__xludf.DUMMYFUNCTION("GOOGLETRANSLATE(D60,""DE"",""EN"")"),"160")</f>
        <v>160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W60" s="2"/>
      <c r="CX60" s="2"/>
      <c r="CY60" s="2"/>
      <c r="CZ60" s="2"/>
      <c r="DA60" s="2"/>
      <c r="DB60" s="2"/>
      <c r="DC60" s="2"/>
      <c r="DD60" s="2"/>
      <c r="DG60" s="2"/>
    </row>
    <row r="61">
      <c r="A61" s="9"/>
      <c r="B61" s="5" t="s">
        <v>59</v>
      </c>
      <c r="C61" s="6">
        <v>1.0</v>
      </c>
      <c r="D61" s="6">
        <v>1.0</v>
      </c>
      <c r="E61" s="2"/>
      <c r="F61" s="10"/>
      <c r="G61" s="8" t="str">
        <f>IFERROR(__xludf.DUMMYFUNCTION("GOOGLETRANSLATE(B61,""DE"",""EN"")"),"Uneven grounds")</f>
        <v>Uneven grounds</v>
      </c>
      <c r="H61" s="8" t="str">
        <f>IFERROR(__xludf.DUMMYFUNCTION("GOOGLETRANSLATE(C61,""DE"",""EN"")"),"1")</f>
        <v>1</v>
      </c>
      <c r="I61" s="8" t="str">
        <f>IFERROR(__xludf.DUMMYFUNCTION("GOOGLETRANSLATE(D61,""DE"",""EN"")"),"1")</f>
        <v>1</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W61" s="2"/>
      <c r="CX61" s="2"/>
      <c r="CY61" s="2"/>
      <c r="CZ61" s="2"/>
      <c r="DA61" s="2"/>
      <c r="DB61" s="2"/>
      <c r="DC61" s="2"/>
      <c r="DD61" s="2"/>
      <c r="DG61" s="2"/>
    </row>
    <row r="62">
      <c r="A62" s="9"/>
      <c r="B62" s="5" t="s">
        <v>60</v>
      </c>
      <c r="C62" s="6">
        <v>1.0</v>
      </c>
      <c r="D62" s="6">
        <v>1.0</v>
      </c>
      <c r="E62" s="2"/>
      <c r="F62" s="10"/>
      <c r="G62" s="8" t="str">
        <f>IFERROR(__xludf.DUMMYFUNCTION("GOOGLETRANSLATE(B62,""DE"",""EN"")"),"Shopping car cleaning (42160006)")</f>
        <v>Shopping car cleaning (42160006)</v>
      </c>
      <c r="H62" s="8" t="str">
        <f>IFERROR(__xludf.DUMMYFUNCTION("GOOGLETRANSLATE(C62,""DE"",""EN"")"),"1")</f>
        <v>1</v>
      </c>
      <c r="I62" s="8" t="str">
        <f>IFERROR(__xludf.DUMMYFUNCTION("GOOGLETRANSLATE(D62,""DE"",""EN"")"),"1")</f>
        <v>1</v>
      </c>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W62" s="2"/>
      <c r="CX62" s="2"/>
      <c r="CY62" s="2"/>
      <c r="CZ62" s="2"/>
      <c r="DA62" s="2"/>
      <c r="DB62" s="2"/>
      <c r="DC62" s="2"/>
      <c r="DD62" s="2"/>
      <c r="DG62" s="2"/>
    </row>
    <row r="63">
      <c r="A63" s="9"/>
      <c r="B63" s="5" t="s">
        <v>61</v>
      </c>
      <c r="C63" s="6">
        <v>3.0</v>
      </c>
      <c r="D63" s="6">
        <v>3.0</v>
      </c>
      <c r="E63" s="2"/>
      <c r="F63" s="10"/>
      <c r="G63" s="8" t="str">
        <f>IFERROR(__xludf.DUMMYFUNCTION("GOOGLETRANSLATE(B63,""DE"",""EN"")"),"Missing ceiling plates")</f>
        <v>Missing ceiling plates</v>
      </c>
      <c r="H63" s="8" t="str">
        <f>IFERROR(__xludf.DUMMYFUNCTION("GOOGLETRANSLATE(C63,""DE"",""EN"")"),"3")</f>
        <v>3</v>
      </c>
      <c r="I63" s="8" t="str">
        <f>IFERROR(__xludf.DUMMYFUNCTION("GOOGLETRANSLATE(D63,""DE"",""EN"")"),"3")</f>
        <v>3</v>
      </c>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W63" s="2"/>
      <c r="CX63" s="2"/>
      <c r="CY63" s="2"/>
      <c r="CZ63" s="2"/>
      <c r="DA63" s="2"/>
      <c r="DB63" s="2"/>
      <c r="DC63" s="2"/>
      <c r="DD63" s="2"/>
      <c r="DG63" s="2"/>
    </row>
    <row r="64">
      <c r="A64" s="9"/>
      <c r="B64" s="5" t="s">
        <v>16</v>
      </c>
      <c r="C64" s="6">
        <v>8.0</v>
      </c>
      <c r="D64" s="6">
        <v>8.0</v>
      </c>
      <c r="E64" s="2"/>
      <c r="F64" s="10"/>
      <c r="G64" s="8" t="str">
        <f>IFERROR(__xludf.DUMMYFUNCTION("GOOGLETRANSLATE(B64,""DE"",""EN"")"),"Moist ceiling plates")</f>
        <v>Moist ceiling plates</v>
      </c>
      <c r="H64" s="8" t="str">
        <f>IFERROR(__xludf.DUMMYFUNCTION("GOOGLETRANSLATE(C64,""DE"",""EN"")"),"8th")</f>
        <v>8th</v>
      </c>
      <c r="I64" s="8" t="str">
        <f>IFERROR(__xludf.DUMMYFUNCTION("GOOGLETRANSLATE(D64,""DE"",""EN"")"),"8th")</f>
        <v>8th</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W64" s="2"/>
      <c r="CX64" s="2"/>
      <c r="CY64" s="2"/>
      <c r="CZ64" s="2"/>
      <c r="DA64" s="2"/>
      <c r="DB64" s="2"/>
      <c r="DC64" s="2"/>
      <c r="DD64" s="2"/>
      <c r="DG64" s="2"/>
    </row>
    <row r="65">
      <c r="A65" s="9"/>
      <c r="B65" s="5" t="s">
        <v>62</v>
      </c>
      <c r="C65" s="6">
        <v>1.0</v>
      </c>
      <c r="D65" s="11"/>
      <c r="E65" s="2"/>
      <c r="F65" s="10"/>
      <c r="G65" s="8" t="str">
        <f>IFERROR(__xludf.DUMMYFUNCTION("GOOGLETRANSLATE(B65,""DE"",""EN"")"),"Escape schedule wrong/missing")</f>
        <v>Escape schedule wrong/missing</v>
      </c>
      <c r="H65" s="8" t="str">
        <f>IFERROR(__xludf.DUMMYFUNCTION("GOOGLETRANSLATE(C65,""DE"",""EN"")"),"1")</f>
        <v>1</v>
      </c>
      <c r="I65" s="8"/>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W65" s="2"/>
      <c r="CX65" s="2"/>
      <c r="CY65" s="2"/>
      <c r="CZ65" s="2"/>
      <c r="DA65" s="2"/>
      <c r="DB65" s="2"/>
      <c r="DC65" s="2"/>
      <c r="DD65" s="2"/>
      <c r="DG65" s="2"/>
    </row>
    <row r="66">
      <c r="A66" s="9"/>
      <c r="B66" s="5" t="s">
        <v>20</v>
      </c>
      <c r="C66" s="6">
        <v>10.0</v>
      </c>
      <c r="D66" s="6">
        <v>10.0</v>
      </c>
      <c r="E66" s="2"/>
      <c r="F66" s="10"/>
      <c r="G66" s="8" t="str">
        <f>IFERROR(__xludf.DUMMYFUNCTION("GOOGLETRANSLATE(B66,""DE"",""EN"")"),"Doesn't work")</f>
        <v>Doesn't work</v>
      </c>
      <c r="H66" s="8" t="str">
        <f>IFERROR(__xludf.DUMMYFUNCTION("GOOGLETRANSLATE(C66,""DE"",""EN"")"),"10")</f>
        <v>10</v>
      </c>
      <c r="I66" s="8" t="str">
        <f>IFERROR(__xludf.DUMMYFUNCTION("GOOGLETRANSLATE(D66,""DE"",""EN"")"),"10")</f>
        <v>10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W66" s="2"/>
      <c r="CX66" s="2"/>
      <c r="CY66" s="2"/>
      <c r="CZ66" s="2"/>
      <c r="DA66" s="2"/>
      <c r="DB66" s="2"/>
      <c r="DC66" s="2"/>
      <c r="DD66" s="2"/>
      <c r="DG66" s="2"/>
    </row>
    <row r="67">
      <c r="A67" s="9"/>
      <c r="B67" s="5" t="s">
        <v>23</v>
      </c>
      <c r="C67" s="6">
        <v>1.0</v>
      </c>
      <c r="D67" s="6">
        <v>1.0</v>
      </c>
      <c r="E67" s="2"/>
      <c r="F67" s="10"/>
      <c r="G67" s="8" t="str">
        <f>IFERROR(__xludf.DUMMYFUNCTION("GOOGLETRANSLATE(B67,""DE"",""EN"")"),"Glass lid defective")</f>
        <v>Glass lid defective</v>
      </c>
      <c r="H67" s="8" t="str">
        <f>IFERROR(__xludf.DUMMYFUNCTION("GOOGLETRANSLATE(C67,""DE"",""EN"")"),"1")</f>
        <v>1</v>
      </c>
      <c r="I67" s="8" t="str">
        <f>IFERROR(__xludf.DUMMYFUNCTION("GOOGLETRANSLATE(D67,""DE"",""EN"")"),"1")</f>
        <v>1</v>
      </c>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W67" s="2"/>
      <c r="CX67" s="2"/>
      <c r="CY67" s="2"/>
      <c r="CZ67" s="2"/>
      <c r="DA67" s="2"/>
      <c r="DB67" s="2"/>
      <c r="DC67" s="2"/>
      <c r="DD67" s="2"/>
      <c r="DG67" s="2"/>
    </row>
    <row r="68">
      <c r="A68" s="9"/>
      <c r="B68" s="5" t="s">
        <v>63</v>
      </c>
      <c r="C68" s="6">
        <v>2.0</v>
      </c>
      <c r="D68" s="6">
        <v>2.0</v>
      </c>
      <c r="E68" s="2"/>
      <c r="F68" s="10"/>
      <c r="G68" s="8" t="str">
        <f>IFERROR(__xludf.DUMMYFUNCTION("GOOGLETRANSLATE(B68,""DE"",""EN"")"),"Graffiti pollution")</f>
        <v>Graffiti pollution</v>
      </c>
      <c r="H68" s="8" t="str">
        <f>IFERROR(__xludf.DUMMYFUNCTION("GOOGLETRANSLATE(C68,""DE"",""EN"")"),"2")</f>
        <v>2</v>
      </c>
      <c r="I68" s="8" t="str">
        <f>IFERROR(__xludf.DUMMYFUNCTION("GOOGLETRANSLATE(D68,""DE"",""EN"")"),"2")</f>
        <v>2</v>
      </c>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W68" s="2"/>
      <c r="CX68" s="2"/>
      <c r="CY68" s="2"/>
      <c r="CZ68" s="2"/>
      <c r="DA68" s="2"/>
      <c r="DB68" s="2"/>
      <c r="DC68" s="2"/>
      <c r="DD68" s="2"/>
      <c r="DG68" s="2"/>
    </row>
    <row r="69">
      <c r="A69" s="9"/>
      <c r="B69" s="5" t="s">
        <v>24</v>
      </c>
      <c r="C69" s="6">
        <v>1.0</v>
      </c>
      <c r="D69" s="6">
        <v>1.0</v>
      </c>
      <c r="E69" s="2"/>
      <c r="F69" s="10"/>
      <c r="G69" s="8" t="str">
        <f>IFERROR(__xludf.DUMMYFUNCTION("GOOGLETRANSLATE(B69,""DE"",""EN"")"),"Handle defective")</f>
        <v>Handle defective</v>
      </c>
      <c r="H69" s="8" t="str">
        <f>IFERROR(__xludf.DUMMYFUNCTION("GOOGLETRANSLATE(C69,""DE"",""EN"")"),"1")</f>
        <v>1</v>
      </c>
      <c r="I69" s="8" t="str">
        <f>IFERROR(__xludf.DUMMYFUNCTION("GOOGLETRANSLATE(D69,""DE"",""EN"")"),"1")</f>
        <v>1</v>
      </c>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W69" s="2"/>
      <c r="CX69" s="2"/>
      <c r="CY69" s="2"/>
      <c r="CZ69" s="2"/>
      <c r="DA69" s="2"/>
      <c r="DB69" s="2"/>
      <c r="DC69" s="2"/>
      <c r="DD69" s="2"/>
      <c r="DG69" s="2"/>
    </row>
    <row r="70">
      <c r="A70" s="9"/>
      <c r="B70" s="5" t="s">
        <v>25</v>
      </c>
      <c r="C70" s="6">
        <v>7.0</v>
      </c>
      <c r="D70" s="6">
        <v>7.0</v>
      </c>
      <c r="E70" s="2"/>
      <c r="F70" s="10"/>
      <c r="G70" s="8" t="str">
        <f>IFERROR(__xludf.DUMMYFUNCTION("GOOGLETRANSLATE(B70,""DE"",""EN"")"),"Cash tape defective")</f>
        <v>Cash tape defective</v>
      </c>
      <c r="H70" s="8" t="str">
        <f>IFERROR(__xludf.DUMMYFUNCTION("GOOGLETRANSLATE(C70,""DE"",""EN"")"),"7")</f>
        <v>7</v>
      </c>
      <c r="I70" s="8" t="str">
        <f>IFERROR(__xludf.DUMMYFUNCTION("GOOGLETRANSLATE(D70,""DE"",""EN"")"),"7")</f>
        <v>7</v>
      </c>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W70" s="2"/>
      <c r="CX70" s="2"/>
      <c r="CY70" s="2"/>
      <c r="CZ70" s="2"/>
      <c r="DA70" s="2"/>
      <c r="DB70" s="2"/>
      <c r="DC70" s="2"/>
      <c r="DD70" s="2"/>
      <c r="DG70" s="2"/>
    </row>
    <row r="71">
      <c r="A71" s="9"/>
      <c r="B71" s="5" t="s">
        <v>26</v>
      </c>
      <c r="C71" s="6">
        <v>7.0</v>
      </c>
      <c r="D71" s="6">
        <v>6.0</v>
      </c>
      <c r="E71" s="2"/>
      <c r="F71" s="10"/>
      <c r="G71" s="8" t="str">
        <f>IFERROR(__xludf.DUMMYFUNCTION("GOOGLETRANSLATE(B71,""DE"",""EN"")"),"Small animal infestation")</f>
        <v>Small animal infestation</v>
      </c>
      <c r="H71" s="8" t="str">
        <f>IFERROR(__xludf.DUMMYFUNCTION("GOOGLETRANSLATE(C71,""DE"",""EN"")"),"7")</f>
        <v>7</v>
      </c>
      <c r="I71" s="8" t="str">
        <f>IFERROR(__xludf.DUMMYFUNCTION("GOOGLETRANSLATE(D71,""DE"",""EN"")"),"6")</f>
        <v>6</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W71" s="2"/>
      <c r="CX71" s="2"/>
      <c r="CY71" s="2"/>
      <c r="CZ71" s="2"/>
      <c r="DA71" s="2"/>
      <c r="DB71" s="2"/>
      <c r="DC71" s="2"/>
      <c r="DD71" s="2"/>
      <c r="DG71" s="2"/>
    </row>
    <row r="72">
      <c r="A72" s="9"/>
      <c r="B72" s="5" t="s">
        <v>64</v>
      </c>
      <c r="C72" s="6">
        <v>1.0</v>
      </c>
      <c r="D72" s="6">
        <v>1.0</v>
      </c>
      <c r="E72" s="2"/>
      <c r="F72" s="10"/>
      <c r="G72" s="8" t="str">
        <f>IFERROR(__xludf.DUMMYFUNCTION("GOOGLETRANSLATE(B72,""DE"",""EN"")"),"Complete system defective")</f>
        <v>Complete system defective</v>
      </c>
      <c r="H72" s="8" t="str">
        <f>IFERROR(__xludf.DUMMYFUNCTION("GOOGLETRANSLATE(C72,""DE"",""EN"")"),"1")</f>
        <v>1</v>
      </c>
      <c r="I72" s="8" t="str">
        <f>IFERROR(__xludf.DUMMYFUNCTION("GOOGLETRANSLATE(D72,""DE"",""EN"")"),"1")</f>
        <v>1</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W72" s="2"/>
      <c r="CX72" s="2"/>
      <c r="CY72" s="2"/>
      <c r="CZ72" s="2"/>
      <c r="DA72" s="2"/>
      <c r="DB72" s="2"/>
      <c r="DC72" s="2"/>
      <c r="DD72" s="2"/>
      <c r="DG72" s="2"/>
    </row>
    <row r="73">
      <c r="A73" s="9"/>
      <c r="B73" s="5" t="s">
        <v>28</v>
      </c>
      <c r="C73" s="6">
        <v>8.0</v>
      </c>
      <c r="D73" s="6">
        <v>2.0</v>
      </c>
      <c r="E73" s="2"/>
      <c r="F73" s="10"/>
      <c r="G73" s="8" t="str">
        <f>IFERROR(__xludf.DUMMYFUNCTION("GOOGLETRANSLATE(B73,""DE"",""EN"")"),"Cooling alarm")</f>
        <v>Cooling alarm</v>
      </c>
      <c r="H73" s="8" t="str">
        <f>IFERROR(__xludf.DUMMYFUNCTION("GOOGLETRANSLATE(C73,""DE"",""EN"")"),"8th")</f>
        <v>8th</v>
      </c>
      <c r="I73" s="8" t="str">
        <f>IFERROR(__xludf.DUMMYFUNCTION("GOOGLETRANSLATE(D73,""DE"",""EN"")"),"2")</f>
        <v>2</v>
      </c>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W73" s="2"/>
      <c r="CX73" s="2"/>
      <c r="CY73" s="2"/>
      <c r="CZ73" s="2"/>
      <c r="DA73" s="2"/>
      <c r="DB73" s="2"/>
      <c r="DC73" s="2"/>
      <c r="DD73" s="2"/>
      <c r="DG73" s="2"/>
    </row>
    <row r="74">
      <c r="A74" s="9"/>
      <c r="B74" s="5" t="s">
        <v>29</v>
      </c>
      <c r="C74" s="6">
        <v>3.0</v>
      </c>
      <c r="D74" s="6">
        <v>3.0</v>
      </c>
      <c r="E74" s="2"/>
      <c r="F74" s="10"/>
      <c r="G74" s="8" t="str">
        <f>IFERROR(__xludf.DUMMYFUNCTION("GOOGLETRANSLATE(B74,""DE"",""EN"")"),"Shop construction (42500097)")</f>
        <v>Shop construction (42500097)</v>
      </c>
      <c r="H74" s="8" t="str">
        <f>IFERROR(__xludf.DUMMYFUNCTION("GOOGLETRANSLATE(C74,""DE"",""EN"")"),"3")</f>
        <v>3</v>
      </c>
      <c r="I74" s="8" t="str">
        <f>IFERROR(__xludf.DUMMYFUNCTION("GOOGLETRANSLATE(D74,""DE"",""EN"")"),"3")</f>
        <v>3</v>
      </c>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W74" s="2"/>
      <c r="CX74" s="2"/>
      <c r="CY74" s="2"/>
      <c r="CZ74" s="2"/>
      <c r="DA74" s="2"/>
      <c r="DB74" s="2"/>
      <c r="DC74" s="2"/>
      <c r="DD74" s="2"/>
      <c r="DG74" s="2"/>
    </row>
    <row r="75">
      <c r="A75" s="9"/>
      <c r="B75" s="5" t="s">
        <v>65</v>
      </c>
      <c r="C75" s="6">
        <v>1.0</v>
      </c>
      <c r="D75" s="6">
        <v>1.0</v>
      </c>
      <c r="E75" s="2"/>
      <c r="F75" s="10"/>
      <c r="G75" s="8" t="str">
        <f>IFERROR(__xludf.DUMMYFUNCTION("GOOGLETRANSLATE(B75,""DE"",""EN"")"),"Does not load")</f>
        <v>Does not load</v>
      </c>
      <c r="H75" s="8" t="str">
        <f>IFERROR(__xludf.DUMMYFUNCTION("GOOGLETRANSLATE(C75,""DE"",""EN"")"),"1")</f>
        <v>1</v>
      </c>
      <c r="I75" s="8" t="str">
        <f>IFERROR(__xludf.DUMMYFUNCTION("GOOGLETRANSLATE(D75,""DE"",""EN"")"),"1")</f>
        <v>1</v>
      </c>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W75" s="2"/>
      <c r="CX75" s="2"/>
      <c r="CY75" s="2"/>
      <c r="CZ75" s="2"/>
      <c r="DA75" s="2"/>
      <c r="DB75" s="2"/>
      <c r="DC75" s="2"/>
      <c r="DD75" s="2"/>
      <c r="DG75" s="2"/>
    </row>
    <row r="76">
      <c r="A76" s="9"/>
      <c r="B76" s="5" t="s">
        <v>66</v>
      </c>
      <c r="C76" s="6">
        <v>1.0</v>
      </c>
      <c r="D76" s="11"/>
      <c r="E76" s="2"/>
      <c r="F76" s="10"/>
      <c r="G76" s="8" t="str">
        <f>IFERROR(__xludf.DUMMYFUNCTION("GOOGLETRANSLATE(B76,""DE"",""EN"")"),"Not running")</f>
        <v>Not running</v>
      </c>
      <c r="H76" s="8" t="str">
        <f>IFERROR(__xludf.DUMMYFUNCTION("GOOGLETRANSLATE(C76,""DE"",""EN"")"),"1")</f>
        <v>1</v>
      </c>
      <c r="I76" s="8"/>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W76" s="2"/>
      <c r="CX76" s="2"/>
      <c r="CY76" s="2"/>
      <c r="CZ76" s="2"/>
      <c r="DA76" s="2"/>
      <c r="DB76" s="2"/>
      <c r="DC76" s="2"/>
      <c r="DD76" s="2"/>
      <c r="DG76" s="2"/>
    </row>
    <row r="77">
      <c r="A77" s="9"/>
      <c r="B77" s="5" t="s">
        <v>67</v>
      </c>
      <c r="C77" s="6">
        <v>1.0</v>
      </c>
      <c r="D77" s="6">
        <v>1.0</v>
      </c>
      <c r="E77" s="2"/>
      <c r="F77" s="10"/>
      <c r="G77" s="8" t="str">
        <f>IFERROR(__xludf.DUMMYFUNCTION("GOOGLETRANSLATE(B77,""DE"",""EN"")"),"Only shines on 2/3")</f>
        <v>Only shines on 2/3</v>
      </c>
      <c r="H77" s="8" t="str">
        <f>IFERROR(__xludf.DUMMYFUNCTION("GOOGLETRANSLATE(C77,""DE"",""EN"")"),"1")</f>
        <v>1</v>
      </c>
      <c r="I77" s="8" t="str">
        <f>IFERROR(__xludf.DUMMYFUNCTION("GOOGLETRANSLATE(D77,""DE"",""EN"")"),"1")</f>
        <v>1</v>
      </c>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W77" s="2"/>
      <c r="CX77" s="2"/>
      <c r="CY77" s="2"/>
      <c r="CZ77" s="2"/>
      <c r="DA77" s="2"/>
      <c r="DB77" s="2"/>
      <c r="DC77" s="2"/>
      <c r="DD77" s="2"/>
      <c r="DG77" s="2"/>
    </row>
    <row r="78">
      <c r="A78" s="9"/>
      <c r="B78" s="5" t="s">
        <v>30</v>
      </c>
      <c r="C78" s="6">
        <v>4.0</v>
      </c>
      <c r="D78" s="6">
        <v>2.0</v>
      </c>
      <c r="E78" s="2"/>
      <c r="F78" s="10"/>
      <c r="G78" s="8" t="str">
        <f>IFERROR(__xludf.DUMMYFUNCTION("GOOGLETRANSLATE(B78,""DE"",""EN"")"),"Lamps failed")</f>
        <v>Lamps failed</v>
      </c>
      <c r="H78" s="8" t="str">
        <f>IFERROR(__xludf.DUMMYFUNCTION("GOOGLETRANSLATE(C78,""DE"",""EN"")"),"4")</f>
        <v>4</v>
      </c>
      <c r="I78" s="8" t="str">
        <f>IFERROR(__xludf.DUMMYFUNCTION("GOOGLETRANSLATE(D78,""DE"",""EN"")"),"2")</f>
        <v>2</v>
      </c>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W78" s="2"/>
      <c r="CX78" s="2"/>
      <c r="CY78" s="2"/>
      <c r="CZ78" s="2"/>
      <c r="DA78" s="2"/>
      <c r="DB78" s="2"/>
      <c r="DC78" s="2"/>
      <c r="DD78" s="2"/>
      <c r="DG78" s="2"/>
    </row>
    <row r="79">
      <c r="A79" s="9"/>
      <c r="B79" s="5" t="s">
        <v>31</v>
      </c>
      <c r="C79" s="6">
        <v>1.0</v>
      </c>
      <c r="D79" s="11"/>
      <c r="E79" s="2"/>
      <c r="F79" s="10"/>
      <c r="G79" s="8" t="str">
        <f>IFERROR(__xludf.DUMMYFUNCTION("GOOGLETRANSLATE(B79,""DE"",""EN"")"),"Fuel tube defective")</f>
        <v>Fuel tube defective</v>
      </c>
      <c r="H79" s="8" t="str">
        <f>IFERROR(__xludf.DUMMYFUNCTION("GOOGLETRANSLATE(C79,""DE"",""EN"")"),"1")</f>
        <v>1</v>
      </c>
      <c r="I79" s="8"/>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W79" s="2"/>
      <c r="CX79" s="2"/>
      <c r="CY79" s="2"/>
      <c r="CZ79" s="2"/>
      <c r="DA79" s="2"/>
      <c r="DB79" s="2"/>
      <c r="DC79" s="2"/>
      <c r="DD79" s="2"/>
      <c r="DG79" s="2"/>
    </row>
    <row r="80">
      <c r="A80" s="9"/>
      <c r="B80" s="5" t="s">
        <v>68</v>
      </c>
      <c r="C80" s="6">
        <v>1.0</v>
      </c>
      <c r="D80" s="6">
        <v>1.0</v>
      </c>
      <c r="E80" s="2"/>
      <c r="F80" s="10"/>
      <c r="G80" s="8" t="str">
        <f>IFERROR(__xludf.DUMMYFUNCTION("GOOGLETRANSLATE(B80,""DE"",""EN"")"),"Air grille defective")</f>
        <v>Air grille defective</v>
      </c>
      <c r="H80" s="8" t="str">
        <f>IFERROR(__xludf.DUMMYFUNCTION("GOOGLETRANSLATE(C80,""DE"",""EN"")"),"1")</f>
        <v>1</v>
      </c>
      <c r="I80" s="8" t="str">
        <f>IFERROR(__xludf.DUMMYFUNCTION("GOOGLETRANSLATE(D80,""DE"",""EN"")"),"1")</f>
        <v>1</v>
      </c>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W80" s="2"/>
      <c r="CX80" s="2"/>
      <c r="CY80" s="2"/>
      <c r="CZ80" s="2"/>
      <c r="DA80" s="2"/>
      <c r="DB80" s="2"/>
      <c r="DC80" s="2"/>
      <c r="DD80" s="2"/>
      <c r="DG80" s="2"/>
    </row>
    <row r="81">
      <c r="A81" s="9"/>
      <c r="B81" s="5" t="s">
        <v>33</v>
      </c>
      <c r="C81" s="6">
        <v>4.0</v>
      </c>
      <c r="D81" s="6">
        <v>4.0</v>
      </c>
      <c r="E81" s="2"/>
      <c r="F81" s="10"/>
      <c r="G81" s="8" t="str">
        <f>IFERROR(__xludf.DUMMYFUNCTION("GOOGLETRANSLATE(B81,""DE"",""EN"")"),"Painting requirement")</f>
        <v>Painting requirement</v>
      </c>
      <c r="H81" s="8" t="str">
        <f>IFERROR(__xludf.DUMMYFUNCTION("GOOGLETRANSLATE(C81,""DE"",""EN"")"),"4")</f>
        <v>4</v>
      </c>
      <c r="I81" s="8" t="str">
        <f>IFERROR(__xludf.DUMMYFUNCTION("GOOGLETRANSLATE(D81,""DE"",""EN"")"),"4")</f>
        <v>4</v>
      </c>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W81" s="2"/>
      <c r="CX81" s="2"/>
      <c r="CY81" s="2"/>
      <c r="CZ81" s="2"/>
      <c r="DA81" s="2"/>
      <c r="DB81" s="2"/>
      <c r="DC81" s="2"/>
      <c r="DD81" s="2"/>
      <c r="DG81" s="2"/>
    </row>
    <row r="82">
      <c r="A82" s="9"/>
      <c r="B82" s="5" t="s">
        <v>69</v>
      </c>
      <c r="C82" s="6">
        <v>2.0</v>
      </c>
      <c r="D82" s="6">
        <v>2.0</v>
      </c>
      <c r="E82" s="2"/>
      <c r="F82" s="10"/>
      <c r="G82" s="8" t="str">
        <f>IFERROR(__xludf.DUMMYFUNCTION("GOOGLETRANSLATE(B82,""DE"",""EN"")"),"Mouse attack (42160005)")</f>
        <v>Mouse attack (42160005)</v>
      </c>
      <c r="H82" s="8" t="str">
        <f>IFERROR(__xludf.DUMMYFUNCTION("GOOGLETRANSLATE(C82,""DE"",""EN"")"),"2")</f>
        <v>2</v>
      </c>
      <c r="I82" s="8" t="str">
        <f>IFERROR(__xludf.DUMMYFUNCTION("GOOGLETRANSLATE(D82,""DE"",""EN"")"),"2")</f>
        <v>2</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W82" s="2"/>
      <c r="CX82" s="2"/>
      <c r="CY82" s="2"/>
      <c r="CZ82" s="2"/>
      <c r="DA82" s="2"/>
      <c r="DB82" s="2"/>
      <c r="DC82" s="2"/>
      <c r="DD82" s="2"/>
      <c r="DG82" s="2"/>
    </row>
    <row r="83">
      <c r="A83" s="9"/>
      <c r="B83" s="5" t="s">
        <v>70</v>
      </c>
      <c r="C83" s="6">
        <v>3.0</v>
      </c>
      <c r="D83" s="6">
        <v>3.0</v>
      </c>
      <c r="E83" s="2"/>
      <c r="F83" s="10"/>
      <c r="G83" s="8" t="str">
        <f>IFERROR(__xludf.DUMMYFUNCTION("GOOGLETRANSLATE(B83,""DE"",""EN"")"),"Not usable")</f>
        <v>Not usable</v>
      </c>
      <c r="H83" s="8" t="str">
        <f>IFERROR(__xludf.DUMMYFUNCTION("GOOGLETRANSLATE(C83,""DE"",""EN"")"),"3")</f>
        <v>3</v>
      </c>
      <c r="I83" s="8" t="str">
        <f>IFERROR(__xludf.DUMMYFUNCTION("GOOGLETRANSLATE(D83,""DE"",""EN"")"),"3")</f>
        <v>3</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W83" s="2"/>
      <c r="CX83" s="2"/>
      <c r="CY83" s="2"/>
      <c r="CZ83" s="2"/>
      <c r="DA83" s="2"/>
      <c r="DB83" s="2"/>
      <c r="DC83" s="2"/>
      <c r="DD83" s="2"/>
      <c r="DG83" s="2"/>
    </row>
    <row r="84">
      <c r="A84" s="9"/>
      <c r="B84" s="5" t="s">
        <v>35</v>
      </c>
      <c r="C84" s="6">
        <v>18.0</v>
      </c>
      <c r="D84" s="6">
        <v>16.0</v>
      </c>
      <c r="E84" s="2"/>
      <c r="F84" s="10"/>
      <c r="G84" s="8" t="str">
        <f>IFERROR(__xludf.DUMMYFUNCTION("GOOGLETRANSLATE(B84,""DE"",""EN"")"),"Opening/closure defective")</f>
        <v>Opening/closure defective</v>
      </c>
      <c r="H84" s="8" t="str">
        <f>IFERROR(__xludf.DUMMYFUNCTION("GOOGLETRANSLATE(C84,""DE"",""EN"")"),"18")</f>
        <v>18</v>
      </c>
      <c r="I84" s="8" t="str">
        <f>IFERROR(__xludf.DUMMYFUNCTION("GOOGLETRANSLATE(D84,""DE"",""EN"")"),"16")</f>
        <v>16</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W84" s="2"/>
      <c r="CX84" s="2"/>
      <c r="CY84" s="2"/>
      <c r="CZ84" s="2"/>
      <c r="DA84" s="2"/>
      <c r="DB84" s="2"/>
      <c r="DC84" s="2"/>
      <c r="DD84" s="2"/>
      <c r="DG84" s="2"/>
    </row>
    <row r="85">
      <c r="A85" s="9"/>
      <c r="B85" s="5" t="s">
        <v>37</v>
      </c>
      <c r="C85" s="6">
        <v>4.0</v>
      </c>
      <c r="D85" s="11"/>
      <c r="E85" s="2"/>
      <c r="F85" s="10"/>
      <c r="G85" s="8" t="str">
        <f>IFERROR(__xludf.DUMMYFUNCTION("GOOGLETRANSLATE(B85,""DE"",""EN"")"),"Priority 1")</f>
        <v>Priority 1</v>
      </c>
      <c r="H85" s="8" t="str">
        <f>IFERROR(__xludf.DUMMYFUNCTION("GOOGLETRANSLATE(C85,""DE"",""EN"")"),"4")</f>
        <v>4</v>
      </c>
      <c r="I85" s="8"/>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W85" s="2"/>
      <c r="CX85" s="2"/>
      <c r="CY85" s="2"/>
      <c r="CZ85" s="2"/>
      <c r="DA85" s="2"/>
      <c r="DB85" s="2"/>
      <c r="DC85" s="2"/>
      <c r="DD85" s="2"/>
      <c r="DG85" s="2"/>
    </row>
    <row r="86">
      <c r="A86" s="9"/>
      <c r="B86" s="5" t="s">
        <v>71</v>
      </c>
      <c r="C86" s="6">
        <v>1.0</v>
      </c>
      <c r="D86" s="11"/>
      <c r="E86" s="2"/>
      <c r="F86" s="10"/>
      <c r="G86" s="8" t="str">
        <f>IFERROR(__xludf.DUMMYFUNCTION("GOOGLETRANSLATE(B86,""DE"",""EN"")"),"Priority 3")</f>
        <v>Priority 3</v>
      </c>
      <c r="H86" s="8" t="str">
        <f>IFERROR(__xludf.DUMMYFUNCTION("GOOGLETRANSLATE(C86,""DE"",""EN"")"),"1")</f>
        <v>1</v>
      </c>
      <c r="I86" s="8"/>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W86" s="2"/>
      <c r="CX86" s="2"/>
      <c r="CY86" s="2"/>
      <c r="CZ86" s="2"/>
      <c r="DA86" s="2"/>
      <c r="DB86" s="2"/>
      <c r="DC86" s="2"/>
      <c r="DD86" s="2"/>
      <c r="DG86" s="2"/>
    </row>
    <row r="87">
      <c r="A87" s="9"/>
      <c r="B87" s="5" t="s">
        <v>72</v>
      </c>
      <c r="C87" s="6">
        <v>1.0</v>
      </c>
      <c r="D87" s="6">
        <v>1.0</v>
      </c>
      <c r="E87" s="2"/>
      <c r="F87" s="10"/>
      <c r="G87" s="8" t="str">
        <f>IFERROR(__xludf.DUMMYFUNCTION("GOOGLETRANSLATE(B87,""DE"",""EN"")"),"Defect wheels")</f>
        <v>Defect wheels</v>
      </c>
      <c r="H87" s="8" t="str">
        <f>IFERROR(__xludf.DUMMYFUNCTION("GOOGLETRANSLATE(C87,""DE"",""EN"")"),"1")</f>
        <v>1</v>
      </c>
      <c r="I87" s="8" t="str">
        <f>IFERROR(__xludf.DUMMYFUNCTION("GOOGLETRANSLATE(D87,""DE"",""EN"")"),"1")</f>
        <v>1</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W87" s="2"/>
      <c r="CX87" s="2"/>
      <c r="CY87" s="2"/>
      <c r="CZ87" s="2"/>
      <c r="DA87" s="2"/>
      <c r="DB87" s="2"/>
      <c r="DC87" s="2"/>
      <c r="DD87" s="2"/>
      <c r="DG87" s="2"/>
    </row>
    <row r="88">
      <c r="A88" s="9"/>
      <c r="B88" s="5" t="s">
        <v>38</v>
      </c>
      <c r="C88" s="6">
        <v>211.0</v>
      </c>
      <c r="D88" s="6">
        <v>131.0</v>
      </c>
      <c r="E88" s="2"/>
      <c r="F88" s="10"/>
      <c r="G88" s="8" t="str">
        <f>IFERROR(__xludf.DUMMYFUNCTION("GOOGLETRANSLATE(B88,""DE"",""EN"")"),"Cleaning outdoor area (42530002)")</f>
        <v>Cleaning outdoor area (42530002)</v>
      </c>
      <c r="H88" s="8" t="str">
        <f>IFERROR(__xludf.DUMMYFUNCTION("GOOGLETRANSLATE(C88,""DE"",""EN"")"),"211")</f>
        <v>211</v>
      </c>
      <c r="I88" s="8" t="str">
        <f>IFERROR(__xludf.DUMMYFUNCTION("GOOGLETRANSLATE(D88,""DE"",""EN"")"),"131")</f>
        <v>131</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W88" s="2"/>
      <c r="CX88" s="2"/>
      <c r="CY88" s="2"/>
      <c r="CZ88" s="2"/>
      <c r="DA88" s="2"/>
      <c r="DB88" s="2"/>
      <c r="DC88" s="2"/>
      <c r="DD88" s="2"/>
      <c r="DG88" s="2"/>
    </row>
    <row r="89">
      <c r="A89" s="9"/>
      <c r="B89" s="5" t="s">
        <v>73</v>
      </c>
      <c r="C89" s="6">
        <v>2.0</v>
      </c>
      <c r="D89" s="6">
        <v>2.0</v>
      </c>
      <c r="E89" s="2"/>
      <c r="F89" s="10"/>
      <c r="G89" s="8" t="str">
        <f>IFERROR(__xludf.DUMMYFUNCTION("GOOGLETRANSLATE(B89,""DE"",""EN"")"),"Cleaning other (42160099)")</f>
        <v>Cleaning other (42160099)</v>
      </c>
      <c r="H89" s="8" t="str">
        <f>IFERROR(__xludf.DUMMYFUNCTION("GOOGLETRANSLATE(C89,""DE"",""EN"")"),"2")</f>
        <v>2</v>
      </c>
      <c r="I89" s="8" t="str">
        <f>IFERROR(__xludf.DUMMYFUNCTION("GOOGLETRANSLATE(D89,""DE"",""EN"")"),"2")</f>
        <v>2</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W89" s="2"/>
      <c r="CX89" s="2"/>
      <c r="CY89" s="2"/>
      <c r="CZ89" s="2"/>
      <c r="DA89" s="2"/>
      <c r="DB89" s="2"/>
      <c r="DC89" s="2"/>
      <c r="DD89" s="2"/>
      <c r="DG89" s="2"/>
    </row>
    <row r="90">
      <c r="A90" s="9"/>
      <c r="B90" s="5" t="s">
        <v>74</v>
      </c>
      <c r="C90" s="6">
        <v>2.0</v>
      </c>
      <c r="D90" s="6">
        <v>2.0</v>
      </c>
      <c r="E90" s="2"/>
      <c r="F90" s="10"/>
      <c r="G90" s="8" t="str">
        <f>IFERROR(__xludf.DUMMYFUNCTION("GOOGLETRANSLATE(B90,""DE"",""EN"")"),"Tube failed")</f>
        <v>Tube failed</v>
      </c>
      <c r="H90" s="8" t="str">
        <f>IFERROR(__xludf.DUMMYFUNCTION("GOOGLETRANSLATE(C90,""DE"",""EN"")"),"2")</f>
        <v>2</v>
      </c>
      <c r="I90" s="8" t="str">
        <f>IFERROR(__xludf.DUMMYFUNCTION("GOOGLETRANSLATE(D90,""DE"",""EN"")"),"2")</f>
        <v>2</v>
      </c>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W90" s="2"/>
      <c r="CX90" s="2"/>
      <c r="CY90" s="2"/>
      <c r="CZ90" s="2"/>
      <c r="DA90" s="2"/>
      <c r="DB90" s="2"/>
      <c r="DC90" s="2"/>
      <c r="DD90" s="2"/>
      <c r="DG90" s="2"/>
    </row>
    <row r="91">
      <c r="A91" s="9"/>
      <c r="B91" s="5" t="s">
        <v>40</v>
      </c>
      <c r="C91" s="6">
        <v>1.0</v>
      </c>
      <c r="D91" s="6">
        <v>1.0</v>
      </c>
      <c r="E91" s="2"/>
      <c r="F91" s="10"/>
      <c r="G91" s="8" t="str">
        <f>IFERROR(__xludf.DUMMYFUNCTION("GOOGLETRANSLATE(B91,""DE"",""EN"")"),"Castle defect")</f>
        <v>Castle defect</v>
      </c>
      <c r="H91" s="8" t="str">
        <f>IFERROR(__xludf.DUMMYFUNCTION("GOOGLETRANSLATE(C91,""DE"",""EN"")"),"1")</f>
        <v>1</v>
      </c>
      <c r="I91" s="8" t="str">
        <f>IFERROR(__xludf.DUMMYFUNCTION("GOOGLETRANSLATE(D91,""DE"",""EN"")"),"1")</f>
        <v>1</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W91" s="2"/>
      <c r="CX91" s="2"/>
      <c r="CY91" s="2"/>
      <c r="CZ91" s="2"/>
      <c r="DA91" s="2"/>
      <c r="DB91" s="2"/>
      <c r="DC91" s="2"/>
      <c r="DD91" s="2"/>
      <c r="DG91" s="2"/>
    </row>
    <row r="92">
      <c r="A92" s="9"/>
      <c r="B92" s="5" t="s">
        <v>43</v>
      </c>
      <c r="C92" s="6">
        <v>5.0</v>
      </c>
      <c r="D92" s="6">
        <v>5.0</v>
      </c>
      <c r="E92" s="2"/>
      <c r="F92" s="10"/>
      <c r="G92" s="8" t="str">
        <f>IFERROR(__xludf.DUMMYFUNCTION("GOOGLETRANSLATE(B92,""DE"",""EN"")"),"Heavy contamination")</f>
        <v>Heavy contamination</v>
      </c>
      <c r="H92" s="8" t="str">
        <f>IFERROR(__xludf.DUMMYFUNCTION("GOOGLETRANSLATE(C92,""DE"",""EN"")"),"5")</f>
        <v>5</v>
      </c>
      <c r="I92" s="8" t="str">
        <f>IFERROR(__xludf.DUMMYFUNCTION("GOOGLETRANSLATE(D92,""DE"",""EN"")"),"5")</f>
        <v>5</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W92" s="2"/>
      <c r="CX92" s="2"/>
      <c r="CY92" s="2"/>
      <c r="CZ92" s="2"/>
      <c r="DA92" s="2"/>
      <c r="DB92" s="2"/>
      <c r="DC92" s="2"/>
      <c r="DD92" s="2"/>
      <c r="DG92" s="2"/>
    </row>
    <row r="93">
      <c r="A93" s="9"/>
      <c r="B93" s="5" t="s">
        <v>45</v>
      </c>
      <c r="C93" s="6">
        <v>3.0</v>
      </c>
      <c r="D93" s="6">
        <v>2.0</v>
      </c>
      <c r="E93" s="2"/>
      <c r="F93" s="10"/>
      <c r="G93" s="8" t="str">
        <f>IFERROR(__xludf.DUMMYFUNCTION("GOOGLETRANSLATE(B93,""DE"",""EN"")"),"Temperature problem")</f>
        <v>Temperature problem</v>
      </c>
      <c r="H93" s="8" t="str">
        <f>IFERROR(__xludf.DUMMYFUNCTION("GOOGLETRANSLATE(C93,""DE"",""EN"")"),"3")</f>
        <v>3</v>
      </c>
      <c r="I93" s="8" t="str">
        <f>IFERROR(__xludf.DUMMYFUNCTION("GOOGLETRANSLATE(D93,""DE"",""EN"")"),"2")</f>
        <v>2</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W93" s="2"/>
      <c r="CX93" s="2"/>
      <c r="CY93" s="2"/>
      <c r="CZ93" s="2"/>
      <c r="DA93" s="2"/>
      <c r="DB93" s="2"/>
      <c r="DC93" s="2"/>
      <c r="DD93" s="2"/>
      <c r="DG93" s="2"/>
    </row>
    <row r="94">
      <c r="A94" s="9"/>
      <c r="B94" s="5" t="s">
        <v>75</v>
      </c>
      <c r="C94" s="6">
        <v>1.0</v>
      </c>
      <c r="D94" s="6">
        <v>1.0</v>
      </c>
      <c r="E94" s="2"/>
      <c r="F94" s="10"/>
      <c r="G94" s="8" t="str">
        <f>IFERROR(__xludf.DUMMYFUNCTION("GOOGLETRANSLATE(B94,""DE"",""EN"")"),"Thermometer defective")</f>
        <v>Thermometer defective</v>
      </c>
      <c r="H94" s="8" t="str">
        <f>IFERROR(__xludf.DUMMYFUNCTION("GOOGLETRANSLATE(C94,""DE"",""EN"")"),"1")</f>
        <v>1</v>
      </c>
      <c r="I94" s="8" t="str">
        <f>IFERROR(__xludf.DUMMYFUNCTION("GOOGLETRANSLATE(D94,""DE"",""EN"")"),"1")</f>
        <v>1</v>
      </c>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W94" s="2"/>
      <c r="CX94" s="2"/>
      <c r="CY94" s="2"/>
      <c r="CZ94" s="2"/>
      <c r="DA94" s="2"/>
      <c r="DB94" s="2"/>
      <c r="DC94" s="2"/>
      <c r="DD94" s="2"/>
      <c r="DG94" s="2"/>
    </row>
    <row r="95">
      <c r="A95" s="9"/>
      <c r="B95" s="5" t="s">
        <v>47</v>
      </c>
      <c r="C95" s="6">
        <v>2.0</v>
      </c>
      <c r="D95" s="6">
        <v>2.0</v>
      </c>
      <c r="E95" s="2"/>
      <c r="F95" s="10"/>
      <c r="G95" s="8" t="str">
        <f>IFERROR(__xludf.DUMMYFUNCTION("GOOGLETRANSLATE(B95,""DE"",""EN"")"),"Door handle defective")</f>
        <v>Door handle defective</v>
      </c>
      <c r="H95" s="8" t="str">
        <f>IFERROR(__xludf.DUMMYFUNCTION("GOOGLETRANSLATE(C95,""DE"",""EN"")"),"2")</f>
        <v>2</v>
      </c>
      <c r="I95" s="8" t="str">
        <f>IFERROR(__xludf.DUMMYFUNCTION("GOOGLETRANSLATE(D95,""DE"",""EN"")"),"2")</f>
        <v>2</v>
      </c>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W95" s="2"/>
      <c r="CX95" s="2"/>
      <c r="CY95" s="2"/>
      <c r="CZ95" s="2"/>
      <c r="DA95" s="2"/>
      <c r="DB95" s="2"/>
      <c r="DC95" s="2"/>
      <c r="DD95" s="2"/>
      <c r="DG95" s="2"/>
    </row>
    <row r="96">
      <c r="A96" s="9"/>
      <c r="B96" s="5" t="s">
        <v>49</v>
      </c>
      <c r="C96" s="6">
        <v>5.0</v>
      </c>
      <c r="D96" s="6">
        <v>4.0</v>
      </c>
      <c r="E96" s="2"/>
      <c r="F96" s="10"/>
      <c r="G96" s="8" t="str">
        <f>IFERROR(__xludf.DUMMYFUNCTION("GOOGLETRANSLATE(B96,""DE"",""EN"")"),"Leak")</f>
        <v>Leak</v>
      </c>
      <c r="H96" s="8" t="str">
        <f>IFERROR(__xludf.DUMMYFUNCTION("GOOGLETRANSLATE(C96,""DE"",""EN"")"),"5")</f>
        <v>5</v>
      </c>
      <c r="I96" s="8" t="str">
        <f>IFERROR(__xludf.DUMMYFUNCTION("GOOGLETRANSLATE(D96,""DE"",""EN"")"),"4")</f>
        <v>4</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W96" s="2"/>
      <c r="CX96" s="2"/>
      <c r="CY96" s="2"/>
      <c r="CZ96" s="2"/>
      <c r="DA96" s="2"/>
      <c r="DB96" s="2"/>
      <c r="DC96" s="2"/>
      <c r="DD96" s="2"/>
      <c r="DG96" s="2"/>
    </row>
    <row r="97">
      <c r="A97" s="9"/>
      <c r="B97" s="5" t="s">
        <v>50</v>
      </c>
      <c r="C97" s="6">
        <v>2.0</v>
      </c>
      <c r="D97" s="11"/>
      <c r="E97" s="2"/>
      <c r="F97" s="10"/>
      <c r="G97" s="8" t="str">
        <f>IFERROR(__xludf.DUMMYFUNCTION("GOOGLETRANSLATE(B97,""DE"",""EN"")"),"Lumperities (roof)")</f>
        <v>Lumperities (roof)</v>
      </c>
      <c r="H97" s="8" t="str">
        <f>IFERROR(__xludf.DUMMYFUNCTION("GOOGLETRANSLATE(C97,""DE"",""EN"")"),"2")</f>
        <v>2</v>
      </c>
      <c r="I97" s="8"/>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W97" s="2"/>
      <c r="CX97" s="2"/>
      <c r="CY97" s="2"/>
      <c r="CZ97" s="2"/>
      <c r="DA97" s="2"/>
      <c r="DB97" s="2"/>
      <c r="DC97" s="2"/>
      <c r="DD97" s="2"/>
      <c r="DG97" s="2"/>
    </row>
    <row r="98">
      <c r="A98" s="9"/>
      <c r="B98" s="5" t="s">
        <v>51</v>
      </c>
      <c r="C98" s="6">
        <v>5.0</v>
      </c>
      <c r="D98" s="6">
        <v>5.0</v>
      </c>
      <c r="E98" s="2"/>
      <c r="F98" s="10"/>
      <c r="G98" s="8" t="str">
        <f>IFERROR(__xludf.DUMMYFUNCTION("GOOGLETRANSLATE(B98,""DE"",""EN"")"),"Icy")</f>
        <v>Icy</v>
      </c>
      <c r="H98" s="8" t="str">
        <f>IFERROR(__xludf.DUMMYFUNCTION("GOOGLETRANSLATE(C98,""DE"",""EN"")"),"5")</f>
        <v>5</v>
      </c>
      <c r="I98" s="8" t="str">
        <f>IFERROR(__xludf.DUMMYFUNCTION("GOOGLETRANSLATE(D98,""DE"",""EN"")"),"5")</f>
        <v>5</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W98" s="2"/>
      <c r="CX98" s="2"/>
      <c r="CY98" s="2"/>
      <c r="CZ98" s="2"/>
      <c r="DA98" s="2"/>
      <c r="DB98" s="2"/>
      <c r="DC98" s="2"/>
      <c r="DD98" s="2"/>
      <c r="DG98" s="2"/>
    </row>
    <row r="99">
      <c r="A99" s="9"/>
      <c r="B99" s="5" t="s">
        <v>76</v>
      </c>
      <c r="C99" s="6">
        <v>1.0</v>
      </c>
      <c r="D99" s="6">
        <v>1.0</v>
      </c>
      <c r="E99" s="2"/>
      <c r="F99" s="10"/>
      <c r="G99" s="8" t="str">
        <f>IFERROR(__xludf.DUMMYFUNCTION("GOOGLETRANSLATE(B99,""DE"",""EN"")"),"constipation")</f>
        <v>constipation</v>
      </c>
      <c r="H99" s="8" t="str">
        <f>IFERROR(__xludf.DUMMYFUNCTION("GOOGLETRANSLATE(C99,""DE"",""EN"")"),"1")</f>
        <v>1</v>
      </c>
      <c r="I99" s="8" t="str">
        <f>IFERROR(__xludf.DUMMYFUNCTION("GOOGLETRANSLATE(D99,""DE"",""EN"")"),"1")</f>
        <v>1</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W99" s="2"/>
      <c r="CX99" s="2"/>
      <c r="CY99" s="2"/>
      <c r="CZ99" s="2"/>
      <c r="DA99" s="2"/>
      <c r="DB99" s="2"/>
      <c r="DC99" s="2"/>
      <c r="DD99" s="2"/>
      <c r="DG99" s="2"/>
    </row>
    <row r="100">
      <c r="A100" s="9"/>
      <c r="B100" s="5" t="s">
        <v>52</v>
      </c>
      <c r="C100" s="6">
        <v>12.0</v>
      </c>
      <c r="D100" s="6">
        <v>6.0</v>
      </c>
      <c r="E100" s="2"/>
      <c r="F100" s="10"/>
      <c r="G100" s="8" t="str">
        <f>IFERROR(__xludf.DUMMYFUNCTION("GOOGLETRANSLATE(B100,""DE"",""EN"")"),"Wach- and patrol service (42600001)")</f>
        <v>Wach- and patrol service (42600001)</v>
      </c>
      <c r="H100" s="8" t="str">
        <f>IFERROR(__xludf.DUMMYFUNCTION("GOOGLETRANSLATE(C100,""DE"",""EN"")"),"12")</f>
        <v>12</v>
      </c>
      <c r="I100" s="8" t="str">
        <f>IFERROR(__xludf.DUMMYFUNCTION("GOOGLETRANSLATE(D100,""DE"",""EN"")"),"6")</f>
        <v>6</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W100" s="2"/>
      <c r="CX100" s="2"/>
      <c r="CY100" s="2"/>
      <c r="CZ100" s="2"/>
      <c r="DA100" s="2"/>
      <c r="DB100" s="2"/>
      <c r="DC100" s="2"/>
      <c r="DD100" s="2"/>
      <c r="DG100" s="2"/>
    </row>
    <row r="101">
      <c r="A101" s="12"/>
      <c r="B101" s="5" t="s">
        <v>77</v>
      </c>
      <c r="C101" s="6">
        <v>1.0</v>
      </c>
      <c r="D101" s="6">
        <v>1.0</v>
      </c>
      <c r="E101" s="2"/>
      <c r="F101" s="13"/>
      <c r="G101" s="8" t="str">
        <f>IFERROR(__xludf.DUMMYFUNCTION("GOOGLETRANSLATE(B101,""DE"",""EN"")"),"Wicked sink")</f>
        <v>Wicked sink</v>
      </c>
      <c r="H101" s="8" t="str">
        <f>IFERROR(__xludf.DUMMYFUNCTION("GOOGLETRANSLATE(C101,""DE"",""EN"")"),"1")</f>
        <v>1</v>
      </c>
      <c r="I101" s="8" t="str">
        <f>IFERROR(__xludf.DUMMYFUNCTION("GOOGLETRANSLATE(D101,""DE"",""EN"")"),"1")</f>
        <v>1</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W101" s="2"/>
      <c r="CX101" s="2"/>
      <c r="CY101" s="2"/>
      <c r="CZ101" s="2"/>
      <c r="DA101" s="2"/>
      <c r="DB101" s="2"/>
      <c r="DC101" s="2"/>
      <c r="DD101" s="2"/>
      <c r="DG101" s="2"/>
    </row>
    <row r="102">
      <c r="A102" s="12"/>
      <c r="B102" s="5" t="s">
        <v>53</v>
      </c>
      <c r="C102" s="6">
        <v>3.0</v>
      </c>
      <c r="D102" s="6">
        <v>3.0</v>
      </c>
      <c r="E102" s="2"/>
      <c r="F102" s="13"/>
      <c r="G102" s="8" t="str">
        <f>IFERROR(__xludf.DUMMYFUNCTION("GOOGLETRANSLATE(B102,""DE"",""EN"")"),"Toilet blocked")</f>
        <v>Toilet blocked</v>
      </c>
      <c r="H102" s="8" t="str">
        <f>IFERROR(__xludf.DUMMYFUNCTION("GOOGLETRANSLATE(C102,""DE"",""EN"")"),"3")</f>
        <v>3</v>
      </c>
      <c r="I102" s="8" t="str">
        <f>IFERROR(__xludf.DUMMYFUNCTION("GOOGLETRANSLATE(D102,""DE"",""EN"")"),"3")</f>
        <v>3</v>
      </c>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W102" s="2"/>
      <c r="CX102" s="2"/>
      <c r="CY102" s="2"/>
      <c r="CZ102" s="2"/>
      <c r="DA102" s="2"/>
      <c r="DB102" s="2"/>
      <c r="DC102" s="2"/>
      <c r="DD102" s="2"/>
      <c r="DG102" s="2"/>
    </row>
    <row r="103">
      <c r="A103" s="4" t="s">
        <v>78</v>
      </c>
      <c r="B103" s="12"/>
      <c r="C103" s="14">
        <v>638.0</v>
      </c>
      <c r="D103" s="14">
        <v>446.0</v>
      </c>
      <c r="E103" s="2"/>
      <c r="F103" s="7" t="s">
        <v>78</v>
      </c>
      <c r="G103" s="8" t="str">
        <f>IFERROR(__xludf.DUMMYFUNCTION("GOOGLETRANSLATE(B103,""DE"",""EN"")"),"#VALUE!")</f>
        <v>#VALUE!</v>
      </c>
      <c r="H103" s="8" t="str">
        <f>IFERROR(__xludf.DUMMYFUNCTION("GOOGLETRANSLATE(C103,""DE"",""EN"")"),"638")</f>
        <v>638</v>
      </c>
      <c r="I103" s="8" t="str">
        <f>IFERROR(__xludf.DUMMYFUNCTION("GOOGLETRANSLATE(D103,""DE"",""EN"")"),"446")</f>
        <v>446</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W103" s="2"/>
      <c r="CX103" s="2"/>
      <c r="CY103" s="2"/>
      <c r="CZ103" s="2"/>
      <c r="DA103" s="2"/>
      <c r="DB103" s="2"/>
      <c r="DC103" s="2"/>
      <c r="DD103" s="2"/>
      <c r="DG103" s="2"/>
    </row>
    <row r="104">
      <c r="A104" s="4" t="s">
        <v>79</v>
      </c>
      <c r="B104" s="5" t="s">
        <v>7</v>
      </c>
      <c r="C104" s="6">
        <v>8.0</v>
      </c>
      <c r="D104" s="6">
        <v>8.0</v>
      </c>
      <c r="E104" s="2"/>
      <c r="F104" s="7" t="s">
        <v>79</v>
      </c>
      <c r="G104" s="8" t="str">
        <f>IFERROR(__xludf.DUMMYFUNCTION("GOOGLETRANSLATE(B104,""DE"",""EN"")"),"approached")</f>
        <v>approached</v>
      </c>
      <c r="H104" s="8" t="str">
        <f>IFERROR(__xludf.DUMMYFUNCTION("GOOGLETRANSLATE(C104,""DE"",""EN"")"),"8th")</f>
        <v>8th</v>
      </c>
      <c r="I104" s="8" t="str">
        <f>IFERROR(__xludf.DUMMYFUNCTION("GOOGLETRANSLATE(D104,""DE"",""EN"")"),"8th")</f>
        <v>8th</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W104" s="2"/>
      <c r="CX104" s="2"/>
      <c r="CY104" s="2"/>
      <c r="CZ104" s="2"/>
      <c r="DA104" s="2"/>
      <c r="DB104" s="2"/>
      <c r="DC104" s="2"/>
      <c r="DD104" s="2"/>
      <c r="DG104" s="2"/>
    </row>
    <row r="105">
      <c r="A105" s="9"/>
      <c r="B105" s="5" t="s">
        <v>8</v>
      </c>
      <c r="C105" s="6">
        <v>1.0</v>
      </c>
      <c r="D105" s="6">
        <v>1.0</v>
      </c>
      <c r="E105" s="2"/>
      <c r="F105" s="10"/>
      <c r="G105" s="8" t="str">
        <f>IFERROR(__xludf.DUMMYFUNCTION("GOOGLETRANSLATE(B105,""DE"",""EN"")"),"Display defect")</f>
        <v>Display defect</v>
      </c>
      <c r="H105" s="8" t="str">
        <f>IFERROR(__xludf.DUMMYFUNCTION("GOOGLETRANSLATE(C105,""DE"",""EN"")"),"1")</f>
        <v>1</v>
      </c>
      <c r="I105" s="8" t="str">
        <f>IFERROR(__xludf.DUMMYFUNCTION("GOOGLETRANSLATE(D105,""DE"",""EN"")"),"1")</f>
        <v>1</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W105" s="2"/>
      <c r="CX105" s="2"/>
      <c r="CY105" s="2"/>
      <c r="CZ105" s="2"/>
      <c r="DA105" s="2"/>
      <c r="DB105" s="2"/>
      <c r="DC105" s="2"/>
      <c r="DD105" s="2"/>
      <c r="DG105" s="2"/>
    </row>
    <row r="106">
      <c r="A106" s="9"/>
      <c r="B106" s="5" t="s">
        <v>9</v>
      </c>
      <c r="C106" s="6">
        <v>2.0</v>
      </c>
      <c r="D106" s="6">
        <v>2.0</v>
      </c>
      <c r="E106" s="2"/>
      <c r="F106" s="10"/>
      <c r="G106" s="8" t="str">
        <f>IFERROR(__xludf.DUMMYFUNCTION("GOOGLETRANSLATE(B106,""DE"",""EN"")"),"Back program wrong")</f>
        <v>Back program wrong</v>
      </c>
      <c r="H106" s="8" t="str">
        <f>IFERROR(__xludf.DUMMYFUNCTION("GOOGLETRANSLATE(C106,""DE"",""EN"")"),"2")</f>
        <v>2</v>
      </c>
      <c r="I106" s="8" t="str">
        <f>IFERROR(__xludf.DUMMYFUNCTION("GOOGLETRANSLATE(D106,""DE"",""EN"")"),"2")</f>
        <v>2</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W106" s="2"/>
      <c r="CX106" s="2"/>
      <c r="CY106" s="2"/>
      <c r="CZ106" s="2"/>
      <c r="DA106" s="2"/>
      <c r="DB106" s="2"/>
      <c r="DC106" s="2"/>
      <c r="DD106" s="2"/>
      <c r="DG106" s="2"/>
    </row>
    <row r="107">
      <c r="A107" s="9"/>
      <c r="B107" s="5" t="s">
        <v>10</v>
      </c>
      <c r="C107" s="6">
        <v>12.0</v>
      </c>
      <c r="D107" s="6">
        <v>11.0</v>
      </c>
      <c r="E107" s="2"/>
      <c r="F107" s="10"/>
      <c r="G107" s="8" t="str">
        <f>IFERROR(__xludf.DUMMYFUNCTION("GOOGLETRANSLATE(B107,""DE"",""EN"")"),"Lighting defect")</f>
        <v>Lighting defect</v>
      </c>
      <c r="H107" s="8" t="str">
        <f>IFERROR(__xludf.DUMMYFUNCTION("GOOGLETRANSLATE(C107,""DE"",""EN"")"),"12")</f>
        <v>12</v>
      </c>
      <c r="I107" s="8" t="str">
        <f>IFERROR(__xludf.DUMMYFUNCTION("GOOGLETRANSLATE(D107,""DE"",""EN"")"),"11")</f>
        <v>11</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W107" s="2"/>
      <c r="CX107" s="2"/>
      <c r="CY107" s="2"/>
      <c r="CZ107" s="2"/>
      <c r="DA107" s="2"/>
      <c r="DB107" s="2"/>
      <c r="DC107" s="2"/>
      <c r="DD107" s="2"/>
      <c r="DG107" s="2"/>
    </row>
    <row r="108">
      <c r="A108" s="9"/>
      <c r="B108" s="5" t="s">
        <v>58</v>
      </c>
      <c r="C108" s="6">
        <v>1.0</v>
      </c>
      <c r="D108" s="6">
        <v>1.0</v>
      </c>
      <c r="E108" s="2"/>
      <c r="F108" s="10"/>
      <c r="G108" s="8" t="str">
        <f>IFERROR(__xludf.DUMMYFUNCTION("GOOGLETRANSLATE(B108,""DE"",""EN"")"),"Lighting times wrong")</f>
        <v>Lighting times wrong</v>
      </c>
      <c r="H108" s="8" t="str">
        <f>IFERROR(__xludf.DUMMYFUNCTION("GOOGLETRANSLATE(C108,""DE"",""EN"")"),"1")</f>
        <v>1</v>
      </c>
      <c r="I108" s="8" t="str">
        <f>IFERROR(__xludf.DUMMYFUNCTION("GOOGLETRANSLATE(D108,""DE"",""EN"")"),"1")</f>
        <v>1</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W108" s="2"/>
      <c r="CX108" s="2"/>
      <c r="CY108" s="2"/>
      <c r="CZ108" s="2"/>
      <c r="DA108" s="2"/>
      <c r="DB108" s="2"/>
      <c r="DC108" s="2"/>
      <c r="DD108" s="2"/>
      <c r="DG108" s="2"/>
    </row>
    <row r="109">
      <c r="A109" s="9"/>
      <c r="B109" s="5" t="s">
        <v>11</v>
      </c>
      <c r="C109" s="6">
        <v>7.0</v>
      </c>
      <c r="D109" s="6">
        <v>6.0</v>
      </c>
      <c r="E109" s="2"/>
      <c r="F109" s="10"/>
      <c r="G109" s="8" t="str">
        <f>IFERROR(__xludf.DUMMYFUNCTION("GOOGLETRANSLATE(B109,""DE"",""EN"")"),"Damage / break")</f>
        <v>Damage / break</v>
      </c>
      <c r="H109" s="8" t="str">
        <f>IFERROR(__xludf.DUMMYFUNCTION("GOOGLETRANSLATE(C109,""DE"",""EN"")"),"7")</f>
        <v>7</v>
      </c>
      <c r="I109" s="8" t="str">
        <f>IFERROR(__xludf.DUMMYFUNCTION("GOOGLETRANSLATE(D109,""DE"",""EN"")"),"6")</f>
        <v>6</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W109" s="2"/>
      <c r="CX109" s="2"/>
      <c r="CY109" s="2"/>
      <c r="CZ109" s="2"/>
      <c r="DA109" s="2"/>
      <c r="DB109" s="2"/>
      <c r="DC109" s="2"/>
      <c r="DD109" s="2"/>
      <c r="DG109" s="2"/>
    </row>
    <row r="110">
      <c r="A110" s="9"/>
      <c r="B110" s="5" t="s">
        <v>12</v>
      </c>
      <c r="C110" s="6">
        <v>277.0</v>
      </c>
      <c r="D110" s="6">
        <v>206.0</v>
      </c>
      <c r="E110" s="2"/>
      <c r="F110" s="10"/>
      <c r="G110" s="8" t="str">
        <f>IFERROR(__xludf.DUMMYFUNCTION("GOOGLETRANSLATE(B110,""DE"",""EN"")"),"Description in the BO")</f>
        <v>Description in the BO</v>
      </c>
      <c r="H110" s="8" t="str">
        <f>IFERROR(__xludf.DUMMYFUNCTION("GOOGLETRANSLATE(C110,""DE"",""EN"")"),"277")</f>
        <v>277</v>
      </c>
      <c r="I110" s="8" t="str">
        <f>IFERROR(__xludf.DUMMYFUNCTION("GOOGLETRANSLATE(D110,""DE"",""EN"")"),"206")</f>
        <v>206</v>
      </c>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W110" s="2"/>
      <c r="CX110" s="2"/>
      <c r="CY110" s="2"/>
      <c r="CZ110" s="2"/>
      <c r="DA110" s="2"/>
      <c r="DB110" s="2"/>
      <c r="DC110" s="2"/>
      <c r="DD110" s="2"/>
      <c r="DG110" s="2"/>
    </row>
    <row r="111">
      <c r="A111" s="9"/>
      <c r="B111" s="5" t="s">
        <v>80</v>
      </c>
      <c r="C111" s="6">
        <v>1.0</v>
      </c>
      <c r="D111" s="6">
        <v>1.0</v>
      </c>
      <c r="E111" s="2"/>
      <c r="F111" s="10"/>
      <c r="G111" s="8" t="str">
        <f>IFERROR(__xludf.DUMMYFUNCTION("GOOGLETRANSLATE(B111,""DE"",""EN"")"),"malfunction")</f>
        <v>malfunction</v>
      </c>
      <c r="H111" s="8" t="str">
        <f>IFERROR(__xludf.DUMMYFUNCTION("GOOGLETRANSLATE(C111,""DE"",""EN"")"),"1")</f>
        <v>1</v>
      </c>
      <c r="I111" s="8" t="str">
        <f>IFERROR(__xludf.DUMMYFUNCTION("GOOGLETRANSLATE(D111,""DE"",""EN"")"),"1")</f>
        <v>1</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W111" s="2"/>
      <c r="CX111" s="2"/>
      <c r="CY111" s="2"/>
      <c r="CZ111" s="2"/>
      <c r="DA111" s="2"/>
      <c r="DB111" s="2"/>
      <c r="DC111" s="2"/>
      <c r="DD111" s="2"/>
      <c r="DG111" s="2"/>
    </row>
    <row r="112">
      <c r="A112" s="9"/>
      <c r="B112" s="5" t="s">
        <v>16</v>
      </c>
      <c r="C112" s="6">
        <v>1.0</v>
      </c>
      <c r="D112" s="11"/>
      <c r="E112" s="2"/>
      <c r="F112" s="10"/>
      <c r="G112" s="8" t="str">
        <f>IFERROR(__xludf.DUMMYFUNCTION("GOOGLETRANSLATE(B112,""DE"",""EN"")"),"Moist ceiling plates")</f>
        <v>Moist ceiling plates</v>
      </c>
      <c r="H112" s="8" t="str">
        <f>IFERROR(__xludf.DUMMYFUNCTION("GOOGLETRANSLATE(C112,""DE"",""EN"")"),"1")</f>
        <v>1</v>
      </c>
      <c r="I112" s="8"/>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W112" s="2"/>
      <c r="CX112" s="2"/>
      <c r="CY112" s="2"/>
      <c r="CZ112" s="2"/>
      <c r="DA112" s="2"/>
      <c r="DB112" s="2"/>
      <c r="DC112" s="2"/>
      <c r="DD112" s="2"/>
      <c r="DG112" s="2"/>
    </row>
    <row r="113">
      <c r="A113" s="9"/>
      <c r="B113" s="5" t="s">
        <v>17</v>
      </c>
      <c r="C113" s="6">
        <v>2.0</v>
      </c>
      <c r="D113" s="6">
        <v>2.0</v>
      </c>
      <c r="E113" s="2"/>
      <c r="F113" s="10"/>
      <c r="G113" s="8" t="str">
        <f>IFERROR(__xludf.DUMMYFUNCTION("GOOGLETRANSLATE(B113,""DE"",""EN"")"),"Filiatry temperature above 25 ° C")</f>
        <v>Filiatry temperature above 25 ° C</v>
      </c>
      <c r="H113" s="8" t="str">
        <f>IFERROR(__xludf.DUMMYFUNCTION("GOOGLETRANSLATE(C113,""DE"",""EN"")"),"2")</f>
        <v>2</v>
      </c>
      <c r="I113" s="8" t="str">
        <f>IFERROR(__xludf.DUMMYFUNCTION("GOOGLETRANSLATE(D113,""DE"",""EN"")"),"2")</f>
        <v>2</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W113" s="2"/>
      <c r="CX113" s="2"/>
      <c r="CY113" s="2"/>
      <c r="CZ113" s="2"/>
      <c r="DA113" s="2"/>
      <c r="DB113" s="2"/>
      <c r="DC113" s="2"/>
      <c r="DD113" s="2"/>
      <c r="DG113" s="2"/>
    </row>
    <row r="114">
      <c r="A114" s="9"/>
      <c r="B114" s="5" t="s">
        <v>18</v>
      </c>
      <c r="C114" s="6">
        <v>1.0</v>
      </c>
      <c r="D114" s="6">
        <v>1.0</v>
      </c>
      <c r="E114" s="2"/>
      <c r="F114" s="10"/>
      <c r="G114" s="8" t="str">
        <f>IFERROR(__xludf.DUMMYFUNCTION("GOOGLETRANSLATE(B114,""DE"",""EN"")"),"Filiatry temperature below 18 ° C")</f>
        <v>Filiatry temperature below 18 ° C</v>
      </c>
      <c r="H114" s="8" t="str">
        <f>IFERROR(__xludf.DUMMYFUNCTION("GOOGLETRANSLATE(C114,""DE"",""EN"")"),"1")</f>
        <v>1</v>
      </c>
      <c r="I114" s="8" t="str">
        <f>IFERROR(__xludf.DUMMYFUNCTION("GOOGLETRANSLATE(D114,""DE"",""EN"")"),"1")</f>
        <v>1</v>
      </c>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W114" s="2"/>
      <c r="CX114" s="2"/>
      <c r="CY114" s="2"/>
      <c r="CZ114" s="2"/>
      <c r="DA114" s="2"/>
      <c r="DB114" s="2"/>
      <c r="DC114" s="2"/>
      <c r="DD114" s="2"/>
      <c r="DG114" s="2"/>
    </row>
    <row r="115">
      <c r="A115" s="9"/>
      <c r="B115" s="5" t="s">
        <v>19</v>
      </c>
      <c r="C115" s="6">
        <v>3.0</v>
      </c>
      <c r="D115" s="6">
        <v>2.0</v>
      </c>
      <c r="E115" s="2"/>
      <c r="F115" s="10"/>
      <c r="G115" s="8" t="str">
        <f>IFERROR(__xludf.DUMMYFUNCTION("GOOGLETRANSLATE(B115,""DE"",""EN"")"),"Tiles loose / broken")</f>
        <v>Tiles loose / broken</v>
      </c>
      <c r="H115" s="8" t="str">
        <f>IFERROR(__xludf.DUMMYFUNCTION("GOOGLETRANSLATE(C115,""DE"",""EN"")"),"3")</f>
        <v>3</v>
      </c>
      <c r="I115" s="8" t="str">
        <f>IFERROR(__xludf.DUMMYFUNCTION("GOOGLETRANSLATE(D115,""DE"",""EN"")"),"2")</f>
        <v>2</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W115" s="2"/>
      <c r="CX115" s="2"/>
      <c r="CY115" s="2"/>
      <c r="CZ115" s="2"/>
      <c r="DA115" s="2"/>
      <c r="DB115" s="2"/>
      <c r="DC115" s="2"/>
      <c r="DD115" s="2"/>
      <c r="DG115" s="2"/>
    </row>
    <row r="116">
      <c r="A116" s="9"/>
      <c r="B116" s="5" t="s">
        <v>20</v>
      </c>
      <c r="C116" s="6">
        <v>8.0</v>
      </c>
      <c r="D116" s="6">
        <v>8.0</v>
      </c>
      <c r="E116" s="2"/>
      <c r="F116" s="10"/>
      <c r="G116" s="8" t="str">
        <f>IFERROR(__xludf.DUMMYFUNCTION("GOOGLETRANSLATE(B116,""DE"",""EN"")"),"Doesn't work")</f>
        <v>Doesn't work</v>
      </c>
      <c r="H116" s="8" t="str">
        <f>IFERROR(__xludf.DUMMYFUNCTION("GOOGLETRANSLATE(C116,""DE"",""EN"")"),"8th")</f>
        <v>8th</v>
      </c>
      <c r="I116" s="8" t="str">
        <f>IFERROR(__xludf.DUMMYFUNCTION("GOOGLETRANSLATE(D116,""DE"",""EN"")"),"8th")</f>
        <v>8th</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W116" s="2"/>
      <c r="CX116" s="2"/>
      <c r="CY116" s="2"/>
      <c r="CZ116" s="2"/>
      <c r="DA116" s="2"/>
      <c r="DB116" s="2"/>
      <c r="DC116" s="2"/>
      <c r="DD116" s="2"/>
      <c r="DG116" s="2"/>
    </row>
    <row r="117">
      <c r="A117" s="9"/>
      <c r="B117" s="5" t="s">
        <v>22</v>
      </c>
      <c r="C117" s="6">
        <v>1.0</v>
      </c>
      <c r="D117" s="6">
        <v>1.0</v>
      </c>
      <c r="E117" s="2"/>
      <c r="F117" s="10"/>
      <c r="G117" s="8" t="str">
        <f>IFERROR(__xludf.DUMMYFUNCTION("GOOGLETRANSLATE(B117,""DE"",""EN"")"),"Glass/plexiglass defective")</f>
        <v>Glass/plexiglass defective</v>
      </c>
      <c r="H117" s="8" t="str">
        <f>IFERROR(__xludf.DUMMYFUNCTION("GOOGLETRANSLATE(C117,""DE"",""EN"")"),"1")</f>
        <v>1</v>
      </c>
      <c r="I117" s="8" t="str">
        <f>IFERROR(__xludf.DUMMYFUNCTION("GOOGLETRANSLATE(D117,""DE"",""EN"")"),"1")</f>
        <v>1</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W117" s="2"/>
      <c r="CX117" s="2"/>
      <c r="CY117" s="2"/>
      <c r="CZ117" s="2"/>
      <c r="DA117" s="2"/>
      <c r="DB117" s="2"/>
      <c r="DC117" s="2"/>
      <c r="DD117" s="2"/>
      <c r="DG117" s="2"/>
    </row>
    <row r="118">
      <c r="A118" s="9"/>
      <c r="B118" s="5" t="s">
        <v>23</v>
      </c>
      <c r="C118" s="6">
        <v>2.0</v>
      </c>
      <c r="D118" s="6">
        <v>2.0</v>
      </c>
      <c r="E118" s="2"/>
      <c r="F118" s="10"/>
      <c r="G118" s="8" t="str">
        <f>IFERROR(__xludf.DUMMYFUNCTION("GOOGLETRANSLATE(B118,""DE"",""EN"")"),"Glass lid defective")</f>
        <v>Glass lid defective</v>
      </c>
      <c r="H118" s="8" t="str">
        <f>IFERROR(__xludf.DUMMYFUNCTION("GOOGLETRANSLATE(C118,""DE"",""EN"")"),"2")</f>
        <v>2</v>
      </c>
      <c r="I118" s="8" t="str">
        <f>IFERROR(__xludf.DUMMYFUNCTION("GOOGLETRANSLATE(D118,""DE"",""EN"")"),"2")</f>
        <v>2</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W118" s="2"/>
      <c r="CX118" s="2"/>
      <c r="CY118" s="2"/>
      <c r="CZ118" s="2"/>
      <c r="DA118" s="2"/>
      <c r="DB118" s="2"/>
      <c r="DC118" s="2"/>
      <c r="DD118" s="2"/>
      <c r="DG118" s="2"/>
    </row>
    <row r="119">
      <c r="A119" s="9"/>
      <c r="B119" s="5" t="s">
        <v>24</v>
      </c>
      <c r="C119" s="6">
        <v>2.0</v>
      </c>
      <c r="D119" s="6">
        <v>2.0</v>
      </c>
      <c r="E119" s="2"/>
      <c r="F119" s="10"/>
      <c r="G119" s="8" t="str">
        <f>IFERROR(__xludf.DUMMYFUNCTION("GOOGLETRANSLATE(B119,""DE"",""EN"")"),"Handle defective")</f>
        <v>Handle defective</v>
      </c>
      <c r="H119" s="8" t="str">
        <f>IFERROR(__xludf.DUMMYFUNCTION("GOOGLETRANSLATE(C119,""DE"",""EN"")"),"2")</f>
        <v>2</v>
      </c>
      <c r="I119" s="8" t="str">
        <f>IFERROR(__xludf.DUMMYFUNCTION("GOOGLETRANSLATE(D119,""DE"",""EN"")"),"2")</f>
        <v>2</v>
      </c>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W119" s="2"/>
      <c r="CX119" s="2"/>
      <c r="CY119" s="2"/>
      <c r="CZ119" s="2"/>
      <c r="DA119" s="2"/>
      <c r="DB119" s="2"/>
      <c r="DC119" s="2"/>
      <c r="DD119" s="2"/>
      <c r="DG119" s="2"/>
    </row>
    <row r="120">
      <c r="A120" s="9"/>
      <c r="B120" s="5" t="s">
        <v>81</v>
      </c>
      <c r="C120" s="6">
        <v>2.0</v>
      </c>
      <c r="D120" s="6">
        <v>2.0</v>
      </c>
      <c r="E120" s="2"/>
      <c r="F120" s="10"/>
      <c r="G120" s="8" t="str">
        <f>IFERROR(__xludf.DUMMYFUNCTION("GOOGLETRANSLATE(B120,""DE"",""EN"")"),"Rubber seal damaged")</f>
        <v>Rubber seal damaged</v>
      </c>
      <c r="H120" s="8" t="str">
        <f>IFERROR(__xludf.DUMMYFUNCTION("GOOGLETRANSLATE(C120,""DE"",""EN"")"),"2")</f>
        <v>2</v>
      </c>
      <c r="I120" s="8" t="str">
        <f>IFERROR(__xludf.DUMMYFUNCTION("GOOGLETRANSLATE(D120,""DE"",""EN"")"),"2")</f>
        <v>2</v>
      </c>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W120" s="2"/>
      <c r="CX120" s="2"/>
      <c r="CY120" s="2"/>
      <c r="CZ120" s="2"/>
      <c r="DA120" s="2"/>
      <c r="DB120" s="2"/>
      <c r="DC120" s="2"/>
      <c r="DD120" s="2"/>
      <c r="DG120" s="2"/>
    </row>
    <row r="121">
      <c r="A121" s="9"/>
      <c r="B121" s="5" t="s">
        <v>82</v>
      </c>
      <c r="C121" s="6">
        <v>2.0</v>
      </c>
      <c r="D121" s="11"/>
      <c r="E121" s="2"/>
      <c r="F121" s="10"/>
      <c r="G121" s="8" t="str">
        <f>IFERROR(__xludf.DUMMYFUNCTION("GOOGLETRANSLATE(B121,""DE"",""EN"")"),"Lever broken")</f>
        <v>Lever broken</v>
      </c>
      <c r="H121" s="8" t="str">
        <f>IFERROR(__xludf.DUMMYFUNCTION("GOOGLETRANSLATE(C121,""DE"",""EN"")"),"2")</f>
        <v>2</v>
      </c>
      <c r="I121" s="8"/>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W121" s="2"/>
      <c r="CX121" s="2"/>
      <c r="CY121" s="2"/>
      <c r="CZ121" s="2"/>
      <c r="DA121" s="2"/>
      <c r="DB121" s="2"/>
      <c r="DC121" s="2"/>
      <c r="DD121" s="2"/>
      <c r="DG121" s="2"/>
    </row>
    <row r="122">
      <c r="A122" s="9"/>
      <c r="B122" s="5" t="s">
        <v>25</v>
      </c>
      <c r="C122" s="6">
        <v>2.0</v>
      </c>
      <c r="D122" s="6">
        <v>2.0</v>
      </c>
      <c r="E122" s="2"/>
      <c r="F122" s="10"/>
      <c r="G122" s="8" t="str">
        <f>IFERROR(__xludf.DUMMYFUNCTION("GOOGLETRANSLATE(B122,""DE"",""EN"")"),"Cash tape defective")</f>
        <v>Cash tape defective</v>
      </c>
      <c r="H122" s="8" t="str">
        <f>IFERROR(__xludf.DUMMYFUNCTION("GOOGLETRANSLATE(C122,""DE"",""EN"")"),"2")</f>
        <v>2</v>
      </c>
      <c r="I122" s="8" t="str">
        <f>IFERROR(__xludf.DUMMYFUNCTION("GOOGLETRANSLATE(D122,""DE"",""EN"")"),"2")</f>
        <v>2</v>
      </c>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W122" s="2"/>
      <c r="CX122" s="2"/>
      <c r="CY122" s="2"/>
      <c r="CZ122" s="2"/>
      <c r="DA122" s="2"/>
      <c r="DB122" s="2"/>
      <c r="DC122" s="2"/>
      <c r="DD122" s="2"/>
      <c r="DG122" s="2"/>
    </row>
    <row r="123">
      <c r="A123" s="9"/>
      <c r="B123" s="5" t="s">
        <v>83</v>
      </c>
      <c r="C123" s="6">
        <v>1.0</v>
      </c>
      <c r="D123" s="6">
        <v>1.0</v>
      </c>
      <c r="E123" s="2"/>
      <c r="F123" s="10"/>
      <c r="G123" s="8" t="str">
        <f>IFERROR(__xludf.DUMMYFUNCTION("GOOGLETRANSLATE(B123,""DE"",""EN"")"),"Cash bell defective")</f>
        <v>Cash bell defective</v>
      </c>
      <c r="H123" s="8" t="str">
        <f>IFERROR(__xludf.DUMMYFUNCTION("GOOGLETRANSLATE(C123,""DE"",""EN"")"),"1")</f>
        <v>1</v>
      </c>
      <c r="I123" s="8" t="str">
        <f>IFERROR(__xludf.DUMMYFUNCTION("GOOGLETRANSLATE(D123,""DE"",""EN"")"),"1")</f>
        <v>1</v>
      </c>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W123" s="2"/>
      <c r="CX123" s="2"/>
      <c r="CY123" s="2"/>
      <c r="CZ123" s="2"/>
      <c r="DA123" s="2"/>
      <c r="DB123" s="2"/>
      <c r="DC123" s="2"/>
      <c r="DD123" s="2"/>
      <c r="DG123" s="2"/>
    </row>
    <row r="124">
      <c r="A124" s="9"/>
      <c r="B124" s="5" t="s">
        <v>26</v>
      </c>
      <c r="C124" s="6">
        <v>2.0</v>
      </c>
      <c r="D124" s="6">
        <v>2.0</v>
      </c>
      <c r="E124" s="2"/>
      <c r="F124" s="10"/>
      <c r="G124" s="8" t="str">
        <f>IFERROR(__xludf.DUMMYFUNCTION("GOOGLETRANSLATE(B124,""DE"",""EN"")"),"Small animal infestation")</f>
        <v>Small animal infestation</v>
      </c>
      <c r="H124" s="8" t="str">
        <f>IFERROR(__xludf.DUMMYFUNCTION("GOOGLETRANSLATE(C124,""DE"",""EN"")"),"2")</f>
        <v>2</v>
      </c>
      <c r="I124" s="8" t="str">
        <f>IFERROR(__xludf.DUMMYFUNCTION("GOOGLETRANSLATE(D124,""DE"",""EN"")"),"2")</f>
        <v>2</v>
      </c>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W124" s="2"/>
      <c r="CX124" s="2"/>
      <c r="CY124" s="2"/>
      <c r="CZ124" s="2"/>
      <c r="DA124" s="2"/>
      <c r="DB124" s="2"/>
      <c r="DC124" s="2"/>
      <c r="DD124" s="2"/>
      <c r="DG124" s="2"/>
    </row>
    <row r="125">
      <c r="A125" s="9"/>
      <c r="B125" s="5" t="s">
        <v>27</v>
      </c>
      <c r="C125" s="6">
        <v>1.0</v>
      </c>
      <c r="D125" s="11"/>
      <c r="E125" s="2"/>
      <c r="F125" s="10"/>
      <c r="G125" s="8" t="str">
        <f>IFERROR(__xludf.DUMMYFUNCTION("GOOGLETRANSLATE(B125,""DE"",""EN"")"),"Continuous alarm")</f>
        <v>Continuous alarm</v>
      </c>
      <c r="H125" s="8" t="str">
        <f>IFERROR(__xludf.DUMMYFUNCTION("GOOGLETRANSLATE(C125,""DE"",""EN"")"),"1")</f>
        <v>1</v>
      </c>
      <c r="I125" s="8"/>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W125" s="2"/>
      <c r="CX125" s="2"/>
      <c r="CY125" s="2"/>
      <c r="CZ125" s="2"/>
      <c r="DA125" s="2"/>
      <c r="DB125" s="2"/>
      <c r="DC125" s="2"/>
      <c r="DD125" s="2"/>
      <c r="DG125" s="2"/>
    </row>
    <row r="126">
      <c r="A126" s="9"/>
      <c r="B126" s="5" t="s">
        <v>28</v>
      </c>
      <c r="C126" s="6">
        <v>12.0</v>
      </c>
      <c r="D126" s="6">
        <v>4.0</v>
      </c>
      <c r="E126" s="2"/>
      <c r="F126" s="10"/>
      <c r="G126" s="8" t="str">
        <f>IFERROR(__xludf.DUMMYFUNCTION("GOOGLETRANSLATE(B126,""DE"",""EN"")"),"Cooling alarm")</f>
        <v>Cooling alarm</v>
      </c>
      <c r="H126" s="8" t="str">
        <f>IFERROR(__xludf.DUMMYFUNCTION("GOOGLETRANSLATE(C126,""DE"",""EN"")"),"12")</f>
        <v>12</v>
      </c>
      <c r="I126" s="8" t="str">
        <f>IFERROR(__xludf.DUMMYFUNCTION("GOOGLETRANSLATE(D126,""DE"",""EN"")"),"4")</f>
        <v>4</v>
      </c>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W126" s="2"/>
      <c r="CX126" s="2"/>
      <c r="CY126" s="2"/>
      <c r="CZ126" s="2"/>
      <c r="DA126" s="2"/>
      <c r="DB126" s="2"/>
      <c r="DC126" s="2"/>
      <c r="DD126" s="2"/>
      <c r="DG126" s="2"/>
    </row>
    <row r="127">
      <c r="A127" s="9"/>
      <c r="B127" s="5" t="s">
        <v>84</v>
      </c>
      <c r="C127" s="6">
        <v>1.0</v>
      </c>
      <c r="D127" s="6">
        <v>1.0</v>
      </c>
      <c r="E127" s="2"/>
      <c r="F127" s="10"/>
      <c r="G127" s="8" t="str">
        <f>IFERROR(__xludf.DUMMYFUNCTION("GOOGLETRANSLATE(B127,""DE"",""EN"")"),"Label is missing/defective")</f>
        <v>Label is missing/defective</v>
      </c>
      <c r="H127" s="8" t="str">
        <f>IFERROR(__xludf.DUMMYFUNCTION("GOOGLETRANSLATE(C127,""DE"",""EN"")"),"1")</f>
        <v>1</v>
      </c>
      <c r="I127" s="8" t="str">
        <f>IFERROR(__xludf.DUMMYFUNCTION("GOOGLETRANSLATE(D127,""DE"",""EN"")"),"1")</f>
        <v>1</v>
      </c>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W127" s="2"/>
      <c r="CX127" s="2"/>
      <c r="CY127" s="2"/>
      <c r="CZ127" s="2"/>
      <c r="DA127" s="2"/>
      <c r="DB127" s="2"/>
      <c r="DC127" s="2"/>
      <c r="DD127" s="2"/>
      <c r="DG127" s="2"/>
    </row>
    <row r="128">
      <c r="A128" s="9"/>
      <c r="B128" s="5" t="s">
        <v>85</v>
      </c>
      <c r="C128" s="6">
        <v>1.0</v>
      </c>
      <c r="D128" s="6">
        <v>1.0</v>
      </c>
      <c r="E128" s="2"/>
      <c r="F128" s="10"/>
      <c r="G128" s="8" t="str">
        <f>IFERROR(__xludf.DUMMYFUNCTION("GOOGLETRANSLATE(B128,""DE"",""EN"")"),"Loose loading flap")</f>
        <v>Loose loading flap</v>
      </c>
      <c r="H128" s="8" t="str">
        <f>IFERROR(__xludf.DUMMYFUNCTION("GOOGLETRANSLATE(C128,""DE"",""EN"")"),"1")</f>
        <v>1</v>
      </c>
      <c r="I128" s="8" t="str">
        <f>IFERROR(__xludf.DUMMYFUNCTION("GOOGLETRANSLATE(D128,""DE"",""EN"")"),"1")</f>
        <v>1</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W128" s="2"/>
      <c r="CX128" s="2"/>
      <c r="CY128" s="2"/>
      <c r="CZ128" s="2"/>
      <c r="DA128" s="2"/>
      <c r="DB128" s="2"/>
      <c r="DC128" s="2"/>
      <c r="DD128" s="2"/>
      <c r="DG128" s="2"/>
    </row>
    <row r="129">
      <c r="A129" s="9"/>
      <c r="B129" s="5" t="s">
        <v>29</v>
      </c>
      <c r="C129" s="6">
        <v>3.0</v>
      </c>
      <c r="D129" s="6">
        <v>3.0</v>
      </c>
      <c r="E129" s="2"/>
      <c r="F129" s="10"/>
      <c r="G129" s="8" t="str">
        <f>IFERROR(__xludf.DUMMYFUNCTION("GOOGLETRANSLATE(B129,""DE"",""EN"")"),"Shop construction (42500097)")</f>
        <v>Shop construction (42500097)</v>
      </c>
      <c r="H129" s="8" t="str">
        <f>IFERROR(__xludf.DUMMYFUNCTION("GOOGLETRANSLATE(C129,""DE"",""EN"")"),"3")</f>
        <v>3</v>
      </c>
      <c r="I129" s="8" t="str">
        <f>IFERROR(__xludf.DUMMYFUNCTION("GOOGLETRANSLATE(D129,""DE"",""EN"")"),"3")</f>
        <v>3</v>
      </c>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W129" s="2"/>
      <c r="CX129" s="2"/>
      <c r="CY129" s="2"/>
      <c r="CZ129" s="2"/>
      <c r="DA129" s="2"/>
      <c r="DB129" s="2"/>
      <c r="DC129" s="2"/>
      <c r="DD129" s="2"/>
      <c r="DG129" s="2"/>
    </row>
    <row r="130">
      <c r="A130" s="9"/>
      <c r="B130" s="5" t="s">
        <v>30</v>
      </c>
      <c r="C130" s="6">
        <v>2.0</v>
      </c>
      <c r="D130" s="6">
        <v>2.0</v>
      </c>
      <c r="E130" s="2"/>
      <c r="F130" s="10"/>
      <c r="G130" s="8" t="str">
        <f>IFERROR(__xludf.DUMMYFUNCTION("GOOGLETRANSLATE(B130,""DE"",""EN"")"),"Lamps failed")</f>
        <v>Lamps failed</v>
      </c>
      <c r="H130" s="8" t="str">
        <f>IFERROR(__xludf.DUMMYFUNCTION("GOOGLETRANSLATE(C130,""DE"",""EN"")"),"2")</f>
        <v>2</v>
      </c>
      <c r="I130" s="8" t="str">
        <f>IFERROR(__xludf.DUMMYFUNCTION("GOOGLETRANSLATE(D130,""DE"",""EN"")"),"2")</f>
        <v>2</v>
      </c>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W130" s="2"/>
      <c r="CX130" s="2"/>
      <c r="CY130" s="2"/>
      <c r="CZ130" s="2"/>
      <c r="DA130" s="2"/>
      <c r="DB130" s="2"/>
      <c r="DC130" s="2"/>
      <c r="DD130" s="2"/>
      <c r="DG130" s="2"/>
    </row>
    <row r="131">
      <c r="A131" s="9"/>
      <c r="B131" s="5" t="s">
        <v>31</v>
      </c>
      <c r="C131" s="6">
        <v>1.0</v>
      </c>
      <c r="D131" s="6">
        <v>1.0</v>
      </c>
      <c r="E131" s="2"/>
      <c r="F131" s="10"/>
      <c r="G131" s="8" t="str">
        <f>IFERROR(__xludf.DUMMYFUNCTION("GOOGLETRANSLATE(B131,""DE"",""EN"")"),"Fuel tube defective")</f>
        <v>Fuel tube defective</v>
      </c>
      <c r="H131" s="8" t="str">
        <f>IFERROR(__xludf.DUMMYFUNCTION("GOOGLETRANSLATE(C131,""DE"",""EN"")"),"1")</f>
        <v>1</v>
      </c>
      <c r="I131" s="8" t="str">
        <f>IFERROR(__xludf.DUMMYFUNCTION("GOOGLETRANSLATE(D131,""DE"",""EN"")"),"1")</f>
        <v>1</v>
      </c>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W131" s="2"/>
      <c r="CX131" s="2"/>
      <c r="CY131" s="2"/>
      <c r="CZ131" s="2"/>
      <c r="DA131" s="2"/>
      <c r="DB131" s="2"/>
      <c r="DC131" s="2"/>
      <c r="DD131" s="2"/>
      <c r="DG131" s="2"/>
    </row>
    <row r="132">
      <c r="A132" s="9"/>
      <c r="B132" s="5" t="s">
        <v>33</v>
      </c>
      <c r="C132" s="6">
        <v>2.0</v>
      </c>
      <c r="D132" s="6">
        <v>1.0</v>
      </c>
      <c r="E132" s="2"/>
      <c r="F132" s="10"/>
      <c r="G132" s="8" t="str">
        <f>IFERROR(__xludf.DUMMYFUNCTION("GOOGLETRANSLATE(B132,""DE"",""EN"")"),"Painting requirement")</f>
        <v>Painting requirement</v>
      </c>
      <c r="H132" s="8" t="str">
        <f>IFERROR(__xludf.DUMMYFUNCTION("GOOGLETRANSLATE(C132,""DE"",""EN"")"),"2")</f>
        <v>2</v>
      </c>
      <c r="I132" s="8" t="str">
        <f>IFERROR(__xludf.DUMMYFUNCTION("GOOGLETRANSLATE(D132,""DE"",""EN"")"),"1")</f>
        <v>1</v>
      </c>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W132" s="2"/>
      <c r="CX132" s="2"/>
      <c r="CY132" s="2"/>
      <c r="CZ132" s="2"/>
      <c r="DA132" s="2"/>
      <c r="DB132" s="2"/>
      <c r="DC132" s="2"/>
      <c r="DD132" s="2"/>
      <c r="DG132" s="2"/>
    </row>
    <row r="133">
      <c r="A133" s="9"/>
      <c r="B133" s="5" t="s">
        <v>35</v>
      </c>
      <c r="C133" s="6">
        <v>18.0</v>
      </c>
      <c r="D133" s="6">
        <v>18.0</v>
      </c>
      <c r="E133" s="2"/>
      <c r="F133" s="10"/>
      <c r="G133" s="8" t="str">
        <f>IFERROR(__xludf.DUMMYFUNCTION("GOOGLETRANSLATE(B133,""DE"",""EN"")"),"Opening/closure defective")</f>
        <v>Opening/closure defective</v>
      </c>
      <c r="H133" s="8" t="str">
        <f>IFERROR(__xludf.DUMMYFUNCTION("GOOGLETRANSLATE(C133,""DE"",""EN"")"),"18")</f>
        <v>18</v>
      </c>
      <c r="I133" s="8" t="str">
        <f>IFERROR(__xludf.DUMMYFUNCTION("GOOGLETRANSLATE(D133,""DE"",""EN"")"),"18")</f>
        <v>18</v>
      </c>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W133" s="2"/>
      <c r="CX133" s="2"/>
      <c r="CY133" s="2"/>
      <c r="CZ133" s="2"/>
      <c r="DA133" s="2"/>
      <c r="DB133" s="2"/>
      <c r="DC133" s="2"/>
      <c r="DD133" s="2"/>
      <c r="DG133" s="2"/>
    </row>
    <row r="134">
      <c r="A134" s="9"/>
      <c r="B134" s="5" t="s">
        <v>36</v>
      </c>
      <c r="C134" s="6">
        <v>1.0</v>
      </c>
      <c r="D134" s="6">
        <v>1.0</v>
      </c>
      <c r="E134" s="2"/>
      <c r="F134" s="10"/>
      <c r="G134" s="8" t="str">
        <f>IFERROR(__xludf.DUMMYFUNCTION("GOOGLETRANSLATE(B134,""DE"",""EN"")"),"Perso wardrobe defective")</f>
        <v>Perso wardrobe defective</v>
      </c>
      <c r="H134" s="8" t="str">
        <f>IFERROR(__xludf.DUMMYFUNCTION("GOOGLETRANSLATE(C134,""DE"",""EN"")"),"1")</f>
        <v>1</v>
      </c>
      <c r="I134" s="8" t="str">
        <f>IFERROR(__xludf.DUMMYFUNCTION("GOOGLETRANSLATE(D134,""DE"",""EN"")"),"1")</f>
        <v>1</v>
      </c>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W134" s="2"/>
      <c r="CX134" s="2"/>
      <c r="CY134" s="2"/>
      <c r="CZ134" s="2"/>
      <c r="DA134" s="2"/>
      <c r="DB134" s="2"/>
      <c r="DC134" s="2"/>
      <c r="DD134" s="2"/>
      <c r="DG134" s="2"/>
    </row>
    <row r="135">
      <c r="A135" s="9"/>
      <c r="B135" s="5" t="s">
        <v>37</v>
      </c>
      <c r="C135" s="6">
        <v>4.0</v>
      </c>
      <c r="D135" s="2"/>
      <c r="E135" s="2"/>
      <c r="F135" s="10"/>
      <c r="G135" s="8" t="str">
        <f>IFERROR(__xludf.DUMMYFUNCTION("GOOGLETRANSLATE(B135,""DE"",""EN"")"),"Priority 1")</f>
        <v>Priority 1</v>
      </c>
      <c r="H135" s="8" t="str">
        <f>IFERROR(__xludf.DUMMYFUNCTION("GOOGLETRANSLATE(C135,""DE"",""EN"")"),"4")</f>
        <v>4</v>
      </c>
      <c r="I135" s="8"/>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W135" s="2"/>
      <c r="CX135" s="2"/>
      <c r="CY135" s="2"/>
      <c r="CZ135" s="2"/>
      <c r="DA135" s="2"/>
      <c r="DB135" s="2"/>
      <c r="DC135" s="2"/>
      <c r="DD135" s="2"/>
      <c r="DG135" s="2"/>
    </row>
    <row r="136">
      <c r="A136" s="9"/>
      <c r="B136" s="5" t="s">
        <v>71</v>
      </c>
      <c r="C136" s="6">
        <v>1.0</v>
      </c>
      <c r="D136" s="11"/>
      <c r="E136" s="2"/>
      <c r="F136" s="10"/>
      <c r="G136" s="8" t="str">
        <f>IFERROR(__xludf.DUMMYFUNCTION("GOOGLETRANSLATE(B136,""DE"",""EN"")"),"Priority 3")</f>
        <v>Priority 3</v>
      </c>
      <c r="H136" s="8" t="str">
        <f>IFERROR(__xludf.DUMMYFUNCTION("GOOGLETRANSLATE(C136,""DE"",""EN"")"),"1")</f>
        <v>1</v>
      </c>
      <c r="I136" s="8"/>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W136" s="2"/>
      <c r="CX136" s="2"/>
      <c r="CY136" s="2"/>
      <c r="CZ136" s="2"/>
      <c r="DA136" s="2"/>
      <c r="DB136" s="2"/>
      <c r="DC136" s="2"/>
      <c r="DD136" s="2"/>
      <c r="DG136" s="2"/>
    </row>
    <row r="137">
      <c r="A137" s="9"/>
      <c r="B137" s="5" t="s">
        <v>86</v>
      </c>
      <c r="C137" s="6">
        <v>1.0</v>
      </c>
      <c r="D137" s="11"/>
      <c r="E137" s="2"/>
      <c r="F137" s="10"/>
      <c r="G137" s="8" t="str">
        <f>IFERROR(__xludf.DUMMYFUNCTION("GOOGLETRANSLATE(B137,""DE"",""EN"")"),"Problem with wire")</f>
        <v>Problem with wire</v>
      </c>
      <c r="H137" s="8" t="str">
        <f>IFERROR(__xludf.DUMMYFUNCTION("GOOGLETRANSLATE(C137,""DE"",""EN"")"),"1")</f>
        <v>1</v>
      </c>
      <c r="I137" s="8"/>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W137" s="2"/>
      <c r="CX137" s="2"/>
      <c r="CY137" s="2"/>
      <c r="CZ137" s="2"/>
      <c r="DA137" s="2"/>
      <c r="DB137" s="2"/>
      <c r="DC137" s="2"/>
      <c r="DD137" s="2"/>
      <c r="DG137" s="2"/>
    </row>
    <row r="138">
      <c r="A138" s="9"/>
      <c r="B138" s="5" t="s">
        <v>38</v>
      </c>
      <c r="C138" s="6">
        <v>75.0</v>
      </c>
      <c r="D138" s="6">
        <v>52.0</v>
      </c>
      <c r="E138" s="2"/>
      <c r="F138" s="10"/>
      <c r="G138" s="8" t="str">
        <f>IFERROR(__xludf.DUMMYFUNCTION("GOOGLETRANSLATE(B138,""DE"",""EN"")"),"Cleaning outdoor area (42530002)")</f>
        <v>Cleaning outdoor area (42530002)</v>
      </c>
      <c r="H138" s="8" t="str">
        <f>IFERROR(__xludf.DUMMYFUNCTION("GOOGLETRANSLATE(C138,""DE"",""EN"")"),"75")</f>
        <v>75</v>
      </c>
      <c r="I138" s="8" t="str">
        <f>IFERROR(__xludf.DUMMYFUNCTION("GOOGLETRANSLATE(D138,""DE"",""EN"")"),"52")</f>
        <v>52</v>
      </c>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W138" s="2"/>
      <c r="CX138" s="2"/>
      <c r="CY138" s="2"/>
      <c r="CZ138" s="2"/>
      <c r="DA138" s="2"/>
      <c r="DB138" s="2"/>
      <c r="DC138" s="2"/>
      <c r="DD138" s="2"/>
      <c r="DG138" s="2"/>
    </row>
    <row r="139">
      <c r="A139" s="9"/>
      <c r="B139" s="5" t="s">
        <v>73</v>
      </c>
      <c r="C139" s="6">
        <v>1.0</v>
      </c>
      <c r="D139" s="6">
        <v>1.0</v>
      </c>
      <c r="E139" s="2"/>
      <c r="F139" s="10"/>
      <c r="G139" s="8" t="str">
        <f>IFERROR(__xludf.DUMMYFUNCTION("GOOGLETRANSLATE(B139,""DE"",""EN"")"),"Cleaning other (42160099)")</f>
        <v>Cleaning other (42160099)</v>
      </c>
      <c r="H139" s="8" t="str">
        <f>IFERROR(__xludf.DUMMYFUNCTION("GOOGLETRANSLATE(C139,""DE"",""EN"")"),"1")</f>
        <v>1</v>
      </c>
      <c r="I139" s="8" t="str">
        <f>IFERROR(__xludf.DUMMYFUNCTION("GOOGLETRANSLATE(D139,""DE"",""EN"")"),"1")</f>
        <v>1</v>
      </c>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W139" s="2"/>
      <c r="CX139" s="2"/>
      <c r="CY139" s="2"/>
      <c r="CZ139" s="2"/>
      <c r="DA139" s="2"/>
      <c r="DB139" s="2"/>
      <c r="DC139" s="2"/>
      <c r="DD139" s="2"/>
      <c r="DG139" s="2"/>
    </row>
    <row r="140">
      <c r="A140" s="9"/>
      <c r="B140" s="5" t="s">
        <v>87</v>
      </c>
      <c r="C140" s="6">
        <v>1.0</v>
      </c>
      <c r="D140" s="6">
        <v>1.0</v>
      </c>
      <c r="E140" s="2"/>
      <c r="F140" s="10"/>
      <c r="G140" s="8" t="str">
        <f>IFERROR(__xludf.DUMMYFUNCTION("GOOGLETRANSLATE(B140,""DE"",""EN"")"),"Rail damaged")</f>
        <v>Rail damaged</v>
      </c>
      <c r="H140" s="8" t="str">
        <f>IFERROR(__xludf.DUMMYFUNCTION("GOOGLETRANSLATE(C140,""DE"",""EN"")"),"1")</f>
        <v>1</v>
      </c>
      <c r="I140" s="8" t="str">
        <f>IFERROR(__xludf.DUMMYFUNCTION("GOOGLETRANSLATE(D140,""DE"",""EN"")"),"1")</f>
        <v>1</v>
      </c>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W140" s="2"/>
      <c r="CX140" s="2"/>
      <c r="CY140" s="2"/>
      <c r="CZ140" s="2"/>
      <c r="DA140" s="2"/>
      <c r="DB140" s="2"/>
      <c r="DC140" s="2"/>
      <c r="DD140" s="2"/>
      <c r="DG140" s="2"/>
    </row>
    <row r="141">
      <c r="A141" s="9"/>
      <c r="B141" s="5" t="s">
        <v>40</v>
      </c>
      <c r="C141" s="6">
        <v>1.0</v>
      </c>
      <c r="D141" s="6">
        <v>1.0</v>
      </c>
      <c r="E141" s="2"/>
      <c r="F141" s="10"/>
      <c r="G141" s="8" t="str">
        <f>IFERROR(__xludf.DUMMYFUNCTION("GOOGLETRANSLATE(B141,""DE"",""EN"")"),"Castle defect")</f>
        <v>Castle defect</v>
      </c>
      <c r="H141" s="8" t="str">
        <f>IFERROR(__xludf.DUMMYFUNCTION("GOOGLETRANSLATE(C141,""DE"",""EN"")"),"1")</f>
        <v>1</v>
      </c>
      <c r="I141" s="8" t="str">
        <f>IFERROR(__xludf.DUMMYFUNCTION("GOOGLETRANSLATE(D141,""DE"",""EN"")"),"1")</f>
        <v>1</v>
      </c>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W141" s="2"/>
      <c r="CX141" s="2"/>
      <c r="CY141" s="2"/>
      <c r="CZ141" s="2"/>
      <c r="DA141" s="2"/>
      <c r="DB141" s="2"/>
      <c r="DC141" s="2"/>
      <c r="DD141" s="2"/>
      <c r="DG141" s="2"/>
    </row>
    <row r="142">
      <c r="A142" s="9"/>
      <c r="B142" s="5" t="s">
        <v>45</v>
      </c>
      <c r="C142" s="6">
        <v>4.0</v>
      </c>
      <c r="D142" s="6">
        <v>4.0</v>
      </c>
      <c r="E142" s="2"/>
      <c r="F142" s="10"/>
      <c r="G142" s="8" t="str">
        <f>IFERROR(__xludf.DUMMYFUNCTION("GOOGLETRANSLATE(B142,""DE"",""EN"")"),"Temperature problem")</f>
        <v>Temperature problem</v>
      </c>
      <c r="H142" s="8" t="str">
        <f>IFERROR(__xludf.DUMMYFUNCTION("GOOGLETRANSLATE(C142,""DE"",""EN"")"),"4")</f>
        <v>4</v>
      </c>
      <c r="I142" s="8" t="str">
        <f>IFERROR(__xludf.DUMMYFUNCTION("GOOGLETRANSLATE(D142,""DE"",""EN"")"),"4")</f>
        <v>4</v>
      </c>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W142" s="2"/>
      <c r="CX142" s="2"/>
      <c r="CY142" s="2"/>
      <c r="CZ142" s="2"/>
      <c r="DA142" s="2"/>
      <c r="DB142" s="2"/>
      <c r="DC142" s="2"/>
      <c r="DD142" s="2"/>
      <c r="DG142" s="2"/>
    </row>
    <row r="143">
      <c r="A143" s="9"/>
      <c r="B143" s="5" t="s">
        <v>46</v>
      </c>
      <c r="C143" s="6">
        <v>1.0</v>
      </c>
      <c r="D143" s="6">
        <v>1.0</v>
      </c>
      <c r="E143" s="2"/>
      <c r="F143" s="10"/>
      <c r="G143" s="8" t="str">
        <f>IFERROR(__xludf.DUMMYFUNCTION("GOOGLETRANSLATE(B143,""DE"",""EN"")"),"Door defective")</f>
        <v>Door defective</v>
      </c>
      <c r="H143" s="8" t="str">
        <f>IFERROR(__xludf.DUMMYFUNCTION("GOOGLETRANSLATE(C143,""DE"",""EN"")"),"1")</f>
        <v>1</v>
      </c>
      <c r="I143" s="8" t="str">
        <f>IFERROR(__xludf.DUMMYFUNCTION("GOOGLETRANSLATE(D143,""DE"",""EN"")"),"1")</f>
        <v>1</v>
      </c>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W143" s="2"/>
      <c r="CX143" s="2"/>
      <c r="CY143" s="2"/>
      <c r="CZ143" s="2"/>
      <c r="DA143" s="2"/>
      <c r="DB143" s="2"/>
      <c r="DC143" s="2"/>
      <c r="DD143" s="2"/>
      <c r="DG143" s="2"/>
    </row>
    <row r="144">
      <c r="A144" s="9"/>
      <c r="B144" s="5" t="s">
        <v>47</v>
      </c>
      <c r="C144" s="6">
        <v>1.0</v>
      </c>
      <c r="D144" s="6">
        <v>1.0</v>
      </c>
      <c r="E144" s="2"/>
      <c r="F144" s="10"/>
      <c r="G144" s="8" t="str">
        <f>IFERROR(__xludf.DUMMYFUNCTION("GOOGLETRANSLATE(B144,""DE"",""EN"")"),"Door handle defective")</f>
        <v>Door handle defective</v>
      </c>
      <c r="H144" s="8" t="str">
        <f>IFERROR(__xludf.DUMMYFUNCTION("GOOGLETRANSLATE(C144,""DE"",""EN"")"),"1")</f>
        <v>1</v>
      </c>
      <c r="I144" s="8" t="str">
        <f>IFERROR(__xludf.DUMMYFUNCTION("GOOGLETRANSLATE(D144,""DE"",""EN"")"),"1")</f>
        <v>1</v>
      </c>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W144" s="2"/>
      <c r="CX144" s="2"/>
      <c r="CY144" s="2"/>
      <c r="CZ144" s="2"/>
      <c r="DA144" s="2"/>
      <c r="DB144" s="2"/>
      <c r="DC144" s="2"/>
      <c r="DD144" s="2"/>
      <c r="DG144" s="2"/>
    </row>
    <row r="145">
      <c r="A145" s="9"/>
      <c r="B145" s="5" t="s">
        <v>48</v>
      </c>
      <c r="C145" s="6">
        <v>1.0</v>
      </c>
      <c r="D145" s="6">
        <v>1.0</v>
      </c>
      <c r="E145" s="2"/>
      <c r="F145" s="10"/>
      <c r="G145" s="8" t="str">
        <f>IFERROR(__xludf.DUMMYFUNCTION("GOOGLETRANSLATE(B145,""DE"",""EN"")"),"Defect door sensor")</f>
        <v>Defect door sensor</v>
      </c>
      <c r="H145" s="8" t="str">
        <f>IFERROR(__xludf.DUMMYFUNCTION("GOOGLETRANSLATE(C145,""DE"",""EN"")"),"1")</f>
        <v>1</v>
      </c>
      <c r="I145" s="8" t="str">
        <f>IFERROR(__xludf.DUMMYFUNCTION("GOOGLETRANSLATE(D145,""DE"",""EN"")"),"1")</f>
        <v>1</v>
      </c>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W145" s="2"/>
      <c r="CX145" s="2"/>
      <c r="CY145" s="2"/>
      <c r="CZ145" s="2"/>
      <c r="DA145" s="2"/>
      <c r="DB145" s="2"/>
      <c r="DC145" s="2"/>
      <c r="DD145" s="2"/>
      <c r="DG145" s="2"/>
    </row>
    <row r="146">
      <c r="A146" s="9"/>
      <c r="B146" s="5" t="s">
        <v>49</v>
      </c>
      <c r="C146" s="6">
        <v>3.0</v>
      </c>
      <c r="D146" s="6">
        <v>3.0</v>
      </c>
      <c r="E146" s="2"/>
      <c r="F146" s="10"/>
      <c r="G146" s="8" t="str">
        <f>IFERROR(__xludf.DUMMYFUNCTION("GOOGLETRANSLATE(B146,""DE"",""EN"")"),"Leak")</f>
        <v>Leak</v>
      </c>
      <c r="H146" s="8" t="str">
        <f>IFERROR(__xludf.DUMMYFUNCTION("GOOGLETRANSLATE(C146,""DE"",""EN"")"),"3")</f>
        <v>3</v>
      </c>
      <c r="I146" s="8" t="str">
        <f>IFERROR(__xludf.DUMMYFUNCTION("GOOGLETRANSLATE(D146,""DE"",""EN"")"),"3")</f>
        <v>3</v>
      </c>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W146" s="2"/>
      <c r="CX146" s="2"/>
      <c r="CY146" s="2"/>
      <c r="CZ146" s="2"/>
      <c r="DA146" s="2"/>
      <c r="DB146" s="2"/>
      <c r="DC146" s="2"/>
      <c r="DD146" s="2"/>
      <c r="DG146" s="2"/>
    </row>
    <row r="147">
      <c r="A147" s="9"/>
      <c r="B147" s="5" t="s">
        <v>51</v>
      </c>
      <c r="C147" s="6">
        <v>8.0</v>
      </c>
      <c r="D147" s="6">
        <v>7.0</v>
      </c>
      <c r="E147" s="2"/>
      <c r="F147" s="10"/>
      <c r="G147" s="8" t="str">
        <f>IFERROR(__xludf.DUMMYFUNCTION("GOOGLETRANSLATE(B147,""DE"",""EN"")"),"Icy")</f>
        <v>Icy</v>
      </c>
      <c r="H147" s="8" t="str">
        <f>IFERROR(__xludf.DUMMYFUNCTION("GOOGLETRANSLATE(C147,""DE"",""EN"")"),"8th")</f>
        <v>8th</v>
      </c>
      <c r="I147" s="8" t="str">
        <f>IFERROR(__xludf.DUMMYFUNCTION("GOOGLETRANSLATE(D147,""DE"",""EN"")"),"7")</f>
        <v>7</v>
      </c>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W147" s="2"/>
      <c r="CX147" s="2"/>
      <c r="CY147" s="2"/>
      <c r="CZ147" s="2"/>
      <c r="DA147" s="2"/>
      <c r="DB147" s="2"/>
      <c r="DC147" s="2"/>
      <c r="DD147" s="2"/>
      <c r="DG147" s="2"/>
    </row>
    <row r="148">
      <c r="A148" s="12"/>
      <c r="B148" s="5" t="s">
        <v>76</v>
      </c>
      <c r="C148" s="6">
        <v>1.0</v>
      </c>
      <c r="D148" s="6">
        <v>1.0</v>
      </c>
      <c r="E148" s="2"/>
      <c r="F148" s="13"/>
      <c r="G148" s="8" t="str">
        <f>IFERROR(__xludf.DUMMYFUNCTION("GOOGLETRANSLATE(B148,""DE"",""EN"")"),"constipation")</f>
        <v>constipation</v>
      </c>
      <c r="H148" s="8" t="str">
        <f>IFERROR(__xludf.DUMMYFUNCTION("GOOGLETRANSLATE(C148,""DE"",""EN"")"),"1")</f>
        <v>1</v>
      </c>
      <c r="I148" s="8" t="str">
        <f>IFERROR(__xludf.DUMMYFUNCTION("GOOGLETRANSLATE(D148,""DE"",""EN"")"),"1")</f>
        <v>1</v>
      </c>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W148" s="2"/>
      <c r="CX148" s="2"/>
      <c r="CY148" s="2"/>
      <c r="CZ148" s="2"/>
      <c r="DA148" s="2"/>
      <c r="DB148" s="2"/>
      <c r="DC148" s="2"/>
      <c r="DD148" s="2"/>
      <c r="DG148" s="2"/>
    </row>
    <row r="149">
      <c r="A149" s="12"/>
      <c r="B149" s="5" t="s">
        <v>52</v>
      </c>
      <c r="C149" s="6">
        <v>4.0</v>
      </c>
      <c r="D149" s="6">
        <v>1.0</v>
      </c>
      <c r="E149" s="2"/>
      <c r="F149" s="13"/>
      <c r="G149" s="8" t="str">
        <f>IFERROR(__xludf.DUMMYFUNCTION("GOOGLETRANSLATE(B149,""DE"",""EN"")"),"Wach- and patrol service (42600001)")</f>
        <v>Wach- and patrol service (42600001)</v>
      </c>
      <c r="H149" s="8" t="str">
        <f>IFERROR(__xludf.DUMMYFUNCTION("GOOGLETRANSLATE(C149,""DE"",""EN"")"),"4")</f>
        <v>4</v>
      </c>
      <c r="I149" s="8" t="str">
        <f>IFERROR(__xludf.DUMMYFUNCTION("GOOGLETRANSLATE(D149,""DE"",""EN"")"),"1")</f>
        <v>1</v>
      </c>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W149" s="2"/>
      <c r="CX149" s="2"/>
      <c r="CY149" s="2"/>
      <c r="CZ149" s="2"/>
      <c r="DA149" s="2"/>
      <c r="DB149" s="2"/>
      <c r="DC149" s="2"/>
      <c r="DD149" s="2"/>
      <c r="DG149" s="2"/>
    </row>
    <row r="150">
      <c r="A150" s="4" t="s">
        <v>88</v>
      </c>
      <c r="B150" s="12"/>
      <c r="C150" s="14">
        <v>487.0</v>
      </c>
      <c r="D150" s="14">
        <v>367.0</v>
      </c>
      <c r="E150" s="2"/>
      <c r="F150" s="7" t="s">
        <v>88</v>
      </c>
      <c r="G150" s="8" t="str">
        <f>IFERROR(__xludf.DUMMYFUNCTION("GOOGLETRANSLATE(B150,""DE"",""EN"")"),"#VALUE!")</f>
        <v>#VALUE!</v>
      </c>
      <c r="H150" s="8" t="str">
        <f>IFERROR(__xludf.DUMMYFUNCTION("GOOGLETRANSLATE(C150,""DE"",""EN"")"),"487")</f>
        <v>487</v>
      </c>
      <c r="I150" s="8" t="str">
        <f>IFERROR(__xludf.DUMMYFUNCTION("GOOGLETRANSLATE(D150,""DE"",""EN"")"),"367")</f>
        <v>367</v>
      </c>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W150" s="2"/>
      <c r="CX150" s="2"/>
      <c r="CY150" s="2"/>
      <c r="CZ150" s="2"/>
      <c r="DA150" s="2"/>
      <c r="DB150" s="2"/>
      <c r="DC150" s="2"/>
      <c r="DD150" s="2"/>
      <c r="DG150" s="2"/>
    </row>
    <row r="151">
      <c r="A151" s="4" t="s">
        <v>89</v>
      </c>
      <c r="B151" s="5" t="s">
        <v>5</v>
      </c>
      <c r="C151" s="6">
        <v>1.0</v>
      </c>
      <c r="D151" s="11"/>
      <c r="E151" s="2"/>
      <c r="F151" s="7" t="s">
        <v>89</v>
      </c>
      <c r="G151" s="8" t="str">
        <f>IFERROR(__xludf.DUMMYFUNCTION("GOOGLETRANSLATE(B151,""DE"",""EN"")"),"Defect defect")</f>
        <v>Defect defect</v>
      </c>
      <c r="H151" s="8" t="str">
        <f>IFERROR(__xludf.DUMMYFUNCTION("GOOGLETRANSLATE(C151,""DE"",""EN"")"),"1")</f>
        <v>1</v>
      </c>
      <c r="I151" s="8"/>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W151" s="2"/>
      <c r="CX151" s="2"/>
      <c r="CY151" s="2"/>
      <c r="CZ151" s="2"/>
      <c r="DA151" s="2"/>
      <c r="DB151" s="2"/>
      <c r="DC151" s="2"/>
      <c r="DD151" s="2"/>
      <c r="DG151" s="2"/>
    </row>
    <row r="152">
      <c r="A152" s="9"/>
      <c r="B152" s="5" t="s">
        <v>6</v>
      </c>
      <c r="C152" s="6">
        <v>1.0</v>
      </c>
      <c r="D152" s="6">
        <v>1.0</v>
      </c>
      <c r="E152" s="2"/>
      <c r="F152" s="10"/>
      <c r="G152" s="8" t="str">
        <f>IFERROR(__xludf.DUMMYFUNCTION("GOOGLETRANSLATE(B152,""DE"",""EN"")"),"On/from alarm does not work")</f>
        <v>On/from alarm does not work</v>
      </c>
      <c r="H152" s="8" t="str">
        <f>IFERROR(__xludf.DUMMYFUNCTION("GOOGLETRANSLATE(C152,""DE"",""EN"")"),"1")</f>
        <v>1</v>
      </c>
      <c r="I152" s="8" t="str">
        <f>IFERROR(__xludf.DUMMYFUNCTION("GOOGLETRANSLATE(D152,""DE"",""EN"")"),"1")</f>
        <v>1</v>
      </c>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W152" s="2"/>
      <c r="CX152" s="2"/>
      <c r="CY152" s="2"/>
      <c r="CZ152" s="2"/>
      <c r="DA152" s="2"/>
      <c r="DB152" s="2"/>
      <c r="DC152" s="2"/>
      <c r="DD152" s="2"/>
      <c r="DG152" s="2"/>
    </row>
    <row r="153">
      <c r="A153" s="9"/>
      <c r="B153" s="5" t="s">
        <v>7</v>
      </c>
      <c r="C153" s="6">
        <v>11.0</v>
      </c>
      <c r="D153" s="6">
        <v>11.0</v>
      </c>
      <c r="E153" s="2"/>
      <c r="F153" s="10"/>
      <c r="G153" s="8" t="str">
        <f>IFERROR(__xludf.DUMMYFUNCTION("GOOGLETRANSLATE(B153,""DE"",""EN"")"),"approached")</f>
        <v>approached</v>
      </c>
      <c r="H153" s="8" t="str">
        <f>IFERROR(__xludf.DUMMYFUNCTION("GOOGLETRANSLATE(C153,""DE"",""EN"")"),"11")</f>
        <v>11</v>
      </c>
      <c r="I153" s="8" t="str">
        <f>IFERROR(__xludf.DUMMYFUNCTION("GOOGLETRANSLATE(D153,""DE"",""EN"")"),"11")</f>
        <v>11</v>
      </c>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W153" s="2"/>
      <c r="CX153" s="2"/>
      <c r="CY153" s="2"/>
      <c r="CZ153" s="2"/>
      <c r="DA153" s="2"/>
      <c r="DB153" s="2"/>
      <c r="DC153" s="2"/>
      <c r="DD153" s="2"/>
      <c r="DG153" s="2"/>
    </row>
    <row r="154">
      <c r="A154" s="9"/>
      <c r="B154" s="5" t="s">
        <v>9</v>
      </c>
      <c r="C154" s="6">
        <v>1.0</v>
      </c>
      <c r="D154" s="6">
        <v>1.0</v>
      </c>
      <c r="E154" s="2"/>
      <c r="F154" s="10"/>
      <c r="G154" s="8" t="str">
        <f>IFERROR(__xludf.DUMMYFUNCTION("GOOGLETRANSLATE(B154,""DE"",""EN"")"),"Back program wrong")</f>
        <v>Back program wrong</v>
      </c>
      <c r="H154" s="8" t="str">
        <f>IFERROR(__xludf.DUMMYFUNCTION("GOOGLETRANSLATE(C154,""DE"",""EN"")"),"1")</f>
        <v>1</v>
      </c>
      <c r="I154" s="8" t="str">
        <f>IFERROR(__xludf.DUMMYFUNCTION("GOOGLETRANSLATE(D154,""DE"",""EN"")"),"1")</f>
        <v>1</v>
      </c>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W154" s="2"/>
      <c r="CX154" s="2"/>
      <c r="CY154" s="2"/>
      <c r="CZ154" s="2"/>
      <c r="DA154" s="2"/>
      <c r="DB154" s="2"/>
      <c r="DC154" s="2"/>
      <c r="DD154" s="2"/>
      <c r="DG154" s="2"/>
    </row>
    <row r="155">
      <c r="A155" s="9"/>
      <c r="B155" s="5" t="s">
        <v>10</v>
      </c>
      <c r="C155" s="6">
        <v>7.0</v>
      </c>
      <c r="D155" s="6">
        <v>6.0</v>
      </c>
      <c r="E155" s="2"/>
      <c r="F155" s="10"/>
      <c r="G155" s="8" t="str">
        <f>IFERROR(__xludf.DUMMYFUNCTION("GOOGLETRANSLATE(B155,""DE"",""EN"")"),"Lighting defect")</f>
        <v>Lighting defect</v>
      </c>
      <c r="H155" s="8" t="str">
        <f>IFERROR(__xludf.DUMMYFUNCTION("GOOGLETRANSLATE(C155,""DE"",""EN"")"),"7")</f>
        <v>7</v>
      </c>
      <c r="I155" s="8" t="str">
        <f>IFERROR(__xludf.DUMMYFUNCTION("GOOGLETRANSLATE(D155,""DE"",""EN"")"),"6")</f>
        <v>6</v>
      </c>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W155" s="2"/>
      <c r="CX155" s="2"/>
      <c r="CY155" s="2"/>
      <c r="CZ155" s="2"/>
      <c r="DA155" s="2"/>
      <c r="DB155" s="2"/>
      <c r="DC155" s="2"/>
      <c r="DD155" s="2"/>
      <c r="DG155" s="2"/>
    </row>
    <row r="156">
      <c r="A156" s="9"/>
      <c r="B156" s="5" t="s">
        <v>11</v>
      </c>
      <c r="C156" s="6">
        <v>17.0</v>
      </c>
      <c r="D156" s="6">
        <v>15.0</v>
      </c>
      <c r="E156" s="2"/>
      <c r="F156" s="10"/>
      <c r="G156" s="8" t="str">
        <f>IFERROR(__xludf.DUMMYFUNCTION("GOOGLETRANSLATE(B156,""DE"",""EN"")"),"Damage / break")</f>
        <v>Damage / break</v>
      </c>
      <c r="H156" s="8" t="str">
        <f>IFERROR(__xludf.DUMMYFUNCTION("GOOGLETRANSLATE(C156,""DE"",""EN"")"),"17")</f>
        <v>17</v>
      </c>
      <c r="I156" s="8" t="str">
        <f>IFERROR(__xludf.DUMMYFUNCTION("GOOGLETRANSLATE(D156,""DE"",""EN"")"),"15")</f>
        <v>15</v>
      </c>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W156" s="2"/>
      <c r="CX156" s="2"/>
      <c r="CY156" s="2"/>
      <c r="CZ156" s="2"/>
      <c r="DA156" s="2"/>
      <c r="DB156" s="2"/>
      <c r="DC156" s="2"/>
      <c r="DD156" s="2"/>
      <c r="DG156" s="2"/>
    </row>
    <row r="157">
      <c r="A157" s="9"/>
      <c r="B157" s="5" t="s">
        <v>12</v>
      </c>
      <c r="C157" s="6">
        <v>313.0</v>
      </c>
      <c r="D157" s="6">
        <v>246.0</v>
      </c>
      <c r="E157" s="2"/>
      <c r="F157" s="10"/>
      <c r="G157" s="8" t="str">
        <f>IFERROR(__xludf.DUMMYFUNCTION("GOOGLETRANSLATE(B157,""DE"",""EN"")"),"Description in the BO")</f>
        <v>Description in the BO</v>
      </c>
      <c r="H157" s="8" t="str">
        <f>IFERROR(__xludf.DUMMYFUNCTION("GOOGLETRANSLATE(C157,""DE"",""EN"")"),"313")</f>
        <v>313</v>
      </c>
      <c r="I157" s="8" t="str">
        <f>IFERROR(__xludf.DUMMYFUNCTION("GOOGLETRANSLATE(D157,""DE"",""EN"")"),"246")</f>
        <v>246</v>
      </c>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W157" s="2"/>
      <c r="CX157" s="2"/>
      <c r="CY157" s="2"/>
      <c r="CZ157" s="2"/>
      <c r="DA157" s="2"/>
      <c r="DB157" s="2"/>
      <c r="DC157" s="2"/>
      <c r="DD157" s="2"/>
      <c r="DG157" s="2"/>
    </row>
    <row r="158">
      <c r="A158" s="9"/>
      <c r="B158" s="5" t="s">
        <v>14</v>
      </c>
      <c r="C158" s="6">
        <v>1.0</v>
      </c>
      <c r="D158" s="11"/>
      <c r="E158" s="2"/>
      <c r="F158" s="10"/>
      <c r="G158" s="8" t="str">
        <f>IFERROR(__xludf.DUMMYFUNCTION("GOOGLETRANSLATE(B158,""DE"",""EN"")"),"Urgent / over consumption")</f>
        <v>Urgent / over consumption</v>
      </c>
      <c r="H158" s="8" t="str">
        <f>IFERROR(__xludf.DUMMYFUNCTION("GOOGLETRANSLATE(C158,""DE"",""EN"")"),"1")</f>
        <v>1</v>
      </c>
      <c r="I158" s="8"/>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W158" s="2"/>
      <c r="CX158" s="2"/>
      <c r="CY158" s="2"/>
      <c r="CZ158" s="2"/>
      <c r="DA158" s="2"/>
      <c r="DB158" s="2"/>
      <c r="DC158" s="2"/>
      <c r="DD158" s="2"/>
      <c r="DG158" s="2"/>
    </row>
    <row r="159">
      <c r="A159" s="9"/>
      <c r="B159" s="5" t="s">
        <v>61</v>
      </c>
      <c r="C159" s="6">
        <v>1.0</v>
      </c>
      <c r="D159" s="6">
        <v>1.0</v>
      </c>
      <c r="E159" s="2"/>
      <c r="F159" s="10"/>
      <c r="G159" s="8" t="str">
        <f>IFERROR(__xludf.DUMMYFUNCTION("GOOGLETRANSLATE(B159,""DE"",""EN"")"),"Missing ceiling plates")</f>
        <v>Missing ceiling plates</v>
      </c>
      <c r="H159" s="8" t="str">
        <f>IFERROR(__xludf.DUMMYFUNCTION("GOOGLETRANSLATE(C159,""DE"",""EN"")"),"1")</f>
        <v>1</v>
      </c>
      <c r="I159" s="8" t="str">
        <f>IFERROR(__xludf.DUMMYFUNCTION("GOOGLETRANSLATE(D159,""DE"",""EN"")"),"1")</f>
        <v>1</v>
      </c>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W159" s="2"/>
      <c r="CX159" s="2"/>
      <c r="CY159" s="2"/>
      <c r="CZ159" s="2"/>
      <c r="DA159" s="2"/>
      <c r="DB159" s="2"/>
      <c r="DC159" s="2"/>
      <c r="DD159" s="2"/>
      <c r="DG159" s="2"/>
    </row>
    <row r="160">
      <c r="A160" s="9"/>
      <c r="B160" s="5" t="s">
        <v>16</v>
      </c>
      <c r="C160" s="6">
        <v>5.0</v>
      </c>
      <c r="D160" s="6">
        <v>3.0</v>
      </c>
      <c r="E160" s="2"/>
      <c r="F160" s="10"/>
      <c r="G160" s="8" t="str">
        <f>IFERROR(__xludf.DUMMYFUNCTION("GOOGLETRANSLATE(B160,""DE"",""EN"")"),"Moist ceiling plates")</f>
        <v>Moist ceiling plates</v>
      </c>
      <c r="H160" s="8" t="str">
        <f>IFERROR(__xludf.DUMMYFUNCTION("GOOGLETRANSLATE(C160,""DE"",""EN"")"),"5")</f>
        <v>5</v>
      </c>
      <c r="I160" s="8" t="str">
        <f>IFERROR(__xludf.DUMMYFUNCTION("GOOGLETRANSLATE(D160,""DE"",""EN"")"),"3")</f>
        <v>3</v>
      </c>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W160" s="2"/>
      <c r="CX160" s="2"/>
      <c r="CY160" s="2"/>
      <c r="CZ160" s="2"/>
      <c r="DA160" s="2"/>
      <c r="DB160" s="2"/>
      <c r="DC160" s="2"/>
      <c r="DD160" s="2"/>
      <c r="DG160" s="2"/>
    </row>
    <row r="161">
      <c r="A161" s="9"/>
      <c r="B161" s="5" t="s">
        <v>17</v>
      </c>
      <c r="C161" s="6">
        <v>3.0</v>
      </c>
      <c r="D161" s="6">
        <v>3.0</v>
      </c>
      <c r="E161" s="2"/>
      <c r="F161" s="10"/>
      <c r="G161" s="8" t="str">
        <f>IFERROR(__xludf.DUMMYFUNCTION("GOOGLETRANSLATE(B161,""DE"",""EN"")"),"Filiatry temperature above 25 ° C")</f>
        <v>Filiatry temperature above 25 ° C</v>
      </c>
      <c r="H161" s="8" t="str">
        <f>IFERROR(__xludf.DUMMYFUNCTION("GOOGLETRANSLATE(C161,""DE"",""EN"")"),"3")</f>
        <v>3</v>
      </c>
      <c r="I161" s="8" t="str">
        <f>IFERROR(__xludf.DUMMYFUNCTION("GOOGLETRANSLATE(D161,""DE"",""EN"")"),"3")</f>
        <v>3</v>
      </c>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W161" s="2"/>
      <c r="CX161" s="2"/>
      <c r="CY161" s="2"/>
      <c r="CZ161" s="2"/>
      <c r="DA161" s="2"/>
      <c r="DB161" s="2"/>
      <c r="DC161" s="2"/>
      <c r="DD161" s="2"/>
      <c r="DG161" s="2"/>
    </row>
    <row r="162">
      <c r="A162" s="9"/>
      <c r="B162" s="5" t="s">
        <v>90</v>
      </c>
      <c r="C162" s="6">
        <v>1.0</v>
      </c>
      <c r="D162" s="6">
        <v>1.0</v>
      </c>
      <c r="E162" s="2"/>
      <c r="F162" s="10"/>
      <c r="G162" s="8" t="str">
        <f>IFERROR(__xludf.DUMMYFUNCTION("GOOGLETRANSLATE(B162,""DE"",""EN"")"),"Tiles loose")</f>
        <v>Tiles loose</v>
      </c>
      <c r="H162" s="8" t="str">
        <f>IFERROR(__xludf.DUMMYFUNCTION("GOOGLETRANSLATE(C162,""DE"",""EN"")"),"1")</f>
        <v>1</v>
      </c>
      <c r="I162" s="8" t="str">
        <f>IFERROR(__xludf.DUMMYFUNCTION("GOOGLETRANSLATE(D162,""DE"",""EN"")"),"1")</f>
        <v>1</v>
      </c>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W162" s="2"/>
      <c r="CX162" s="2"/>
      <c r="CY162" s="2"/>
      <c r="CZ162" s="2"/>
      <c r="DA162" s="2"/>
      <c r="DB162" s="2"/>
      <c r="DC162" s="2"/>
      <c r="DD162" s="2"/>
      <c r="DG162" s="2"/>
    </row>
    <row r="163">
      <c r="A163" s="9"/>
      <c r="B163" s="5" t="s">
        <v>19</v>
      </c>
      <c r="C163" s="6">
        <v>4.0</v>
      </c>
      <c r="D163" s="6">
        <v>3.0</v>
      </c>
      <c r="E163" s="2"/>
      <c r="F163" s="10"/>
      <c r="G163" s="8" t="str">
        <f>IFERROR(__xludf.DUMMYFUNCTION("GOOGLETRANSLATE(B163,""DE"",""EN"")"),"Tiles loose / broken")</f>
        <v>Tiles loose / broken</v>
      </c>
      <c r="H163" s="8" t="str">
        <f>IFERROR(__xludf.DUMMYFUNCTION("GOOGLETRANSLATE(C163,""DE"",""EN"")"),"4")</f>
        <v>4</v>
      </c>
      <c r="I163" s="8" t="str">
        <f>IFERROR(__xludf.DUMMYFUNCTION("GOOGLETRANSLATE(D163,""DE"",""EN"")"),"3")</f>
        <v>3</v>
      </c>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W163" s="2"/>
      <c r="CX163" s="2"/>
      <c r="CY163" s="2"/>
      <c r="CZ163" s="2"/>
      <c r="DA163" s="2"/>
      <c r="DB163" s="2"/>
      <c r="DC163" s="2"/>
      <c r="DD163" s="2"/>
      <c r="DG163" s="2"/>
    </row>
    <row r="164">
      <c r="A164" s="9"/>
      <c r="B164" s="5" t="s">
        <v>20</v>
      </c>
      <c r="C164" s="6">
        <v>6.0</v>
      </c>
      <c r="D164" s="6">
        <v>6.0</v>
      </c>
      <c r="E164" s="2"/>
      <c r="F164" s="10"/>
      <c r="G164" s="8" t="str">
        <f>IFERROR(__xludf.DUMMYFUNCTION("GOOGLETRANSLATE(B164,""DE"",""EN"")"),"Doesn't work")</f>
        <v>Doesn't work</v>
      </c>
      <c r="H164" s="8" t="str">
        <f>IFERROR(__xludf.DUMMYFUNCTION("GOOGLETRANSLATE(C164,""DE"",""EN"")"),"6")</f>
        <v>6</v>
      </c>
      <c r="I164" s="8" t="str">
        <f>IFERROR(__xludf.DUMMYFUNCTION("GOOGLETRANSLATE(D164,""DE"",""EN"")"),"6")</f>
        <v>6</v>
      </c>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W164" s="2"/>
      <c r="CX164" s="2"/>
      <c r="CY164" s="2"/>
      <c r="CZ164" s="2"/>
      <c r="DA164" s="2"/>
      <c r="DB164" s="2"/>
      <c r="DC164" s="2"/>
      <c r="DD164" s="2"/>
      <c r="DG164" s="2"/>
    </row>
    <row r="165">
      <c r="A165" s="9"/>
      <c r="B165" s="5" t="s">
        <v>23</v>
      </c>
      <c r="C165" s="6">
        <v>6.0</v>
      </c>
      <c r="D165" s="6">
        <v>6.0</v>
      </c>
      <c r="E165" s="2"/>
      <c r="F165" s="10"/>
      <c r="G165" s="8" t="str">
        <f>IFERROR(__xludf.DUMMYFUNCTION("GOOGLETRANSLATE(B165,""DE"",""EN"")"),"Glass lid defective")</f>
        <v>Glass lid defective</v>
      </c>
      <c r="H165" s="8" t="str">
        <f>IFERROR(__xludf.DUMMYFUNCTION("GOOGLETRANSLATE(C165,""DE"",""EN"")"),"6")</f>
        <v>6</v>
      </c>
      <c r="I165" s="8" t="str">
        <f>IFERROR(__xludf.DUMMYFUNCTION("GOOGLETRANSLATE(D165,""DE"",""EN"")"),"6")</f>
        <v>6</v>
      </c>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W165" s="2"/>
      <c r="CX165" s="2"/>
      <c r="CY165" s="2"/>
      <c r="CZ165" s="2"/>
      <c r="DA165" s="2"/>
      <c r="DB165" s="2"/>
      <c r="DC165" s="2"/>
      <c r="DD165" s="2"/>
      <c r="DG165" s="2"/>
    </row>
    <row r="166">
      <c r="A166" s="9"/>
      <c r="B166" s="5" t="s">
        <v>24</v>
      </c>
      <c r="C166" s="6">
        <v>2.0</v>
      </c>
      <c r="D166" s="6">
        <v>2.0</v>
      </c>
      <c r="E166" s="2"/>
      <c r="F166" s="10"/>
      <c r="G166" s="8" t="str">
        <f>IFERROR(__xludf.DUMMYFUNCTION("GOOGLETRANSLATE(B166,""DE"",""EN"")"),"Handle defective")</f>
        <v>Handle defective</v>
      </c>
      <c r="H166" s="8" t="str">
        <f>IFERROR(__xludf.DUMMYFUNCTION("GOOGLETRANSLATE(C166,""DE"",""EN"")"),"2")</f>
        <v>2</v>
      </c>
      <c r="I166" s="8" t="str">
        <f>IFERROR(__xludf.DUMMYFUNCTION("GOOGLETRANSLATE(D166,""DE"",""EN"")"),"2")</f>
        <v>2</v>
      </c>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W166" s="2"/>
      <c r="CX166" s="2"/>
      <c r="CY166" s="2"/>
      <c r="CZ166" s="2"/>
      <c r="DA166" s="2"/>
      <c r="DB166" s="2"/>
      <c r="DC166" s="2"/>
      <c r="DD166" s="2"/>
      <c r="DG166" s="2"/>
    </row>
    <row r="167">
      <c r="A167" s="9"/>
      <c r="B167" s="5" t="s">
        <v>91</v>
      </c>
      <c r="C167" s="6">
        <v>1.0</v>
      </c>
      <c r="D167" s="11"/>
      <c r="E167" s="2"/>
      <c r="F167" s="10"/>
      <c r="G167" s="8" t="str">
        <f>IFERROR(__xludf.DUMMYFUNCTION("GOOGLETRANSLATE(B167,""DE"",""EN"")"),"Camera defect")</f>
        <v>Camera defect</v>
      </c>
      <c r="H167" s="8" t="str">
        <f>IFERROR(__xludf.DUMMYFUNCTION("GOOGLETRANSLATE(C167,""DE"",""EN"")"),"1")</f>
        <v>1</v>
      </c>
      <c r="I167" s="8"/>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W167" s="2"/>
      <c r="CX167" s="2"/>
      <c r="CY167" s="2"/>
      <c r="CZ167" s="2"/>
      <c r="DA167" s="2"/>
      <c r="DB167" s="2"/>
      <c r="DC167" s="2"/>
      <c r="DD167" s="2"/>
      <c r="DG167" s="2"/>
    </row>
    <row r="168">
      <c r="A168" s="9"/>
      <c r="B168" s="5" t="s">
        <v>25</v>
      </c>
      <c r="C168" s="6">
        <v>3.0</v>
      </c>
      <c r="D168" s="6">
        <v>3.0</v>
      </c>
      <c r="E168" s="2"/>
      <c r="F168" s="10"/>
      <c r="G168" s="8" t="str">
        <f>IFERROR(__xludf.DUMMYFUNCTION("GOOGLETRANSLATE(B168,""DE"",""EN"")"),"Cash tape defective")</f>
        <v>Cash tape defective</v>
      </c>
      <c r="H168" s="8" t="str">
        <f>IFERROR(__xludf.DUMMYFUNCTION("GOOGLETRANSLATE(C168,""DE"",""EN"")"),"3")</f>
        <v>3</v>
      </c>
      <c r="I168" s="8" t="str">
        <f>IFERROR(__xludf.DUMMYFUNCTION("GOOGLETRANSLATE(D168,""DE"",""EN"")"),"3")</f>
        <v>3</v>
      </c>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W168" s="2"/>
      <c r="CX168" s="2"/>
      <c r="CY168" s="2"/>
      <c r="CZ168" s="2"/>
      <c r="DA168" s="2"/>
      <c r="DB168" s="2"/>
      <c r="DC168" s="2"/>
      <c r="DD168" s="2"/>
      <c r="DG168" s="2"/>
    </row>
    <row r="169">
      <c r="A169" s="9"/>
      <c r="B169" s="5" t="s">
        <v>92</v>
      </c>
      <c r="C169" s="6">
        <v>1.0</v>
      </c>
      <c r="D169" s="6">
        <v>1.0</v>
      </c>
      <c r="E169" s="2"/>
      <c r="F169" s="10"/>
      <c r="G169" s="8" t="str">
        <f>IFERROR(__xludf.DUMMYFUNCTION("GOOGLETRANSLATE(B169,""DE"",""EN"")"),"Cash table cladding defective")</f>
        <v>Cash table cladding defective</v>
      </c>
      <c r="H169" s="8" t="str">
        <f>IFERROR(__xludf.DUMMYFUNCTION("GOOGLETRANSLATE(C169,""DE"",""EN"")"),"1")</f>
        <v>1</v>
      </c>
      <c r="I169" s="8" t="str">
        <f>IFERROR(__xludf.DUMMYFUNCTION("GOOGLETRANSLATE(D169,""DE"",""EN"")"),"1")</f>
        <v>1</v>
      </c>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W169" s="2"/>
      <c r="CX169" s="2"/>
      <c r="CY169" s="2"/>
      <c r="CZ169" s="2"/>
      <c r="DA169" s="2"/>
      <c r="DB169" s="2"/>
      <c r="DC169" s="2"/>
      <c r="DD169" s="2"/>
      <c r="DG169" s="2"/>
    </row>
    <row r="170">
      <c r="A170" s="9"/>
      <c r="B170" s="5" t="s">
        <v>28</v>
      </c>
      <c r="C170" s="6">
        <v>15.0</v>
      </c>
      <c r="D170" s="6">
        <v>7.0</v>
      </c>
      <c r="E170" s="2"/>
      <c r="F170" s="10"/>
      <c r="G170" s="8" t="str">
        <f>IFERROR(__xludf.DUMMYFUNCTION("GOOGLETRANSLATE(B170,""DE"",""EN"")"),"Cooling alarm")</f>
        <v>Cooling alarm</v>
      </c>
      <c r="H170" s="8" t="str">
        <f>IFERROR(__xludf.DUMMYFUNCTION("GOOGLETRANSLATE(C170,""DE"",""EN"")"),"15")</f>
        <v>15</v>
      </c>
      <c r="I170" s="8" t="str">
        <f>IFERROR(__xludf.DUMMYFUNCTION("GOOGLETRANSLATE(D170,""DE"",""EN"")"),"7")</f>
        <v>7</v>
      </c>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W170" s="2"/>
      <c r="CX170" s="2"/>
      <c r="CY170" s="2"/>
      <c r="CZ170" s="2"/>
      <c r="DA170" s="2"/>
      <c r="DB170" s="2"/>
      <c r="DC170" s="2"/>
      <c r="DD170" s="2"/>
      <c r="DG170" s="2"/>
    </row>
    <row r="171">
      <c r="A171" s="9"/>
      <c r="B171" s="5" t="s">
        <v>29</v>
      </c>
      <c r="C171" s="6">
        <v>3.0</v>
      </c>
      <c r="D171" s="6">
        <v>3.0</v>
      </c>
      <c r="E171" s="2"/>
      <c r="F171" s="10"/>
      <c r="G171" s="8" t="str">
        <f>IFERROR(__xludf.DUMMYFUNCTION("GOOGLETRANSLATE(B171,""DE"",""EN"")"),"Shop construction (42500097)")</f>
        <v>Shop construction (42500097)</v>
      </c>
      <c r="H171" s="8" t="str">
        <f>IFERROR(__xludf.DUMMYFUNCTION("GOOGLETRANSLATE(C171,""DE"",""EN"")"),"3")</f>
        <v>3</v>
      </c>
      <c r="I171" s="8" t="str">
        <f>IFERROR(__xludf.DUMMYFUNCTION("GOOGLETRANSLATE(D171,""DE"",""EN"")"),"3")</f>
        <v>3</v>
      </c>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W171" s="2"/>
      <c r="CX171" s="2"/>
      <c r="CY171" s="2"/>
      <c r="CZ171" s="2"/>
      <c r="DA171" s="2"/>
      <c r="DB171" s="2"/>
      <c r="DC171" s="2"/>
      <c r="DD171" s="2"/>
      <c r="DG171" s="2"/>
    </row>
    <row r="172">
      <c r="A172" s="9"/>
      <c r="B172" s="5" t="s">
        <v>30</v>
      </c>
      <c r="C172" s="6">
        <v>1.0</v>
      </c>
      <c r="D172" s="11"/>
      <c r="E172" s="2"/>
      <c r="F172" s="10"/>
      <c r="G172" s="8" t="str">
        <f>IFERROR(__xludf.DUMMYFUNCTION("GOOGLETRANSLATE(B172,""DE"",""EN"")"),"Lamps failed")</f>
        <v>Lamps failed</v>
      </c>
      <c r="H172" s="8" t="str">
        <f>IFERROR(__xludf.DUMMYFUNCTION("GOOGLETRANSLATE(C172,""DE"",""EN"")"),"1")</f>
        <v>1</v>
      </c>
      <c r="I172" s="8"/>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W172" s="2"/>
      <c r="CX172" s="2"/>
      <c r="CY172" s="2"/>
      <c r="CZ172" s="2"/>
      <c r="DA172" s="2"/>
      <c r="DB172" s="2"/>
      <c r="DC172" s="2"/>
      <c r="DD172" s="2"/>
      <c r="DG172" s="2"/>
    </row>
    <row r="173">
      <c r="A173" s="9"/>
      <c r="B173" s="5" t="s">
        <v>33</v>
      </c>
      <c r="C173" s="6">
        <v>4.0</v>
      </c>
      <c r="D173" s="6">
        <v>3.0</v>
      </c>
      <c r="E173" s="2"/>
      <c r="F173" s="10"/>
      <c r="G173" s="8" t="str">
        <f>IFERROR(__xludf.DUMMYFUNCTION("GOOGLETRANSLATE(B173,""DE"",""EN"")"),"Painting requirement")</f>
        <v>Painting requirement</v>
      </c>
      <c r="H173" s="8" t="str">
        <f>IFERROR(__xludf.DUMMYFUNCTION("GOOGLETRANSLATE(C173,""DE"",""EN"")"),"4")</f>
        <v>4</v>
      </c>
      <c r="I173" s="8" t="str">
        <f>IFERROR(__xludf.DUMMYFUNCTION("GOOGLETRANSLATE(D173,""DE"",""EN"")"),"3")</f>
        <v>3</v>
      </c>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W173" s="2"/>
      <c r="CX173" s="2"/>
      <c r="CY173" s="2"/>
      <c r="CZ173" s="2"/>
      <c r="DA173" s="2"/>
      <c r="DB173" s="2"/>
      <c r="DC173" s="2"/>
      <c r="DD173" s="2"/>
      <c r="DG173" s="2"/>
    </row>
    <row r="174">
      <c r="A174" s="9"/>
      <c r="B174" s="5" t="s">
        <v>69</v>
      </c>
      <c r="C174" s="6">
        <v>1.0</v>
      </c>
      <c r="D174" s="6">
        <v>1.0</v>
      </c>
      <c r="E174" s="2"/>
      <c r="F174" s="10"/>
      <c r="G174" s="8" t="str">
        <f>IFERROR(__xludf.DUMMYFUNCTION("GOOGLETRANSLATE(B174,""DE"",""EN"")"),"Mouse attack (42160005)")</f>
        <v>Mouse attack (42160005)</v>
      </c>
      <c r="H174" s="8" t="str">
        <f>IFERROR(__xludf.DUMMYFUNCTION("GOOGLETRANSLATE(C174,""DE"",""EN"")"),"1")</f>
        <v>1</v>
      </c>
      <c r="I174" s="8" t="str">
        <f>IFERROR(__xludf.DUMMYFUNCTION("GOOGLETRANSLATE(D174,""DE"",""EN"")"),"1")</f>
        <v>1</v>
      </c>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W174" s="2"/>
      <c r="CX174" s="2"/>
      <c r="CY174" s="2"/>
      <c r="CZ174" s="2"/>
      <c r="DA174" s="2"/>
      <c r="DB174" s="2"/>
      <c r="DC174" s="2"/>
      <c r="DD174" s="2"/>
      <c r="DG174" s="2"/>
    </row>
    <row r="175">
      <c r="A175" s="9"/>
      <c r="B175" s="5" t="s">
        <v>93</v>
      </c>
      <c r="C175" s="6">
        <v>1.0</v>
      </c>
      <c r="D175" s="6">
        <v>1.0</v>
      </c>
      <c r="E175" s="2"/>
      <c r="F175" s="10"/>
      <c r="G175" s="8" t="str">
        <f>IFERROR(__xludf.DUMMYFUNCTION("GOOGLETRANSLATE(B175,""DE"",""EN"")"),"Microwave defective")</f>
        <v>Microwave defective</v>
      </c>
      <c r="H175" s="8" t="str">
        <f>IFERROR(__xludf.DUMMYFUNCTION("GOOGLETRANSLATE(C175,""DE"",""EN"")"),"1")</f>
        <v>1</v>
      </c>
      <c r="I175" s="8" t="str">
        <f>IFERROR(__xludf.DUMMYFUNCTION("GOOGLETRANSLATE(D175,""DE"",""EN"")"),"1")</f>
        <v>1</v>
      </c>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W175" s="2"/>
      <c r="CX175" s="2"/>
      <c r="CY175" s="2"/>
      <c r="CZ175" s="2"/>
      <c r="DA175" s="2"/>
      <c r="DB175" s="2"/>
      <c r="DC175" s="2"/>
      <c r="DD175" s="2"/>
      <c r="DG175" s="2"/>
    </row>
    <row r="176">
      <c r="A176" s="9"/>
      <c r="B176" s="5" t="s">
        <v>35</v>
      </c>
      <c r="C176" s="6">
        <v>25.0</v>
      </c>
      <c r="D176" s="6">
        <v>24.0</v>
      </c>
      <c r="E176" s="2"/>
      <c r="F176" s="10"/>
      <c r="G176" s="8" t="str">
        <f>IFERROR(__xludf.DUMMYFUNCTION("GOOGLETRANSLATE(B176,""DE"",""EN"")"),"Opening/closure defective")</f>
        <v>Opening/closure defective</v>
      </c>
      <c r="H176" s="8" t="str">
        <f>IFERROR(__xludf.DUMMYFUNCTION("GOOGLETRANSLATE(C176,""DE"",""EN"")"),"25")</f>
        <v>25</v>
      </c>
      <c r="I176" s="8" t="str">
        <f>IFERROR(__xludf.DUMMYFUNCTION("GOOGLETRANSLATE(D176,""DE"",""EN"")"),"24")</f>
        <v>24</v>
      </c>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W176" s="2"/>
      <c r="CX176" s="2"/>
      <c r="CY176" s="2"/>
      <c r="CZ176" s="2"/>
      <c r="DA176" s="2"/>
      <c r="DB176" s="2"/>
      <c r="DC176" s="2"/>
      <c r="DD176" s="2"/>
      <c r="DG176" s="2"/>
    </row>
    <row r="177">
      <c r="A177" s="9"/>
      <c r="B177" s="5" t="s">
        <v>37</v>
      </c>
      <c r="C177" s="6">
        <v>3.0</v>
      </c>
      <c r="D177" s="11"/>
      <c r="E177" s="2"/>
      <c r="F177" s="10"/>
      <c r="G177" s="8" t="str">
        <f>IFERROR(__xludf.DUMMYFUNCTION("GOOGLETRANSLATE(B177,""DE"",""EN"")"),"Priority 1")</f>
        <v>Priority 1</v>
      </c>
      <c r="H177" s="8" t="str">
        <f>IFERROR(__xludf.DUMMYFUNCTION("GOOGLETRANSLATE(C177,""DE"",""EN"")"),"3")</f>
        <v>3</v>
      </c>
      <c r="I177" s="8"/>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W177" s="2"/>
      <c r="CX177" s="2"/>
      <c r="CY177" s="2"/>
      <c r="CZ177" s="2"/>
      <c r="DA177" s="2"/>
      <c r="DB177" s="2"/>
      <c r="DC177" s="2"/>
      <c r="DD177" s="2"/>
      <c r="DG177" s="2"/>
    </row>
    <row r="178">
      <c r="A178" s="9"/>
      <c r="B178" s="5" t="s">
        <v>94</v>
      </c>
      <c r="C178" s="6">
        <v>1.0</v>
      </c>
      <c r="D178" s="6">
        <v>1.0</v>
      </c>
      <c r="E178" s="2"/>
      <c r="F178" s="10"/>
      <c r="G178" s="8" t="str">
        <f>IFERROR(__xludf.DUMMYFUNCTION("GOOGLETRANSLATE(B178,""DE"",""EN"")"),"Lawn surface neglected")</f>
        <v>Lawn surface neglected</v>
      </c>
      <c r="H178" s="8" t="str">
        <f>IFERROR(__xludf.DUMMYFUNCTION("GOOGLETRANSLATE(C178,""DE"",""EN"")"),"1")</f>
        <v>1</v>
      </c>
      <c r="I178" s="8" t="str">
        <f>IFERROR(__xludf.DUMMYFUNCTION("GOOGLETRANSLATE(D178,""DE"",""EN"")"),"1")</f>
        <v>1</v>
      </c>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W178" s="2"/>
      <c r="CX178" s="2"/>
      <c r="CY178" s="2"/>
      <c r="CZ178" s="2"/>
      <c r="DA178" s="2"/>
      <c r="DB178" s="2"/>
      <c r="DC178" s="2"/>
      <c r="DD178" s="2"/>
      <c r="DG178" s="2"/>
    </row>
    <row r="179">
      <c r="A179" s="9"/>
      <c r="B179" s="5" t="s">
        <v>73</v>
      </c>
      <c r="C179" s="6">
        <v>1.0</v>
      </c>
      <c r="D179" s="6">
        <v>1.0</v>
      </c>
      <c r="E179" s="2"/>
      <c r="F179" s="10"/>
      <c r="G179" s="8" t="str">
        <f>IFERROR(__xludf.DUMMYFUNCTION("GOOGLETRANSLATE(B179,""DE"",""EN"")"),"Cleaning other (42160099)")</f>
        <v>Cleaning other (42160099)</v>
      </c>
      <c r="H179" s="8" t="str">
        <f>IFERROR(__xludf.DUMMYFUNCTION("GOOGLETRANSLATE(C179,""DE"",""EN"")"),"1")</f>
        <v>1</v>
      </c>
      <c r="I179" s="8" t="str">
        <f>IFERROR(__xludf.DUMMYFUNCTION("GOOGLETRANSLATE(D179,""DE"",""EN"")"),"1")</f>
        <v>1</v>
      </c>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W179" s="2"/>
      <c r="CX179" s="2"/>
      <c r="CY179" s="2"/>
      <c r="CZ179" s="2"/>
      <c r="DA179" s="2"/>
      <c r="DB179" s="2"/>
      <c r="DC179" s="2"/>
      <c r="DD179" s="2"/>
      <c r="DG179" s="2"/>
    </row>
    <row r="180">
      <c r="A180" s="9"/>
      <c r="B180" s="5" t="s">
        <v>95</v>
      </c>
      <c r="C180" s="6">
        <v>1.0</v>
      </c>
      <c r="D180" s="6">
        <v>1.0</v>
      </c>
      <c r="E180" s="2"/>
      <c r="F180" s="10"/>
      <c r="G180" s="8" t="str">
        <f>IFERROR(__xludf.DUMMYFUNCTION("GOOGLETRANSLATE(B180,""DE"",""EN"")"),"Riegel/magnetic contact def.")</f>
        <v>Riegel/magnetic contact def.</v>
      </c>
      <c r="H180" s="8" t="str">
        <f>IFERROR(__xludf.DUMMYFUNCTION("GOOGLETRANSLATE(C180,""DE"",""EN"")"),"1")</f>
        <v>1</v>
      </c>
      <c r="I180" s="8" t="str">
        <f>IFERROR(__xludf.DUMMYFUNCTION("GOOGLETRANSLATE(D180,""DE"",""EN"")"),"1")</f>
        <v>1</v>
      </c>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W180" s="2"/>
      <c r="CX180" s="2"/>
      <c r="CY180" s="2"/>
      <c r="CZ180" s="2"/>
      <c r="DA180" s="2"/>
      <c r="DB180" s="2"/>
      <c r="DC180" s="2"/>
      <c r="DD180" s="2"/>
      <c r="DG180" s="2"/>
    </row>
    <row r="181">
      <c r="A181" s="9"/>
      <c r="B181" s="5" t="s">
        <v>39</v>
      </c>
      <c r="C181" s="6">
        <v>2.0</v>
      </c>
      <c r="D181" s="6">
        <v>2.0</v>
      </c>
      <c r="E181" s="2"/>
      <c r="F181" s="10"/>
      <c r="G181" s="8" t="str">
        <f>IFERROR(__xludf.DUMMYFUNCTION("GOOGLETRANSLATE(B181,""DE"",""EN"")"),"Do not suck")</f>
        <v>Do not suck</v>
      </c>
      <c r="H181" s="8" t="str">
        <f>IFERROR(__xludf.DUMMYFUNCTION("GOOGLETRANSLATE(C181,""DE"",""EN"")"),"2")</f>
        <v>2</v>
      </c>
      <c r="I181" s="8" t="str">
        <f>IFERROR(__xludf.DUMMYFUNCTION("GOOGLETRANSLATE(D181,""DE"",""EN"")"),"2")</f>
        <v>2</v>
      </c>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W181" s="2"/>
      <c r="CX181" s="2"/>
      <c r="CY181" s="2"/>
      <c r="CZ181" s="2"/>
      <c r="DA181" s="2"/>
      <c r="DB181" s="2"/>
      <c r="DC181" s="2"/>
      <c r="DD181" s="2"/>
      <c r="DG181" s="2"/>
    </row>
    <row r="182">
      <c r="A182" s="9"/>
      <c r="B182" s="5" t="s">
        <v>44</v>
      </c>
      <c r="C182" s="6">
        <v>1.0</v>
      </c>
      <c r="D182" s="11"/>
      <c r="E182" s="2"/>
      <c r="F182" s="10"/>
      <c r="G182" s="8" t="str">
        <f>IFERROR(__xludf.DUMMYFUNCTION("GOOGLETRANSLATE(B182,""DE"",""EN"")"),"Disorder of electricity feed")</f>
        <v>Disorder of electricity feed</v>
      </c>
      <c r="H182" s="8" t="str">
        <f>IFERROR(__xludf.DUMMYFUNCTION("GOOGLETRANSLATE(C182,""DE"",""EN"")"),"1")</f>
        <v>1</v>
      </c>
      <c r="I182" s="8"/>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W182" s="2"/>
      <c r="CX182" s="2"/>
      <c r="CY182" s="2"/>
      <c r="CZ182" s="2"/>
      <c r="DA182" s="2"/>
      <c r="DB182" s="2"/>
      <c r="DC182" s="2"/>
      <c r="DD182" s="2"/>
      <c r="DG182" s="2"/>
    </row>
    <row r="183">
      <c r="A183" s="9"/>
      <c r="B183" s="5" t="s">
        <v>45</v>
      </c>
      <c r="C183" s="6">
        <v>2.0</v>
      </c>
      <c r="D183" s="6">
        <v>2.0</v>
      </c>
      <c r="E183" s="2"/>
      <c r="F183" s="10"/>
      <c r="G183" s="8" t="str">
        <f>IFERROR(__xludf.DUMMYFUNCTION("GOOGLETRANSLATE(B183,""DE"",""EN"")"),"Temperature problem")</f>
        <v>Temperature problem</v>
      </c>
      <c r="H183" s="8" t="str">
        <f>IFERROR(__xludf.DUMMYFUNCTION("GOOGLETRANSLATE(C183,""DE"",""EN"")"),"2")</f>
        <v>2</v>
      </c>
      <c r="I183" s="8" t="str">
        <f>IFERROR(__xludf.DUMMYFUNCTION("GOOGLETRANSLATE(D183,""DE"",""EN"")"),"2")</f>
        <v>2</v>
      </c>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W183" s="2"/>
      <c r="CX183" s="2"/>
      <c r="CY183" s="2"/>
      <c r="CZ183" s="2"/>
      <c r="DA183" s="2"/>
      <c r="DB183" s="2"/>
      <c r="DC183" s="2"/>
      <c r="DD183" s="2"/>
      <c r="DG183" s="2"/>
    </row>
    <row r="184">
      <c r="A184" s="9"/>
      <c r="B184" s="5" t="s">
        <v>46</v>
      </c>
      <c r="C184" s="6">
        <v>1.0</v>
      </c>
      <c r="D184" s="6">
        <v>1.0</v>
      </c>
      <c r="E184" s="2"/>
      <c r="F184" s="10"/>
      <c r="G184" s="8" t="str">
        <f>IFERROR(__xludf.DUMMYFUNCTION("GOOGLETRANSLATE(B184,""DE"",""EN"")"),"Door defective")</f>
        <v>Door defective</v>
      </c>
      <c r="H184" s="8" t="str">
        <f>IFERROR(__xludf.DUMMYFUNCTION("GOOGLETRANSLATE(C184,""DE"",""EN"")"),"1")</f>
        <v>1</v>
      </c>
      <c r="I184" s="8" t="str">
        <f>IFERROR(__xludf.DUMMYFUNCTION("GOOGLETRANSLATE(D184,""DE"",""EN"")"),"1")</f>
        <v>1</v>
      </c>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W184" s="2"/>
      <c r="CX184" s="2"/>
      <c r="CY184" s="2"/>
      <c r="CZ184" s="2"/>
      <c r="DA184" s="2"/>
      <c r="DB184" s="2"/>
      <c r="DC184" s="2"/>
      <c r="DD184" s="2"/>
      <c r="DG184" s="2"/>
    </row>
    <row r="185">
      <c r="A185" s="9"/>
      <c r="B185" s="5" t="s">
        <v>47</v>
      </c>
      <c r="C185" s="6">
        <v>2.0</v>
      </c>
      <c r="D185" s="6">
        <v>2.0</v>
      </c>
      <c r="E185" s="2"/>
      <c r="F185" s="10"/>
      <c r="G185" s="8" t="str">
        <f>IFERROR(__xludf.DUMMYFUNCTION("GOOGLETRANSLATE(B185,""DE"",""EN"")"),"Door handle defective")</f>
        <v>Door handle defective</v>
      </c>
      <c r="H185" s="8" t="str">
        <f>IFERROR(__xludf.DUMMYFUNCTION("GOOGLETRANSLATE(C185,""DE"",""EN"")"),"2")</f>
        <v>2</v>
      </c>
      <c r="I185" s="8" t="str">
        <f>IFERROR(__xludf.DUMMYFUNCTION("GOOGLETRANSLATE(D185,""DE"",""EN"")"),"2")</f>
        <v>2</v>
      </c>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W185" s="2"/>
      <c r="CX185" s="2"/>
      <c r="CY185" s="2"/>
      <c r="CZ185" s="2"/>
      <c r="DA185" s="2"/>
      <c r="DB185" s="2"/>
      <c r="DC185" s="2"/>
      <c r="DD185" s="2"/>
      <c r="DG185" s="2"/>
    </row>
    <row r="186">
      <c r="A186" s="9"/>
      <c r="B186" s="5" t="s">
        <v>49</v>
      </c>
      <c r="C186" s="6">
        <v>3.0</v>
      </c>
      <c r="D186" s="6">
        <v>3.0</v>
      </c>
      <c r="E186" s="2"/>
      <c r="F186" s="10"/>
      <c r="G186" s="8" t="str">
        <f>IFERROR(__xludf.DUMMYFUNCTION("GOOGLETRANSLATE(B186,""DE"",""EN"")"),"Leak")</f>
        <v>Leak</v>
      </c>
      <c r="H186" s="8" t="str">
        <f>IFERROR(__xludf.DUMMYFUNCTION("GOOGLETRANSLATE(C186,""DE"",""EN"")"),"3")</f>
        <v>3</v>
      </c>
      <c r="I186" s="8" t="str">
        <f>IFERROR(__xludf.DUMMYFUNCTION("GOOGLETRANSLATE(D186,""DE"",""EN"")"),"3")</f>
        <v>3</v>
      </c>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W186" s="2"/>
      <c r="CX186" s="2"/>
      <c r="CY186" s="2"/>
      <c r="CZ186" s="2"/>
      <c r="DA186" s="2"/>
      <c r="DB186" s="2"/>
      <c r="DC186" s="2"/>
      <c r="DD186" s="2"/>
      <c r="DG186" s="2"/>
    </row>
    <row r="187">
      <c r="A187" s="9"/>
      <c r="B187" s="5" t="s">
        <v>50</v>
      </c>
      <c r="C187" s="6">
        <v>1.0</v>
      </c>
      <c r="D187" s="6">
        <v>1.0</v>
      </c>
      <c r="E187" s="2"/>
      <c r="F187" s="10"/>
      <c r="G187" s="8" t="str">
        <f>IFERROR(__xludf.DUMMYFUNCTION("GOOGLETRANSLATE(B187,""DE"",""EN"")"),"Lumperities (roof)")</f>
        <v>Lumperities (roof)</v>
      </c>
      <c r="H187" s="8" t="str">
        <f>IFERROR(__xludf.DUMMYFUNCTION("GOOGLETRANSLATE(C187,""DE"",""EN"")"),"1")</f>
        <v>1</v>
      </c>
      <c r="I187" s="8" t="str">
        <f>IFERROR(__xludf.DUMMYFUNCTION("GOOGLETRANSLATE(D187,""DE"",""EN"")"),"1")</f>
        <v>1</v>
      </c>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W187" s="2"/>
      <c r="CX187" s="2"/>
      <c r="CY187" s="2"/>
      <c r="CZ187" s="2"/>
      <c r="DA187" s="2"/>
      <c r="DB187" s="2"/>
      <c r="DC187" s="2"/>
      <c r="DD187" s="2"/>
      <c r="DG187" s="2"/>
    </row>
    <row r="188">
      <c r="A188" s="12"/>
      <c r="B188" s="5" t="s">
        <v>76</v>
      </c>
      <c r="C188" s="6">
        <v>2.0</v>
      </c>
      <c r="D188" s="6">
        <v>2.0</v>
      </c>
      <c r="E188" s="2"/>
      <c r="F188" s="13"/>
      <c r="G188" s="8" t="str">
        <f>IFERROR(__xludf.DUMMYFUNCTION("GOOGLETRANSLATE(B188,""DE"",""EN"")"),"constipation")</f>
        <v>constipation</v>
      </c>
      <c r="H188" s="8" t="str">
        <f>IFERROR(__xludf.DUMMYFUNCTION("GOOGLETRANSLATE(C188,""DE"",""EN"")"),"2")</f>
        <v>2</v>
      </c>
      <c r="I188" s="8" t="str">
        <f>IFERROR(__xludf.DUMMYFUNCTION("GOOGLETRANSLATE(D188,""DE"",""EN"")"),"2")</f>
        <v>2</v>
      </c>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W188" s="2"/>
      <c r="CX188" s="2"/>
      <c r="CY188" s="2"/>
      <c r="CZ188" s="2"/>
      <c r="DA188" s="2"/>
      <c r="DB188" s="2"/>
      <c r="DC188" s="2"/>
      <c r="DD188" s="2"/>
      <c r="DG188" s="2"/>
    </row>
    <row r="189">
      <c r="A189" s="12"/>
      <c r="B189" s="5" t="s">
        <v>52</v>
      </c>
      <c r="C189" s="6">
        <v>7.0</v>
      </c>
      <c r="D189" s="6">
        <v>6.0</v>
      </c>
      <c r="E189" s="2"/>
      <c r="F189" s="13"/>
      <c r="G189" s="8" t="str">
        <f>IFERROR(__xludf.DUMMYFUNCTION("GOOGLETRANSLATE(B189,""DE"",""EN"")"),"Wach- and patrol service (42600001)")</f>
        <v>Wach- and patrol service (42600001)</v>
      </c>
      <c r="H189" s="8" t="str">
        <f>IFERROR(__xludf.DUMMYFUNCTION("GOOGLETRANSLATE(C189,""DE"",""EN"")"),"7")</f>
        <v>7</v>
      </c>
      <c r="I189" s="8" t="str">
        <f>IFERROR(__xludf.DUMMYFUNCTION("GOOGLETRANSLATE(D189,""DE"",""EN"")"),"6")</f>
        <v>6</v>
      </c>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W189" s="2"/>
      <c r="CX189" s="2"/>
      <c r="CY189" s="2"/>
      <c r="CZ189" s="2"/>
      <c r="DA189" s="2"/>
      <c r="DB189" s="2"/>
      <c r="DC189" s="2"/>
      <c r="DD189" s="2"/>
      <c r="DG189" s="2"/>
    </row>
    <row r="190">
      <c r="A190" s="4" t="s">
        <v>96</v>
      </c>
      <c r="B190" s="12"/>
      <c r="C190" s="14">
        <v>462.0</v>
      </c>
      <c r="D190" s="14">
        <v>370.0</v>
      </c>
      <c r="E190" s="2"/>
      <c r="F190" s="7" t="s">
        <v>96</v>
      </c>
      <c r="G190" s="8" t="str">
        <f>IFERROR(__xludf.DUMMYFUNCTION("GOOGLETRANSLATE(B190,""DE"",""EN"")"),"#VALUE!")</f>
        <v>#VALUE!</v>
      </c>
      <c r="H190" s="8" t="str">
        <f>IFERROR(__xludf.DUMMYFUNCTION("GOOGLETRANSLATE(C190,""DE"",""EN"")"),"462")</f>
        <v>462</v>
      </c>
      <c r="I190" s="8" t="str">
        <f>IFERROR(__xludf.DUMMYFUNCTION("GOOGLETRANSLATE(D190,""DE"",""EN"")"),"370")</f>
        <v>370</v>
      </c>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W190" s="2"/>
      <c r="CX190" s="2"/>
      <c r="CY190" s="2"/>
      <c r="CZ190" s="2"/>
      <c r="DA190" s="2"/>
      <c r="DB190" s="2"/>
      <c r="DC190" s="2"/>
      <c r="DD190" s="2"/>
      <c r="DG190" s="2"/>
    </row>
    <row r="191">
      <c r="A191" s="4" t="s">
        <v>97</v>
      </c>
      <c r="B191" s="5" t="s">
        <v>5</v>
      </c>
      <c r="C191" s="6">
        <v>1.0</v>
      </c>
      <c r="D191" s="6">
        <v>1.0</v>
      </c>
      <c r="E191" s="2"/>
      <c r="F191" s="7" t="s">
        <v>97</v>
      </c>
      <c r="G191" s="8" t="str">
        <f>IFERROR(__xludf.DUMMYFUNCTION("GOOGLETRANSLATE(B191,""DE"",""EN"")"),"Defect defect")</f>
        <v>Defect defect</v>
      </c>
      <c r="H191" s="8" t="str">
        <f>IFERROR(__xludf.DUMMYFUNCTION("GOOGLETRANSLATE(C191,""DE"",""EN"")"),"1")</f>
        <v>1</v>
      </c>
      <c r="I191" s="8" t="str">
        <f>IFERROR(__xludf.DUMMYFUNCTION("GOOGLETRANSLATE(D191,""DE"",""EN"")"),"1")</f>
        <v>1</v>
      </c>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W191" s="2"/>
      <c r="CX191" s="2"/>
      <c r="CY191" s="2"/>
      <c r="CZ191" s="2"/>
      <c r="DA191" s="2"/>
      <c r="DB191" s="2"/>
      <c r="DC191" s="2"/>
      <c r="DD191" s="2"/>
      <c r="DG191" s="2"/>
    </row>
    <row r="192">
      <c r="A192" s="9"/>
      <c r="B192" s="5" t="s">
        <v>7</v>
      </c>
      <c r="C192" s="6">
        <v>5.0</v>
      </c>
      <c r="D192" s="6">
        <v>4.0</v>
      </c>
      <c r="E192" s="2"/>
      <c r="F192" s="10"/>
      <c r="G192" s="8" t="str">
        <f>IFERROR(__xludf.DUMMYFUNCTION("GOOGLETRANSLATE(B192,""DE"",""EN"")"),"approached")</f>
        <v>approached</v>
      </c>
      <c r="H192" s="8" t="str">
        <f>IFERROR(__xludf.DUMMYFUNCTION("GOOGLETRANSLATE(C192,""DE"",""EN"")"),"5")</f>
        <v>5</v>
      </c>
      <c r="I192" s="8" t="str">
        <f>IFERROR(__xludf.DUMMYFUNCTION("GOOGLETRANSLATE(D192,""DE"",""EN"")"),"4")</f>
        <v>4</v>
      </c>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W192" s="2"/>
      <c r="CX192" s="2"/>
      <c r="CY192" s="2"/>
      <c r="CZ192" s="2"/>
      <c r="DA192" s="2"/>
      <c r="DB192" s="2"/>
      <c r="DC192" s="2"/>
      <c r="DD192" s="2"/>
      <c r="DG192" s="2"/>
    </row>
    <row r="193">
      <c r="A193" s="9"/>
      <c r="B193" s="5" t="s">
        <v>98</v>
      </c>
      <c r="C193" s="6">
        <v>1.0</v>
      </c>
      <c r="D193" s="6">
        <v>1.0</v>
      </c>
      <c r="E193" s="2"/>
      <c r="F193" s="10"/>
      <c r="G193" s="8" t="str">
        <f>IFERROR(__xludf.DUMMYFUNCTION("GOOGLETRANSLATE(B193,""DE"",""EN"")"),"Triggering false alarm (42600004)")</f>
        <v>Triggering false alarm (42600004)</v>
      </c>
      <c r="H193" s="8" t="str">
        <f>IFERROR(__xludf.DUMMYFUNCTION("GOOGLETRANSLATE(C193,""DE"",""EN"")"),"1")</f>
        <v>1</v>
      </c>
      <c r="I193" s="8" t="str">
        <f>IFERROR(__xludf.DUMMYFUNCTION("GOOGLETRANSLATE(D193,""DE"",""EN"")"),"1")</f>
        <v>1</v>
      </c>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W193" s="2"/>
      <c r="CX193" s="2"/>
      <c r="CY193" s="2"/>
      <c r="CZ193" s="2"/>
      <c r="DA193" s="2"/>
      <c r="DB193" s="2"/>
      <c r="DC193" s="2"/>
      <c r="DD193" s="2"/>
      <c r="DG193" s="2"/>
    </row>
    <row r="194">
      <c r="A194" s="9"/>
      <c r="B194" s="5" t="s">
        <v>9</v>
      </c>
      <c r="C194" s="6">
        <v>1.0</v>
      </c>
      <c r="D194" s="6">
        <v>1.0</v>
      </c>
      <c r="E194" s="2"/>
      <c r="F194" s="10"/>
      <c r="G194" s="8" t="str">
        <f>IFERROR(__xludf.DUMMYFUNCTION("GOOGLETRANSLATE(B194,""DE"",""EN"")"),"Back program wrong")</f>
        <v>Back program wrong</v>
      </c>
      <c r="H194" s="8" t="str">
        <f>IFERROR(__xludf.DUMMYFUNCTION("GOOGLETRANSLATE(C194,""DE"",""EN"")"),"1")</f>
        <v>1</v>
      </c>
      <c r="I194" s="8" t="str">
        <f>IFERROR(__xludf.DUMMYFUNCTION("GOOGLETRANSLATE(D194,""DE"",""EN"")"),"1")</f>
        <v>1</v>
      </c>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W194" s="2"/>
      <c r="CX194" s="2"/>
      <c r="CY194" s="2"/>
      <c r="CZ194" s="2"/>
      <c r="DA194" s="2"/>
      <c r="DB194" s="2"/>
      <c r="DC194" s="2"/>
      <c r="DD194" s="2"/>
      <c r="DG194" s="2"/>
    </row>
    <row r="195">
      <c r="A195" s="9"/>
      <c r="B195" s="5" t="s">
        <v>10</v>
      </c>
      <c r="C195" s="6">
        <v>9.0</v>
      </c>
      <c r="D195" s="6">
        <v>8.0</v>
      </c>
      <c r="E195" s="2"/>
      <c r="F195" s="10"/>
      <c r="G195" s="8" t="str">
        <f>IFERROR(__xludf.DUMMYFUNCTION("GOOGLETRANSLATE(B195,""DE"",""EN"")"),"Lighting defect")</f>
        <v>Lighting defect</v>
      </c>
      <c r="H195" s="8" t="str">
        <f>IFERROR(__xludf.DUMMYFUNCTION("GOOGLETRANSLATE(C195,""DE"",""EN"")"),"9")</f>
        <v>9</v>
      </c>
      <c r="I195" s="8" t="str">
        <f>IFERROR(__xludf.DUMMYFUNCTION("GOOGLETRANSLATE(D195,""DE"",""EN"")"),"8th")</f>
        <v>8th</v>
      </c>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W195" s="2"/>
      <c r="CX195" s="2"/>
      <c r="CY195" s="2"/>
      <c r="CZ195" s="2"/>
      <c r="DA195" s="2"/>
      <c r="DB195" s="2"/>
      <c r="DC195" s="2"/>
      <c r="DD195" s="2"/>
      <c r="DG195" s="2"/>
    </row>
    <row r="196">
      <c r="A196" s="9"/>
      <c r="B196" s="5" t="s">
        <v>11</v>
      </c>
      <c r="C196" s="6">
        <v>14.0</v>
      </c>
      <c r="D196" s="6">
        <v>12.0</v>
      </c>
      <c r="E196" s="2"/>
      <c r="F196" s="10"/>
      <c r="G196" s="8" t="str">
        <f>IFERROR(__xludf.DUMMYFUNCTION("GOOGLETRANSLATE(B196,""DE"",""EN"")"),"Damage / break")</f>
        <v>Damage / break</v>
      </c>
      <c r="H196" s="8" t="str">
        <f>IFERROR(__xludf.DUMMYFUNCTION("GOOGLETRANSLATE(C196,""DE"",""EN"")"),"14")</f>
        <v>14</v>
      </c>
      <c r="I196" s="8" t="str">
        <f>IFERROR(__xludf.DUMMYFUNCTION("GOOGLETRANSLATE(D196,""DE"",""EN"")"),"12")</f>
        <v>12</v>
      </c>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W196" s="2"/>
      <c r="CX196" s="2"/>
      <c r="CY196" s="2"/>
      <c r="CZ196" s="2"/>
      <c r="DA196" s="2"/>
      <c r="DB196" s="2"/>
      <c r="DC196" s="2"/>
      <c r="DD196" s="2"/>
      <c r="DG196" s="2"/>
    </row>
    <row r="197">
      <c r="A197" s="9"/>
      <c r="B197" s="5" t="s">
        <v>99</v>
      </c>
      <c r="C197" s="6">
        <v>1.0</v>
      </c>
      <c r="D197" s="6">
        <v>1.0</v>
      </c>
      <c r="E197" s="2"/>
      <c r="F197" s="10"/>
      <c r="G197" s="8" t="str">
        <f>IFERROR(__xludf.DUMMYFUNCTION("GOOGLETRANSLATE(B197,""DE"",""EN"")"),"Signposts damaged / deficiency")</f>
        <v>Signposts damaged / deficiency</v>
      </c>
      <c r="H197" s="8" t="str">
        <f>IFERROR(__xludf.DUMMYFUNCTION("GOOGLETRANSLATE(C197,""DE"",""EN"")"),"1")</f>
        <v>1</v>
      </c>
      <c r="I197" s="8" t="str">
        <f>IFERROR(__xludf.DUMMYFUNCTION("GOOGLETRANSLATE(D197,""DE"",""EN"")"),"1")</f>
        <v>1</v>
      </c>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W197" s="2"/>
      <c r="CX197" s="2"/>
      <c r="CY197" s="2"/>
      <c r="CZ197" s="2"/>
      <c r="DA197" s="2"/>
      <c r="DB197" s="2"/>
      <c r="DC197" s="2"/>
      <c r="DD197" s="2"/>
      <c r="DG197" s="2"/>
    </row>
    <row r="198">
      <c r="A198" s="9"/>
      <c r="B198" s="5" t="s">
        <v>12</v>
      </c>
      <c r="C198" s="6">
        <v>205.0</v>
      </c>
      <c r="D198" s="6">
        <v>121.0</v>
      </c>
      <c r="E198" s="2"/>
      <c r="F198" s="10"/>
      <c r="G198" s="8" t="str">
        <f>IFERROR(__xludf.DUMMYFUNCTION("GOOGLETRANSLATE(B198,""DE"",""EN"")"),"Description in the BO")</f>
        <v>Description in the BO</v>
      </c>
      <c r="H198" s="8" t="str">
        <f>IFERROR(__xludf.DUMMYFUNCTION("GOOGLETRANSLATE(C198,""DE"",""EN"")"),"205")</f>
        <v>205</v>
      </c>
      <c r="I198" s="8" t="str">
        <f>IFERROR(__xludf.DUMMYFUNCTION("GOOGLETRANSLATE(D198,""DE"",""EN"")"),"121")</f>
        <v>121</v>
      </c>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W198" s="2"/>
      <c r="CX198" s="2"/>
      <c r="CY198" s="2"/>
      <c r="CZ198" s="2"/>
      <c r="DA198" s="2"/>
      <c r="DB198" s="2"/>
      <c r="DC198" s="2"/>
      <c r="DD198" s="2"/>
      <c r="DG198" s="2"/>
    </row>
    <row r="199">
      <c r="A199" s="9"/>
      <c r="B199" s="5" t="s">
        <v>80</v>
      </c>
      <c r="C199" s="6">
        <v>2.0</v>
      </c>
      <c r="D199" s="6">
        <v>2.0</v>
      </c>
      <c r="E199" s="2"/>
      <c r="F199" s="10"/>
      <c r="G199" s="8" t="str">
        <f>IFERROR(__xludf.DUMMYFUNCTION("GOOGLETRANSLATE(B199,""DE"",""EN"")"),"malfunction")</f>
        <v>malfunction</v>
      </c>
      <c r="H199" s="8" t="str">
        <f>IFERROR(__xludf.DUMMYFUNCTION("GOOGLETRANSLATE(C199,""DE"",""EN"")"),"2")</f>
        <v>2</v>
      </c>
      <c r="I199" s="8" t="str">
        <f>IFERROR(__xludf.DUMMYFUNCTION("GOOGLETRANSLATE(D199,""DE"",""EN"")"),"2")</f>
        <v>2</v>
      </c>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W199" s="2"/>
      <c r="CX199" s="2"/>
      <c r="CY199" s="2"/>
      <c r="CZ199" s="2"/>
      <c r="DA199" s="2"/>
      <c r="DB199" s="2"/>
      <c r="DC199" s="2"/>
      <c r="DD199" s="2"/>
      <c r="DG199" s="2"/>
    </row>
    <row r="200">
      <c r="A200" s="9"/>
      <c r="B200" s="5" t="s">
        <v>14</v>
      </c>
      <c r="C200" s="6">
        <v>1.0</v>
      </c>
      <c r="D200" s="6">
        <v>1.0</v>
      </c>
      <c r="E200" s="2"/>
      <c r="F200" s="10"/>
      <c r="G200" s="8" t="str">
        <f>IFERROR(__xludf.DUMMYFUNCTION("GOOGLETRANSLATE(B200,""DE"",""EN"")"),"Urgent / over consumption")</f>
        <v>Urgent / over consumption</v>
      </c>
      <c r="H200" s="8" t="str">
        <f>IFERROR(__xludf.DUMMYFUNCTION("GOOGLETRANSLATE(C200,""DE"",""EN"")"),"1")</f>
        <v>1</v>
      </c>
      <c r="I200" s="8" t="str">
        <f>IFERROR(__xludf.DUMMYFUNCTION("GOOGLETRANSLATE(D200,""DE"",""EN"")"),"1")</f>
        <v>1</v>
      </c>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W200" s="2"/>
      <c r="CX200" s="2"/>
      <c r="CY200" s="2"/>
      <c r="CZ200" s="2"/>
      <c r="DA200" s="2"/>
      <c r="DB200" s="2"/>
      <c r="DC200" s="2"/>
      <c r="DD200" s="2"/>
      <c r="DG200" s="2"/>
    </row>
    <row r="201">
      <c r="A201" s="9"/>
      <c r="B201" s="5" t="s">
        <v>100</v>
      </c>
      <c r="C201" s="6">
        <v>1.0</v>
      </c>
      <c r="D201" s="11"/>
      <c r="E201" s="2"/>
      <c r="F201" s="10"/>
      <c r="G201" s="8" t="str">
        <f>IFERROR(__xludf.DUMMYFUNCTION("GOOGLETRANSLATE(B201,""DE"",""EN"")"),"Defect protection defective")</f>
        <v>Defect protection defective</v>
      </c>
      <c r="H201" s="8" t="str">
        <f>IFERROR(__xludf.DUMMYFUNCTION("GOOGLETRANSLATE(C201,""DE"",""EN"")"),"1")</f>
        <v>1</v>
      </c>
      <c r="I201" s="8"/>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W201" s="2"/>
      <c r="CX201" s="2"/>
      <c r="CY201" s="2"/>
      <c r="CZ201" s="2"/>
      <c r="DA201" s="2"/>
      <c r="DB201" s="2"/>
      <c r="DC201" s="2"/>
      <c r="DD201" s="2"/>
      <c r="DG201" s="2"/>
    </row>
    <row r="202">
      <c r="A202" s="9"/>
      <c r="B202" s="5" t="s">
        <v>15</v>
      </c>
      <c r="C202" s="6">
        <v>2.0</v>
      </c>
      <c r="D202" s="6">
        <v>1.0</v>
      </c>
      <c r="E202" s="2"/>
      <c r="F202" s="10"/>
      <c r="G202" s="8" t="str">
        <f>IFERROR(__xludf.DUMMYFUNCTION("GOOGLETRANSLATE(B202,""DE"",""EN"")"),"Window cleaning (42160003)")</f>
        <v>Window cleaning (42160003)</v>
      </c>
      <c r="H202" s="8" t="str">
        <f>IFERROR(__xludf.DUMMYFUNCTION("GOOGLETRANSLATE(C202,""DE"",""EN"")"),"2")</f>
        <v>2</v>
      </c>
      <c r="I202" s="8" t="str">
        <f>IFERROR(__xludf.DUMMYFUNCTION("GOOGLETRANSLATE(D202,""DE"",""EN"")"),"1")</f>
        <v>1</v>
      </c>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W202" s="2"/>
      <c r="CX202" s="2"/>
      <c r="CY202" s="2"/>
      <c r="CZ202" s="2"/>
      <c r="DA202" s="2"/>
      <c r="DB202" s="2"/>
      <c r="DC202" s="2"/>
      <c r="DD202" s="2"/>
      <c r="DG202" s="2"/>
    </row>
    <row r="203">
      <c r="A203" s="9"/>
      <c r="B203" s="5" t="s">
        <v>17</v>
      </c>
      <c r="C203" s="6">
        <v>1.0</v>
      </c>
      <c r="D203" s="6">
        <v>1.0</v>
      </c>
      <c r="E203" s="2"/>
      <c r="F203" s="10"/>
      <c r="G203" s="8" t="str">
        <f>IFERROR(__xludf.DUMMYFUNCTION("GOOGLETRANSLATE(B203,""DE"",""EN"")"),"Filiatry temperature above 25 ° C")</f>
        <v>Filiatry temperature above 25 ° C</v>
      </c>
      <c r="H203" s="8" t="str">
        <f>IFERROR(__xludf.DUMMYFUNCTION("GOOGLETRANSLATE(C203,""DE"",""EN"")"),"1")</f>
        <v>1</v>
      </c>
      <c r="I203" s="8" t="str">
        <f>IFERROR(__xludf.DUMMYFUNCTION("GOOGLETRANSLATE(D203,""DE"",""EN"")"),"1")</f>
        <v>1</v>
      </c>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W203" s="2"/>
      <c r="CX203" s="2"/>
      <c r="CY203" s="2"/>
      <c r="CZ203" s="2"/>
      <c r="DA203" s="2"/>
      <c r="DB203" s="2"/>
      <c r="DC203" s="2"/>
      <c r="DD203" s="2"/>
      <c r="DG203" s="2"/>
    </row>
    <row r="204">
      <c r="A204" s="9"/>
      <c r="B204" s="5" t="s">
        <v>18</v>
      </c>
      <c r="C204" s="6">
        <v>1.0</v>
      </c>
      <c r="D204" s="6">
        <v>1.0</v>
      </c>
      <c r="E204" s="2"/>
      <c r="F204" s="10"/>
      <c r="G204" s="8" t="str">
        <f>IFERROR(__xludf.DUMMYFUNCTION("GOOGLETRANSLATE(B204,""DE"",""EN"")"),"Filiatry temperature below 18 ° C")</f>
        <v>Filiatry temperature below 18 ° C</v>
      </c>
      <c r="H204" s="8" t="str">
        <f>IFERROR(__xludf.DUMMYFUNCTION("GOOGLETRANSLATE(C204,""DE"",""EN"")"),"1")</f>
        <v>1</v>
      </c>
      <c r="I204" s="8" t="str">
        <f>IFERROR(__xludf.DUMMYFUNCTION("GOOGLETRANSLATE(D204,""DE"",""EN"")"),"1")</f>
        <v>1</v>
      </c>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W204" s="2"/>
      <c r="CX204" s="2"/>
      <c r="CY204" s="2"/>
      <c r="CZ204" s="2"/>
      <c r="DA204" s="2"/>
      <c r="DB204" s="2"/>
      <c r="DC204" s="2"/>
      <c r="DD204" s="2"/>
      <c r="DG204" s="2"/>
    </row>
    <row r="205">
      <c r="A205" s="9"/>
      <c r="B205" s="5" t="s">
        <v>20</v>
      </c>
      <c r="C205" s="6">
        <v>7.0</v>
      </c>
      <c r="D205" s="6">
        <v>6.0</v>
      </c>
      <c r="E205" s="2"/>
      <c r="F205" s="10"/>
      <c r="G205" s="8" t="str">
        <f>IFERROR(__xludf.DUMMYFUNCTION("GOOGLETRANSLATE(B205,""DE"",""EN"")"),"Doesn't work")</f>
        <v>Doesn't work</v>
      </c>
      <c r="H205" s="8" t="str">
        <f>IFERROR(__xludf.DUMMYFUNCTION("GOOGLETRANSLATE(C205,""DE"",""EN"")"),"7")</f>
        <v>7</v>
      </c>
      <c r="I205" s="8" t="str">
        <f>IFERROR(__xludf.DUMMYFUNCTION("GOOGLETRANSLATE(D205,""DE"",""EN"")"),"6")</f>
        <v>6</v>
      </c>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W205" s="2"/>
      <c r="CX205" s="2"/>
      <c r="CY205" s="2"/>
      <c r="CZ205" s="2"/>
      <c r="DA205" s="2"/>
      <c r="DB205" s="2"/>
      <c r="DC205" s="2"/>
      <c r="DD205" s="2"/>
      <c r="DG205" s="2"/>
    </row>
    <row r="206">
      <c r="A206" s="9"/>
      <c r="B206" s="5" t="s">
        <v>21</v>
      </c>
      <c r="C206" s="6">
        <v>1.0</v>
      </c>
      <c r="D206" s="6">
        <v>1.0</v>
      </c>
      <c r="E206" s="2"/>
      <c r="F206" s="10"/>
      <c r="G206" s="8" t="str">
        <f>IFERROR(__xludf.DUMMYFUNCTION("GOOGLETRANSLATE(B206,""DE"",""EN"")"),"Noise")</f>
        <v>Noise</v>
      </c>
      <c r="H206" s="8" t="str">
        <f>IFERROR(__xludf.DUMMYFUNCTION("GOOGLETRANSLATE(C206,""DE"",""EN"")"),"1")</f>
        <v>1</v>
      </c>
      <c r="I206" s="8" t="str">
        <f>IFERROR(__xludf.DUMMYFUNCTION("GOOGLETRANSLATE(D206,""DE"",""EN"")"),"1")</f>
        <v>1</v>
      </c>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W206" s="2"/>
      <c r="CX206" s="2"/>
      <c r="CY206" s="2"/>
      <c r="CZ206" s="2"/>
      <c r="DA206" s="2"/>
      <c r="DB206" s="2"/>
      <c r="DC206" s="2"/>
      <c r="DD206" s="2"/>
      <c r="DG206" s="2"/>
    </row>
    <row r="207">
      <c r="A207" s="9"/>
      <c r="B207" s="5" t="s">
        <v>23</v>
      </c>
      <c r="C207" s="6">
        <v>1.0</v>
      </c>
      <c r="D207" s="6">
        <v>1.0</v>
      </c>
      <c r="E207" s="2"/>
      <c r="F207" s="10"/>
      <c r="G207" s="8" t="str">
        <f>IFERROR(__xludf.DUMMYFUNCTION("GOOGLETRANSLATE(B207,""DE"",""EN"")"),"Glass lid defective")</f>
        <v>Glass lid defective</v>
      </c>
      <c r="H207" s="8" t="str">
        <f>IFERROR(__xludf.DUMMYFUNCTION("GOOGLETRANSLATE(C207,""DE"",""EN"")"),"1")</f>
        <v>1</v>
      </c>
      <c r="I207" s="8" t="str">
        <f>IFERROR(__xludf.DUMMYFUNCTION("GOOGLETRANSLATE(D207,""DE"",""EN"")"),"1")</f>
        <v>1</v>
      </c>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W207" s="2"/>
      <c r="CX207" s="2"/>
      <c r="CY207" s="2"/>
      <c r="CZ207" s="2"/>
      <c r="DA207" s="2"/>
      <c r="DB207" s="2"/>
      <c r="DC207" s="2"/>
      <c r="DD207" s="2"/>
      <c r="DG207" s="2"/>
    </row>
    <row r="208">
      <c r="A208" s="9"/>
      <c r="B208" s="5" t="s">
        <v>24</v>
      </c>
      <c r="C208" s="6">
        <v>2.0</v>
      </c>
      <c r="D208" s="6">
        <v>2.0</v>
      </c>
      <c r="E208" s="2"/>
      <c r="F208" s="10"/>
      <c r="G208" s="8" t="str">
        <f>IFERROR(__xludf.DUMMYFUNCTION("GOOGLETRANSLATE(B208,""DE"",""EN"")"),"Handle defective")</f>
        <v>Handle defective</v>
      </c>
      <c r="H208" s="8" t="str">
        <f>IFERROR(__xludf.DUMMYFUNCTION("GOOGLETRANSLATE(C208,""DE"",""EN"")"),"2")</f>
        <v>2</v>
      </c>
      <c r="I208" s="8" t="str">
        <f>IFERROR(__xludf.DUMMYFUNCTION("GOOGLETRANSLATE(D208,""DE"",""EN"")"),"2")</f>
        <v>2</v>
      </c>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W208" s="2"/>
      <c r="CX208" s="2"/>
      <c r="CY208" s="2"/>
      <c r="CZ208" s="2"/>
      <c r="DA208" s="2"/>
      <c r="DB208" s="2"/>
      <c r="DC208" s="2"/>
      <c r="DD208" s="2"/>
      <c r="DG208" s="2"/>
    </row>
    <row r="209">
      <c r="A209" s="9"/>
      <c r="B209" s="5" t="s">
        <v>25</v>
      </c>
      <c r="C209" s="6">
        <v>3.0</v>
      </c>
      <c r="D209" s="6">
        <v>3.0</v>
      </c>
      <c r="E209" s="2"/>
      <c r="F209" s="10"/>
      <c r="G209" s="8" t="str">
        <f>IFERROR(__xludf.DUMMYFUNCTION("GOOGLETRANSLATE(B209,""DE"",""EN"")"),"Cash tape defective")</f>
        <v>Cash tape defective</v>
      </c>
      <c r="H209" s="8" t="str">
        <f>IFERROR(__xludf.DUMMYFUNCTION("GOOGLETRANSLATE(C209,""DE"",""EN"")"),"3")</f>
        <v>3</v>
      </c>
      <c r="I209" s="8" t="str">
        <f>IFERROR(__xludf.DUMMYFUNCTION("GOOGLETRANSLATE(D209,""DE"",""EN"")"),"3")</f>
        <v>3</v>
      </c>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W209" s="2"/>
      <c r="CX209" s="2"/>
      <c r="CY209" s="2"/>
      <c r="CZ209" s="2"/>
      <c r="DA209" s="2"/>
      <c r="DB209" s="2"/>
      <c r="DC209" s="2"/>
      <c r="DD209" s="2"/>
      <c r="DG209" s="2"/>
    </row>
    <row r="210">
      <c r="A210" s="9"/>
      <c r="B210" s="5" t="s">
        <v>26</v>
      </c>
      <c r="C210" s="6">
        <v>2.0</v>
      </c>
      <c r="D210" s="6">
        <v>2.0</v>
      </c>
      <c r="E210" s="2"/>
      <c r="F210" s="10"/>
      <c r="G210" s="8" t="str">
        <f>IFERROR(__xludf.DUMMYFUNCTION("GOOGLETRANSLATE(B210,""DE"",""EN"")"),"Small animal infestation")</f>
        <v>Small animal infestation</v>
      </c>
      <c r="H210" s="8" t="str">
        <f>IFERROR(__xludf.DUMMYFUNCTION("GOOGLETRANSLATE(C210,""DE"",""EN"")"),"2")</f>
        <v>2</v>
      </c>
      <c r="I210" s="8" t="str">
        <f>IFERROR(__xludf.DUMMYFUNCTION("GOOGLETRANSLATE(D210,""DE"",""EN"")"),"2")</f>
        <v>2</v>
      </c>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W210" s="2"/>
      <c r="CX210" s="2"/>
      <c r="CY210" s="2"/>
      <c r="CZ210" s="2"/>
      <c r="DA210" s="2"/>
      <c r="DB210" s="2"/>
      <c r="DC210" s="2"/>
      <c r="DD210" s="2"/>
      <c r="DG210" s="2"/>
    </row>
    <row r="211">
      <c r="A211" s="9"/>
      <c r="B211" s="5" t="s">
        <v>101</v>
      </c>
      <c r="C211" s="6">
        <v>2.0</v>
      </c>
      <c r="D211" s="11"/>
      <c r="E211" s="2"/>
      <c r="F211" s="10"/>
      <c r="G211" s="8" t="str">
        <f>IFERROR(__xludf.DUMMYFUNCTION("GOOGLETRANSLATE(B211,""DE"",""EN"")"),"Closet damaged")</f>
        <v>Closet damaged</v>
      </c>
      <c r="H211" s="8" t="str">
        <f>IFERROR(__xludf.DUMMYFUNCTION("GOOGLETRANSLATE(C211,""DE"",""EN"")"),"2")</f>
        <v>2</v>
      </c>
      <c r="I211" s="8"/>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W211" s="2"/>
      <c r="CX211" s="2"/>
      <c r="CY211" s="2"/>
      <c r="CZ211" s="2"/>
      <c r="DA211" s="2"/>
      <c r="DB211" s="2"/>
      <c r="DC211" s="2"/>
      <c r="DD211" s="2"/>
      <c r="DG211" s="2"/>
    </row>
    <row r="212">
      <c r="A212" s="9"/>
      <c r="B212" s="5" t="s">
        <v>64</v>
      </c>
      <c r="C212" s="6">
        <v>5.0</v>
      </c>
      <c r="D212" s="6">
        <v>5.0</v>
      </c>
      <c r="E212" s="2"/>
      <c r="F212" s="10"/>
      <c r="G212" s="8" t="str">
        <f>IFERROR(__xludf.DUMMYFUNCTION("GOOGLETRANSLATE(B212,""DE"",""EN"")"),"Complete system defective")</f>
        <v>Complete system defective</v>
      </c>
      <c r="H212" s="8" t="str">
        <f>IFERROR(__xludf.DUMMYFUNCTION("GOOGLETRANSLATE(C212,""DE"",""EN"")"),"5")</f>
        <v>5</v>
      </c>
      <c r="I212" s="8" t="str">
        <f>IFERROR(__xludf.DUMMYFUNCTION("GOOGLETRANSLATE(D212,""DE"",""EN"")"),"5")</f>
        <v>5</v>
      </c>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W212" s="2"/>
      <c r="CX212" s="2"/>
      <c r="CY212" s="2"/>
      <c r="CZ212" s="2"/>
      <c r="DA212" s="2"/>
      <c r="DB212" s="2"/>
      <c r="DC212" s="2"/>
      <c r="DD212" s="2"/>
      <c r="DG212" s="2"/>
    </row>
    <row r="213">
      <c r="A213" s="9"/>
      <c r="B213" s="5" t="s">
        <v>28</v>
      </c>
      <c r="C213" s="6">
        <v>18.0</v>
      </c>
      <c r="D213" s="6">
        <v>8.0</v>
      </c>
      <c r="E213" s="2"/>
      <c r="F213" s="10"/>
      <c r="G213" s="8" t="str">
        <f>IFERROR(__xludf.DUMMYFUNCTION("GOOGLETRANSLATE(B213,""DE"",""EN"")"),"Cooling alarm")</f>
        <v>Cooling alarm</v>
      </c>
      <c r="H213" s="8" t="str">
        <f>IFERROR(__xludf.DUMMYFUNCTION("GOOGLETRANSLATE(C213,""DE"",""EN"")"),"18")</f>
        <v>18</v>
      </c>
      <c r="I213" s="8" t="str">
        <f>IFERROR(__xludf.DUMMYFUNCTION("GOOGLETRANSLATE(D213,""DE"",""EN"")"),"8th")</f>
        <v>8th</v>
      </c>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W213" s="2"/>
      <c r="CX213" s="2"/>
      <c r="CY213" s="2"/>
      <c r="CZ213" s="2"/>
      <c r="DA213" s="2"/>
      <c r="DB213" s="2"/>
      <c r="DC213" s="2"/>
      <c r="DD213" s="2"/>
      <c r="DG213" s="2"/>
    </row>
    <row r="214">
      <c r="A214" s="9"/>
      <c r="B214" s="5" t="s">
        <v>29</v>
      </c>
      <c r="C214" s="6">
        <v>5.0</v>
      </c>
      <c r="D214" s="6">
        <v>5.0</v>
      </c>
      <c r="E214" s="2"/>
      <c r="F214" s="10"/>
      <c r="G214" s="8" t="str">
        <f>IFERROR(__xludf.DUMMYFUNCTION("GOOGLETRANSLATE(B214,""DE"",""EN"")"),"Shop construction (42500097)")</f>
        <v>Shop construction (42500097)</v>
      </c>
      <c r="H214" s="8" t="str">
        <f>IFERROR(__xludf.DUMMYFUNCTION("GOOGLETRANSLATE(C214,""DE"",""EN"")"),"5")</f>
        <v>5</v>
      </c>
      <c r="I214" s="8" t="str">
        <f>IFERROR(__xludf.DUMMYFUNCTION("GOOGLETRANSLATE(D214,""DE"",""EN"")"),"5")</f>
        <v>5</v>
      </c>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W214" s="2"/>
      <c r="CX214" s="2"/>
      <c r="CY214" s="2"/>
      <c r="CZ214" s="2"/>
      <c r="DA214" s="2"/>
      <c r="DB214" s="2"/>
      <c r="DC214" s="2"/>
      <c r="DD214" s="2"/>
      <c r="DG214" s="2"/>
    </row>
    <row r="215">
      <c r="A215" s="9"/>
      <c r="B215" s="5" t="s">
        <v>66</v>
      </c>
      <c r="C215" s="6">
        <v>4.0</v>
      </c>
      <c r="D215" s="6">
        <v>2.0</v>
      </c>
      <c r="E215" s="2"/>
      <c r="F215" s="10"/>
      <c r="G215" s="8" t="str">
        <f>IFERROR(__xludf.DUMMYFUNCTION("GOOGLETRANSLATE(B215,""DE"",""EN"")"),"Not running")</f>
        <v>Not running</v>
      </c>
      <c r="H215" s="8" t="str">
        <f>IFERROR(__xludf.DUMMYFUNCTION("GOOGLETRANSLATE(C215,""DE"",""EN"")"),"4")</f>
        <v>4</v>
      </c>
      <c r="I215" s="8" t="str">
        <f>IFERROR(__xludf.DUMMYFUNCTION("GOOGLETRANSLATE(D215,""DE"",""EN"")"),"2")</f>
        <v>2</v>
      </c>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W215" s="2"/>
      <c r="CX215" s="2"/>
      <c r="CY215" s="2"/>
      <c r="CZ215" s="2"/>
      <c r="DA215" s="2"/>
      <c r="DB215" s="2"/>
      <c r="DC215" s="2"/>
      <c r="DD215" s="2"/>
      <c r="DG215" s="2"/>
    </row>
    <row r="216">
      <c r="A216" s="9"/>
      <c r="B216" s="5" t="s">
        <v>30</v>
      </c>
      <c r="C216" s="6">
        <v>1.0</v>
      </c>
      <c r="D216" s="6">
        <v>1.0</v>
      </c>
      <c r="E216" s="2"/>
      <c r="F216" s="10"/>
      <c r="G216" s="8" t="str">
        <f>IFERROR(__xludf.DUMMYFUNCTION("GOOGLETRANSLATE(B216,""DE"",""EN"")"),"Lamps failed")</f>
        <v>Lamps failed</v>
      </c>
      <c r="H216" s="8" t="str">
        <f>IFERROR(__xludf.DUMMYFUNCTION("GOOGLETRANSLATE(C216,""DE"",""EN"")"),"1")</f>
        <v>1</v>
      </c>
      <c r="I216" s="8" t="str">
        <f>IFERROR(__xludf.DUMMYFUNCTION("GOOGLETRANSLATE(D216,""DE"",""EN"")"),"1")</f>
        <v>1</v>
      </c>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W216" s="2"/>
      <c r="CX216" s="2"/>
      <c r="CY216" s="2"/>
      <c r="CZ216" s="2"/>
      <c r="DA216" s="2"/>
      <c r="DB216" s="2"/>
      <c r="DC216" s="2"/>
      <c r="DD216" s="2"/>
      <c r="DG216" s="2"/>
    </row>
    <row r="217">
      <c r="A217" s="9"/>
      <c r="B217" s="5" t="s">
        <v>33</v>
      </c>
      <c r="C217" s="6">
        <v>2.0</v>
      </c>
      <c r="D217" s="6">
        <v>1.0</v>
      </c>
      <c r="E217" s="2"/>
      <c r="F217" s="10"/>
      <c r="G217" s="8" t="str">
        <f>IFERROR(__xludf.DUMMYFUNCTION("GOOGLETRANSLATE(B217,""DE"",""EN"")"),"Painting requirement")</f>
        <v>Painting requirement</v>
      </c>
      <c r="H217" s="8" t="str">
        <f>IFERROR(__xludf.DUMMYFUNCTION("GOOGLETRANSLATE(C217,""DE"",""EN"")"),"2")</f>
        <v>2</v>
      </c>
      <c r="I217" s="8" t="str">
        <f>IFERROR(__xludf.DUMMYFUNCTION("GOOGLETRANSLATE(D217,""DE"",""EN"")"),"1")</f>
        <v>1</v>
      </c>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W217" s="2"/>
      <c r="CX217" s="2"/>
      <c r="CY217" s="2"/>
      <c r="CZ217" s="2"/>
      <c r="DA217" s="2"/>
      <c r="DB217" s="2"/>
      <c r="DC217" s="2"/>
      <c r="DD217" s="2"/>
      <c r="DG217" s="2"/>
    </row>
    <row r="218">
      <c r="A218" s="9"/>
      <c r="B218" s="5" t="s">
        <v>35</v>
      </c>
      <c r="C218" s="6">
        <v>33.0</v>
      </c>
      <c r="D218" s="6">
        <v>32.0</v>
      </c>
      <c r="E218" s="2"/>
      <c r="F218" s="10"/>
      <c r="G218" s="8" t="str">
        <f>IFERROR(__xludf.DUMMYFUNCTION("GOOGLETRANSLATE(B218,""DE"",""EN"")"),"Opening/closure defective")</f>
        <v>Opening/closure defective</v>
      </c>
      <c r="H218" s="8" t="str">
        <f>IFERROR(__xludf.DUMMYFUNCTION("GOOGLETRANSLATE(C218,""DE"",""EN"")"),"33")</f>
        <v>33</v>
      </c>
      <c r="I218" s="8" t="str">
        <f>IFERROR(__xludf.DUMMYFUNCTION("GOOGLETRANSLATE(D218,""DE"",""EN"")"),"32")</f>
        <v>32</v>
      </c>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W218" s="2"/>
      <c r="CX218" s="2"/>
      <c r="CY218" s="2"/>
      <c r="CZ218" s="2"/>
      <c r="DA218" s="2"/>
      <c r="DB218" s="2"/>
      <c r="DC218" s="2"/>
      <c r="DD218" s="2"/>
      <c r="DG218" s="2"/>
    </row>
    <row r="219">
      <c r="A219" s="9"/>
      <c r="B219" s="5" t="s">
        <v>37</v>
      </c>
      <c r="C219" s="6">
        <v>3.0</v>
      </c>
      <c r="D219" s="11"/>
      <c r="E219" s="2"/>
      <c r="F219" s="10"/>
      <c r="G219" s="8" t="str">
        <f>IFERROR(__xludf.DUMMYFUNCTION("GOOGLETRANSLATE(B219,""DE"",""EN"")"),"Priority 1")</f>
        <v>Priority 1</v>
      </c>
      <c r="H219" s="8" t="str">
        <f>IFERROR(__xludf.DUMMYFUNCTION("GOOGLETRANSLATE(C219,""DE"",""EN"")"),"3")</f>
        <v>3</v>
      </c>
      <c r="I219" s="8"/>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W219" s="2"/>
      <c r="CX219" s="2"/>
      <c r="CY219" s="2"/>
      <c r="CZ219" s="2"/>
      <c r="DA219" s="2"/>
      <c r="DB219" s="2"/>
      <c r="DC219" s="2"/>
      <c r="DD219" s="2"/>
      <c r="DG219" s="2"/>
    </row>
    <row r="220">
      <c r="A220" s="9"/>
      <c r="B220" s="5" t="s">
        <v>38</v>
      </c>
      <c r="C220" s="6">
        <v>212.0</v>
      </c>
      <c r="D220" s="6">
        <v>132.0</v>
      </c>
      <c r="E220" s="2"/>
      <c r="F220" s="10"/>
      <c r="G220" s="8" t="str">
        <f>IFERROR(__xludf.DUMMYFUNCTION("GOOGLETRANSLATE(B220,""DE"",""EN"")"),"Cleaning outdoor area (42530002)")</f>
        <v>Cleaning outdoor area (42530002)</v>
      </c>
      <c r="H220" s="8" t="str">
        <f>IFERROR(__xludf.DUMMYFUNCTION("GOOGLETRANSLATE(C220,""DE"",""EN"")"),"212")</f>
        <v>212</v>
      </c>
      <c r="I220" s="8" t="str">
        <f>IFERROR(__xludf.DUMMYFUNCTION("GOOGLETRANSLATE(D220,""DE"",""EN"")"),"132")</f>
        <v>132</v>
      </c>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W220" s="2"/>
      <c r="CX220" s="2"/>
      <c r="CY220" s="2"/>
      <c r="CZ220" s="2"/>
      <c r="DA220" s="2"/>
      <c r="DB220" s="2"/>
      <c r="DC220" s="2"/>
      <c r="DD220" s="2"/>
      <c r="DG220" s="2"/>
    </row>
    <row r="221">
      <c r="A221" s="9"/>
      <c r="B221" s="5" t="s">
        <v>102</v>
      </c>
      <c r="C221" s="6">
        <v>2.0</v>
      </c>
      <c r="D221" s="6">
        <v>2.0</v>
      </c>
      <c r="E221" s="2"/>
      <c r="F221" s="10"/>
      <c r="G221" s="8" t="str">
        <f>IFERROR(__xludf.DUMMYFUNCTION("GOOGLETRANSLATE(B221,""DE"",""EN"")"),"Cleaning checkout area")</f>
        <v>Cleaning checkout area</v>
      </c>
      <c r="H221" s="8" t="str">
        <f>IFERROR(__xludf.DUMMYFUNCTION("GOOGLETRANSLATE(C221,""DE"",""EN"")"),"2")</f>
        <v>2</v>
      </c>
      <c r="I221" s="8" t="str">
        <f>IFERROR(__xludf.DUMMYFUNCTION("GOOGLETRANSLATE(D221,""DE"",""EN"")"),"2")</f>
        <v>2</v>
      </c>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W221" s="2"/>
      <c r="CX221" s="2"/>
      <c r="CY221" s="2"/>
      <c r="CZ221" s="2"/>
      <c r="DA221" s="2"/>
      <c r="DB221" s="2"/>
      <c r="DC221" s="2"/>
      <c r="DD221" s="2"/>
      <c r="DG221" s="2"/>
    </row>
    <row r="222">
      <c r="A222" s="9"/>
      <c r="B222" s="5" t="s">
        <v>103</v>
      </c>
      <c r="C222" s="6">
        <v>1.0</v>
      </c>
      <c r="D222" s="6">
        <v>1.0</v>
      </c>
      <c r="E222" s="2"/>
      <c r="F222" s="10"/>
      <c r="G222" s="8" t="str">
        <f>IFERROR(__xludf.DUMMYFUNCTION("GOOGLETRANSLATE(B222,""DE"",""EN"")"),"Return alarm defective")</f>
        <v>Return alarm defective</v>
      </c>
      <c r="H222" s="8" t="str">
        <f>IFERROR(__xludf.DUMMYFUNCTION("GOOGLETRANSLATE(C222,""DE"",""EN"")"),"1")</f>
        <v>1</v>
      </c>
      <c r="I222" s="8" t="str">
        <f>IFERROR(__xludf.DUMMYFUNCTION("GOOGLETRANSLATE(D222,""DE"",""EN"")"),"1")</f>
        <v>1</v>
      </c>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W222" s="2"/>
      <c r="CX222" s="2"/>
      <c r="CY222" s="2"/>
      <c r="CZ222" s="2"/>
      <c r="DA222" s="2"/>
      <c r="DB222" s="2"/>
      <c r="DC222" s="2"/>
      <c r="DD222" s="2"/>
      <c r="DG222" s="2"/>
    </row>
    <row r="223">
      <c r="A223" s="9"/>
      <c r="B223" s="5" t="s">
        <v>39</v>
      </c>
      <c r="C223" s="6">
        <v>1.0</v>
      </c>
      <c r="D223" s="6">
        <v>1.0</v>
      </c>
      <c r="E223" s="2"/>
      <c r="F223" s="10"/>
      <c r="G223" s="8" t="str">
        <f>IFERROR(__xludf.DUMMYFUNCTION("GOOGLETRANSLATE(B223,""DE"",""EN"")"),"Do not suck")</f>
        <v>Do not suck</v>
      </c>
      <c r="H223" s="8" t="str">
        <f>IFERROR(__xludf.DUMMYFUNCTION("GOOGLETRANSLATE(C223,""DE"",""EN"")"),"1")</f>
        <v>1</v>
      </c>
      <c r="I223" s="8" t="str">
        <f>IFERROR(__xludf.DUMMYFUNCTION("GOOGLETRANSLATE(D223,""DE"",""EN"")"),"1")</f>
        <v>1</v>
      </c>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W223" s="2"/>
      <c r="CX223" s="2"/>
      <c r="CY223" s="2"/>
      <c r="CZ223" s="2"/>
      <c r="DA223" s="2"/>
      <c r="DB223" s="2"/>
      <c r="DC223" s="2"/>
      <c r="DD223" s="2"/>
      <c r="DG223" s="2"/>
    </row>
    <row r="224">
      <c r="A224" s="9"/>
      <c r="B224" s="5" t="s">
        <v>40</v>
      </c>
      <c r="C224" s="6">
        <v>1.0</v>
      </c>
      <c r="D224" s="6">
        <v>1.0</v>
      </c>
      <c r="E224" s="2"/>
      <c r="F224" s="10"/>
      <c r="G224" s="8" t="str">
        <f>IFERROR(__xludf.DUMMYFUNCTION("GOOGLETRANSLATE(B224,""DE"",""EN"")"),"Castle defect")</f>
        <v>Castle defect</v>
      </c>
      <c r="H224" s="8" t="str">
        <f>IFERROR(__xludf.DUMMYFUNCTION("GOOGLETRANSLATE(C224,""DE"",""EN"")"),"1")</f>
        <v>1</v>
      </c>
      <c r="I224" s="8" t="str">
        <f>IFERROR(__xludf.DUMMYFUNCTION("GOOGLETRANSLATE(D224,""DE"",""EN"")"),"1")</f>
        <v>1</v>
      </c>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W224" s="2"/>
      <c r="CX224" s="2"/>
      <c r="CY224" s="2"/>
      <c r="CZ224" s="2"/>
      <c r="DA224" s="2"/>
      <c r="DB224" s="2"/>
      <c r="DC224" s="2"/>
      <c r="DD224" s="2"/>
      <c r="DG224" s="2"/>
    </row>
    <row r="225">
      <c r="A225" s="9"/>
      <c r="B225" s="5" t="s">
        <v>44</v>
      </c>
      <c r="C225" s="6">
        <v>1.0</v>
      </c>
      <c r="D225" s="6">
        <v>1.0</v>
      </c>
      <c r="E225" s="2"/>
      <c r="F225" s="10"/>
      <c r="G225" s="8" t="str">
        <f>IFERROR(__xludf.DUMMYFUNCTION("GOOGLETRANSLATE(B225,""DE"",""EN"")"),"Disorder of electricity feed")</f>
        <v>Disorder of electricity feed</v>
      </c>
      <c r="H225" s="8" t="str">
        <f>IFERROR(__xludf.DUMMYFUNCTION("GOOGLETRANSLATE(C225,""DE"",""EN"")"),"1")</f>
        <v>1</v>
      </c>
      <c r="I225" s="8" t="str">
        <f>IFERROR(__xludf.DUMMYFUNCTION("GOOGLETRANSLATE(D225,""DE"",""EN"")"),"1")</f>
        <v>1</v>
      </c>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W225" s="2"/>
      <c r="CX225" s="2"/>
      <c r="CY225" s="2"/>
      <c r="CZ225" s="2"/>
      <c r="DA225" s="2"/>
      <c r="DB225" s="2"/>
      <c r="DC225" s="2"/>
      <c r="DD225" s="2"/>
      <c r="DG225" s="2"/>
    </row>
    <row r="226">
      <c r="A226" s="9"/>
      <c r="B226" s="5" t="s">
        <v>45</v>
      </c>
      <c r="C226" s="6">
        <v>6.0</v>
      </c>
      <c r="D226" s="6">
        <v>6.0</v>
      </c>
      <c r="E226" s="2"/>
      <c r="F226" s="10"/>
      <c r="G226" s="8" t="str">
        <f>IFERROR(__xludf.DUMMYFUNCTION("GOOGLETRANSLATE(B226,""DE"",""EN"")"),"Temperature problem")</f>
        <v>Temperature problem</v>
      </c>
      <c r="H226" s="8" t="str">
        <f>IFERROR(__xludf.DUMMYFUNCTION("GOOGLETRANSLATE(C226,""DE"",""EN"")"),"6")</f>
        <v>6</v>
      </c>
      <c r="I226" s="8" t="str">
        <f>IFERROR(__xludf.DUMMYFUNCTION("GOOGLETRANSLATE(D226,""DE"",""EN"")"),"6")</f>
        <v>6</v>
      </c>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W226" s="2"/>
      <c r="CX226" s="2"/>
      <c r="CY226" s="2"/>
      <c r="CZ226" s="2"/>
      <c r="DA226" s="2"/>
      <c r="DB226" s="2"/>
      <c r="DC226" s="2"/>
      <c r="DD226" s="2"/>
      <c r="DG226" s="2"/>
    </row>
    <row r="227">
      <c r="A227" s="9"/>
      <c r="B227" s="5" t="s">
        <v>104</v>
      </c>
      <c r="C227" s="6">
        <v>1.0</v>
      </c>
      <c r="D227" s="6">
        <v>1.0</v>
      </c>
      <c r="E227" s="2"/>
      <c r="F227" s="10"/>
      <c r="G227" s="8" t="str">
        <f>IFERROR(__xludf.DUMMYFUNCTION("GOOGLETRANSLATE(B227,""DE"",""EN"")"),"Torelement defective")</f>
        <v>Torelement defective</v>
      </c>
      <c r="H227" s="8" t="str">
        <f>IFERROR(__xludf.DUMMYFUNCTION("GOOGLETRANSLATE(C227,""DE"",""EN"")"),"1")</f>
        <v>1</v>
      </c>
      <c r="I227" s="8" t="str">
        <f>IFERROR(__xludf.DUMMYFUNCTION("GOOGLETRANSLATE(D227,""DE"",""EN"")"),"1")</f>
        <v>1</v>
      </c>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W227" s="2"/>
      <c r="CX227" s="2"/>
      <c r="CY227" s="2"/>
      <c r="CZ227" s="2"/>
      <c r="DA227" s="2"/>
      <c r="DB227" s="2"/>
      <c r="DC227" s="2"/>
      <c r="DD227" s="2"/>
      <c r="DG227" s="2"/>
    </row>
    <row r="228">
      <c r="A228" s="9"/>
      <c r="B228" s="5" t="s">
        <v>46</v>
      </c>
      <c r="C228" s="6">
        <v>6.0</v>
      </c>
      <c r="D228" s="6">
        <v>4.0</v>
      </c>
      <c r="E228" s="2"/>
      <c r="F228" s="10"/>
      <c r="G228" s="8" t="str">
        <f>IFERROR(__xludf.DUMMYFUNCTION("GOOGLETRANSLATE(B228,""DE"",""EN"")"),"Door defective")</f>
        <v>Door defective</v>
      </c>
      <c r="H228" s="8" t="str">
        <f>IFERROR(__xludf.DUMMYFUNCTION("GOOGLETRANSLATE(C228,""DE"",""EN"")"),"6")</f>
        <v>6</v>
      </c>
      <c r="I228" s="8" t="str">
        <f>IFERROR(__xludf.DUMMYFUNCTION("GOOGLETRANSLATE(D228,""DE"",""EN"")"),"4")</f>
        <v>4</v>
      </c>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W228" s="2"/>
      <c r="CX228" s="2"/>
      <c r="CY228" s="2"/>
      <c r="CZ228" s="2"/>
      <c r="DA228" s="2"/>
      <c r="DB228" s="2"/>
      <c r="DC228" s="2"/>
      <c r="DD228" s="2"/>
      <c r="DG228" s="2"/>
    </row>
    <row r="229">
      <c r="A229" s="9"/>
      <c r="B229" s="5" t="s">
        <v>49</v>
      </c>
      <c r="C229" s="6">
        <v>3.0</v>
      </c>
      <c r="D229" s="6">
        <v>2.0</v>
      </c>
      <c r="E229" s="2"/>
      <c r="F229" s="10"/>
      <c r="G229" s="8" t="str">
        <f>IFERROR(__xludf.DUMMYFUNCTION("GOOGLETRANSLATE(B229,""DE"",""EN"")"),"Leak")</f>
        <v>Leak</v>
      </c>
      <c r="H229" s="8" t="str">
        <f>IFERROR(__xludf.DUMMYFUNCTION("GOOGLETRANSLATE(C229,""DE"",""EN"")"),"3")</f>
        <v>3</v>
      </c>
      <c r="I229" s="8" t="str">
        <f>IFERROR(__xludf.DUMMYFUNCTION("GOOGLETRANSLATE(D229,""DE"",""EN"")"),"2")</f>
        <v>2</v>
      </c>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W229" s="2"/>
      <c r="CX229" s="2"/>
      <c r="CY229" s="2"/>
      <c r="CZ229" s="2"/>
      <c r="DA229" s="2"/>
      <c r="DB229" s="2"/>
      <c r="DC229" s="2"/>
      <c r="DD229" s="2"/>
      <c r="DG229" s="2"/>
    </row>
    <row r="230">
      <c r="A230" s="9"/>
      <c r="B230" s="5" t="s">
        <v>51</v>
      </c>
      <c r="C230" s="6">
        <v>2.0</v>
      </c>
      <c r="D230" s="6">
        <v>1.0</v>
      </c>
      <c r="E230" s="2"/>
      <c r="F230" s="10"/>
      <c r="G230" s="8" t="str">
        <f>IFERROR(__xludf.DUMMYFUNCTION("GOOGLETRANSLATE(B230,""DE"",""EN"")"),"Icy")</f>
        <v>Icy</v>
      </c>
      <c r="H230" s="8" t="str">
        <f>IFERROR(__xludf.DUMMYFUNCTION("GOOGLETRANSLATE(C230,""DE"",""EN"")"),"2")</f>
        <v>2</v>
      </c>
      <c r="I230" s="8" t="str">
        <f>IFERROR(__xludf.DUMMYFUNCTION("GOOGLETRANSLATE(D230,""DE"",""EN"")"),"1")</f>
        <v>1</v>
      </c>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W230" s="2"/>
      <c r="CX230" s="2"/>
      <c r="CY230" s="2"/>
      <c r="CZ230" s="2"/>
      <c r="DA230" s="2"/>
      <c r="DB230" s="2"/>
      <c r="DC230" s="2"/>
      <c r="DD230" s="2"/>
      <c r="DG230" s="2"/>
    </row>
    <row r="231">
      <c r="A231" s="9"/>
      <c r="B231" s="5" t="s">
        <v>105</v>
      </c>
      <c r="C231" s="6">
        <v>1.0</v>
      </c>
      <c r="D231" s="6">
        <v>1.0</v>
      </c>
      <c r="E231" s="2"/>
      <c r="F231" s="10"/>
      <c r="G231" s="8" t="str">
        <f>IFERROR(__xludf.DUMMYFUNCTION("GOOGLETRANSLATE(B231,""DE"",""EN"")"),"Birds")</f>
        <v>Birds</v>
      </c>
      <c r="H231" s="8" t="str">
        <f>IFERROR(__xludf.DUMMYFUNCTION("GOOGLETRANSLATE(C231,""DE"",""EN"")"),"1")</f>
        <v>1</v>
      </c>
      <c r="I231" s="8" t="str">
        <f>IFERROR(__xludf.DUMMYFUNCTION("GOOGLETRANSLATE(D231,""DE"",""EN"")"),"1")</f>
        <v>1</v>
      </c>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W231" s="2"/>
      <c r="CX231" s="2"/>
      <c r="CY231" s="2"/>
      <c r="CZ231" s="2"/>
      <c r="DA231" s="2"/>
      <c r="DB231" s="2"/>
      <c r="DC231" s="2"/>
      <c r="DD231" s="2"/>
      <c r="DG231" s="2"/>
    </row>
    <row r="232">
      <c r="A232" s="12"/>
      <c r="B232" s="5" t="s">
        <v>52</v>
      </c>
      <c r="C232" s="6">
        <v>8.0</v>
      </c>
      <c r="D232" s="6">
        <v>4.0</v>
      </c>
      <c r="E232" s="2"/>
      <c r="F232" s="13"/>
      <c r="G232" s="8" t="str">
        <f>IFERROR(__xludf.DUMMYFUNCTION("GOOGLETRANSLATE(B232,""DE"",""EN"")"),"Wach- and patrol service (42600001)")</f>
        <v>Wach- and patrol service (42600001)</v>
      </c>
      <c r="H232" s="8" t="str">
        <f>IFERROR(__xludf.DUMMYFUNCTION("GOOGLETRANSLATE(C232,""DE"",""EN"")"),"8th")</f>
        <v>8th</v>
      </c>
      <c r="I232" s="8" t="str">
        <f>IFERROR(__xludf.DUMMYFUNCTION("GOOGLETRANSLATE(D232,""DE"",""EN"")"),"4")</f>
        <v>4</v>
      </c>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W232" s="2"/>
      <c r="CX232" s="2"/>
      <c r="CY232" s="2"/>
      <c r="CZ232" s="2"/>
      <c r="DA232" s="2"/>
      <c r="DB232" s="2"/>
      <c r="DC232" s="2"/>
      <c r="DD232" s="2"/>
      <c r="DG232" s="2"/>
    </row>
    <row r="233">
      <c r="A233" s="12"/>
      <c r="B233" s="5" t="s">
        <v>54</v>
      </c>
      <c r="C233" s="6">
        <v>1.0</v>
      </c>
      <c r="D233" s="6">
        <v>1.0</v>
      </c>
      <c r="E233" s="2"/>
      <c r="F233" s="13"/>
      <c r="G233" s="8" t="str">
        <f>IFERROR(__xludf.DUMMYFUNCTION("GOOGLETRANSLATE(B233,""DE"",""EN"")"),"Inverter defect")</f>
        <v>Inverter defect</v>
      </c>
      <c r="H233" s="8" t="str">
        <f>IFERROR(__xludf.DUMMYFUNCTION("GOOGLETRANSLATE(C233,""DE"",""EN"")"),"1")</f>
        <v>1</v>
      </c>
      <c r="I233" s="8" t="str">
        <f>IFERROR(__xludf.DUMMYFUNCTION("GOOGLETRANSLATE(D233,""DE"",""EN"")"),"1")</f>
        <v>1</v>
      </c>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W233" s="2"/>
      <c r="CX233" s="2"/>
      <c r="CY233" s="2"/>
      <c r="CZ233" s="2"/>
      <c r="DA233" s="2"/>
      <c r="DB233" s="2"/>
      <c r="DC233" s="2"/>
      <c r="DD233" s="2"/>
      <c r="DG233" s="2"/>
    </row>
    <row r="234">
      <c r="A234" s="4" t="s">
        <v>106</v>
      </c>
      <c r="B234" s="12"/>
      <c r="C234" s="14">
        <v>580.0</v>
      </c>
      <c r="D234" s="14">
        <v>382.0</v>
      </c>
      <c r="E234" s="2"/>
      <c r="F234" s="7" t="s">
        <v>106</v>
      </c>
      <c r="G234" s="8" t="str">
        <f>IFERROR(__xludf.DUMMYFUNCTION("GOOGLETRANSLATE(B234,""DE"",""EN"")"),"#VALUE!")</f>
        <v>#VALUE!</v>
      </c>
      <c r="H234" s="8" t="str">
        <f>IFERROR(__xludf.DUMMYFUNCTION("GOOGLETRANSLATE(C234,""DE"",""EN"")"),"580")</f>
        <v>580</v>
      </c>
      <c r="I234" s="8" t="str">
        <f>IFERROR(__xludf.DUMMYFUNCTION("GOOGLETRANSLATE(D234,""DE"",""EN"")"),"382")</f>
        <v>382</v>
      </c>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W234" s="2"/>
      <c r="CX234" s="2"/>
      <c r="CY234" s="2"/>
      <c r="CZ234" s="2"/>
      <c r="DA234" s="2"/>
      <c r="DB234" s="2"/>
      <c r="DC234" s="2"/>
      <c r="DD234" s="2"/>
      <c r="DG234" s="2"/>
    </row>
    <row r="235">
      <c r="A235" s="4" t="s">
        <v>107</v>
      </c>
      <c r="B235" s="5" t="s">
        <v>5</v>
      </c>
      <c r="C235" s="6">
        <v>1.0</v>
      </c>
      <c r="D235" s="6">
        <v>1.0</v>
      </c>
      <c r="E235" s="2"/>
      <c r="F235" s="7" t="s">
        <v>107</v>
      </c>
      <c r="G235" s="8" t="str">
        <f>IFERROR(__xludf.DUMMYFUNCTION("GOOGLETRANSLATE(B235,""DE"",""EN"")"),"Defect defect")</f>
        <v>Defect defect</v>
      </c>
      <c r="H235" s="8" t="str">
        <f>IFERROR(__xludf.DUMMYFUNCTION("GOOGLETRANSLATE(C235,""DE"",""EN"")"),"1")</f>
        <v>1</v>
      </c>
      <c r="I235" s="8" t="str">
        <f>IFERROR(__xludf.DUMMYFUNCTION("GOOGLETRANSLATE(D235,""DE"",""EN"")"),"1")</f>
        <v>1</v>
      </c>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W235" s="2"/>
      <c r="CX235" s="2"/>
      <c r="CY235" s="2"/>
      <c r="CZ235" s="2"/>
      <c r="DA235" s="2"/>
      <c r="DB235" s="2"/>
      <c r="DC235" s="2"/>
      <c r="DD235" s="2"/>
      <c r="DG235" s="2"/>
    </row>
    <row r="236">
      <c r="A236" s="9"/>
      <c r="B236" s="5" t="s">
        <v>7</v>
      </c>
      <c r="C236" s="6">
        <v>6.0</v>
      </c>
      <c r="D236" s="6">
        <v>6.0</v>
      </c>
      <c r="E236" s="2"/>
      <c r="F236" s="10"/>
      <c r="G236" s="8" t="str">
        <f>IFERROR(__xludf.DUMMYFUNCTION("GOOGLETRANSLATE(B236,""DE"",""EN"")"),"approached")</f>
        <v>approached</v>
      </c>
      <c r="H236" s="8" t="str">
        <f>IFERROR(__xludf.DUMMYFUNCTION("GOOGLETRANSLATE(C236,""DE"",""EN"")"),"6")</f>
        <v>6</v>
      </c>
      <c r="I236" s="8" t="str">
        <f>IFERROR(__xludf.DUMMYFUNCTION("GOOGLETRANSLATE(D236,""DE"",""EN"")"),"6")</f>
        <v>6</v>
      </c>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W236" s="2"/>
      <c r="CX236" s="2"/>
      <c r="CY236" s="2"/>
      <c r="CZ236" s="2"/>
      <c r="DA236" s="2"/>
      <c r="DB236" s="2"/>
      <c r="DC236" s="2"/>
      <c r="DD236" s="2"/>
      <c r="DG236" s="2"/>
    </row>
    <row r="237">
      <c r="A237" s="9"/>
      <c r="B237" s="5" t="s">
        <v>9</v>
      </c>
      <c r="C237" s="6">
        <v>1.0</v>
      </c>
      <c r="D237" s="6">
        <v>1.0</v>
      </c>
      <c r="E237" s="2"/>
      <c r="F237" s="10"/>
      <c r="G237" s="8" t="str">
        <f>IFERROR(__xludf.DUMMYFUNCTION("GOOGLETRANSLATE(B237,""DE"",""EN"")"),"Back program wrong")</f>
        <v>Back program wrong</v>
      </c>
      <c r="H237" s="8" t="str">
        <f>IFERROR(__xludf.DUMMYFUNCTION("GOOGLETRANSLATE(C237,""DE"",""EN"")"),"1")</f>
        <v>1</v>
      </c>
      <c r="I237" s="8" t="str">
        <f>IFERROR(__xludf.DUMMYFUNCTION("GOOGLETRANSLATE(D237,""DE"",""EN"")"),"1")</f>
        <v>1</v>
      </c>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W237" s="2"/>
      <c r="CX237" s="2"/>
      <c r="CY237" s="2"/>
      <c r="CZ237" s="2"/>
      <c r="DA237" s="2"/>
      <c r="DB237" s="2"/>
      <c r="DC237" s="2"/>
      <c r="DD237" s="2"/>
      <c r="DG237" s="2"/>
    </row>
    <row r="238">
      <c r="A238" s="9"/>
      <c r="B238" s="5" t="s">
        <v>10</v>
      </c>
      <c r="C238" s="6">
        <v>2.0</v>
      </c>
      <c r="D238" s="6">
        <v>2.0</v>
      </c>
      <c r="E238" s="2"/>
      <c r="F238" s="10"/>
      <c r="G238" s="8" t="str">
        <f>IFERROR(__xludf.DUMMYFUNCTION("GOOGLETRANSLATE(B238,""DE"",""EN"")"),"Lighting defect")</f>
        <v>Lighting defect</v>
      </c>
      <c r="H238" s="8" t="str">
        <f>IFERROR(__xludf.DUMMYFUNCTION("GOOGLETRANSLATE(C238,""DE"",""EN"")"),"2")</f>
        <v>2</v>
      </c>
      <c r="I238" s="8" t="str">
        <f>IFERROR(__xludf.DUMMYFUNCTION("GOOGLETRANSLATE(D238,""DE"",""EN"")"),"2")</f>
        <v>2</v>
      </c>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W238" s="2"/>
      <c r="CX238" s="2"/>
      <c r="CY238" s="2"/>
      <c r="CZ238" s="2"/>
      <c r="DA238" s="2"/>
      <c r="DB238" s="2"/>
      <c r="DC238" s="2"/>
      <c r="DD238" s="2"/>
      <c r="DG238" s="2"/>
    </row>
    <row r="239">
      <c r="A239" s="9"/>
      <c r="B239" s="5" t="s">
        <v>58</v>
      </c>
      <c r="C239" s="6">
        <v>1.0</v>
      </c>
      <c r="D239" s="6">
        <v>1.0</v>
      </c>
      <c r="E239" s="2"/>
      <c r="F239" s="10"/>
      <c r="G239" s="8" t="str">
        <f>IFERROR(__xludf.DUMMYFUNCTION("GOOGLETRANSLATE(B239,""DE"",""EN"")"),"Lighting times wrong")</f>
        <v>Lighting times wrong</v>
      </c>
      <c r="H239" s="8" t="str">
        <f>IFERROR(__xludf.DUMMYFUNCTION("GOOGLETRANSLATE(C239,""DE"",""EN"")"),"1")</f>
        <v>1</v>
      </c>
      <c r="I239" s="8" t="str">
        <f>IFERROR(__xludf.DUMMYFUNCTION("GOOGLETRANSLATE(D239,""DE"",""EN"")"),"1")</f>
        <v>1</v>
      </c>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W239" s="2"/>
      <c r="CX239" s="2"/>
      <c r="CY239" s="2"/>
      <c r="CZ239" s="2"/>
      <c r="DA239" s="2"/>
      <c r="DB239" s="2"/>
      <c r="DC239" s="2"/>
      <c r="DD239" s="2"/>
      <c r="DG239" s="2"/>
    </row>
    <row r="240">
      <c r="A240" s="9"/>
      <c r="B240" s="5" t="s">
        <v>11</v>
      </c>
      <c r="C240" s="6">
        <v>13.0</v>
      </c>
      <c r="D240" s="6">
        <v>10.0</v>
      </c>
      <c r="E240" s="2"/>
      <c r="F240" s="10"/>
      <c r="G240" s="8" t="str">
        <f>IFERROR(__xludf.DUMMYFUNCTION("GOOGLETRANSLATE(B240,""DE"",""EN"")"),"Damage / break")</f>
        <v>Damage / break</v>
      </c>
      <c r="H240" s="8" t="str">
        <f>IFERROR(__xludf.DUMMYFUNCTION("GOOGLETRANSLATE(C240,""DE"",""EN"")"),"13")</f>
        <v>13</v>
      </c>
      <c r="I240" s="8" t="str">
        <f>IFERROR(__xludf.DUMMYFUNCTION("GOOGLETRANSLATE(D240,""DE"",""EN"")"),"10")</f>
        <v>10</v>
      </c>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W240" s="2"/>
      <c r="CX240" s="2"/>
      <c r="CY240" s="2"/>
      <c r="CZ240" s="2"/>
      <c r="DA240" s="2"/>
      <c r="DB240" s="2"/>
      <c r="DC240" s="2"/>
      <c r="DD240" s="2"/>
      <c r="DG240" s="2"/>
    </row>
    <row r="241">
      <c r="A241" s="9"/>
      <c r="B241" s="5" t="s">
        <v>12</v>
      </c>
      <c r="C241" s="6">
        <v>200.0</v>
      </c>
      <c r="D241" s="6">
        <v>109.0</v>
      </c>
      <c r="E241" s="2"/>
      <c r="F241" s="10"/>
      <c r="G241" s="8" t="str">
        <f>IFERROR(__xludf.DUMMYFUNCTION("GOOGLETRANSLATE(B241,""DE"",""EN"")"),"Description in the BO")</f>
        <v>Description in the BO</v>
      </c>
      <c r="H241" s="8" t="str">
        <f>IFERROR(__xludf.DUMMYFUNCTION("GOOGLETRANSLATE(C241,""DE"",""EN"")"),"200")</f>
        <v>200</v>
      </c>
      <c r="I241" s="8" t="str">
        <f>IFERROR(__xludf.DUMMYFUNCTION("GOOGLETRANSLATE(D241,""DE"",""EN"")"),"109")</f>
        <v>109</v>
      </c>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W241" s="2"/>
      <c r="CX241" s="2"/>
      <c r="CY241" s="2"/>
      <c r="CZ241" s="2"/>
      <c r="DA241" s="2"/>
      <c r="DB241" s="2"/>
      <c r="DC241" s="2"/>
      <c r="DD241" s="2"/>
      <c r="DG241" s="2"/>
    </row>
    <row r="242">
      <c r="A242" s="9"/>
      <c r="B242" s="5" t="s">
        <v>13</v>
      </c>
      <c r="C242" s="6">
        <v>1.0</v>
      </c>
      <c r="D242" s="6">
        <v>1.0</v>
      </c>
      <c r="E242" s="2"/>
      <c r="F242" s="10"/>
      <c r="G242" s="8" t="str">
        <f>IFERROR(__xludf.DUMMYFUNCTION("GOOGLETRANSLATE(B242,""DE"",""EN"")"),"Brushes don't turn")</f>
        <v>Brushes don't turn</v>
      </c>
      <c r="H242" s="8" t="str">
        <f>IFERROR(__xludf.DUMMYFUNCTION("GOOGLETRANSLATE(C242,""DE"",""EN"")"),"1")</f>
        <v>1</v>
      </c>
      <c r="I242" s="8" t="str">
        <f>IFERROR(__xludf.DUMMYFUNCTION("GOOGLETRANSLATE(D242,""DE"",""EN"")"),"1")</f>
        <v>1</v>
      </c>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W242" s="2"/>
      <c r="CX242" s="2"/>
      <c r="CY242" s="2"/>
      <c r="CZ242" s="2"/>
      <c r="DA242" s="2"/>
      <c r="DB242" s="2"/>
      <c r="DC242" s="2"/>
      <c r="DD242" s="2"/>
      <c r="DG242" s="2"/>
    </row>
    <row r="243">
      <c r="A243" s="9"/>
      <c r="B243" s="5" t="s">
        <v>14</v>
      </c>
      <c r="C243" s="6">
        <v>1.0</v>
      </c>
      <c r="D243" s="6">
        <v>1.0</v>
      </c>
      <c r="E243" s="2"/>
      <c r="F243" s="10"/>
      <c r="G243" s="8" t="str">
        <f>IFERROR(__xludf.DUMMYFUNCTION("GOOGLETRANSLATE(B243,""DE"",""EN"")"),"Urgent / over consumption")</f>
        <v>Urgent / over consumption</v>
      </c>
      <c r="H243" s="8" t="str">
        <f>IFERROR(__xludf.DUMMYFUNCTION("GOOGLETRANSLATE(C243,""DE"",""EN"")"),"1")</f>
        <v>1</v>
      </c>
      <c r="I243" s="8" t="str">
        <f>IFERROR(__xludf.DUMMYFUNCTION("GOOGLETRANSLATE(D243,""DE"",""EN"")"),"1")</f>
        <v>1</v>
      </c>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W243" s="2"/>
      <c r="CX243" s="2"/>
      <c r="CY243" s="2"/>
      <c r="CZ243" s="2"/>
      <c r="DA243" s="2"/>
      <c r="DB243" s="2"/>
      <c r="DC243" s="2"/>
      <c r="DD243" s="2"/>
      <c r="DG243" s="2"/>
    </row>
    <row r="244">
      <c r="A244" s="9"/>
      <c r="B244" s="5" t="s">
        <v>17</v>
      </c>
      <c r="C244" s="6">
        <v>1.0</v>
      </c>
      <c r="D244" s="6">
        <v>1.0</v>
      </c>
      <c r="E244" s="2"/>
      <c r="F244" s="10"/>
      <c r="G244" s="8" t="str">
        <f>IFERROR(__xludf.DUMMYFUNCTION("GOOGLETRANSLATE(B244,""DE"",""EN"")"),"Filiatry temperature above 25 ° C")</f>
        <v>Filiatry temperature above 25 ° C</v>
      </c>
      <c r="H244" s="8" t="str">
        <f>IFERROR(__xludf.DUMMYFUNCTION("GOOGLETRANSLATE(C244,""DE"",""EN"")"),"1")</f>
        <v>1</v>
      </c>
      <c r="I244" s="8" t="str">
        <f>IFERROR(__xludf.DUMMYFUNCTION("GOOGLETRANSLATE(D244,""DE"",""EN"")"),"1")</f>
        <v>1</v>
      </c>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W244" s="2"/>
      <c r="CX244" s="2"/>
      <c r="CY244" s="2"/>
      <c r="CZ244" s="2"/>
      <c r="DA244" s="2"/>
      <c r="DB244" s="2"/>
      <c r="DC244" s="2"/>
      <c r="DD244" s="2"/>
      <c r="DG244" s="2"/>
    </row>
    <row r="245">
      <c r="A245" s="9"/>
      <c r="B245" s="5" t="s">
        <v>18</v>
      </c>
      <c r="C245" s="6">
        <v>1.0</v>
      </c>
      <c r="D245" s="6">
        <v>1.0</v>
      </c>
      <c r="E245" s="2"/>
      <c r="F245" s="10"/>
      <c r="G245" s="8" t="str">
        <f>IFERROR(__xludf.DUMMYFUNCTION("GOOGLETRANSLATE(B245,""DE"",""EN"")"),"Filiatry temperature below 18 ° C")</f>
        <v>Filiatry temperature below 18 ° C</v>
      </c>
      <c r="H245" s="8" t="str">
        <f>IFERROR(__xludf.DUMMYFUNCTION("GOOGLETRANSLATE(C245,""DE"",""EN"")"),"1")</f>
        <v>1</v>
      </c>
      <c r="I245" s="8" t="str">
        <f>IFERROR(__xludf.DUMMYFUNCTION("GOOGLETRANSLATE(D245,""DE"",""EN"")"),"1")</f>
        <v>1</v>
      </c>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W245" s="2"/>
      <c r="CX245" s="2"/>
      <c r="CY245" s="2"/>
      <c r="CZ245" s="2"/>
      <c r="DA245" s="2"/>
      <c r="DB245" s="2"/>
      <c r="DC245" s="2"/>
      <c r="DD245" s="2"/>
      <c r="DG245" s="2"/>
    </row>
    <row r="246">
      <c r="A246" s="9"/>
      <c r="B246" s="5" t="s">
        <v>20</v>
      </c>
      <c r="C246" s="6">
        <v>13.0</v>
      </c>
      <c r="D246" s="6">
        <v>12.0</v>
      </c>
      <c r="E246" s="2"/>
      <c r="F246" s="10"/>
      <c r="G246" s="8" t="str">
        <f>IFERROR(__xludf.DUMMYFUNCTION("GOOGLETRANSLATE(B246,""DE"",""EN"")"),"Doesn't work")</f>
        <v>Doesn't work</v>
      </c>
      <c r="H246" s="8" t="str">
        <f>IFERROR(__xludf.DUMMYFUNCTION("GOOGLETRANSLATE(C246,""DE"",""EN"")"),"13")</f>
        <v>13</v>
      </c>
      <c r="I246" s="8" t="str">
        <f>IFERROR(__xludf.DUMMYFUNCTION("GOOGLETRANSLATE(D246,""DE"",""EN"")"),"12")</f>
        <v>12</v>
      </c>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W246" s="2"/>
      <c r="CX246" s="2"/>
      <c r="CY246" s="2"/>
      <c r="CZ246" s="2"/>
      <c r="DA246" s="2"/>
      <c r="DB246" s="2"/>
      <c r="DC246" s="2"/>
      <c r="DD246" s="2"/>
      <c r="DG246" s="2"/>
    </row>
    <row r="247">
      <c r="A247" s="9"/>
      <c r="B247" s="5" t="s">
        <v>23</v>
      </c>
      <c r="C247" s="6">
        <v>2.0</v>
      </c>
      <c r="D247" s="6">
        <v>2.0</v>
      </c>
      <c r="E247" s="2"/>
      <c r="F247" s="10"/>
      <c r="G247" s="8" t="str">
        <f>IFERROR(__xludf.DUMMYFUNCTION("GOOGLETRANSLATE(B247,""DE"",""EN"")"),"Glass lid defective")</f>
        <v>Glass lid defective</v>
      </c>
      <c r="H247" s="8" t="str">
        <f>IFERROR(__xludf.DUMMYFUNCTION("GOOGLETRANSLATE(C247,""DE"",""EN"")"),"2")</f>
        <v>2</v>
      </c>
      <c r="I247" s="8" t="str">
        <f>IFERROR(__xludf.DUMMYFUNCTION("GOOGLETRANSLATE(D247,""DE"",""EN"")"),"2")</f>
        <v>2</v>
      </c>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W247" s="2"/>
      <c r="CX247" s="2"/>
      <c r="CY247" s="2"/>
      <c r="CZ247" s="2"/>
      <c r="DA247" s="2"/>
      <c r="DB247" s="2"/>
      <c r="DC247" s="2"/>
      <c r="DD247" s="2"/>
      <c r="DG247" s="2"/>
    </row>
    <row r="248">
      <c r="A248" s="9"/>
      <c r="B248" s="5" t="s">
        <v>81</v>
      </c>
      <c r="C248" s="6">
        <v>1.0</v>
      </c>
      <c r="D248" s="6">
        <v>1.0</v>
      </c>
      <c r="E248" s="2"/>
      <c r="F248" s="10"/>
      <c r="G248" s="8" t="str">
        <f>IFERROR(__xludf.DUMMYFUNCTION("GOOGLETRANSLATE(B248,""DE"",""EN"")"),"Rubber seal damaged")</f>
        <v>Rubber seal damaged</v>
      </c>
      <c r="H248" s="8" t="str">
        <f>IFERROR(__xludf.DUMMYFUNCTION("GOOGLETRANSLATE(C248,""DE"",""EN"")"),"1")</f>
        <v>1</v>
      </c>
      <c r="I248" s="8" t="str">
        <f>IFERROR(__xludf.DUMMYFUNCTION("GOOGLETRANSLATE(D248,""DE"",""EN"")"),"1")</f>
        <v>1</v>
      </c>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W248" s="2"/>
      <c r="CX248" s="2"/>
      <c r="CY248" s="2"/>
      <c r="CZ248" s="2"/>
      <c r="DA248" s="2"/>
      <c r="DB248" s="2"/>
      <c r="DC248" s="2"/>
      <c r="DD248" s="2"/>
      <c r="DG248" s="2"/>
    </row>
    <row r="249">
      <c r="A249" s="9"/>
      <c r="B249" s="5" t="s">
        <v>108</v>
      </c>
      <c r="C249" s="6">
        <v>1.0</v>
      </c>
      <c r="D249" s="6">
        <v>1.0</v>
      </c>
      <c r="E249" s="2"/>
      <c r="F249" s="10"/>
      <c r="G249" s="8" t="str">
        <f>IFERROR(__xludf.DUMMYFUNCTION("GOOGLETRANSLATE(B249,""DE"",""EN"")"),"Tilt device defective")</f>
        <v>Tilt device defective</v>
      </c>
      <c r="H249" s="8" t="str">
        <f>IFERROR(__xludf.DUMMYFUNCTION("GOOGLETRANSLATE(C249,""DE"",""EN"")"),"1")</f>
        <v>1</v>
      </c>
      <c r="I249" s="8" t="str">
        <f>IFERROR(__xludf.DUMMYFUNCTION("GOOGLETRANSLATE(D249,""DE"",""EN"")"),"1")</f>
        <v>1</v>
      </c>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W249" s="2"/>
      <c r="CX249" s="2"/>
      <c r="CY249" s="2"/>
      <c r="CZ249" s="2"/>
      <c r="DA249" s="2"/>
      <c r="DB249" s="2"/>
      <c r="DC249" s="2"/>
      <c r="DD249" s="2"/>
      <c r="DG249" s="2"/>
    </row>
    <row r="250">
      <c r="A250" s="9"/>
      <c r="B250" s="5" t="s">
        <v>26</v>
      </c>
      <c r="C250" s="6">
        <v>1.0</v>
      </c>
      <c r="D250" s="11"/>
      <c r="E250" s="2"/>
      <c r="F250" s="10"/>
      <c r="G250" s="8" t="str">
        <f>IFERROR(__xludf.DUMMYFUNCTION("GOOGLETRANSLATE(B250,""DE"",""EN"")"),"Small animal infestation")</f>
        <v>Small animal infestation</v>
      </c>
      <c r="H250" s="8" t="str">
        <f>IFERROR(__xludf.DUMMYFUNCTION("GOOGLETRANSLATE(C250,""DE"",""EN"")"),"1")</f>
        <v>1</v>
      </c>
      <c r="I250" s="8"/>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W250" s="2"/>
      <c r="CX250" s="2"/>
      <c r="CY250" s="2"/>
      <c r="CZ250" s="2"/>
      <c r="DA250" s="2"/>
      <c r="DB250" s="2"/>
      <c r="DC250" s="2"/>
      <c r="DD250" s="2"/>
      <c r="DG250" s="2"/>
    </row>
    <row r="251">
      <c r="A251" s="9"/>
      <c r="B251" s="5" t="s">
        <v>27</v>
      </c>
      <c r="C251" s="6">
        <v>1.0</v>
      </c>
      <c r="D251" s="6">
        <v>1.0</v>
      </c>
      <c r="E251" s="2"/>
      <c r="F251" s="10"/>
      <c r="G251" s="8" t="str">
        <f>IFERROR(__xludf.DUMMYFUNCTION("GOOGLETRANSLATE(B251,""DE"",""EN"")"),"Continuous alarm")</f>
        <v>Continuous alarm</v>
      </c>
      <c r="H251" s="8" t="str">
        <f>IFERROR(__xludf.DUMMYFUNCTION("GOOGLETRANSLATE(C251,""DE"",""EN"")"),"1")</f>
        <v>1</v>
      </c>
      <c r="I251" s="8" t="str">
        <f>IFERROR(__xludf.DUMMYFUNCTION("GOOGLETRANSLATE(D251,""DE"",""EN"")"),"1")</f>
        <v>1</v>
      </c>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W251" s="2"/>
      <c r="CX251" s="2"/>
      <c r="CY251" s="2"/>
      <c r="CZ251" s="2"/>
      <c r="DA251" s="2"/>
      <c r="DB251" s="2"/>
      <c r="DC251" s="2"/>
      <c r="DD251" s="2"/>
      <c r="DG251" s="2"/>
    </row>
    <row r="252">
      <c r="A252" s="9"/>
      <c r="B252" s="5" t="s">
        <v>28</v>
      </c>
      <c r="C252" s="6">
        <v>31.0</v>
      </c>
      <c r="D252" s="6">
        <v>12.0</v>
      </c>
      <c r="E252" s="2"/>
      <c r="F252" s="10"/>
      <c r="G252" s="8" t="str">
        <f>IFERROR(__xludf.DUMMYFUNCTION("GOOGLETRANSLATE(B252,""DE"",""EN"")"),"Cooling alarm")</f>
        <v>Cooling alarm</v>
      </c>
      <c r="H252" s="8" t="str">
        <f>IFERROR(__xludf.DUMMYFUNCTION("GOOGLETRANSLATE(C252,""DE"",""EN"")"),"31")</f>
        <v>31</v>
      </c>
      <c r="I252" s="8" t="str">
        <f>IFERROR(__xludf.DUMMYFUNCTION("GOOGLETRANSLATE(D252,""DE"",""EN"")"),"12")</f>
        <v>12</v>
      </c>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W252" s="2"/>
      <c r="CX252" s="2"/>
      <c r="CY252" s="2"/>
      <c r="CZ252" s="2"/>
      <c r="DA252" s="2"/>
      <c r="DB252" s="2"/>
      <c r="DC252" s="2"/>
      <c r="DD252" s="2"/>
      <c r="DG252" s="2"/>
    </row>
    <row r="253">
      <c r="A253" s="9"/>
      <c r="B253" s="5" t="s">
        <v>84</v>
      </c>
      <c r="C253" s="6">
        <v>1.0</v>
      </c>
      <c r="D253" s="6">
        <v>1.0</v>
      </c>
      <c r="E253" s="2"/>
      <c r="F253" s="10"/>
      <c r="G253" s="8" t="str">
        <f>IFERROR(__xludf.DUMMYFUNCTION("GOOGLETRANSLATE(B253,""DE"",""EN"")"),"Label is missing/defective")</f>
        <v>Label is missing/defective</v>
      </c>
      <c r="H253" s="8" t="str">
        <f>IFERROR(__xludf.DUMMYFUNCTION("GOOGLETRANSLATE(C253,""DE"",""EN"")"),"1")</f>
        <v>1</v>
      </c>
      <c r="I253" s="8" t="str">
        <f>IFERROR(__xludf.DUMMYFUNCTION("GOOGLETRANSLATE(D253,""DE"",""EN"")"),"1")</f>
        <v>1</v>
      </c>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W253" s="2"/>
      <c r="CX253" s="2"/>
      <c r="CY253" s="2"/>
      <c r="CZ253" s="2"/>
      <c r="DA253" s="2"/>
      <c r="DB253" s="2"/>
      <c r="DC253" s="2"/>
      <c r="DD253" s="2"/>
      <c r="DG253" s="2"/>
    </row>
    <row r="254">
      <c r="A254" s="9"/>
      <c r="B254" s="5" t="s">
        <v>29</v>
      </c>
      <c r="C254" s="6">
        <v>1.0</v>
      </c>
      <c r="D254" s="6">
        <v>1.0</v>
      </c>
      <c r="E254" s="2"/>
      <c r="F254" s="10"/>
      <c r="G254" s="8" t="str">
        <f>IFERROR(__xludf.DUMMYFUNCTION("GOOGLETRANSLATE(B254,""DE"",""EN"")"),"Shop construction (42500097)")</f>
        <v>Shop construction (42500097)</v>
      </c>
      <c r="H254" s="8" t="str">
        <f>IFERROR(__xludf.DUMMYFUNCTION("GOOGLETRANSLATE(C254,""DE"",""EN"")"),"1")</f>
        <v>1</v>
      </c>
      <c r="I254" s="8" t="str">
        <f>IFERROR(__xludf.DUMMYFUNCTION("GOOGLETRANSLATE(D254,""DE"",""EN"")"),"1")</f>
        <v>1</v>
      </c>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W254" s="2"/>
      <c r="CX254" s="2"/>
      <c r="CY254" s="2"/>
      <c r="CZ254" s="2"/>
      <c r="DA254" s="2"/>
      <c r="DB254" s="2"/>
      <c r="DC254" s="2"/>
      <c r="DD254" s="2"/>
      <c r="DG254" s="2"/>
    </row>
    <row r="255">
      <c r="A255" s="9"/>
      <c r="B255" s="5" t="s">
        <v>65</v>
      </c>
      <c r="C255" s="6">
        <v>5.0</v>
      </c>
      <c r="D255" s="6">
        <v>5.0</v>
      </c>
      <c r="E255" s="2"/>
      <c r="F255" s="10"/>
      <c r="G255" s="8" t="str">
        <f>IFERROR(__xludf.DUMMYFUNCTION("GOOGLETRANSLATE(B255,""DE"",""EN"")"),"Does not load")</f>
        <v>Does not load</v>
      </c>
      <c r="H255" s="8" t="str">
        <f>IFERROR(__xludf.DUMMYFUNCTION("GOOGLETRANSLATE(C255,""DE"",""EN"")"),"5")</f>
        <v>5</v>
      </c>
      <c r="I255" s="8" t="str">
        <f>IFERROR(__xludf.DUMMYFUNCTION("GOOGLETRANSLATE(D255,""DE"",""EN"")"),"5")</f>
        <v>5</v>
      </c>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W255" s="2"/>
      <c r="CX255" s="2"/>
      <c r="CY255" s="2"/>
      <c r="CZ255" s="2"/>
      <c r="DA255" s="2"/>
      <c r="DB255" s="2"/>
      <c r="DC255" s="2"/>
      <c r="DD255" s="2"/>
      <c r="DG255" s="2"/>
    </row>
    <row r="256">
      <c r="A256" s="9"/>
      <c r="B256" s="5" t="s">
        <v>66</v>
      </c>
      <c r="C256" s="6">
        <v>4.0</v>
      </c>
      <c r="D256" s="6">
        <v>1.0</v>
      </c>
      <c r="E256" s="2"/>
      <c r="F256" s="10"/>
      <c r="G256" s="8" t="str">
        <f>IFERROR(__xludf.DUMMYFUNCTION("GOOGLETRANSLATE(B256,""DE"",""EN"")"),"Not running")</f>
        <v>Not running</v>
      </c>
      <c r="H256" s="8" t="str">
        <f>IFERROR(__xludf.DUMMYFUNCTION("GOOGLETRANSLATE(C256,""DE"",""EN"")"),"4")</f>
        <v>4</v>
      </c>
      <c r="I256" s="8" t="str">
        <f>IFERROR(__xludf.DUMMYFUNCTION("GOOGLETRANSLATE(D256,""DE"",""EN"")"),"1")</f>
        <v>1</v>
      </c>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W256" s="2"/>
      <c r="CX256" s="2"/>
      <c r="CY256" s="2"/>
      <c r="CZ256" s="2"/>
      <c r="DA256" s="2"/>
      <c r="DB256" s="2"/>
      <c r="DC256" s="2"/>
      <c r="DD256" s="2"/>
      <c r="DG256" s="2"/>
    </row>
    <row r="257">
      <c r="A257" s="9"/>
      <c r="B257" s="5" t="s">
        <v>30</v>
      </c>
      <c r="C257" s="6">
        <v>1.0</v>
      </c>
      <c r="D257" s="2"/>
      <c r="E257" s="2"/>
      <c r="F257" s="10"/>
      <c r="G257" s="8" t="str">
        <f>IFERROR(__xludf.DUMMYFUNCTION("GOOGLETRANSLATE(B257,""DE"",""EN"")"),"Lamps failed")</f>
        <v>Lamps failed</v>
      </c>
      <c r="H257" s="8" t="str">
        <f>IFERROR(__xludf.DUMMYFUNCTION("GOOGLETRANSLATE(C257,""DE"",""EN"")"),"1")</f>
        <v>1</v>
      </c>
      <c r="I257" s="8"/>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W257" s="2"/>
      <c r="CX257" s="2"/>
      <c r="CY257" s="2"/>
      <c r="CZ257" s="2"/>
      <c r="DA257" s="2"/>
      <c r="DB257" s="2"/>
      <c r="DC257" s="2"/>
      <c r="DD257" s="2"/>
      <c r="DG257" s="2"/>
    </row>
    <row r="258">
      <c r="A258" s="9"/>
      <c r="B258" s="5" t="s">
        <v>35</v>
      </c>
      <c r="C258" s="6">
        <v>9.0</v>
      </c>
      <c r="D258" s="6">
        <v>9.0</v>
      </c>
      <c r="E258" s="2"/>
      <c r="F258" s="10"/>
      <c r="G258" s="8" t="str">
        <f>IFERROR(__xludf.DUMMYFUNCTION("GOOGLETRANSLATE(B258,""DE"",""EN"")"),"Opening/closure defective")</f>
        <v>Opening/closure defective</v>
      </c>
      <c r="H258" s="8" t="str">
        <f>IFERROR(__xludf.DUMMYFUNCTION("GOOGLETRANSLATE(C258,""DE"",""EN"")"),"9")</f>
        <v>9</v>
      </c>
      <c r="I258" s="8" t="str">
        <f>IFERROR(__xludf.DUMMYFUNCTION("GOOGLETRANSLATE(D258,""DE"",""EN"")"),"9")</f>
        <v>9</v>
      </c>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W258" s="2"/>
      <c r="CX258" s="2"/>
      <c r="CY258" s="2"/>
      <c r="CZ258" s="2"/>
      <c r="DA258" s="2"/>
      <c r="DB258" s="2"/>
      <c r="DC258" s="2"/>
      <c r="DD258" s="2"/>
      <c r="DG258" s="2"/>
    </row>
    <row r="259">
      <c r="A259" s="9"/>
      <c r="B259" s="5" t="s">
        <v>37</v>
      </c>
      <c r="C259" s="6">
        <v>5.0</v>
      </c>
      <c r="D259" s="2"/>
      <c r="E259" s="2"/>
      <c r="F259" s="10"/>
      <c r="G259" s="8" t="str">
        <f>IFERROR(__xludf.DUMMYFUNCTION("GOOGLETRANSLATE(B259,""DE"",""EN"")"),"Priority 1")</f>
        <v>Priority 1</v>
      </c>
      <c r="H259" s="8" t="str">
        <f>IFERROR(__xludf.DUMMYFUNCTION("GOOGLETRANSLATE(C259,""DE"",""EN"")"),"5")</f>
        <v>5</v>
      </c>
      <c r="I259" s="8"/>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W259" s="2"/>
      <c r="CX259" s="2"/>
      <c r="CY259" s="2"/>
      <c r="CZ259" s="2"/>
      <c r="DA259" s="2"/>
      <c r="DB259" s="2"/>
      <c r="DC259" s="2"/>
      <c r="DD259" s="2"/>
      <c r="DG259" s="2"/>
    </row>
    <row r="260">
      <c r="A260" s="9"/>
      <c r="B260" s="5" t="s">
        <v>38</v>
      </c>
      <c r="C260" s="6">
        <v>65.0</v>
      </c>
      <c r="D260" s="6">
        <v>40.0</v>
      </c>
      <c r="E260" s="2"/>
      <c r="F260" s="10"/>
      <c r="G260" s="8" t="str">
        <f>IFERROR(__xludf.DUMMYFUNCTION("GOOGLETRANSLATE(B260,""DE"",""EN"")"),"Cleaning outdoor area (42530002)")</f>
        <v>Cleaning outdoor area (42530002)</v>
      </c>
      <c r="H260" s="8" t="str">
        <f>IFERROR(__xludf.DUMMYFUNCTION("GOOGLETRANSLATE(C260,""DE"",""EN"")"),"65")</f>
        <v>65</v>
      </c>
      <c r="I260" s="8" t="str">
        <f>IFERROR(__xludf.DUMMYFUNCTION("GOOGLETRANSLATE(D260,""DE"",""EN"")"),"40")</f>
        <v>40</v>
      </c>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W260" s="2"/>
      <c r="CX260" s="2"/>
      <c r="CY260" s="2"/>
      <c r="CZ260" s="2"/>
      <c r="DA260" s="2"/>
      <c r="DB260" s="2"/>
      <c r="DC260" s="2"/>
      <c r="DD260" s="2"/>
      <c r="DG260" s="2"/>
    </row>
    <row r="261">
      <c r="A261" s="9"/>
      <c r="B261" s="5" t="s">
        <v>73</v>
      </c>
      <c r="C261" s="6">
        <v>1.0</v>
      </c>
      <c r="D261" s="2"/>
      <c r="E261" s="2"/>
      <c r="F261" s="10"/>
      <c r="G261" s="8" t="str">
        <f>IFERROR(__xludf.DUMMYFUNCTION("GOOGLETRANSLATE(B261,""DE"",""EN"")"),"Cleaning other (42160099)")</f>
        <v>Cleaning other (42160099)</v>
      </c>
      <c r="H261" s="8" t="str">
        <f>IFERROR(__xludf.DUMMYFUNCTION("GOOGLETRANSLATE(C261,""DE"",""EN"")"),"1")</f>
        <v>1</v>
      </c>
      <c r="I261" s="8"/>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W261" s="2"/>
      <c r="CX261" s="2"/>
      <c r="CY261" s="2"/>
      <c r="CZ261" s="2"/>
      <c r="DA261" s="2"/>
      <c r="DB261" s="2"/>
      <c r="DC261" s="2"/>
      <c r="DD261" s="2"/>
      <c r="DG261" s="2"/>
    </row>
    <row r="262">
      <c r="A262" s="9"/>
      <c r="B262" s="5" t="s">
        <v>40</v>
      </c>
      <c r="C262" s="6">
        <v>2.0</v>
      </c>
      <c r="D262" s="6">
        <v>1.0</v>
      </c>
      <c r="E262" s="2"/>
      <c r="F262" s="10"/>
      <c r="G262" s="8" t="str">
        <f>IFERROR(__xludf.DUMMYFUNCTION("GOOGLETRANSLATE(B262,""DE"",""EN"")"),"Castle defect")</f>
        <v>Castle defect</v>
      </c>
      <c r="H262" s="8" t="str">
        <f>IFERROR(__xludf.DUMMYFUNCTION("GOOGLETRANSLATE(C262,""DE"",""EN"")"),"2")</f>
        <v>2</v>
      </c>
      <c r="I262" s="8" t="str">
        <f>IFERROR(__xludf.DUMMYFUNCTION("GOOGLETRANSLATE(D262,""DE"",""EN"")"),"1")</f>
        <v>1</v>
      </c>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W262" s="2"/>
      <c r="CX262" s="2"/>
      <c r="CY262" s="2"/>
      <c r="CZ262" s="2"/>
      <c r="DA262" s="2"/>
      <c r="DB262" s="2"/>
      <c r="DC262" s="2"/>
      <c r="DD262" s="2"/>
      <c r="DG262" s="2"/>
    </row>
    <row r="263">
      <c r="A263" s="9"/>
      <c r="B263" s="5" t="s">
        <v>42</v>
      </c>
      <c r="C263" s="6">
        <v>1.0</v>
      </c>
      <c r="D263" s="11"/>
      <c r="E263" s="2"/>
      <c r="F263" s="10"/>
      <c r="G263" s="8" t="str">
        <f>IFERROR(__xludf.DUMMYFUNCTION("GOOGLETRANSLATE(B263,""DE"",""EN"")"),"Cutting plant defective")</f>
        <v>Cutting plant defective</v>
      </c>
      <c r="H263" s="8" t="str">
        <f>IFERROR(__xludf.DUMMYFUNCTION("GOOGLETRANSLATE(C263,""DE"",""EN"")"),"1")</f>
        <v>1</v>
      </c>
      <c r="I263" s="8"/>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W263" s="2"/>
      <c r="CX263" s="2"/>
      <c r="CY263" s="2"/>
      <c r="CZ263" s="2"/>
      <c r="DA263" s="2"/>
      <c r="DB263" s="2"/>
      <c r="DC263" s="2"/>
      <c r="DD263" s="2"/>
      <c r="DG263" s="2"/>
    </row>
    <row r="264">
      <c r="A264" s="9"/>
      <c r="B264" s="5" t="s">
        <v>109</v>
      </c>
      <c r="C264" s="6">
        <v>1.0</v>
      </c>
      <c r="D264" s="6">
        <v>1.0</v>
      </c>
      <c r="E264" s="2"/>
      <c r="F264" s="10"/>
      <c r="G264" s="8" t="str">
        <f>IFERROR(__xludf.DUMMYFUNCTION("GOOGLETRANSLATE(B264,""DE"",""EN"")"),"The lock does not work")</f>
        <v>The lock does not work</v>
      </c>
      <c r="H264" s="8" t="str">
        <f>IFERROR(__xludf.DUMMYFUNCTION("GOOGLETRANSLATE(C264,""DE"",""EN"")"),"1")</f>
        <v>1</v>
      </c>
      <c r="I264" s="8" t="str">
        <f>IFERROR(__xludf.DUMMYFUNCTION("GOOGLETRANSLATE(D264,""DE"",""EN"")"),"1")</f>
        <v>1</v>
      </c>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W264" s="2"/>
      <c r="CX264" s="2"/>
      <c r="CY264" s="2"/>
      <c r="CZ264" s="2"/>
      <c r="DA264" s="2"/>
      <c r="DB264" s="2"/>
      <c r="DC264" s="2"/>
      <c r="DD264" s="2"/>
      <c r="DG264" s="2"/>
    </row>
    <row r="265">
      <c r="A265" s="9"/>
      <c r="B265" s="5" t="s">
        <v>44</v>
      </c>
      <c r="C265" s="6">
        <v>2.0</v>
      </c>
      <c r="D265" s="6">
        <v>2.0</v>
      </c>
      <c r="E265" s="2"/>
      <c r="F265" s="10"/>
      <c r="G265" s="8" t="str">
        <f>IFERROR(__xludf.DUMMYFUNCTION("GOOGLETRANSLATE(B265,""DE"",""EN"")"),"Disorder of electricity feed")</f>
        <v>Disorder of electricity feed</v>
      </c>
      <c r="H265" s="8" t="str">
        <f>IFERROR(__xludf.DUMMYFUNCTION("GOOGLETRANSLATE(C265,""DE"",""EN"")"),"2")</f>
        <v>2</v>
      </c>
      <c r="I265" s="8" t="str">
        <f>IFERROR(__xludf.DUMMYFUNCTION("GOOGLETRANSLATE(D265,""DE"",""EN"")"),"2")</f>
        <v>2</v>
      </c>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W265" s="2"/>
      <c r="CX265" s="2"/>
      <c r="CY265" s="2"/>
      <c r="CZ265" s="2"/>
      <c r="DA265" s="2"/>
      <c r="DB265" s="2"/>
      <c r="DC265" s="2"/>
      <c r="DD265" s="2"/>
      <c r="DG265" s="2"/>
    </row>
    <row r="266">
      <c r="A266" s="9"/>
      <c r="B266" s="5" t="s">
        <v>45</v>
      </c>
      <c r="C266" s="6">
        <v>2.0</v>
      </c>
      <c r="D266" s="6">
        <v>2.0</v>
      </c>
      <c r="E266" s="2"/>
      <c r="F266" s="10"/>
      <c r="G266" s="8" t="str">
        <f>IFERROR(__xludf.DUMMYFUNCTION("GOOGLETRANSLATE(B266,""DE"",""EN"")"),"Temperature problem")</f>
        <v>Temperature problem</v>
      </c>
      <c r="H266" s="8" t="str">
        <f>IFERROR(__xludf.DUMMYFUNCTION("GOOGLETRANSLATE(C266,""DE"",""EN"")"),"2")</f>
        <v>2</v>
      </c>
      <c r="I266" s="8" t="str">
        <f>IFERROR(__xludf.DUMMYFUNCTION("GOOGLETRANSLATE(D266,""DE"",""EN"")"),"2")</f>
        <v>2</v>
      </c>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W266" s="2"/>
      <c r="CX266" s="2"/>
      <c r="CY266" s="2"/>
      <c r="CZ266" s="2"/>
      <c r="DA266" s="2"/>
      <c r="DB266" s="2"/>
      <c r="DC266" s="2"/>
      <c r="DD266" s="2"/>
      <c r="DG266" s="2"/>
    </row>
    <row r="267">
      <c r="A267" s="9"/>
      <c r="B267" s="5" t="s">
        <v>46</v>
      </c>
      <c r="C267" s="6">
        <v>4.0</v>
      </c>
      <c r="D267" s="6">
        <v>4.0</v>
      </c>
      <c r="E267" s="2"/>
      <c r="F267" s="10"/>
      <c r="G267" s="8" t="str">
        <f>IFERROR(__xludf.DUMMYFUNCTION("GOOGLETRANSLATE(B267,""DE"",""EN"")"),"Door defective")</f>
        <v>Door defective</v>
      </c>
      <c r="H267" s="8" t="str">
        <f>IFERROR(__xludf.DUMMYFUNCTION("GOOGLETRANSLATE(C267,""DE"",""EN"")"),"4")</f>
        <v>4</v>
      </c>
      <c r="I267" s="8" t="str">
        <f>IFERROR(__xludf.DUMMYFUNCTION("GOOGLETRANSLATE(D267,""DE"",""EN"")"),"4")</f>
        <v>4</v>
      </c>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W267" s="2"/>
      <c r="CX267" s="2"/>
      <c r="CY267" s="2"/>
      <c r="CZ267" s="2"/>
      <c r="DA267" s="2"/>
      <c r="DB267" s="2"/>
      <c r="DC267" s="2"/>
      <c r="DD267" s="2"/>
      <c r="DG267" s="2"/>
    </row>
    <row r="268">
      <c r="A268" s="9"/>
      <c r="B268" s="5" t="s">
        <v>49</v>
      </c>
      <c r="C268" s="6">
        <v>1.0</v>
      </c>
      <c r="D268" s="6">
        <v>1.0</v>
      </c>
      <c r="E268" s="2"/>
      <c r="F268" s="10"/>
      <c r="G268" s="8" t="str">
        <f>IFERROR(__xludf.DUMMYFUNCTION("GOOGLETRANSLATE(B268,""DE"",""EN"")"),"Leak")</f>
        <v>Leak</v>
      </c>
      <c r="H268" s="8" t="str">
        <f>IFERROR(__xludf.DUMMYFUNCTION("GOOGLETRANSLATE(C268,""DE"",""EN"")"),"1")</f>
        <v>1</v>
      </c>
      <c r="I268" s="8" t="str">
        <f>IFERROR(__xludf.DUMMYFUNCTION("GOOGLETRANSLATE(D268,""DE"",""EN"")"),"1")</f>
        <v>1</v>
      </c>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W268" s="2"/>
      <c r="CX268" s="2"/>
      <c r="CY268" s="2"/>
      <c r="CZ268" s="2"/>
      <c r="DA268" s="2"/>
      <c r="DB268" s="2"/>
      <c r="DC268" s="2"/>
      <c r="DD268" s="2"/>
      <c r="DG268" s="2"/>
    </row>
    <row r="269">
      <c r="A269" s="9"/>
      <c r="B269" s="5" t="s">
        <v>51</v>
      </c>
      <c r="C269" s="6">
        <v>4.0</v>
      </c>
      <c r="D269" s="6">
        <v>3.0</v>
      </c>
      <c r="E269" s="2"/>
      <c r="F269" s="10"/>
      <c r="G269" s="8" t="str">
        <f>IFERROR(__xludf.DUMMYFUNCTION("GOOGLETRANSLATE(B269,""DE"",""EN"")"),"Icy")</f>
        <v>Icy</v>
      </c>
      <c r="H269" s="8" t="str">
        <f>IFERROR(__xludf.DUMMYFUNCTION("GOOGLETRANSLATE(C269,""DE"",""EN"")"),"4")</f>
        <v>4</v>
      </c>
      <c r="I269" s="8" t="str">
        <f>IFERROR(__xludf.DUMMYFUNCTION("GOOGLETRANSLATE(D269,""DE"",""EN"")"),"3")</f>
        <v>3</v>
      </c>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W269" s="2"/>
      <c r="CX269" s="2"/>
      <c r="CY269" s="2"/>
      <c r="CZ269" s="2"/>
      <c r="DA269" s="2"/>
      <c r="DB269" s="2"/>
      <c r="DC269" s="2"/>
      <c r="DD269" s="2"/>
      <c r="DG269" s="2"/>
    </row>
    <row r="270">
      <c r="A270" s="12"/>
      <c r="B270" s="5" t="s">
        <v>52</v>
      </c>
      <c r="C270" s="6">
        <v>2.0</v>
      </c>
      <c r="D270" s="6">
        <v>1.0</v>
      </c>
      <c r="E270" s="2"/>
      <c r="F270" s="13"/>
      <c r="G270" s="8" t="str">
        <f>IFERROR(__xludf.DUMMYFUNCTION("GOOGLETRANSLATE(B270,""DE"",""EN"")"),"Wach- and patrol service (42600001)")</f>
        <v>Wach- and patrol service (42600001)</v>
      </c>
      <c r="H270" s="8" t="str">
        <f>IFERROR(__xludf.DUMMYFUNCTION("GOOGLETRANSLATE(C270,""DE"",""EN"")"),"2")</f>
        <v>2</v>
      </c>
      <c r="I270" s="8" t="str">
        <f>IFERROR(__xludf.DUMMYFUNCTION("GOOGLETRANSLATE(D270,""DE"",""EN"")"),"1")</f>
        <v>1</v>
      </c>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W270" s="2"/>
      <c r="CX270" s="2"/>
      <c r="CY270" s="2"/>
      <c r="CZ270" s="2"/>
      <c r="DA270" s="2"/>
      <c r="DB270" s="2"/>
      <c r="DC270" s="2"/>
      <c r="DD270" s="2"/>
      <c r="DG270" s="2"/>
    </row>
    <row r="271">
      <c r="A271" s="12"/>
      <c r="B271" s="5" t="s">
        <v>54</v>
      </c>
      <c r="C271" s="6">
        <v>1.0</v>
      </c>
      <c r="D271" s="6">
        <v>1.0</v>
      </c>
      <c r="E271" s="2"/>
      <c r="F271" s="13"/>
      <c r="G271" s="8" t="str">
        <f>IFERROR(__xludf.DUMMYFUNCTION("GOOGLETRANSLATE(B271,""DE"",""EN"")"),"Inverter defect")</f>
        <v>Inverter defect</v>
      </c>
      <c r="H271" s="8" t="str">
        <f>IFERROR(__xludf.DUMMYFUNCTION("GOOGLETRANSLATE(C271,""DE"",""EN"")"),"1")</f>
        <v>1</v>
      </c>
      <c r="I271" s="8" t="str">
        <f>IFERROR(__xludf.DUMMYFUNCTION("GOOGLETRANSLATE(D271,""DE"",""EN"")"),"1")</f>
        <v>1</v>
      </c>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W271" s="2"/>
      <c r="CX271" s="2"/>
      <c r="CY271" s="2"/>
      <c r="CZ271" s="2"/>
      <c r="DA271" s="2"/>
      <c r="DB271" s="2"/>
      <c r="DC271" s="2"/>
      <c r="DD271" s="2"/>
      <c r="DG271" s="2"/>
    </row>
    <row r="272">
      <c r="A272" s="4" t="s">
        <v>110</v>
      </c>
      <c r="B272" s="12"/>
      <c r="C272" s="14">
        <v>390.0</v>
      </c>
      <c r="D272" s="14">
        <v>236.0</v>
      </c>
      <c r="E272" s="2"/>
      <c r="F272" s="7" t="s">
        <v>110</v>
      </c>
      <c r="G272" s="8" t="str">
        <f>IFERROR(__xludf.DUMMYFUNCTION("GOOGLETRANSLATE(B272,""DE"",""EN"")"),"#VALUE!")</f>
        <v>#VALUE!</v>
      </c>
      <c r="H272" s="8" t="str">
        <f>IFERROR(__xludf.DUMMYFUNCTION("GOOGLETRANSLATE(C272,""DE"",""EN"")"),"390")</f>
        <v>390</v>
      </c>
      <c r="I272" s="8" t="str">
        <f>IFERROR(__xludf.DUMMYFUNCTION("GOOGLETRANSLATE(D272,""DE"",""EN"")"),"236")</f>
        <v>236</v>
      </c>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W272" s="2"/>
      <c r="CX272" s="2"/>
      <c r="CY272" s="2"/>
      <c r="CZ272" s="2"/>
      <c r="DA272" s="2"/>
      <c r="DB272" s="2"/>
      <c r="DC272" s="2"/>
      <c r="DD272" s="2"/>
      <c r="DG272" s="2"/>
    </row>
    <row r="273">
      <c r="A273" s="4" t="s">
        <v>111</v>
      </c>
      <c r="B273" s="5" t="s">
        <v>5</v>
      </c>
      <c r="C273" s="6">
        <v>2.0</v>
      </c>
      <c r="D273" s="6">
        <v>1.0</v>
      </c>
      <c r="E273" s="2"/>
      <c r="F273" s="7" t="s">
        <v>111</v>
      </c>
      <c r="G273" s="8" t="str">
        <f>IFERROR(__xludf.DUMMYFUNCTION("GOOGLETRANSLATE(B273,""DE"",""EN"")"),"Defect defect")</f>
        <v>Defect defect</v>
      </c>
      <c r="H273" s="8" t="str">
        <f>IFERROR(__xludf.DUMMYFUNCTION("GOOGLETRANSLATE(C273,""DE"",""EN"")"),"2")</f>
        <v>2</v>
      </c>
      <c r="I273" s="8" t="str">
        <f>IFERROR(__xludf.DUMMYFUNCTION("GOOGLETRANSLATE(D273,""DE"",""EN"")"),"1")</f>
        <v>1</v>
      </c>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W273" s="2"/>
      <c r="CX273" s="2"/>
      <c r="CY273" s="2"/>
      <c r="CZ273" s="2"/>
      <c r="DA273" s="2"/>
      <c r="DB273" s="2"/>
      <c r="DC273" s="2"/>
      <c r="DD273" s="2"/>
      <c r="DG273" s="2"/>
    </row>
    <row r="274">
      <c r="A274" s="9"/>
      <c r="B274" s="5" t="s">
        <v>112</v>
      </c>
      <c r="C274" s="6">
        <v>2.0</v>
      </c>
      <c r="D274" s="6">
        <v>2.0</v>
      </c>
      <c r="E274" s="2"/>
      <c r="F274" s="10"/>
      <c r="G274" s="8" t="str">
        <f>IFERROR(__xludf.DUMMYFUNCTION("GOOGLETRANSLATE(B274,""DE"",""EN"")"),"Alarm signal")</f>
        <v>Alarm signal</v>
      </c>
      <c r="H274" s="8" t="str">
        <f>IFERROR(__xludf.DUMMYFUNCTION("GOOGLETRANSLATE(C274,""DE"",""EN"")"),"2")</f>
        <v>2</v>
      </c>
      <c r="I274" s="8" t="str">
        <f>IFERROR(__xludf.DUMMYFUNCTION("GOOGLETRANSLATE(D274,""DE"",""EN"")"),"2")</f>
        <v>2</v>
      </c>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W274" s="2"/>
      <c r="CX274" s="2"/>
      <c r="CY274" s="2"/>
      <c r="CZ274" s="2"/>
      <c r="DA274" s="2"/>
      <c r="DB274" s="2"/>
      <c r="DC274" s="2"/>
      <c r="DD274" s="2"/>
      <c r="DG274" s="2"/>
    </row>
    <row r="275">
      <c r="A275" s="9"/>
      <c r="B275" s="5" t="s">
        <v>6</v>
      </c>
      <c r="C275" s="6">
        <v>3.0</v>
      </c>
      <c r="D275" s="6">
        <v>3.0</v>
      </c>
      <c r="E275" s="2"/>
      <c r="F275" s="10"/>
      <c r="G275" s="8" t="str">
        <f>IFERROR(__xludf.DUMMYFUNCTION("GOOGLETRANSLATE(B275,""DE"",""EN"")"),"On/from alarm does not work")</f>
        <v>On/from alarm does not work</v>
      </c>
      <c r="H275" s="8" t="str">
        <f>IFERROR(__xludf.DUMMYFUNCTION("GOOGLETRANSLATE(C275,""DE"",""EN"")"),"3")</f>
        <v>3</v>
      </c>
      <c r="I275" s="8" t="str">
        <f>IFERROR(__xludf.DUMMYFUNCTION("GOOGLETRANSLATE(D275,""DE"",""EN"")"),"3")</f>
        <v>3</v>
      </c>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W275" s="2"/>
      <c r="CX275" s="2"/>
      <c r="CY275" s="2"/>
      <c r="CZ275" s="2"/>
      <c r="DA275" s="2"/>
      <c r="DB275" s="2"/>
      <c r="DC275" s="2"/>
      <c r="DD275" s="2"/>
      <c r="DG275" s="2"/>
    </row>
    <row r="276">
      <c r="A276" s="9"/>
      <c r="B276" s="5" t="s">
        <v>7</v>
      </c>
      <c r="C276" s="6">
        <v>9.0</v>
      </c>
      <c r="D276" s="6">
        <v>8.0</v>
      </c>
      <c r="E276" s="2"/>
      <c r="F276" s="10"/>
      <c r="G276" s="8" t="str">
        <f>IFERROR(__xludf.DUMMYFUNCTION("GOOGLETRANSLATE(B276,""DE"",""EN"")"),"approached")</f>
        <v>approached</v>
      </c>
      <c r="H276" s="8" t="str">
        <f>IFERROR(__xludf.DUMMYFUNCTION("GOOGLETRANSLATE(C276,""DE"",""EN"")"),"9")</f>
        <v>9</v>
      </c>
      <c r="I276" s="8" t="str">
        <f>IFERROR(__xludf.DUMMYFUNCTION("GOOGLETRANSLATE(D276,""DE"",""EN"")"),"8th")</f>
        <v>8th</v>
      </c>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W276" s="2"/>
      <c r="CX276" s="2"/>
      <c r="CY276" s="2"/>
      <c r="CZ276" s="2"/>
      <c r="DA276" s="2"/>
      <c r="DB276" s="2"/>
      <c r="DC276" s="2"/>
      <c r="DD276" s="2"/>
      <c r="DG276" s="2"/>
    </row>
    <row r="277">
      <c r="A277" s="9"/>
      <c r="B277" s="5" t="s">
        <v>8</v>
      </c>
      <c r="C277" s="6">
        <v>1.0</v>
      </c>
      <c r="D277" s="6">
        <v>1.0</v>
      </c>
      <c r="E277" s="2"/>
      <c r="F277" s="10"/>
      <c r="G277" s="8" t="str">
        <f>IFERROR(__xludf.DUMMYFUNCTION("GOOGLETRANSLATE(B277,""DE"",""EN"")"),"Display defect")</f>
        <v>Display defect</v>
      </c>
      <c r="H277" s="8" t="str">
        <f>IFERROR(__xludf.DUMMYFUNCTION("GOOGLETRANSLATE(C277,""DE"",""EN"")"),"1")</f>
        <v>1</v>
      </c>
      <c r="I277" s="8" t="str">
        <f>IFERROR(__xludf.DUMMYFUNCTION("GOOGLETRANSLATE(D277,""DE"",""EN"")"),"1")</f>
        <v>1</v>
      </c>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W277" s="2"/>
      <c r="CX277" s="2"/>
      <c r="CY277" s="2"/>
      <c r="CZ277" s="2"/>
      <c r="DA277" s="2"/>
      <c r="DB277" s="2"/>
      <c r="DC277" s="2"/>
      <c r="DD277" s="2"/>
      <c r="DG277" s="2"/>
    </row>
    <row r="278">
      <c r="A278" s="9"/>
      <c r="B278" s="5" t="s">
        <v>98</v>
      </c>
      <c r="C278" s="6">
        <v>1.0</v>
      </c>
      <c r="D278" s="6">
        <v>1.0</v>
      </c>
      <c r="E278" s="2"/>
      <c r="F278" s="10"/>
      <c r="G278" s="8" t="str">
        <f>IFERROR(__xludf.DUMMYFUNCTION("GOOGLETRANSLATE(B278,""DE"",""EN"")"),"Triggering false alarm (42600004)")</f>
        <v>Triggering false alarm (42600004)</v>
      </c>
      <c r="H278" s="8" t="str">
        <f>IFERROR(__xludf.DUMMYFUNCTION("GOOGLETRANSLATE(C278,""DE"",""EN"")"),"1")</f>
        <v>1</v>
      </c>
      <c r="I278" s="8" t="str">
        <f>IFERROR(__xludf.DUMMYFUNCTION("GOOGLETRANSLATE(D278,""DE"",""EN"")"),"1")</f>
        <v>1</v>
      </c>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W278" s="2"/>
      <c r="CX278" s="2"/>
      <c r="CY278" s="2"/>
      <c r="CZ278" s="2"/>
      <c r="DA278" s="2"/>
      <c r="DB278" s="2"/>
      <c r="DC278" s="2"/>
      <c r="DD278" s="2"/>
      <c r="DG278" s="2"/>
    </row>
    <row r="279">
      <c r="A279" s="9"/>
      <c r="B279" s="5" t="s">
        <v>10</v>
      </c>
      <c r="C279" s="6">
        <v>2.0</v>
      </c>
      <c r="D279" s="6">
        <v>2.0</v>
      </c>
      <c r="E279" s="2"/>
      <c r="F279" s="10"/>
      <c r="G279" s="8" t="str">
        <f>IFERROR(__xludf.DUMMYFUNCTION("GOOGLETRANSLATE(B279,""DE"",""EN"")"),"Lighting defect")</f>
        <v>Lighting defect</v>
      </c>
      <c r="H279" s="8" t="str">
        <f>IFERROR(__xludf.DUMMYFUNCTION("GOOGLETRANSLATE(C279,""DE"",""EN"")"),"2")</f>
        <v>2</v>
      </c>
      <c r="I279" s="8" t="str">
        <f>IFERROR(__xludf.DUMMYFUNCTION("GOOGLETRANSLATE(D279,""DE"",""EN"")"),"2")</f>
        <v>2</v>
      </c>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W279" s="2"/>
      <c r="CX279" s="2"/>
      <c r="CY279" s="2"/>
      <c r="CZ279" s="2"/>
      <c r="DA279" s="2"/>
      <c r="DB279" s="2"/>
      <c r="DC279" s="2"/>
      <c r="DD279" s="2"/>
      <c r="DG279" s="2"/>
    </row>
    <row r="280">
      <c r="A280" s="9"/>
      <c r="B280" s="5" t="s">
        <v>11</v>
      </c>
      <c r="C280" s="6">
        <v>29.0</v>
      </c>
      <c r="D280" s="6">
        <v>28.0</v>
      </c>
      <c r="E280" s="2"/>
      <c r="F280" s="10"/>
      <c r="G280" s="8" t="str">
        <f>IFERROR(__xludf.DUMMYFUNCTION("GOOGLETRANSLATE(B280,""DE"",""EN"")"),"Damage / break")</f>
        <v>Damage / break</v>
      </c>
      <c r="H280" s="8" t="str">
        <f>IFERROR(__xludf.DUMMYFUNCTION("GOOGLETRANSLATE(C280,""DE"",""EN"")"),"29")</f>
        <v>29</v>
      </c>
      <c r="I280" s="8" t="str">
        <f>IFERROR(__xludf.DUMMYFUNCTION("GOOGLETRANSLATE(D280,""DE"",""EN"")"),"28")</f>
        <v>28</v>
      </c>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W280" s="2"/>
      <c r="CX280" s="2"/>
      <c r="CY280" s="2"/>
      <c r="CZ280" s="2"/>
      <c r="DA280" s="2"/>
      <c r="DB280" s="2"/>
      <c r="DC280" s="2"/>
      <c r="DD280" s="2"/>
      <c r="DG280" s="2"/>
    </row>
    <row r="281">
      <c r="A281" s="9"/>
      <c r="B281" s="5" t="s">
        <v>12</v>
      </c>
      <c r="C281" s="6">
        <v>231.0</v>
      </c>
      <c r="D281" s="6">
        <v>151.0</v>
      </c>
      <c r="E281" s="2"/>
      <c r="F281" s="10"/>
      <c r="G281" s="8" t="str">
        <f>IFERROR(__xludf.DUMMYFUNCTION("GOOGLETRANSLATE(B281,""DE"",""EN"")"),"Description in the BO")</f>
        <v>Description in the BO</v>
      </c>
      <c r="H281" s="8" t="str">
        <f>IFERROR(__xludf.DUMMYFUNCTION("GOOGLETRANSLATE(C281,""DE"",""EN"")"),"231")</f>
        <v>231</v>
      </c>
      <c r="I281" s="8" t="str">
        <f>IFERROR(__xludf.DUMMYFUNCTION("GOOGLETRANSLATE(D281,""DE"",""EN"")"),"151")</f>
        <v>151</v>
      </c>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W281" s="2"/>
      <c r="CX281" s="2"/>
      <c r="CY281" s="2"/>
      <c r="CZ281" s="2"/>
      <c r="DA281" s="2"/>
      <c r="DB281" s="2"/>
      <c r="DC281" s="2"/>
      <c r="DD281" s="2"/>
      <c r="DG281" s="2"/>
    </row>
    <row r="282">
      <c r="A282" s="9"/>
      <c r="B282" s="5" t="s">
        <v>113</v>
      </c>
      <c r="C282" s="6">
        <v>1.0</v>
      </c>
      <c r="D282" s="6">
        <v>1.0</v>
      </c>
      <c r="E282" s="2"/>
      <c r="F282" s="10"/>
      <c r="G282" s="8" t="str">
        <f>IFERROR(__xludf.DUMMYFUNCTION("GOOGLETRANSLATE(B282,""DE"",""EN"")"),"Blocking defective")</f>
        <v>Blocking defective</v>
      </c>
      <c r="H282" s="8" t="str">
        <f>IFERROR(__xludf.DUMMYFUNCTION("GOOGLETRANSLATE(C282,""DE"",""EN"")"),"1")</f>
        <v>1</v>
      </c>
      <c r="I282" s="8" t="str">
        <f>IFERROR(__xludf.DUMMYFUNCTION("GOOGLETRANSLATE(D282,""DE"",""EN"")"),"1")</f>
        <v>1</v>
      </c>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W282" s="2"/>
      <c r="CX282" s="2"/>
      <c r="CY282" s="2"/>
      <c r="CZ282" s="2"/>
      <c r="DA282" s="2"/>
      <c r="DB282" s="2"/>
      <c r="DC282" s="2"/>
      <c r="DD282" s="2"/>
      <c r="DG282" s="2"/>
    </row>
    <row r="283">
      <c r="A283" s="9"/>
      <c r="B283" s="5" t="s">
        <v>114</v>
      </c>
      <c r="C283" s="6">
        <v>1.0</v>
      </c>
      <c r="D283" s="6">
        <v>1.0</v>
      </c>
      <c r="E283" s="2"/>
      <c r="F283" s="10"/>
      <c r="G283" s="8" t="str">
        <f>IFERROR(__xludf.DUMMYFUNCTION("GOOGLETRANSLATE(B283,""DE"",""EN"")"),"Roof cover is missing")</f>
        <v>Roof cover is missing</v>
      </c>
      <c r="H283" s="8" t="str">
        <f>IFERROR(__xludf.DUMMYFUNCTION("GOOGLETRANSLATE(C283,""DE"",""EN"")"),"1")</f>
        <v>1</v>
      </c>
      <c r="I283" s="8" t="str">
        <f>IFERROR(__xludf.DUMMYFUNCTION("GOOGLETRANSLATE(D283,""DE"",""EN"")"),"1")</f>
        <v>1</v>
      </c>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W283" s="2"/>
      <c r="CX283" s="2"/>
      <c r="CY283" s="2"/>
      <c r="CZ283" s="2"/>
      <c r="DA283" s="2"/>
      <c r="DB283" s="2"/>
      <c r="DC283" s="2"/>
      <c r="DD283" s="2"/>
      <c r="DG283" s="2"/>
    </row>
    <row r="284">
      <c r="A284" s="9"/>
      <c r="B284" s="5" t="s">
        <v>115</v>
      </c>
      <c r="C284" s="6">
        <v>2.0</v>
      </c>
      <c r="D284" s="6">
        <v>1.0</v>
      </c>
      <c r="E284" s="2"/>
      <c r="F284" s="10"/>
      <c r="G284" s="8" t="str">
        <f>IFERROR(__xludf.DUMMYFUNCTION("GOOGLETRANSLATE(B284,""DE"",""EN"")"),"display damaged")</f>
        <v>display damaged</v>
      </c>
      <c r="H284" s="8" t="str">
        <f>IFERROR(__xludf.DUMMYFUNCTION("GOOGLETRANSLATE(C284,""DE"",""EN"")"),"2")</f>
        <v>2</v>
      </c>
      <c r="I284" s="8" t="str">
        <f>IFERROR(__xludf.DUMMYFUNCTION("GOOGLETRANSLATE(D284,""DE"",""EN"")"),"1")</f>
        <v>1</v>
      </c>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W284" s="2"/>
      <c r="CX284" s="2"/>
      <c r="CY284" s="2"/>
      <c r="CZ284" s="2"/>
      <c r="DA284" s="2"/>
      <c r="DB284" s="2"/>
      <c r="DC284" s="2"/>
      <c r="DD284" s="2"/>
      <c r="DG284" s="2"/>
    </row>
    <row r="285">
      <c r="A285" s="9"/>
      <c r="B285" s="5" t="s">
        <v>14</v>
      </c>
      <c r="C285" s="6">
        <v>1.0</v>
      </c>
      <c r="D285" s="6">
        <v>1.0</v>
      </c>
      <c r="E285" s="2"/>
      <c r="F285" s="10"/>
      <c r="G285" s="8" t="str">
        <f>IFERROR(__xludf.DUMMYFUNCTION("GOOGLETRANSLATE(B285,""DE"",""EN"")"),"Urgent / over consumption")</f>
        <v>Urgent / over consumption</v>
      </c>
      <c r="H285" s="8" t="str">
        <f>IFERROR(__xludf.DUMMYFUNCTION("GOOGLETRANSLATE(C285,""DE"",""EN"")"),"1")</f>
        <v>1</v>
      </c>
      <c r="I285" s="8" t="str">
        <f>IFERROR(__xludf.DUMMYFUNCTION("GOOGLETRANSLATE(D285,""DE"",""EN"")"),"1")</f>
        <v>1</v>
      </c>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W285" s="2"/>
      <c r="CX285" s="2"/>
      <c r="CY285" s="2"/>
      <c r="CZ285" s="2"/>
      <c r="DA285" s="2"/>
      <c r="DB285" s="2"/>
      <c r="DC285" s="2"/>
      <c r="DD285" s="2"/>
      <c r="DG285" s="2"/>
    </row>
    <row r="286">
      <c r="A286" s="9"/>
      <c r="B286" s="5" t="s">
        <v>16</v>
      </c>
      <c r="C286" s="6">
        <v>3.0</v>
      </c>
      <c r="D286" s="6">
        <v>2.0</v>
      </c>
      <c r="E286" s="2"/>
      <c r="F286" s="10"/>
      <c r="G286" s="8" t="str">
        <f>IFERROR(__xludf.DUMMYFUNCTION("GOOGLETRANSLATE(B286,""DE"",""EN"")"),"Moist ceiling plates")</f>
        <v>Moist ceiling plates</v>
      </c>
      <c r="H286" s="8" t="str">
        <f>IFERROR(__xludf.DUMMYFUNCTION("GOOGLETRANSLATE(C286,""DE"",""EN"")"),"3")</f>
        <v>3</v>
      </c>
      <c r="I286" s="8" t="str">
        <f>IFERROR(__xludf.DUMMYFUNCTION("GOOGLETRANSLATE(D286,""DE"",""EN"")"),"2")</f>
        <v>2</v>
      </c>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W286" s="2"/>
      <c r="CX286" s="2"/>
      <c r="CY286" s="2"/>
      <c r="CZ286" s="2"/>
      <c r="DA286" s="2"/>
      <c r="DB286" s="2"/>
      <c r="DC286" s="2"/>
      <c r="DD286" s="2"/>
      <c r="DG286" s="2"/>
    </row>
    <row r="287">
      <c r="A287" s="9"/>
      <c r="B287" s="5" t="s">
        <v>116</v>
      </c>
      <c r="C287" s="6">
        <v>1.0</v>
      </c>
      <c r="D287" s="6">
        <v>1.0</v>
      </c>
      <c r="E287" s="2"/>
      <c r="F287" s="10"/>
      <c r="G287" s="8" t="str">
        <f>IFERROR(__xludf.DUMMYFUNCTION("GOOGLETRANSLATE(B287,""DE"",""EN"")"),"Fire extinguishers not fastened/no stand")</f>
        <v>Fire extinguishers not fastened/no stand</v>
      </c>
      <c r="H287" s="8" t="str">
        <f>IFERROR(__xludf.DUMMYFUNCTION("GOOGLETRANSLATE(C287,""DE"",""EN"")"),"1")</f>
        <v>1</v>
      </c>
      <c r="I287" s="8" t="str">
        <f>IFERROR(__xludf.DUMMYFUNCTION("GOOGLETRANSLATE(D287,""DE"",""EN"")"),"1")</f>
        <v>1</v>
      </c>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W287" s="2"/>
      <c r="CX287" s="2"/>
      <c r="CY287" s="2"/>
      <c r="CZ287" s="2"/>
      <c r="DA287" s="2"/>
      <c r="DB287" s="2"/>
      <c r="DC287" s="2"/>
      <c r="DD287" s="2"/>
      <c r="DG287" s="2"/>
    </row>
    <row r="288">
      <c r="A288" s="9"/>
      <c r="B288" s="5" t="s">
        <v>17</v>
      </c>
      <c r="C288" s="6">
        <v>4.0</v>
      </c>
      <c r="D288" s="6">
        <v>4.0</v>
      </c>
      <c r="E288" s="2"/>
      <c r="F288" s="10"/>
      <c r="G288" s="8" t="str">
        <f>IFERROR(__xludf.DUMMYFUNCTION("GOOGLETRANSLATE(B288,""DE"",""EN"")"),"Filiatry temperature above 25 ° C")</f>
        <v>Filiatry temperature above 25 ° C</v>
      </c>
      <c r="H288" s="8" t="str">
        <f>IFERROR(__xludf.DUMMYFUNCTION("GOOGLETRANSLATE(C288,""DE"",""EN"")"),"4")</f>
        <v>4</v>
      </c>
      <c r="I288" s="8" t="str">
        <f>IFERROR(__xludf.DUMMYFUNCTION("GOOGLETRANSLATE(D288,""DE"",""EN"")"),"4")</f>
        <v>4</v>
      </c>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W288" s="2"/>
      <c r="CX288" s="2"/>
      <c r="CY288" s="2"/>
      <c r="CZ288" s="2"/>
      <c r="DA288" s="2"/>
      <c r="DB288" s="2"/>
      <c r="DC288" s="2"/>
      <c r="DD288" s="2"/>
      <c r="DG288" s="2"/>
    </row>
    <row r="289">
      <c r="A289" s="9"/>
      <c r="B289" s="5" t="s">
        <v>18</v>
      </c>
      <c r="C289" s="6">
        <v>1.0</v>
      </c>
      <c r="D289" s="6">
        <v>1.0</v>
      </c>
      <c r="E289" s="2"/>
      <c r="F289" s="10"/>
      <c r="G289" s="8" t="str">
        <f>IFERROR(__xludf.DUMMYFUNCTION("GOOGLETRANSLATE(B289,""DE"",""EN"")"),"Filiatry temperature below 18 ° C")</f>
        <v>Filiatry temperature below 18 ° C</v>
      </c>
      <c r="H289" s="8" t="str">
        <f>IFERROR(__xludf.DUMMYFUNCTION("GOOGLETRANSLATE(C289,""DE"",""EN"")"),"1")</f>
        <v>1</v>
      </c>
      <c r="I289" s="8" t="str">
        <f>IFERROR(__xludf.DUMMYFUNCTION("GOOGLETRANSLATE(D289,""DE"",""EN"")"),"1")</f>
        <v>1</v>
      </c>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W289" s="2"/>
      <c r="CX289" s="2"/>
      <c r="CY289" s="2"/>
      <c r="CZ289" s="2"/>
      <c r="DA289" s="2"/>
      <c r="DB289" s="2"/>
      <c r="DC289" s="2"/>
      <c r="DD289" s="2"/>
      <c r="DG289" s="2"/>
    </row>
    <row r="290">
      <c r="A290" s="9"/>
      <c r="B290" s="5" t="s">
        <v>20</v>
      </c>
      <c r="C290" s="6">
        <v>7.0</v>
      </c>
      <c r="D290" s="6">
        <v>7.0</v>
      </c>
      <c r="E290" s="2"/>
      <c r="F290" s="10"/>
      <c r="G290" s="8" t="str">
        <f>IFERROR(__xludf.DUMMYFUNCTION("GOOGLETRANSLATE(B290,""DE"",""EN"")"),"Doesn't work")</f>
        <v>Doesn't work</v>
      </c>
      <c r="H290" s="8" t="str">
        <f>IFERROR(__xludf.DUMMYFUNCTION("GOOGLETRANSLATE(C290,""DE"",""EN"")"),"7")</f>
        <v>7</v>
      </c>
      <c r="I290" s="8" t="str">
        <f>IFERROR(__xludf.DUMMYFUNCTION("GOOGLETRANSLATE(D290,""DE"",""EN"")"),"7")</f>
        <v>7</v>
      </c>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W290" s="2"/>
      <c r="CX290" s="2"/>
      <c r="CY290" s="2"/>
      <c r="CZ290" s="2"/>
      <c r="DA290" s="2"/>
      <c r="DB290" s="2"/>
      <c r="DC290" s="2"/>
      <c r="DD290" s="2"/>
      <c r="DG290" s="2"/>
    </row>
    <row r="291">
      <c r="A291" s="9"/>
      <c r="B291" s="5" t="s">
        <v>22</v>
      </c>
      <c r="C291" s="6">
        <v>2.0</v>
      </c>
      <c r="D291" s="6">
        <v>2.0</v>
      </c>
      <c r="E291" s="2"/>
      <c r="F291" s="10"/>
      <c r="G291" s="8" t="str">
        <f>IFERROR(__xludf.DUMMYFUNCTION("GOOGLETRANSLATE(B291,""DE"",""EN"")"),"Glass/plexiglass defective")</f>
        <v>Glass/plexiglass defective</v>
      </c>
      <c r="H291" s="8" t="str">
        <f>IFERROR(__xludf.DUMMYFUNCTION("GOOGLETRANSLATE(C291,""DE"",""EN"")"),"2")</f>
        <v>2</v>
      </c>
      <c r="I291" s="8" t="str">
        <f>IFERROR(__xludf.DUMMYFUNCTION("GOOGLETRANSLATE(D291,""DE"",""EN"")"),"2")</f>
        <v>2</v>
      </c>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W291" s="2"/>
      <c r="CX291" s="2"/>
      <c r="CY291" s="2"/>
      <c r="CZ291" s="2"/>
      <c r="DA291" s="2"/>
      <c r="DB291" s="2"/>
      <c r="DC291" s="2"/>
      <c r="DD291" s="2"/>
      <c r="DG291" s="2"/>
    </row>
    <row r="292">
      <c r="A292" s="9"/>
      <c r="B292" s="5" t="s">
        <v>23</v>
      </c>
      <c r="C292" s="6">
        <v>1.0</v>
      </c>
      <c r="D292" s="6">
        <v>1.0</v>
      </c>
      <c r="E292" s="2"/>
      <c r="F292" s="10"/>
      <c r="G292" s="8" t="str">
        <f>IFERROR(__xludf.DUMMYFUNCTION("GOOGLETRANSLATE(B292,""DE"",""EN"")"),"Glass lid defective")</f>
        <v>Glass lid defective</v>
      </c>
      <c r="H292" s="8" t="str">
        <f>IFERROR(__xludf.DUMMYFUNCTION("GOOGLETRANSLATE(C292,""DE"",""EN"")"),"1")</f>
        <v>1</v>
      </c>
      <c r="I292" s="8" t="str">
        <f>IFERROR(__xludf.DUMMYFUNCTION("GOOGLETRANSLATE(D292,""DE"",""EN"")"),"1")</f>
        <v>1</v>
      </c>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W292" s="2"/>
      <c r="CX292" s="2"/>
      <c r="CY292" s="2"/>
      <c r="CZ292" s="2"/>
      <c r="DA292" s="2"/>
      <c r="DB292" s="2"/>
      <c r="DC292" s="2"/>
      <c r="DD292" s="2"/>
      <c r="DG292" s="2"/>
    </row>
    <row r="293">
      <c r="A293" s="9"/>
      <c r="B293" s="5" t="s">
        <v>81</v>
      </c>
      <c r="C293" s="6">
        <v>2.0</v>
      </c>
      <c r="D293" s="6">
        <v>2.0</v>
      </c>
      <c r="E293" s="2"/>
      <c r="F293" s="10"/>
      <c r="G293" s="8" t="str">
        <f>IFERROR(__xludf.DUMMYFUNCTION("GOOGLETRANSLATE(B293,""DE"",""EN"")"),"Rubber seal damaged")</f>
        <v>Rubber seal damaged</v>
      </c>
      <c r="H293" s="8" t="str">
        <f>IFERROR(__xludf.DUMMYFUNCTION("GOOGLETRANSLATE(C293,""DE"",""EN"")"),"2")</f>
        <v>2</v>
      </c>
      <c r="I293" s="8" t="str">
        <f>IFERROR(__xludf.DUMMYFUNCTION("GOOGLETRANSLATE(D293,""DE"",""EN"")"),"2")</f>
        <v>2</v>
      </c>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W293" s="2"/>
      <c r="CX293" s="2"/>
      <c r="CY293" s="2"/>
      <c r="CZ293" s="2"/>
      <c r="DA293" s="2"/>
      <c r="DB293" s="2"/>
      <c r="DC293" s="2"/>
      <c r="DD293" s="2"/>
      <c r="DG293" s="2"/>
    </row>
    <row r="294">
      <c r="A294" s="9"/>
      <c r="B294" s="5" t="s">
        <v>25</v>
      </c>
      <c r="C294" s="6">
        <v>1.0</v>
      </c>
      <c r="D294" s="6">
        <v>1.0</v>
      </c>
      <c r="E294" s="2"/>
      <c r="F294" s="10"/>
      <c r="G294" s="8" t="str">
        <f>IFERROR(__xludf.DUMMYFUNCTION("GOOGLETRANSLATE(B294,""DE"",""EN"")"),"Cash tape defective")</f>
        <v>Cash tape defective</v>
      </c>
      <c r="H294" s="8" t="str">
        <f>IFERROR(__xludf.DUMMYFUNCTION("GOOGLETRANSLATE(C294,""DE"",""EN"")"),"1")</f>
        <v>1</v>
      </c>
      <c r="I294" s="8" t="str">
        <f>IFERROR(__xludf.DUMMYFUNCTION("GOOGLETRANSLATE(D294,""DE"",""EN"")"),"1")</f>
        <v>1</v>
      </c>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W294" s="2"/>
      <c r="CX294" s="2"/>
      <c r="CY294" s="2"/>
      <c r="CZ294" s="2"/>
      <c r="DA294" s="2"/>
      <c r="DB294" s="2"/>
      <c r="DC294" s="2"/>
      <c r="DD294" s="2"/>
      <c r="DG294" s="2"/>
    </row>
    <row r="295">
      <c r="A295" s="9"/>
      <c r="B295" s="5" t="s">
        <v>101</v>
      </c>
      <c r="C295" s="6">
        <v>1.0</v>
      </c>
      <c r="D295" s="6">
        <v>1.0</v>
      </c>
      <c r="E295" s="2"/>
      <c r="F295" s="10"/>
      <c r="G295" s="8" t="str">
        <f>IFERROR(__xludf.DUMMYFUNCTION("GOOGLETRANSLATE(B295,""DE"",""EN"")"),"Closet damaged")</f>
        <v>Closet damaged</v>
      </c>
      <c r="H295" s="8" t="str">
        <f>IFERROR(__xludf.DUMMYFUNCTION("GOOGLETRANSLATE(C295,""DE"",""EN"")"),"1")</f>
        <v>1</v>
      </c>
      <c r="I295" s="8" t="str">
        <f>IFERROR(__xludf.DUMMYFUNCTION("GOOGLETRANSLATE(D295,""DE"",""EN"")"),"1")</f>
        <v>1</v>
      </c>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W295" s="2"/>
      <c r="CX295" s="2"/>
      <c r="CY295" s="2"/>
      <c r="CZ295" s="2"/>
      <c r="DA295" s="2"/>
      <c r="DB295" s="2"/>
      <c r="DC295" s="2"/>
      <c r="DD295" s="2"/>
      <c r="DG295" s="2"/>
    </row>
    <row r="296">
      <c r="A296" s="9"/>
      <c r="B296" s="5" t="s">
        <v>64</v>
      </c>
      <c r="C296" s="6">
        <v>1.0</v>
      </c>
      <c r="D296" s="6">
        <v>1.0</v>
      </c>
      <c r="E296" s="2"/>
      <c r="F296" s="10"/>
      <c r="G296" s="8" t="str">
        <f>IFERROR(__xludf.DUMMYFUNCTION("GOOGLETRANSLATE(B296,""DE"",""EN"")"),"Complete system defective")</f>
        <v>Complete system defective</v>
      </c>
      <c r="H296" s="8" t="str">
        <f>IFERROR(__xludf.DUMMYFUNCTION("GOOGLETRANSLATE(C296,""DE"",""EN"")"),"1")</f>
        <v>1</v>
      </c>
      <c r="I296" s="8" t="str">
        <f>IFERROR(__xludf.DUMMYFUNCTION("GOOGLETRANSLATE(D296,""DE"",""EN"")"),"1")</f>
        <v>1</v>
      </c>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W296" s="2"/>
      <c r="CX296" s="2"/>
      <c r="CY296" s="2"/>
      <c r="CZ296" s="2"/>
      <c r="DA296" s="2"/>
      <c r="DB296" s="2"/>
      <c r="DC296" s="2"/>
      <c r="DD296" s="2"/>
      <c r="DG296" s="2"/>
    </row>
    <row r="297">
      <c r="A297" s="9"/>
      <c r="B297" s="5" t="s">
        <v>27</v>
      </c>
      <c r="C297" s="6">
        <v>1.0</v>
      </c>
      <c r="D297" s="11"/>
      <c r="E297" s="2"/>
      <c r="F297" s="10"/>
      <c r="G297" s="8" t="str">
        <f>IFERROR(__xludf.DUMMYFUNCTION("GOOGLETRANSLATE(B297,""DE"",""EN"")"),"Continuous alarm")</f>
        <v>Continuous alarm</v>
      </c>
      <c r="H297" s="8" t="str">
        <f>IFERROR(__xludf.DUMMYFUNCTION("GOOGLETRANSLATE(C297,""DE"",""EN"")"),"1")</f>
        <v>1</v>
      </c>
      <c r="I297" s="8"/>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W297" s="2"/>
      <c r="CX297" s="2"/>
      <c r="CY297" s="2"/>
      <c r="CZ297" s="2"/>
      <c r="DA297" s="2"/>
      <c r="DB297" s="2"/>
      <c r="DC297" s="2"/>
      <c r="DD297" s="2"/>
      <c r="DG297" s="2"/>
    </row>
    <row r="298">
      <c r="A298" s="9"/>
      <c r="B298" s="5" t="s">
        <v>28</v>
      </c>
      <c r="C298" s="6">
        <v>25.0</v>
      </c>
      <c r="D298" s="6">
        <v>13.0</v>
      </c>
      <c r="E298" s="2"/>
      <c r="F298" s="10"/>
      <c r="G298" s="8" t="str">
        <f>IFERROR(__xludf.DUMMYFUNCTION("GOOGLETRANSLATE(B298,""DE"",""EN"")"),"Cooling alarm")</f>
        <v>Cooling alarm</v>
      </c>
      <c r="H298" s="8" t="str">
        <f>IFERROR(__xludf.DUMMYFUNCTION("GOOGLETRANSLATE(C298,""DE"",""EN"")"),"25")</f>
        <v>25</v>
      </c>
      <c r="I298" s="8" t="str">
        <f>IFERROR(__xludf.DUMMYFUNCTION("GOOGLETRANSLATE(D298,""DE"",""EN"")"),"13")</f>
        <v>13</v>
      </c>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W298" s="2"/>
      <c r="CX298" s="2"/>
      <c r="CY298" s="2"/>
      <c r="CZ298" s="2"/>
      <c r="DA298" s="2"/>
      <c r="DB298" s="2"/>
      <c r="DC298" s="2"/>
      <c r="DD298" s="2"/>
      <c r="DG298" s="2"/>
    </row>
    <row r="299">
      <c r="A299" s="9"/>
      <c r="B299" s="5" t="s">
        <v>84</v>
      </c>
      <c r="C299" s="6">
        <v>1.0</v>
      </c>
      <c r="D299" s="6">
        <v>1.0</v>
      </c>
      <c r="E299" s="2"/>
      <c r="F299" s="10"/>
      <c r="G299" s="8" t="str">
        <f>IFERROR(__xludf.DUMMYFUNCTION("GOOGLETRANSLATE(B299,""DE"",""EN"")"),"Label is missing/defective")</f>
        <v>Label is missing/defective</v>
      </c>
      <c r="H299" s="8" t="str">
        <f>IFERROR(__xludf.DUMMYFUNCTION("GOOGLETRANSLATE(C299,""DE"",""EN"")"),"1")</f>
        <v>1</v>
      </c>
      <c r="I299" s="8" t="str">
        <f>IFERROR(__xludf.DUMMYFUNCTION("GOOGLETRANSLATE(D299,""DE"",""EN"")"),"1")</f>
        <v>1</v>
      </c>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W299" s="2"/>
      <c r="CX299" s="2"/>
      <c r="CY299" s="2"/>
      <c r="CZ299" s="2"/>
      <c r="DA299" s="2"/>
      <c r="DB299" s="2"/>
      <c r="DC299" s="2"/>
      <c r="DD299" s="2"/>
      <c r="DG299" s="2"/>
    </row>
    <row r="300">
      <c r="A300" s="9"/>
      <c r="B300" s="5" t="s">
        <v>29</v>
      </c>
      <c r="C300" s="6">
        <v>1.0</v>
      </c>
      <c r="D300" s="6">
        <v>1.0</v>
      </c>
      <c r="E300" s="2"/>
      <c r="F300" s="10"/>
      <c r="G300" s="8" t="str">
        <f>IFERROR(__xludf.DUMMYFUNCTION("GOOGLETRANSLATE(B300,""DE"",""EN"")"),"Shop construction (42500097)")</f>
        <v>Shop construction (42500097)</v>
      </c>
      <c r="H300" s="8" t="str">
        <f>IFERROR(__xludf.DUMMYFUNCTION("GOOGLETRANSLATE(C300,""DE"",""EN"")"),"1")</f>
        <v>1</v>
      </c>
      <c r="I300" s="8" t="str">
        <f>IFERROR(__xludf.DUMMYFUNCTION("GOOGLETRANSLATE(D300,""DE"",""EN"")"),"1")</f>
        <v>1</v>
      </c>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W300" s="2"/>
      <c r="CX300" s="2"/>
      <c r="CY300" s="2"/>
      <c r="CZ300" s="2"/>
      <c r="DA300" s="2"/>
      <c r="DB300" s="2"/>
      <c r="DC300" s="2"/>
      <c r="DD300" s="2"/>
      <c r="DG300" s="2"/>
    </row>
    <row r="301">
      <c r="A301" s="9"/>
      <c r="B301" s="5" t="s">
        <v>65</v>
      </c>
      <c r="C301" s="6">
        <v>7.0</v>
      </c>
      <c r="D301" s="6">
        <v>7.0</v>
      </c>
      <c r="E301" s="2"/>
      <c r="F301" s="10"/>
      <c r="G301" s="8" t="str">
        <f>IFERROR(__xludf.DUMMYFUNCTION("GOOGLETRANSLATE(B301,""DE"",""EN"")"),"Does not load")</f>
        <v>Does not load</v>
      </c>
      <c r="H301" s="8" t="str">
        <f>IFERROR(__xludf.DUMMYFUNCTION("GOOGLETRANSLATE(C301,""DE"",""EN"")"),"7")</f>
        <v>7</v>
      </c>
      <c r="I301" s="8" t="str">
        <f>IFERROR(__xludf.DUMMYFUNCTION("GOOGLETRANSLATE(D301,""DE"",""EN"")"),"7")</f>
        <v>7</v>
      </c>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W301" s="2"/>
      <c r="CX301" s="2"/>
      <c r="CY301" s="2"/>
      <c r="CZ301" s="2"/>
      <c r="DA301" s="2"/>
      <c r="DB301" s="2"/>
      <c r="DC301" s="2"/>
      <c r="DD301" s="2"/>
      <c r="DG301" s="2"/>
    </row>
    <row r="302">
      <c r="A302" s="9"/>
      <c r="B302" s="5" t="s">
        <v>66</v>
      </c>
      <c r="C302" s="6">
        <v>6.0</v>
      </c>
      <c r="D302" s="6">
        <v>3.0</v>
      </c>
      <c r="E302" s="2"/>
      <c r="F302" s="10"/>
      <c r="G302" s="8" t="str">
        <f>IFERROR(__xludf.DUMMYFUNCTION("GOOGLETRANSLATE(B302,""DE"",""EN"")"),"Not running")</f>
        <v>Not running</v>
      </c>
      <c r="H302" s="8" t="str">
        <f>IFERROR(__xludf.DUMMYFUNCTION("GOOGLETRANSLATE(C302,""DE"",""EN"")"),"6")</f>
        <v>6</v>
      </c>
      <c r="I302" s="8" t="str">
        <f>IFERROR(__xludf.DUMMYFUNCTION("GOOGLETRANSLATE(D302,""DE"",""EN"")"),"3")</f>
        <v>3</v>
      </c>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W302" s="2"/>
      <c r="CX302" s="2"/>
      <c r="CY302" s="2"/>
      <c r="CZ302" s="2"/>
      <c r="DA302" s="2"/>
      <c r="DB302" s="2"/>
      <c r="DC302" s="2"/>
      <c r="DD302" s="2"/>
      <c r="DG302" s="2"/>
    </row>
    <row r="303">
      <c r="A303" s="9"/>
      <c r="B303" s="5" t="s">
        <v>30</v>
      </c>
      <c r="C303" s="6">
        <v>1.0</v>
      </c>
      <c r="D303" s="6">
        <v>1.0</v>
      </c>
      <c r="E303" s="2"/>
      <c r="F303" s="10"/>
      <c r="G303" s="8" t="str">
        <f>IFERROR(__xludf.DUMMYFUNCTION("GOOGLETRANSLATE(B303,""DE"",""EN"")"),"Lamps failed")</f>
        <v>Lamps failed</v>
      </c>
      <c r="H303" s="8" t="str">
        <f>IFERROR(__xludf.DUMMYFUNCTION("GOOGLETRANSLATE(C303,""DE"",""EN"")"),"1")</f>
        <v>1</v>
      </c>
      <c r="I303" s="8" t="str">
        <f>IFERROR(__xludf.DUMMYFUNCTION("GOOGLETRANSLATE(D303,""DE"",""EN"")"),"1")</f>
        <v>1</v>
      </c>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W303" s="2"/>
      <c r="CX303" s="2"/>
      <c r="CY303" s="2"/>
      <c r="CZ303" s="2"/>
      <c r="DA303" s="2"/>
      <c r="DB303" s="2"/>
      <c r="DC303" s="2"/>
      <c r="DD303" s="2"/>
      <c r="DG303" s="2"/>
    </row>
    <row r="304">
      <c r="A304" s="9"/>
      <c r="B304" s="5" t="s">
        <v>93</v>
      </c>
      <c r="C304" s="6">
        <v>2.0</v>
      </c>
      <c r="D304" s="6">
        <v>2.0</v>
      </c>
      <c r="E304" s="2"/>
      <c r="F304" s="10"/>
      <c r="G304" s="8" t="str">
        <f>IFERROR(__xludf.DUMMYFUNCTION("GOOGLETRANSLATE(B304,""DE"",""EN"")"),"Microwave defective")</f>
        <v>Microwave defective</v>
      </c>
      <c r="H304" s="8" t="str">
        <f>IFERROR(__xludf.DUMMYFUNCTION("GOOGLETRANSLATE(C304,""DE"",""EN"")"),"2")</f>
        <v>2</v>
      </c>
      <c r="I304" s="8" t="str">
        <f>IFERROR(__xludf.DUMMYFUNCTION("GOOGLETRANSLATE(D304,""DE"",""EN"")"),"2")</f>
        <v>2</v>
      </c>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W304" s="2"/>
      <c r="CX304" s="2"/>
      <c r="CY304" s="2"/>
      <c r="CZ304" s="2"/>
      <c r="DA304" s="2"/>
      <c r="DB304" s="2"/>
      <c r="DC304" s="2"/>
      <c r="DD304" s="2"/>
      <c r="DG304" s="2"/>
    </row>
    <row r="305">
      <c r="A305" s="9"/>
      <c r="B305" s="5" t="s">
        <v>35</v>
      </c>
      <c r="C305" s="6">
        <v>34.0</v>
      </c>
      <c r="D305" s="6">
        <v>32.0</v>
      </c>
      <c r="E305" s="2"/>
      <c r="F305" s="10"/>
      <c r="G305" s="8" t="str">
        <f>IFERROR(__xludf.DUMMYFUNCTION("GOOGLETRANSLATE(B305,""DE"",""EN"")"),"Opening/closure defective")</f>
        <v>Opening/closure defective</v>
      </c>
      <c r="H305" s="8" t="str">
        <f>IFERROR(__xludf.DUMMYFUNCTION("GOOGLETRANSLATE(C305,""DE"",""EN"")"),"34")</f>
        <v>34</v>
      </c>
      <c r="I305" s="8" t="str">
        <f>IFERROR(__xludf.DUMMYFUNCTION("GOOGLETRANSLATE(D305,""DE"",""EN"")"),"32")</f>
        <v>32</v>
      </c>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W305" s="2"/>
      <c r="CX305" s="2"/>
      <c r="CY305" s="2"/>
      <c r="CZ305" s="2"/>
      <c r="DA305" s="2"/>
      <c r="DB305" s="2"/>
      <c r="DC305" s="2"/>
      <c r="DD305" s="2"/>
      <c r="DG305" s="2"/>
    </row>
    <row r="306">
      <c r="A306" s="9"/>
      <c r="B306" s="5" t="s">
        <v>37</v>
      </c>
      <c r="C306" s="6">
        <v>3.0</v>
      </c>
      <c r="D306" s="11"/>
      <c r="E306" s="2"/>
      <c r="F306" s="10"/>
      <c r="G306" s="8" t="str">
        <f>IFERROR(__xludf.DUMMYFUNCTION("GOOGLETRANSLATE(B306,""DE"",""EN"")"),"Priority 1")</f>
        <v>Priority 1</v>
      </c>
      <c r="H306" s="8" t="str">
        <f>IFERROR(__xludf.DUMMYFUNCTION("GOOGLETRANSLATE(C306,""DE"",""EN"")"),"3")</f>
        <v>3</v>
      </c>
      <c r="I306" s="8"/>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W306" s="2"/>
      <c r="CX306" s="2"/>
      <c r="CY306" s="2"/>
      <c r="CZ306" s="2"/>
      <c r="DA306" s="2"/>
      <c r="DB306" s="2"/>
      <c r="DC306" s="2"/>
      <c r="DD306" s="2"/>
      <c r="DG306" s="2"/>
    </row>
    <row r="307">
      <c r="A307" s="9"/>
      <c r="B307" s="5" t="s">
        <v>117</v>
      </c>
      <c r="C307" s="6">
        <v>1.0</v>
      </c>
      <c r="D307" s="6">
        <v>1.0</v>
      </c>
      <c r="E307" s="2"/>
      <c r="F307" s="10"/>
      <c r="G307" s="8" t="str">
        <f>IFERROR(__xludf.DUMMYFUNCTION("GOOGLETRANSLATE(B307,""DE"",""EN"")"),"Problem with camera/screen at the entrance")</f>
        <v>Problem with camera/screen at the entrance</v>
      </c>
      <c r="H307" s="8" t="str">
        <f>IFERROR(__xludf.DUMMYFUNCTION("GOOGLETRANSLATE(C307,""DE"",""EN"")"),"1")</f>
        <v>1</v>
      </c>
      <c r="I307" s="8" t="str">
        <f>IFERROR(__xludf.DUMMYFUNCTION("GOOGLETRANSLATE(D307,""DE"",""EN"")"),"1")</f>
        <v>1</v>
      </c>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W307" s="2"/>
      <c r="CX307" s="2"/>
      <c r="CY307" s="2"/>
      <c r="CZ307" s="2"/>
      <c r="DA307" s="2"/>
      <c r="DB307" s="2"/>
      <c r="DC307" s="2"/>
      <c r="DD307" s="2"/>
      <c r="DG307" s="2"/>
    </row>
    <row r="308">
      <c r="A308" s="9"/>
      <c r="B308" s="5" t="s">
        <v>72</v>
      </c>
      <c r="C308" s="6">
        <v>2.0</v>
      </c>
      <c r="D308" s="6">
        <v>2.0</v>
      </c>
      <c r="E308" s="2"/>
      <c r="F308" s="10"/>
      <c r="G308" s="8" t="str">
        <f>IFERROR(__xludf.DUMMYFUNCTION("GOOGLETRANSLATE(B308,""DE"",""EN"")"),"Defect wheels")</f>
        <v>Defect wheels</v>
      </c>
      <c r="H308" s="8" t="str">
        <f>IFERROR(__xludf.DUMMYFUNCTION("GOOGLETRANSLATE(C308,""DE"",""EN"")"),"2")</f>
        <v>2</v>
      </c>
      <c r="I308" s="8" t="str">
        <f>IFERROR(__xludf.DUMMYFUNCTION("GOOGLETRANSLATE(D308,""DE"",""EN"")"),"2")</f>
        <v>2</v>
      </c>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W308" s="2"/>
      <c r="CX308" s="2"/>
      <c r="CY308" s="2"/>
      <c r="CZ308" s="2"/>
      <c r="DA308" s="2"/>
      <c r="DB308" s="2"/>
      <c r="DC308" s="2"/>
      <c r="DD308" s="2"/>
      <c r="DG308" s="2"/>
    </row>
    <row r="309">
      <c r="A309" s="9"/>
      <c r="B309" s="5" t="s">
        <v>118</v>
      </c>
      <c r="C309" s="6">
        <v>1.0</v>
      </c>
      <c r="D309" s="6">
        <v>1.0</v>
      </c>
      <c r="E309" s="2"/>
      <c r="F309" s="10"/>
      <c r="G309" s="8" t="str">
        <f>IFERROR(__xludf.DUMMYFUNCTION("GOOGLETRANSLATE(B309,""DE"",""EN"")"),"Rain pipe damaged")</f>
        <v>Rain pipe damaged</v>
      </c>
      <c r="H309" s="8" t="str">
        <f>IFERROR(__xludf.DUMMYFUNCTION("GOOGLETRANSLATE(C309,""DE"",""EN"")"),"1")</f>
        <v>1</v>
      </c>
      <c r="I309" s="8" t="str">
        <f>IFERROR(__xludf.DUMMYFUNCTION("GOOGLETRANSLATE(D309,""DE"",""EN"")"),"1")</f>
        <v>1</v>
      </c>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W309" s="2"/>
      <c r="CX309" s="2"/>
      <c r="CY309" s="2"/>
      <c r="CZ309" s="2"/>
      <c r="DA309" s="2"/>
      <c r="DB309" s="2"/>
      <c r="DC309" s="2"/>
      <c r="DD309" s="2"/>
      <c r="DG309" s="2"/>
    </row>
    <row r="310">
      <c r="A310" s="9"/>
      <c r="B310" s="5" t="s">
        <v>38</v>
      </c>
      <c r="C310" s="6">
        <v>2.0</v>
      </c>
      <c r="D310" s="6">
        <v>2.0</v>
      </c>
      <c r="E310" s="2"/>
      <c r="F310" s="10"/>
      <c r="G310" s="8" t="str">
        <f>IFERROR(__xludf.DUMMYFUNCTION("GOOGLETRANSLATE(B310,""DE"",""EN"")"),"Cleaning outdoor area (42530002)")</f>
        <v>Cleaning outdoor area (42530002)</v>
      </c>
      <c r="H310" s="8" t="str">
        <f>IFERROR(__xludf.DUMMYFUNCTION("GOOGLETRANSLATE(C310,""DE"",""EN"")"),"2")</f>
        <v>2</v>
      </c>
      <c r="I310" s="8" t="str">
        <f>IFERROR(__xludf.DUMMYFUNCTION("GOOGLETRANSLATE(D310,""DE"",""EN"")"),"2")</f>
        <v>2</v>
      </c>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W310" s="2"/>
      <c r="CX310" s="2"/>
      <c r="CY310" s="2"/>
      <c r="CZ310" s="2"/>
      <c r="DA310" s="2"/>
      <c r="DB310" s="2"/>
      <c r="DC310" s="2"/>
      <c r="DD310" s="2"/>
      <c r="DG310" s="2"/>
    </row>
    <row r="311">
      <c r="A311" s="9"/>
      <c r="B311" s="5" t="s">
        <v>74</v>
      </c>
      <c r="C311" s="6">
        <v>4.0</v>
      </c>
      <c r="D311" s="6">
        <v>4.0</v>
      </c>
      <c r="E311" s="2"/>
      <c r="F311" s="10"/>
      <c r="G311" s="8" t="str">
        <f>IFERROR(__xludf.DUMMYFUNCTION("GOOGLETRANSLATE(B311,""DE"",""EN"")"),"Tube failed")</f>
        <v>Tube failed</v>
      </c>
      <c r="H311" s="8" t="str">
        <f>IFERROR(__xludf.DUMMYFUNCTION("GOOGLETRANSLATE(C311,""DE"",""EN"")"),"4")</f>
        <v>4</v>
      </c>
      <c r="I311" s="8" t="str">
        <f>IFERROR(__xludf.DUMMYFUNCTION("GOOGLETRANSLATE(D311,""DE"",""EN"")"),"4")</f>
        <v>4</v>
      </c>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W311" s="2"/>
      <c r="CX311" s="2"/>
      <c r="CY311" s="2"/>
      <c r="CZ311" s="2"/>
      <c r="DA311" s="2"/>
      <c r="DB311" s="2"/>
      <c r="DC311" s="2"/>
      <c r="DD311" s="2"/>
      <c r="DG311" s="2"/>
    </row>
    <row r="312">
      <c r="A312" s="9"/>
      <c r="B312" s="5" t="s">
        <v>103</v>
      </c>
      <c r="C312" s="6">
        <v>1.0</v>
      </c>
      <c r="D312" s="11"/>
      <c r="E312" s="2"/>
      <c r="F312" s="10"/>
      <c r="G312" s="8" t="str">
        <f>IFERROR(__xludf.DUMMYFUNCTION("GOOGLETRANSLATE(B312,""DE"",""EN"")"),"Return alarm defective")</f>
        <v>Return alarm defective</v>
      </c>
      <c r="H312" s="8" t="str">
        <f>IFERROR(__xludf.DUMMYFUNCTION("GOOGLETRANSLATE(C312,""DE"",""EN"")"),"1")</f>
        <v>1</v>
      </c>
      <c r="I312" s="8"/>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W312" s="2"/>
      <c r="CX312" s="2"/>
      <c r="CY312" s="2"/>
      <c r="CZ312" s="2"/>
      <c r="DA312" s="2"/>
      <c r="DB312" s="2"/>
      <c r="DC312" s="2"/>
      <c r="DD312" s="2"/>
      <c r="DG312" s="2"/>
    </row>
    <row r="313">
      <c r="A313" s="9"/>
      <c r="B313" s="5" t="s">
        <v>119</v>
      </c>
      <c r="C313" s="6">
        <v>1.0</v>
      </c>
      <c r="D313" s="6">
        <v>1.0</v>
      </c>
      <c r="E313" s="2"/>
      <c r="F313" s="10"/>
      <c r="G313" s="8" t="str">
        <f>IFERROR(__xludf.DUMMYFUNCTION("GOOGLETRANSLATE(B313,""DE"",""EN"")"),"Shaft lid defective")</f>
        <v>Shaft lid defective</v>
      </c>
      <c r="H313" s="8" t="str">
        <f>IFERROR(__xludf.DUMMYFUNCTION("GOOGLETRANSLATE(C313,""DE"",""EN"")"),"1")</f>
        <v>1</v>
      </c>
      <c r="I313" s="8" t="str">
        <f>IFERROR(__xludf.DUMMYFUNCTION("GOOGLETRANSLATE(D313,""DE"",""EN"")"),"1")</f>
        <v>1</v>
      </c>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W313" s="2"/>
      <c r="CX313" s="2"/>
      <c r="CY313" s="2"/>
      <c r="CZ313" s="2"/>
      <c r="DA313" s="2"/>
      <c r="DB313" s="2"/>
      <c r="DC313" s="2"/>
      <c r="DD313" s="2"/>
      <c r="DG313" s="2"/>
    </row>
    <row r="314">
      <c r="A314" s="9"/>
      <c r="B314" s="5" t="s">
        <v>120</v>
      </c>
      <c r="C314" s="6">
        <v>1.0</v>
      </c>
      <c r="D314" s="6">
        <v>1.0</v>
      </c>
      <c r="E314" s="2"/>
      <c r="F314" s="10"/>
      <c r="G314" s="8" t="str">
        <f>IFERROR(__xludf.DUMMYFUNCTION("GOOGLETRANSLATE(B314,""DE"",""EN"")"),"Switching panel defective")</f>
        <v>Switching panel defective</v>
      </c>
      <c r="H314" s="8" t="str">
        <f>IFERROR(__xludf.DUMMYFUNCTION("GOOGLETRANSLATE(C314,""DE"",""EN"")"),"1")</f>
        <v>1</v>
      </c>
      <c r="I314" s="8" t="str">
        <f>IFERROR(__xludf.DUMMYFUNCTION("GOOGLETRANSLATE(D314,""DE"",""EN"")"),"1")</f>
        <v>1</v>
      </c>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W314" s="2"/>
      <c r="CX314" s="2"/>
      <c r="CY314" s="2"/>
      <c r="CZ314" s="2"/>
      <c r="DA314" s="2"/>
      <c r="DB314" s="2"/>
      <c r="DC314" s="2"/>
      <c r="DD314" s="2"/>
      <c r="DG314" s="2"/>
    </row>
    <row r="315">
      <c r="A315" s="9"/>
      <c r="B315" s="5" t="s">
        <v>40</v>
      </c>
      <c r="C315" s="6">
        <v>3.0</v>
      </c>
      <c r="D315" s="6">
        <v>3.0</v>
      </c>
      <c r="E315" s="2"/>
      <c r="F315" s="10"/>
      <c r="G315" s="8" t="str">
        <f>IFERROR(__xludf.DUMMYFUNCTION("GOOGLETRANSLATE(B315,""DE"",""EN"")"),"Castle defect")</f>
        <v>Castle defect</v>
      </c>
      <c r="H315" s="8" t="str">
        <f>IFERROR(__xludf.DUMMYFUNCTION("GOOGLETRANSLATE(C315,""DE"",""EN"")"),"3")</f>
        <v>3</v>
      </c>
      <c r="I315" s="8" t="str">
        <f>IFERROR(__xludf.DUMMYFUNCTION("GOOGLETRANSLATE(D315,""DE"",""EN"")"),"3")</f>
        <v>3</v>
      </c>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W315" s="2"/>
      <c r="CX315" s="2"/>
      <c r="CY315" s="2"/>
      <c r="CZ315" s="2"/>
      <c r="DA315" s="2"/>
      <c r="DB315" s="2"/>
      <c r="DC315" s="2"/>
      <c r="DD315" s="2"/>
      <c r="DG315" s="2"/>
    </row>
    <row r="316">
      <c r="A316" s="9"/>
      <c r="B316" s="5" t="s">
        <v>109</v>
      </c>
      <c r="C316" s="6">
        <v>1.0</v>
      </c>
      <c r="D316" s="6">
        <v>1.0</v>
      </c>
      <c r="E316" s="2"/>
      <c r="F316" s="10"/>
      <c r="G316" s="8" t="str">
        <f>IFERROR(__xludf.DUMMYFUNCTION("GOOGLETRANSLATE(B316,""DE"",""EN"")"),"The lock does not work")</f>
        <v>The lock does not work</v>
      </c>
      <c r="H316" s="8" t="str">
        <f>IFERROR(__xludf.DUMMYFUNCTION("GOOGLETRANSLATE(C316,""DE"",""EN"")"),"1")</f>
        <v>1</v>
      </c>
      <c r="I316" s="8" t="str">
        <f>IFERROR(__xludf.DUMMYFUNCTION("GOOGLETRANSLATE(D316,""DE"",""EN"")"),"1")</f>
        <v>1</v>
      </c>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W316" s="2"/>
      <c r="CX316" s="2"/>
      <c r="CY316" s="2"/>
      <c r="CZ316" s="2"/>
      <c r="DA316" s="2"/>
      <c r="DB316" s="2"/>
      <c r="DC316" s="2"/>
      <c r="DD316" s="2"/>
      <c r="DG316" s="2"/>
    </row>
    <row r="317">
      <c r="A317" s="9"/>
      <c r="B317" s="5" t="s">
        <v>43</v>
      </c>
      <c r="C317" s="6">
        <v>1.0</v>
      </c>
      <c r="D317" s="6">
        <v>1.0</v>
      </c>
      <c r="E317" s="2"/>
      <c r="F317" s="10"/>
      <c r="G317" s="8" t="str">
        <f>IFERROR(__xludf.DUMMYFUNCTION("GOOGLETRANSLATE(B317,""DE"",""EN"")"),"Heavy contamination")</f>
        <v>Heavy contamination</v>
      </c>
      <c r="H317" s="8" t="str">
        <f>IFERROR(__xludf.DUMMYFUNCTION("GOOGLETRANSLATE(C317,""DE"",""EN"")"),"1")</f>
        <v>1</v>
      </c>
      <c r="I317" s="8" t="str">
        <f>IFERROR(__xludf.DUMMYFUNCTION("GOOGLETRANSLATE(D317,""DE"",""EN"")"),"1")</f>
        <v>1</v>
      </c>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W317" s="2"/>
      <c r="CX317" s="2"/>
      <c r="CY317" s="2"/>
      <c r="CZ317" s="2"/>
      <c r="DA317" s="2"/>
      <c r="DB317" s="2"/>
      <c r="DC317" s="2"/>
      <c r="DD317" s="2"/>
      <c r="DG317" s="2"/>
    </row>
    <row r="318">
      <c r="A318" s="9"/>
      <c r="B318" s="5" t="s">
        <v>44</v>
      </c>
      <c r="C318" s="6">
        <v>1.0</v>
      </c>
      <c r="D318" s="6">
        <v>1.0</v>
      </c>
      <c r="E318" s="2"/>
      <c r="F318" s="10"/>
      <c r="G318" s="8" t="str">
        <f>IFERROR(__xludf.DUMMYFUNCTION("GOOGLETRANSLATE(B318,""DE"",""EN"")"),"Disorder of electricity feed")</f>
        <v>Disorder of electricity feed</v>
      </c>
      <c r="H318" s="8" t="str">
        <f>IFERROR(__xludf.DUMMYFUNCTION("GOOGLETRANSLATE(C318,""DE"",""EN"")"),"1")</f>
        <v>1</v>
      </c>
      <c r="I318" s="8" t="str">
        <f>IFERROR(__xludf.DUMMYFUNCTION("GOOGLETRANSLATE(D318,""DE"",""EN"")"),"1")</f>
        <v>1</v>
      </c>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W318" s="2"/>
      <c r="CX318" s="2"/>
      <c r="CY318" s="2"/>
      <c r="CZ318" s="2"/>
      <c r="DA318" s="2"/>
      <c r="DB318" s="2"/>
      <c r="DC318" s="2"/>
      <c r="DD318" s="2"/>
      <c r="DG318" s="2"/>
    </row>
    <row r="319">
      <c r="A319" s="9"/>
      <c r="B319" s="5" t="s">
        <v>45</v>
      </c>
      <c r="C319" s="6">
        <v>8.0</v>
      </c>
      <c r="D319" s="6">
        <v>8.0</v>
      </c>
      <c r="E319" s="2"/>
      <c r="F319" s="10"/>
      <c r="G319" s="8" t="str">
        <f>IFERROR(__xludf.DUMMYFUNCTION("GOOGLETRANSLATE(B319,""DE"",""EN"")"),"Temperature problem")</f>
        <v>Temperature problem</v>
      </c>
      <c r="H319" s="8" t="str">
        <f>IFERROR(__xludf.DUMMYFUNCTION("GOOGLETRANSLATE(C319,""DE"",""EN"")"),"8th")</f>
        <v>8th</v>
      </c>
      <c r="I319" s="8" t="str">
        <f>IFERROR(__xludf.DUMMYFUNCTION("GOOGLETRANSLATE(D319,""DE"",""EN"")"),"8th")</f>
        <v>8th</v>
      </c>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W319" s="2"/>
      <c r="CX319" s="2"/>
      <c r="CY319" s="2"/>
      <c r="CZ319" s="2"/>
      <c r="DA319" s="2"/>
      <c r="DB319" s="2"/>
      <c r="DC319" s="2"/>
      <c r="DD319" s="2"/>
      <c r="DG319" s="2"/>
    </row>
    <row r="320">
      <c r="A320" s="9"/>
      <c r="B320" s="5" t="s">
        <v>46</v>
      </c>
      <c r="C320" s="6">
        <v>4.0</v>
      </c>
      <c r="D320" s="6">
        <v>4.0</v>
      </c>
      <c r="E320" s="2"/>
      <c r="F320" s="10"/>
      <c r="G320" s="8" t="str">
        <f>IFERROR(__xludf.DUMMYFUNCTION("GOOGLETRANSLATE(B320,""DE"",""EN"")"),"Door defective")</f>
        <v>Door defective</v>
      </c>
      <c r="H320" s="8" t="str">
        <f>IFERROR(__xludf.DUMMYFUNCTION("GOOGLETRANSLATE(C320,""DE"",""EN"")"),"4")</f>
        <v>4</v>
      </c>
      <c r="I320" s="8" t="str">
        <f>IFERROR(__xludf.DUMMYFUNCTION("GOOGLETRANSLATE(D320,""DE"",""EN"")"),"4")</f>
        <v>4</v>
      </c>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W320" s="2"/>
      <c r="CX320" s="2"/>
      <c r="CY320" s="2"/>
      <c r="CZ320" s="2"/>
      <c r="DA320" s="2"/>
      <c r="DB320" s="2"/>
      <c r="DC320" s="2"/>
      <c r="DD320" s="2"/>
      <c r="DG320" s="2"/>
    </row>
    <row r="321">
      <c r="A321" s="9"/>
      <c r="B321" s="5" t="s">
        <v>48</v>
      </c>
      <c r="C321" s="6">
        <v>1.0</v>
      </c>
      <c r="D321" s="6">
        <v>1.0</v>
      </c>
      <c r="E321" s="2"/>
      <c r="F321" s="10"/>
      <c r="G321" s="8" t="str">
        <f>IFERROR(__xludf.DUMMYFUNCTION("GOOGLETRANSLATE(B321,""DE"",""EN"")"),"Defect door sensor")</f>
        <v>Defect door sensor</v>
      </c>
      <c r="H321" s="8" t="str">
        <f>IFERROR(__xludf.DUMMYFUNCTION("GOOGLETRANSLATE(C321,""DE"",""EN"")"),"1")</f>
        <v>1</v>
      </c>
      <c r="I321" s="8" t="str">
        <f>IFERROR(__xludf.DUMMYFUNCTION("GOOGLETRANSLATE(D321,""DE"",""EN"")"),"1")</f>
        <v>1</v>
      </c>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W321" s="2"/>
      <c r="CX321" s="2"/>
      <c r="CY321" s="2"/>
      <c r="CZ321" s="2"/>
      <c r="DA321" s="2"/>
      <c r="DB321" s="2"/>
      <c r="DC321" s="2"/>
      <c r="DD321" s="2"/>
      <c r="DG321" s="2"/>
    </row>
    <row r="322">
      <c r="A322" s="9"/>
      <c r="B322" s="5" t="s">
        <v>49</v>
      </c>
      <c r="C322" s="6">
        <v>3.0</v>
      </c>
      <c r="D322" s="6">
        <v>3.0</v>
      </c>
      <c r="E322" s="2"/>
      <c r="F322" s="10"/>
      <c r="G322" s="8" t="str">
        <f>IFERROR(__xludf.DUMMYFUNCTION("GOOGLETRANSLATE(B322,""DE"",""EN"")"),"Leak")</f>
        <v>Leak</v>
      </c>
      <c r="H322" s="8" t="str">
        <f>IFERROR(__xludf.DUMMYFUNCTION("GOOGLETRANSLATE(C322,""DE"",""EN"")"),"3")</f>
        <v>3</v>
      </c>
      <c r="I322" s="8" t="str">
        <f>IFERROR(__xludf.DUMMYFUNCTION("GOOGLETRANSLATE(D322,""DE"",""EN"")"),"3")</f>
        <v>3</v>
      </c>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W322" s="2"/>
      <c r="CX322" s="2"/>
      <c r="CY322" s="2"/>
      <c r="CZ322" s="2"/>
      <c r="DA322" s="2"/>
      <c r="DB322" s="2"/>
      <c r="DC322" s="2"/>
      <c r="DD322" s="2"/>
      <c r="DG322" s="2"/>
    </row>
    <row r="323">
      <c r="A323" s="9"/>
      <c r="B323" s="5" t="s">
        <v>50</v>
      </c>
      <c r="C323" s="6">
        <v>11.0</v>
      </c>
      <c r="D323" s="6">
        <v>8.0</v>
      </c>
      <c r="E323" s="2"/>
      <c r="F323" s="10"/>
      <c r="G323" s="8" t="str">
        <f>IFERROR(__xludf.DUMMYFUNCTION("GOOGLETRANSLATE(B323,""DE"",""EN"")"),"Lumperities (roof)")</f>
        <v>Lumperities (roof)</v>
      </c>
      <c r="H323" s="8" t="str">
        <f>IFERROR(__xludf.DUMMYFUNCTION("GOOGLETRANSLATE(C323,""DE"",""EN"")"),"11")</f>
        <v>11</v>
      </c>
      <c r="I323" s="8" t="str">
        <f>IFERROR(__xludf.DUMMYFUNCTION("GOOGLETRANSLATE(D323,""DE"",""EN"")"),"8th")</f>
        <v>8th</v>
      </c>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W323" s="2"/>
      <c r="CX323" s="2"/>
      <c r="CY323" s="2"/>
      <c r="CZ323" s="2"/>
      <c r="DA323" s="2"/>
      <c r="DB323" s="2"/>
      <c r="DC323" s="2"/>
      <c r="DD323" s="2"/>
      <c r="DG323" s="2"/>
    </row>
    <row r="324">
      <c r="A324" s="9"/>
      <c r="B324" s="5" t="s">
        <v>51</v>
      </c>
      <c r="C324" s="6">
        <v>2.0</v>
      </c>
      <c r="D324" s="6">
        <v>2.0</v>
      </c>
      <c r="E324" s="2"/>
      <c r="F324" s="10"/>
      <c r="G324" s="8" t="str">
        <f>IFERROR(__xludf.DUMMYFUNCTION("GOOGLETRANSLATE(B324,""DE"",""EN"")"),"Icy")</f>
        <v>Icy</v>
      </c>
      <c r="H324" s="8" t="str">
        <f>IFERROR(__xludf.DUMMYFUNCTION("GOOGLETRANSLATE(C324,""DE"",""EN"")"),"2")</f>
        <v>2</v>
      </c>
      <c r="I324" s="8" t="str">
        <f>IFERROR(__xludf.DUMMYFUNCTION("GOOGLETRANSLATE(D324,""DE"",""EN"")"),"2")</f>
        <v>2</v>
      </c>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W324" s="2"/>
      <c r="CX324" s="2"/>
      <c r="CY324" s="2"/>
      <c r="CZ324" s="2"/>
      <c r="DA324" s="2"/>
      <c r="DB324" s="2"/>
      <c r="DC324" s="2"/>
      <c r="DD324" s="2"/>
      <c r="DG324" s="2"/>
    </row>
    <row r="325">
      <c r="A325" s="12"/>
      <c r="B325" s="5" t="s">
        <v>52</v>
      </c>
      <c r="C325" s="6">
        <v>2.0</v>
      </c>
      <c r="D325" s="11"/>
      <c r="E325" s="2"/>
      <c r="F325" s="13"/>
      <c r="G325" s="8" t="str">
        <f>IFERROR(__xludf.DUMMYFUNCTION("GOOGLETRANSLATE(B325,""DE"",""EN"")"),"Wach- and patrol service (42600001)")</f>
        <v>Wach- and patrol service (42600001)</v>
      </c>
      <c r="H325" s="8" t="str">
        <f>IFERROR(__xludf.DUMMYFUNCTION("GOOGLETRANSLATE(C325,""DE"",""EN"")"),"2")</f>
        <v>2</v>
      </c>
      <c r="I325" s="8"/>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W325" s="2"/>
      <c r="CX325" s="2"/>
      <c r="CY325" s="2"/>
      <c r="CZ325" s="2"/>
      <c r="DA325" s="2"/>
      <c r="DB325" s="2"/>
      <c r="DC325" s="2"/>
      <c r="DD325" s="2"/>
      <c r="DG325" s="2"/>
    </row>
    <row r="326">
      <c r="A326" s="12"/>
      <c r="B326" s="5" t="s">
        <v>53</v>
      </c>
      <c r="C326" s="6">
        <v>4.0</v>
      </c>
      <c r="D326" s="6">
        <v>4.0</v>
      </c>
      <c r="E326" s="2"/>
      <c r="F326" s="13"/>
      <c r="G326" s="8" t="str">
        <f>IFERROR(__xludf.DUMMYFUNCTION("GOOGLETRANSLATE(B326,""DE"",""EN"")"),"Toilet blocked")</f>
        <v>Toilet blocked</v>
      </c>
      <c r="H326" s="8" t="str">
        <f>IFERROR(__xludf.DUMMYFUNCTION("GOOGLETRANSLATE(C326,""DE"",""EN"")"),"4")</f>
        <v>4</v>
      </c>
      <c r="I326" s="8" t="str">
        <f>IFERROR(__xludf.DUMMYFUNCTION("GOOGLETRANSLATE(D326,""DE"",""EN"")"),"4")</f>
        <v>4</v>
      </c>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W326" s="2"/>
      <c r="CX326" s="2"/>
      <c r="CY326" s="2"/>
      <c r="CZ326" s="2"/>
      <c r="DA326" s="2"/>
      <c r="DB326" s="2"/>
      <c r="DC326" s="2"/>
      <c r="DD326" s="2"/>
      <c r="DG326" s="2"/>
    </row>
    <row r="327">
      <c r="A327" s="4" t="s">
        <v>121</v>
      </c>
      <c r="B327" s="12"/>
      <c r="C327" s="14">
        <v>444.0</v>
      </c>
      <c r="D327" s="14">
        <v>332.0</v>
      </c>
      <c r="E327" s="2"/>
      <c r="F327" s="7" t="s">
        <v>121</v>
      </c>
      <c r="G327" s="8" t="str">
        <f>IFERROR(__xludf.DUMMYFUNCTION("GOOGLETRANSLATE(B327,""DE"",""EN"")"),"#VALUE!")</f>
        <v>#VALUE!</v>
      </c>
      <c r="H327" s="8" t="str">
        <f>IFERROR(__xludf.DUMMYFUNCTION("GOOGLETRANSLATE(C327,""DE"",""EN"")"),"444")</f>
        <v>444</v>
      </c>
      <c r="I327" s="8" t="str">
        <f>IFERROR(__xludf.DUMMYFUNCTION("GOOGLETRANSLATE(D327,""DE"",""EN"")"),"332")</f>
        <v>332</v>
      </c>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W327" s="2"/>
      <c r="CX327" s="2"/>
      <c r="CY327" s="2"/>
      <c r="CZ327" s="2"/>
      <c r="DA327" s="2"/>
      <c r="DB327" s="2"/>
      <c r="DC327" s="2"/>
      <c r="DD327" s="2"/>
      <c r="DG327" s="2"/>
    </row>
    <row r="328">
      <c r="A328" s="4" t="s">
        <v>122</v>
      </c>
      <c r="B328" s="5" t="s">
        <v>5</v>
      </c>
      <c r="C328" s="6">
        <v>1.0</v>
      </c>
      <c r="D328" s="6">
        <v>1.0</v>
      </c>
      <c r="E328" s="2"/>
      <c r="F328" s="7" t="s">
        <v>122</v>
      </c>
      <c r="G328" s="8" t="str">
        <f>IFERROR(__xludf.DUMMYFUNCTION("GOOGLETRANSLATE(B328,""DE"",""EN"")"),"Defect defect")</f>
        <v>Defect defect</v>
      </c>
      <c r="H328" s="8" t="str">
        <f>IFERROR(__xludf.DUMMYFUNCTION("GOOGLETRANSLATE(C328,""DE"",""EN"")"),"1")</f>
        <v>1</v>
      </c>
      <c r="I328" s="8" t="str">
        <f>IFERROR(__xludf.DUMMYFUNCTION("GOOGLETRANSLATE(D328,""DE"",""EN"")"),"1")</f>
        <v>1</v>
      </c>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W328" s="2"/>
      <c r="CX328" s="2"/>
      <c r="CY328" s="2"/>
      <c r="CZ328" s="2"/>
      <c r="DA328" s="2"/>
      <c r="DB328" s="2"/>
      <c r="DC328" s="2"/>
      <c r="DD328" s="2"/>
      <c r="DG328" s="2"/>
    </row>
    <row r="329">
      <c r="A329" s="9"/>
      <c r="B329" s="5" t="s">
        <v>7</v>
      </c>
      <c r="C329" s="6">
        <v>3.0</v>
      </c>
      <c r="D329" s="6">
        <v>3.0</v>
      </c>
      <c r="E329" s="2"/>
      <c r="F329" s="10"/>
      <c r="G329" s="8" t="str">
        <f>IFERROR(__xludf.DUMMYFUNCTION("GOOGLETRANSLATE(B329,""DE"",""EN"")"),"approached")</f>
        <v>approached</v>
      </c>
      <c r="H329" s="8" t="str">
        <f>IFERROR(__xludf.DUMMYFUNCTION("GOOGLETRANSLATE(C329,""DE"",""EN"")"),"3")</f>
        <v>3</v>
      </c>
      <c r="I329" s="8" t="str">
        <f>IFERROR(__xludf.DUMMYFUNCTION("GOOGLETRANSLATE(D329,""DE"",""EN"")"),"3")</f>
        <v>3</v>
      </c>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W329" s="2"/>
      <c r="CX329" s="2"/>
      <c r="CY329" s="2"/>
      <c r="CZ329" s="2"/>
      <c r="DA329" s="2"/>
      <c r="DB329" s="2"/>
      <c r="DC329" s="2"/>
      <c r="DD329" s="2"/>
      <c r="DG329" s="2"/>
    </row>
    <row r="330">
      <c r="A330" s="9"/>
      <c r="B330" s="5" t="s">
        <v>9</v>
      </c>
      <c r="C330" s="6">
        <v>1.0</v>
      </c>
      <c r="D330" s="6">
        <v>1.0</v>
      </c>
      <c r="E330" s="2"/>
      <c r="F330" s="10"/>
      <c r="G330" s="8" t="str">
        <f>IFERROR(__xludf.DUMMYFUNCTION("GOOGLETRANSLATE(B330,""DE"",""EN"")"),"Back program wrong")</f>
        <v>Back program wrong</v>
      </c>
      <c r="H330" s="8" t="str">
        <f>IFERROR(__xludf.DUMMYFUNCTION("GOOGLETRANSLATE(C330,""DE"",""EN"")"),"1")</f>
        <v>1</v>
      </c>
      <c r="I330" s="8" t="str">
        <f>IFERROR(__xludf.DUMMYFUNCTION("GOOGLETRANSLATE(D330,""DE"",""EN"")"),"1")</f>
        <v>1</v>
      </c>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W330" s="2"/>
      <c r="CX330" s="2"/>
      <c r="CY330" s="2"/>
      <c r="CZ330" s="2"/>
      <c r="DA330" s="2"/>
      <c r="DB330" s="2"/>
      <c r="DC330" s="2"/>
      <c r="DD330" s="2"/>
      <c r="DG330" s="2"/>
    </row>
    <row r="331">
      <c r="A331" s="9"/>
      <c r="B331" s="5" t="s">
        <v>10</v>
      </c>
      <c r="C331" s="6">
        <v>12.0</v>
      </c>
      <c r="D331" s="6">
        <v>8.0</v>
      </c>
      <c r="E331" s="2"/>
      <c r="F331" s="10"/>
      <c r="G331" s="8" t="str">
        <f>IFERROR(__xludf.DUMMYFUNCTION("GOOGLETRANSLATE(B331,""DE"",""EN"")"),"Lighting defect")</f>
        <v>Lighting defect</v>
      </c>
      <c r="H331" s="8" t="str">
        <f>IFERROR(__xludf.DUMMYFUNCTION("GOOGLETRANSLATE(C331,""DE"",""EN"")"),"12")</f>
        <v>12</v>
      </c>
      <c r="I331" s="8" t="str">
        <f>IFERROR(__xludf.DUMMYFUNCTION("GOOGLETRANSLATE(D331,""DE"",""EN"")"),"8th")</f>
        <v>8th</v>
      </c>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W331" s="2"/>
      <c r="CX331" s="2"/>
      <c r="CY331" s="2"/>
      <c r="CZ331" s="2"/>
      <c r="DA331" s="2"/>
      <c r="DB331" s="2"/>
      <c r="DC331" s="2"/>
      <c r="DD331" s="2"/>
      <c r="DG331" s="2"/>
    </row>
    <row r="332">
      <c r="A332" s="9"/>
      <c r="B332" s="5" t="s">
        <v>11</v>
      </c>
      <c r="C332" s="6">
        <v>43.0</v>
      </c>
      <c r="D332" s="6">
        <v>42.0</v>
      </c>
      <c r="E332" s="2"/>
      <c r="F332" s="10"/>
      <c r="G332" s="8" t="str">
        <f>IFERROR(__xludf.DUMMYFUNCTION("GOOGLETRANSLATE(B332,""DE"",""EN"")"),"Damage / break")</f>
        <v>Damage / break</v>
      </c>
      <c r="H332" s="8" t="str">
        <f>IFERROR(__xludf.DUMMYFUNCTION("GOOGLETRANSLATE(C332,""DE"",""EN"")"),"43")</f>
        <v>43</v>
      </c>
      <c r="I332" s="8" t="str">
        <f>IFERROR(__xludf.DUMMYFUNCTION("GOOGLETRANSLATE(D332,""DE"",""EN"")"),"42")</f>
        <v>42</v>
      </c>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W332" s="2"/>
      <c r="CX332" s="2"/>
      <c r="CY332" s="2"/>
      <c r="CZ332" s="2"/>
      <c r="DA332" s="2"/>
      <c r="DB332" s="2"/>
      <c r="DC332" s="2"/>
      <c r="DD332" s="2"/>
      <c r="DG332" s="2"/>
    </row>
    <row r="333">
      <c r="A333" s="9"/>
      <c r="B333" s="5" t="s">
        <v>99</v>
      </c>
      <c r="C333" s="6">
        <v>4.0</v>
      </c>
      <c r="D333" s="6">
        <v>4.0</v>
      </c>
      <c r="E333" s="2"/>
      <c r="F333" s="10"/>
      <c r="G333" s="8" t="str">
        <f>IFERROR(__xludf.DUMMYFUNCTION("GOOGLETRANSLATE(B333,""DE"",""EN"")"),"Signposts damaged / deficiency")</f>
        <v>Signposts damaged / deficiency</v>
      </c>
      <c r="H333" s="8" t="str">
        <f>IFERROR(__xludf.DUMMYFUNCTION("GOOGLETRANSLATE(C333,""DE"",""EN"")"),"4")</f>
        <v>4</v>
      </c>
      <c r="I333" s="8" t="str">
        <f>IFERROR(__xludf.DUMMYFUNCTION("GOOGLETRANSLATE(D333,""DE"",""EN"")"),"4")</f>
        <v>4</v>
      </c>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W333" s="2"/>
      <c r="CX333" s="2"/>
      <c r="CY333" s="2"/>
      <c r="CZ333" s="2"/>
      <c r="DA333" s="2"/>
      <c r="DB333" s="2"/>
      <c r="DC333" s="2"/>
      <c r="DD333" s="2"/>
      <c r="DG333" s="2"/>
    </row>
    <row r="334">
      <c r="A334" s="9"/>
      <c r="B334" s="5" t="s">
        <v>12</v>
      </c>
      <c r="C334" s="6">
        <v>181.0</v>
      </c>
      <c r="D334" s="6">
        <v>103.0</v>
      </c>
      <c r="E334" s="2"/>
      <c r="F334" s="10"/>
      <c r="G334" s="8" t="str">
        <f>IFERROR(__xludf.DUMMYFUNCTION("GOOGLETRANSLATE(B334,""DE"",""EN"")"),"Description in the BO")</f>
        <v>Description in the BO</v>
      </c>
      <c r="H334" s="8" t="str">
        <f>IFERROR(__xludf.DUMMYFUNCTION("GOOGLETRANSLATE(C334,""DE"",""EN"")"),"181")</f>
        <v>181</v>
      </c>
      <c r="I334" s="8" t="str">
        <f>IFERROR(__xludf.DUMMYFUNCTION("GOOGLETRANSLATE(D334,""DE"",""EN"")"),"103")</f>
        <v>103</v>
      </c>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W334" s="2"/>
      <c r="CX334" s="2"/>
      <c r="CY334" s="2"/>
      <c r="CZ334" s="2"/>
      <c r="DA334" s="2"/>
      <c r="DB334" s="2"/>
      <c r="DC334" s="2"/>
      <c r="DD334" s="2"/>
      <c r="DG334" s="2"/>
    </row>
    <row r="335">
      <c r="A335" s="9"/>
      <c r="B335" s="5" t="s">
        <v>15</v>
      </c>
      <c r="C335" s="6">
        <v>1.0</v>
      </c>
      <c r="D335" s="11"/>
      <c r="E335" s="2"/>
      <c r="F335" s="10"/>
      <c r="G335" s="8" t="str">
        <f>IFERROR(__xludf.DUMMYFUNCTION("GOOGLETRANSLATE(B335,""DE"",""EN"")"),"Window cleaning (42160003)")</f>
        <v>Window cleaning (42160003)</v>
      </c>
      <c r="H335" s="8" t="str">
        <f>IFERROR(__xludf.DUMMYFUNCTION("GOOGLETRANSLATE(C335,""DE"",""EN"")"),"1")</f>
        <v>1</v>
      </c>
      <c r="I335" s="8"/>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W335" s="2"/>
      <c r="CX335" s="2"/>
      <c r="CY335" s="2"/>
      <c r="CZ335" s="2"/>
      <c r="DA335" s="2"/>
      <c r="DB335" s="2"/>
      <c r="DC335" s="2"/>
      <c r="DD335" s="2"/>
      <c r="DG335" s="2"/>
    </row>
    <row r="336">
      <c r="A336" s="9"/>
      <c r="B336" s="5" t="s">
        <v>16</v>
      </c>
      <c r="C336" s="6">
        <v>3.0</v>
      </c>
      <c r="D336" s="6">
        <v>3.0</v>
      </c>
      <c r="E336" s="2"/>
      <c r="F336" s="10"/>
      <c r="G336" s="8" t="str">
        <f>IFERROR(__xludf.DUMMYFUNCTION("GOOGLETRANSLATE(B336,""DE"",""EN"")"),"Moist ceiling plates")</f>
        <v>Moist ceiling plates</v>
      </c>
      <c r="H336" s="8" t="str">
        <f>IFERROR(__xludf.DUMMYFUNCTION("GOOGLETRANSLATE(C336,""DE"",""EN"")"),"3")</f>
        <v>3</v>
      </c>
      <c r="I336" s="8" t="str">
        <f>IFERROR(__xludf.DUMMYFUNCTION("GOOGLETRANSLATE(D336,""DE"",""EN"")"),"3")</f>
        <v>3</v>
      </c>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W336" s="2"/>
      <c r="CX336" s="2"/>
      <c r="CY336" s="2"/>
      <c r="CZ336" s="2"/>
      <c r="DA336" s="2"/>
      <c r="DB336" s="2"/>
      <c r="DC336" s="2"/>
      <c r="DD336" s="2"/>
      <c r="DG336" s="2"/>
    </row>
    <row r="337">
      <c r="A337" s="9"/>
      <c r="B337" s="5" t="s">
        <v>123</v>
      </c>
      <c r="C337" s="6">
        <v>1.0</v>
      </c>
      <c r="D337" s="6">
        <v>1.0</v>
      </c>
      <c r="E337" s="2"/>
      <c r="F337" s="10"/>
      <c r="G337" s="8" t="str">
        <f>IFERROR(__xludf.DUMMYFUNCTION("GOOGLETRANSLATE(B337,""DE"",""EN"")"),"Fire -fighting discharge")</f>
        <v>Fire -fighting discharge</v>
      </c>
      <c r="H337" s="8" t="str">
        <f>IFERROR(__xludf.DUMMYFUNCTION("GOOGLETRANSLATE(C337,""DE"",""EN"")"),"1")</f>
        <v>1</v>
      </c>
      <c r="I337" s="8" t="str">
        <f>IFERROR(__xludf.DUMMYFUNCTION("GOOGLETRANSLATE(D337,""DE"",""EN"")"),"1")</f>
        <v>1</v>
      </c>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W337" s="2"/>
      <c r="CX337" s="2"/>
      <c r="CY337" s="2"/>
      <c r="CZ337" s="2"/>
      <c r="DA337" s="2"/>
      <c r="DB337" s="2"/>
      <c r="DC337" s="2"/>
      <c r="DD337" s="2"/>
      <c r="DG337" s="2"/>
    </row>
    <row r="338">
      <c r="A338" s="9"/>
      <c r="B338" s="5" t="s">
        <v>17</v>
      </c>
      <c r="C338" s="6">
        <v>2.0</v>
      </c>
      <c r="D338" s="6">
        <v>1.0</v>
      </c>
      <c r="E338" s="2"/>
      <c r="F338" s="10"/>
      <c r="G338" s="8" t="str">
        <f>IFERROR(__xludf.DUMMYFUNCTION("GOOGLETRANSLATE(B338,""DE"",""EN"")"),"Filiatry temperature above 25 ° C")</f>
        <v>Filiatry temperature above 25 ° C</v>
      </c>
      <c r="H338" s="8" t="str">
        <f>IFERROR(__xludf.DUMMYFUNCTION("GOOGLETRANSLATE(C338,""DE"",""EN"")"),"2")</f>
        <v>2</v>
      </c>
      <c r="I338" s="8" t="str">
        <f>IFERROR(__xludf.DUMMYFUNCTION("GOOGLETRANSLATE(D338,""DE"",""EN"")"),"1")</f>
        <v>1</v>
      </c>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W338" s="2"/>
      <c r="CX338" s="2"/>
      <c r="CY338" s="2"/>
      <c r="CZ338" s="2"/>
      <c r="DA338" s="2"/>
      <c r="DB338" s="2"/>
      <c r="DC338" s="2"/>
      <c r="DD338" s="2"/>
      <c r="DG338" s="2"/>
    </row>
    <row r="339">
      <c r="A339" s="9"/>
      <c r="B339" s="5" t="s">
        <v>90</v>
      </c>
      <c r="C339" s="6">
        <v>1.0</v>
      </c>
      <c r="D339" s="6">
        <v>1.0</v>
      </c>
      <c r="E339" s="2"/>
      <c r="F339" s="10"/>
      <c r="G339" s="8" t="str">
        <f>IFERROR(__xludf.DUMMYFUNCTION("GOOGLETRANSLATE(B339,""DE"",""EN"")"),"Tiles loose")</f>
        <v>Tiles loose</v>
      </c>
      <c r="H339" s="8" t="str">
        <f>IFERROR(__xludf.DUMMYFUNCTION("GOOGLETRANSLATE(C339,""DE"",""EN"")"),"1")</f>
        <v>1</v>
      </c>
      <c r="I339" s="8" t="str">
        <f>IFERROR(__xludf.DUMMYFUNCTION("GOOGLETRANSLATE(D339,""DE"",""EN"")"),"1")</f>
        <v>1</v>
      </c>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W339" s="2"/>
      <c r="CX339" s="2"/>
      <c r="CY339" s="2"/>
      <c r="CZ339" s="2"/>
      <c r="DA339" s="2"/>
      <c r="DB339" s="2"/>
      <c r="DC339" s="2"/>
      <c r="DD339" s="2"/>
      <c r="DG339" s="2"/>
    </row>
    <row r="340">
      <c r="A340" s="9"/>
      <c r="B340" s="5" t="s">
        <v>19</v>
      </c>
      <c r="C340" s="6">
        <v>2.0</v>
      </c>
      <c r="D340" s="6">
        <v>1.0</v>
      </c>
      <c r="E340" s="2"/>
      <c r="F340" s="10"/>
      <c r="G340" s="8" t="str">
        <f>IFERROR(__xludf.DUMMYFUNCTION("GOOGLETRANSLATE(B340,""DE"",""EN"")"),"Tiles loose / broken")</f>
        <v>Tiles loose / broken</v>
      </c>
      <c r="H340" s="8" t="str">
        <f>IFERROR(__xludf.DUMMYFUNCTION("GOOGLETRANSLATE(C340,""DE"",""EN"")"),"2")</f>
        <v>2</v>
      </c>
      <c r="I340" s="8" t="str">
        <f>IFERROR(__xludf.DUMMYFUNCTION("GOOGLETRANSLATE(D340,""DE"",""EN"")"),"1")</f>
        <v>1</v>
      </c>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W340" s="2"/>
      <c r="CX340" s="2"/>
      <c r="CY340" s="2"/>
      <c r="CZ340" s="2"/>
      <c r="DA340" s="2"/>
      <c r="DB340" s="2"/>
      <c r="DC340" s="2"/>
      <c r="DD340" s="2"/>
      <c r="DG340" s="2"/>
    </row>
    <row r="341">
      <c r="A341" s="9"/>
      <c r="B341" s="5" t="s">
        <v>20</v>
      </c>
      <c r="C341" s="6">
        <v>11.0</v>
      </c>
      <c r="D341" s="6">
        <v>10.0</v>
      </c>
      <c r="E341" s="2"/>
      <c r="F341" s="10"/>
      <c r="G341" s="8" t="str">
        <f>IFERROR(__xludf.DUMMYFUNCTION("GOOGLETRANSLATE(B341,""DE"",""EN"")"),"Doesn't work")</f>
        <v>Doesn't work</v>
      </c>
      <c r="H341" s="8" t="str">
        <f>IFERROR(__xludf.DUMMYFUNCTION("GOOGLETRANSLATE(C341,""DE"",""EN"")"),"11")</f>
        <v>11</v>
      </c>
      <c r="I341" s="8" t="str">
        <f>IFERROR(__xludf.DUMMYFUNCTION("GOOGLETRANSLATE(D341,""DE"",""EN"")"),"10")</f>
        <v>10</v>
      </c>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W341" s="2"/>
      <c r="CX341" s="2"/>
      <c r="CY341" s="2"/>
      <c r="CZ341" s="2"/>
      <c r="DA341" s="2"/>
      <c r="DB341" s="2"/>
      <c r="DC341" s="2"/>
      <c r="DD341" s="2"/>
      <c r="DG341" s="2"/>
    </row>
    <row r="342">
      <c r="A342" s="9"/>
      <c r="B342" s="5" t="s">
        <v>124</v>
      </c>
      <c r="C342" s="6">
        <v>1.0</v>
      </c>
      <c r="D342" s="6">
        <v>1.0</v>
      </c>
      <c r="E342" s="2"/>
      <c r="F342" s="10"/>
      <c r="G342" s="8" t="str">
        <f>IFERROR(__xludf.DUMMYFUNCTION("GOOGLETRANSLATE(B342,""DE"",""EN"")"),"Foot strips defective")</f>
        <v>Foot strips defective</v>
      </c>
      <c r="H342" s="8" t="str">
        <f>IFERROR(__xludf.DUMMYFUNCTION("GOOGLETRANSLATE(C342,""DE"",""EN"")"),"1")</f>
        <v>1</v>
      </c>
      <c r="I342" s="8" t="str">
        <f>IFERROR(__xludf.DUMMYFUNCTION("GOOGLETRANSLATE(D342,""DE"",""EN"")"),"1")</f>
        <v>1</v>
      </c>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W342" s="2"/>
      <c r="CX342" s="2"/>
      <c r="CY342" s="2"/>
      <c r="CZ342" s="2"/>
      <c r="DA342" s="2"/>
      <c r="DB342" s="2"/>
      <c r="DC342" s="2"/>
      <c r="DD342" s="2"/>
      <c r="DG342" s="2"/>
    </row>
    <row r="343">
      <c r="A343" s="9"/>
      <c r="B343" s="5" t="s">
        <v>21</v>
      </c>
      <c r="C343" s="6">
        <v>1.0</v>
      </c>
      <c r="D343" s="6">
        <v>1.0</v>
      </c>
      <c r="E343" s="2"/>
      <c r="F343" s="10"/>
      <c r="G343" s="8" t="str">
        <f>IFERROR(__xludf.DUMMYFUNCTION("GOOGLETRANSLATE(B343,""DE"",""EN"")"),"Noise")</f>
        <v>Noise</v>
      </c>
      <c r="H343" s="8" t="str">
        <f>IFERROR(__xludf.DUMMYFUNCTION("GOOGLETRANSLATE(C343,""DE"",""EN"")"),"1")</f>
        <v>1</v>
      </c>
      <c r="I343" s="8" t="str">
        <f>IFERROR(__xludf.DUMMYFUNCTION("GOOGLETRANSLATE(D343,""DE"",""EN"")"),"1")</f>
        <v>1</v>
      </c>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W343" s="2"/>
      <c r="CX343" s="2"/>
      <c r="CY343" s="2"/>
      <c r="CZ343" s="2"/>
      <c r="DA343" s="2"/>
      <c r="DB343" s="2"/>
      <c r="DC343" s="2"/>
      <c r="DD343" s="2"/>
      <c r="DG343" s="2"/>
    </row>
    <row r="344">
      <c r="A344" s="9"/>
      <c r="B344" s="5" t="s">
        <v>23</v>
      </c>
      <c r="C344" s="6">
        <v>2.0</v>
      </c>
      <c r="D344" s="6">
        <v>2.0</v>
      </c>
      <c r="E344" s="2"/>
      <c r="F344" s="10"/>
      <c r="G344" s="8" t="str">
        <f>IFERROR(__xludf.DUMMYFUNCTION("GOOGLETRANSLATE(B344,""DE"",""EN"")"),"Glass lid defective")</f>
        <v>Glass lid defective</v>
      </c>
      <c r="H344" s="8" t="str">
        <f>IFERROR(__xludf.DUMMYFUNCTION("GOOGLETRANSLATE(C344,""DE"",""EN"")"),"2")</f>
        <v>2</v>
      </c>
      <c r="I344" s="8" t="str">
        <f>IFERROR(__xludf.DUMMYFUNCTION("GOOGLETRANSLATE(D344,""DE"",""EN"")"),"2")</f>
        <v>2</v>
      </c>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W344" s="2"/>
      <c r="CX344" s="2"/>
      <c r="CY344" s="2"/>
      <c r="CZ344" s="2"/>
      <c r="DA344" s="2"/>
      <c r="DB344" s="2"/>
      <c r="DC344" s="2"/>
      <c r="DD344" s="2"/>
      <c r="DG344" s="2"/>
    </row>
    <row r="345">
      <c r="A345" s="9"/>
      <c r="B345" s="5" t="s">
        <v>81</v>
      </c>
      <c r="C345" s="6">
        <v>1.0</v>
      </c>
      <c r="D345" s="6">
        <v>1.0</v>
      </c>
      <c r="E345" s="2"/>
      <c r="F345" s="10"/>
      <c r="G345" s="8" t="str">
        <f>IFERROR(__xludf.DUMMYFUNCTION("GOOGLETRANSLATE(B345,""DE"",""EN"")"),"Rubber seal damaged")</f>
        <v>Rubber seal damaged</v>
      </c>
      <c r="H345" s="8" t="str">
        <f>IFERROR(__xludf.DUMMYFUNCTION("GOOGLETRANSLATE(C345,""DE"",""EN"")"),"1")</f>
        <v>1</v>
      </c>
      <c r="I345" s="8" t="str">
        <f>IFERROR(__xludf.DUMMYFUNCTION("GOOGLETRANSLATE(D345,""DE"",""EN"")"),"1")</f>
        <v>1</v>
      </c>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W345" s="2"/>
      <c r="CX345" s="2"/>
      <c r="CY345" s="2"/>
      <c r="CZ345" s="2"/>
      <c r="DA345" s="2"/>
      <c r="DB345" s="2"/>
      <c r="DC345" s="2"/>
      <c r="DD345" s="2"/>
      <c r="DG345" s="2"/>
    </row>
    <row r="346">
      <c r="A346" s="9"/>
      <c r="B346" s="5" t="s">
        <v>125</v>
      </c>
      <c r="C346" s="6">
        <v>1.0</v>
      </c>
      <c r="D346" s="6">
        <v>1.0</v>
      </c>
      <c r="E346" s="2"/>
      <c r="F346" s="10"/>
      <c r="G346" s="8" t="str">
        <f>IFERROR(__xludf.DUMMYFUNCTION("GOOGLETRANSLATE(B346,""DE"",""EN"")"),"Interior safe damaged")</f>
        <v>Interior safe damaged</v>
      </c>
      <c r="H346" s="8" t="str">
        <f>IFERROR(__xludf.DUMMYFUNCTION("GOOGLETRANSLATE(C346,""DE"",""EN"")"),"1")</f>
        <v>1</v>
      </c>
      <c r="I346" s="8" t="str">
        <f>IFERROR(__xludf.DUMMYFUNCTION("GOOGLETRANSLATE(D346,""DE"",""EN"")"),"1")</f>
        <v>1</v>
      </c>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W346" s="2"/>
      <c r="CX346" s="2"/>
      <c r="CY346" s="2"/>
      <c r="CZ346" s="2"/>
      <c r="DA346" s="2"/>
      <c r="DB346" s="2"/>
      <c r="DC346" s="2"/>
      <c r="DD346" s="2"/>
      <c r="DG346" s="2"/>
    </row>
    <row r="347">
      <c r="A347" s="9"/>
      <c r="B347" s="5" t="s">
        <v>25</v>
      </c>
      <c r="C347" s="6">
        <v>6.0</v>
      </c>
      <c r="D347" s="6">
        <v>6.0</v>
      </c>
      <c r="E347" s="2"/>
      <c r="F347" s="10"/>
      <c r="G347" s="8" t="str">
        <f>IFERROR(__xludf.DUMMYFUNCTION("GOOGLETRANSLATE(B347,""DE"",""EN"")"),"Cash tape defective")</f>
        <v>Cash tape defective</v>
      </c>
      <c r="H347" s="8" t="str">
        <f>IFERROR(__xludf.DUMMYFUNCTION("GOOGLETRANSLATE(C347,""DE"",""EN"")"),"6")</f>
        <v>6</v>
      </c>
      <c r="I347" s="8" t="str">
        <f>IFERROR(__xludf.DUMMYFUNCTION("GOOGLETRANSLATE(D347,""DE"",""EN"")"),"6")</f>
        <v>6</v>
      </c>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W347" s="2"/>
      <c r="CX347" s="2"/>
      <c r="CY347" s="2"/>
      <c r="CZ347" s="2"/>
      <c r="DA347" s="2"/>
      <c r="DB347" s="2"/>
      <c r="DC347" s="2"/>
      <c r="DD347" s="2"/>
      <c r="DG347" s="2"/>
    </row>
    <row r="348">
      <c r="A348" s="9"/>
      <c r="B348" s="5" t="s">
        <v>83</v>
      </c>
      <c r="C348" s="6">
        <v>1.0</v>
      </c>
      <c r="D348" s="6">
        <v>1.0</v>
      </c>
      <c r="E348" s="2"/>
      <c r="F348" s="10"/>
      <c r="G348" s="8" t="str">
        <f>IFERROR(__xludf.DUMMYFUNCTION("GOOGLETRANSLATE(B348,""DE"",""EN"")"),"Cash bell defective")</f>
        <v>Cash bell defective</v>
      </c>
      <c r="H348" s="8" t="str">
        <f>IFERROR(__xludf.DUMMYFUNCTION("GOOGLETRANSLATE(C348,""DE"",""EN"")"),"1")</f>
        <v>1</v>
      </c>
      <c r="I348" s="8" t="str">
        <f>IFERROR(__xludf.DUMMYFUNCTION("GOOGLETRANSLATE(D348,""DE"",""EN"")"),"1")</f>
        <v>1</v>
      </c>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W348" s="2"/>
      <c r="CX348" s="2"/>
      <c r="CY348" s="2"/>
      <c r="CZ348" s="2"/>
      <c r="DA348" s="2"/>
      <c r="DB348" s="2"/>
      <c r="DC348" s="2"/>
      <c r="DD348" s="2"/>
      <c r="DG348" s="2"/>
    </row>
    <row r="349">
      <c r="A349" s="9"/>
      <c r="B349" s="5" t="s">
        <v>26</v>
      </c>
      <c r="C349" s="6">
        <v>6.0</v>
      </c>
      <c r="D349" s="6">
        <v>5.0</v>
      </c>
      <c r="E349" s="2"/>
      <c r="F349" s="10"/>
      <c r="G349" s="8" t="str">
        <f>IFERROR(__xludf.DUMMYFUNCTION("GOOGLETRANSLATE(B349,""DE"",""EN"")"),"Small animal infestation")</f>
        <v>Small animal infestation</v>
      </c>
      <c r="H349" s="8" t="str">
        <f>IFERROR(__xludf.DUMMYFUNCTION("GOOGLETRANSLATE(C349,""DE"",""EN"")"),"6")</f>
        <v>6</v>
      </c>
      <c r="I349" s="8" t="str">
        <f>IFERROR(__xludf.DUMMYFUNCTION("GOOGLETRANSLATE(D349,""DE"",""EN"")"),"5")</f>
        <v>5</v>
      </c>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W349" s="2"/>
      <c r="CX349" s="2"/>
      <c r="CY349" s="2"/>
      <c r="CZ349" s="2"/>
      <c r="DA349" s="2"/>
      <c r="DB349" s="2"/>
      <c r="DC349" s="2"/>
      <c r="DD349" s="2"/>
      <c r="DG349" s="2"/>
    </row>
    <row r="350">
      <c r="A350" s="9"/>
      <c r="B350" s="5" t="s">
        <v>64</v>
      </c>
      <c r="C350" s="6">
        <v>1.0</v>
      </c>
      <c r="D350" s="6">
        <v>1.0</v>
      </c>
      <c r="E350" s="2"/>
      <c r="F350" s="10"/>
      <c r="G350" s="8" t="str">
        <f>IFERROR(__xludf.DUMMYFUNCTION("GOOGLETRANSLATE(B350,""DE"",""EN"")"),"Complete system defective")</f>
        <v>Complete system defective</v>
      </c>
      <c r="H350" s="8" t="str">
        <f>IFERROR(__xludf.DUMMYFUNCTION("GOOGLETRANSLATE(C350,""DE"",""EN"")"),"1")</f>
        <v>1</v>
      </c>
      <c r="I350" s="8" t="str">
        <f>IFERROR(__xludf.DUMMYFUNCTION("GOOGLETRANSLATE(D350,""DE"",""EN"")"),"1")</f>
        <v>1</v>
      </c>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W350" s="2"/>
      <c r="CX350" s="2"/>
      <c r="CY350" s="2"/>
      <c r="CZ350" s="2"/>
      <c r="DA350" s="2"/>
      <c r="DB350" s="2"/>
      <c r="DC350" s="2"/>
      <c r="DD350" s="2"/>
      <c r="DG350" s="2"/>
    </row>
    <row r="351">
      <c r="A351" s="9"/>
      <c r="B351" s="5" t="s">
        <v>126</v>
      </c>
      <c r="C351" s="6">
        <v>1.0</v>
      </c>
      <c r="D351" s="6">
        <v>1.0</v>
      </c>
      <c r="E351" s="2"/>
      <c r="F351" s="10"/>
      <c r="G351" s="8" t="str">
        <f>IFERROR(__xludf.DUMMYFUNCTION("GOOGLETRANSLATE(B351,""DE"",""EN"")"),"Compressor approached/damaged")</f>
        <v>Compressor approached/damaged</v>
      </c>
      <c r="H351" s="8" t="str">
        <f>IFERROR(__xludf.DUMMYFUNCTION("GOOGLETRANSLATE(C351,""DE"",""EN"")"),"1")</f>
        <v>1</v>
      </c>
      <c r="I351" s="8" t="str">
        <f>IFERROR(__xludf.DUMMYFUNCTION("GOOGLETRANSLATE(D351,""DE"",""EN"")"),"1")</f>
        <v>1</v>
      </c>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W351" s="2"/>
      <c r="CX351" s="2"/>
      <c r="CY351" s="2"/>
      <c r="CZ351" s="2"/>
      <c r="DA351" s="2"/>
      <c r="DB351" s="2"/>
      <c r="DC351" s="2"/>
      <c r="DD351" s="2"/>
      <c r="DG351" s="2"/>
    </row>
    <row r="352">
      <c r="A352" s="9"/>
      <c r="B352" s="5" t="s">
        <v>28</v>
      </c>
      <c r="C352" s="6">
        <v>29.0</v>
      </c>
      <c r="D352" s="11"/>
      <c r="E352" s="2"/>
      <c r="F352" s="10"/>
      <c r="G352" s="8" t="str">
        <f>IFERROR(__xludf.DUMMYFUNCTION("GOOGLETRANSLATE(B352,""DE"",""EN"")"),"Cooling alarm")</f>
        <v>Cooling alarm</v>
      </c>
      <c r="H352" s="8" t="str">
        <f>IFERROR(__xludf.DUMMYFUNCTION("GOOGLETRANSLATE(C352,""DE"",""EN"")"),"29")</f>
        <v>29</v>
      </c>
      <c r="I352" s="8"/>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W352" s="2"/>
      <c r="CX352" s="2"/>
      <c r="CY352" s="2"/>
      <c r="CZ352" s="2"/>
      <c r="DA352" s="2"/>
      <c r="DB352" s="2"/>
      <c r="DC352" s="2"/>
      <c r="DD352" s="2"/>
      <c r="DG352" s="2"/>
    </row>
    <row r="353">
      <c r="A353" s="9"/>
      <c r="B353" s="5" t="s">
        <v>84</v>
      </c>
      <c r="C353" s="6">
        <v>1.0</v>
      </c>
      <c r="D353" s="6">
        <v>1.0</v>
      </c>
      <c r="E353" s="2"/>
      <c r="F353" s="10"/>
      <c r="G353" s="8" t="str">
        <f>IFERROR(__xludf.DUMMYFUNCTION("GOOGLETRANSLATE(B353,""DE"",""EN"")"),"Label is missing/defective")</f>
        <v>Label is missing/defective</v>
      </c>
      <c r="H353" s="8" t="str">
        <f>IFERROR(__xludf.DUMMYFUNCTION("GOOGLETRANSLATE(C353,""DE"",""EN"")"),"1")</f>
        <v>1</v>
      </c>
      <c r="I353" s="8" t="str">
        <f>IFERROR(__xludf.DUMMYFUNCTION("GOOGLETRANSLATE(D353,""DE"",""EN"")"),"1")</f>
        <v>1</v>
      </c>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W353" s="2"/>
      <c r="CX353" s="2"/>
      <c r="CY353" s="2"/>
      <c r="CZ353" s="2"/>
      <c r="DA353" s="2"/>
      <c r="DB353" s="2"/>
      <c r="DC353" s="2"/>
      <c r="DD353" s="2"/>
      <c r="DG353" s="2"/>
    </row>
    <row r="354">
      <c r="A354" s="9"/>
      <c r="B354" s="5" t="s">
        <v>29</v>
      </c>
      <c r="C354" s="6">
        <v>1.0</v>
      </c>
      <c r="D354" s="6">
        <v>1.0</v>
      </c>
      <c r="E354" s="2"/>
      <c r="F354" s="10"/>
      <c r="G354" s="8" t="str">
        <f>IFERROR(__xludf.DUMMYFUNCTION("GOOGLETRANSLATE(B354,""DE"",""EN"")"),"Shop construction (42500097)")</f>
        <v>Shop construction (42500097)</v>
      </c>
      <c r="H354" s="8" t="str">
        <f>IFERROR(__xludf.DUMMYFUNCTION("GOOGLETRANSLATE(C354,""DE"",""EN"")"),"1")</f>
        <v>1</v>
      </c>
      <c r="I354" s="8" t="str">
        <f>IFERROR(__xludf.DUMMYFUNCTION("GOOGLETRANSLATE(D354,""DE"",""EN"")"),"1")</f>
        <v>1</v>
      </c>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W354" s="2"/>
      <c r="CX354" s="2"/>
      <c r="CY354" s="2"/>
      <c r="CZ354" s="2"/>
      <c r="DA354" s="2"/>
      <c r="DB354" s="2"/>
      <c r="DC354" s="2"/>
      <c r="DD354" s="2"/>
      <c r="DG354" s="2"/>
    </row>
    <row r="355">
      <c r="A355" s="9"/>
      <c r="B355" s="5" t="s">
        <v>65</v>
      </c>
      <c r="C355" s="6">
        <v>1.0</v>
      </c>
      <c r="D355" s="6">
        <v>1.0</v>
      </c>
      <c r="E355" s="2"/>
      <c r="F355" s="10"/>
      <c r="G355" s="8" t="str">
        <f>IFERROR(__xludf.DUMMYFUNCTION("GOOGLETRANSLATE(B355,""DE"",""EN"")"),"Does not load")</f>
        <v>Does not load</v>
      </c>
      <c r="H355" s="8" t="str">
        <f>IFERROR(__xludf.DUMMYFUNCTION("GOOGLETRANSLATE(C355,""DE"",""EN"")"),"1")</f>
        <v>1</v>
      </c>
      <c r="I355" s="8" t="str">
        <f>IFERROR(__xludf.DUMMYFUNCTION("GOOGLETRANSLATE(D355,""DE"",""EN"")"),"1")</f>
        <v>1</v>
      </c>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W355" s="2"/>
      <c r="CX355" s="2"/>
      <c r="CY355" s="2"/>
      <c r="CZ355" s="2"/>
      <c r="DA355" s="2"/>
      <c r="DB355" s="2"/>
      <c r="DC355" s="2"/>
      <c r="DD355" s="2"/>
      <c r="DG355" s="2"/>
    </row>
    <row r="356">
      <c r="A356" s="9"/>
      <c r="B356" s="5" t="s">
        <v>66</v>
      </c>
      <c r="C356" s="6">
        <v>2.0</v>
      </c>
      <c r="D356" s="6">
        <v>1.0</v>
      </c>
      <c r="E356" s="2"/>
      <c r="F356" s="10"/>
      <c r="G356" s="8" t="str">
        <f>IFERROR(__xludf.DUMMYFUNCTION("GOOGLETRANSLATE(B356,""DE"",""EN"")"),"Not running")</f>
        <v>Not running</v>
      </c>
      <c r="H356" s="8" t="str">
        <f>IFERROR(__xludf.DUMMYFUNCTION("GOOGLETRANSLATE(C356,""DE"",""EN"")"),"2")</f>
        <v>2</v>
      </c>
      <c r="I356" s="8" t="str">
        <f>IFERROR(__xludf.DUMMYFUNCTION("GOOGLETRANSLATE(D356,""DE"",""EN"")"),"1")</f>
        <v>1</v>
      </c>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W356" s="2"/>
      <c r="CX356" s="2"/>
      <c r="CY356" s="2"/>
      <c r="CZ356" s="2"/>
      <c r="DA356" s="2"/>
      <c r="DB356" s="2"/>
      <c r="DC356" s="2"/>
      <c r="DD356" s="2"/>
      <c r="DG356" s="2"/>
    </row>
    <row r="357">
      <c r="A357" s="9"/>
      <c r="B357" s="5" t="s">
        <v>127</v>
      </c>
      <c r="C357" s="6">
        <v>1.0</v>
      </c>
      <c r="D357" s="6">
        <v>1.0</v>
      </c>
      <c r="E357" s="2"/>
      <c r="F357" s="10"/>
      <c r="G357" s="8" t="str">
        <f>IFERROR(__xludf.DUMMYFUNCTION("GOOGLETRANSLATE(B357,""DE"",""EN"")"),"Only lights up on 1/3")</f>
        <v>Only lights up on 1/3</v>
      </c>
      <c r="H357" s="8" t="str">
        <f>IFERROR(__xludf.DUMMYFUNCTION("GOOGLETRANSLATE(C357,""DE"",""EN"")"),"1")</f>
        <v>1</v>
      </c>
      <c r="I357" s="8" t="str">
        <f>IFERROR(__xludf.DUMMYFUNCTION("GOOGLETRANSLATE(D357,""DE"",""EN"")"),"1")</f>
        <v>1</v>
      </c>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W357" s="2"/>
      <c r="CX357" s="2"/>
      <c r="CY357" s="2"/>
      <c r="CZ357" s="2"/>
      <c r="DA357" s="2"/>
      <c r="DB357" s="2"/>
      <c r="DC357" s="2"/>
      <c r="DD357" s="2"/>
      <c r="DG357" s="2"/>
    </row>
    <row r="358">
      <c r="A358" s="9"/>
      <c r="B358" s="5" t="s">
        <v>128</v>
      </c>
      <c r="C358" s="6">
        <v>1.0</v>
      </c>
      <c r="D358" s="6">
        <v>1.0</v>
      </c>
      <c r="E358" s="2"/>
      <c r="F358" s="10"/>
      <c r="G358" s="8" t="str">
        <f>IFERROR(__xludf.DUMMYFUNCTION("GOOGLETRANSLATE(B358,""DE"",""EN"")"),"Logo paint flips off")</f>
        <v>Logo paint flips off</v>
      </c>
      <c r="H358" s="8" t="str">
        <f>IFERROR(__xludf.DUMMYFUNCTION("GOOGLETRANSLATE(C358,""DE"",""EN"")"),"1")</f>
        <v>1</v>
      </c>
      <c r="I358" s="8" t="str">
        <f>IFERROR(__xludf.DUMMYFUNCTION("GOOGLETRANSLATE(D358,""DE"",""EN"")"),"1")</f>
        <v>1</v>
      </c>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W358" s="2"/>
      <c r="CX358" s="2"/>
      <c r="CY358" s="2"/>
      <c r="CZ358" s="2"/>
      <c r="DA358" s="2"/>
      <c r="DB358" s="2"/>
      <c r="DC358" s="2"/>
      <c r="DD358" s="2"/>
      <c r="DG358" s="2"/>
    </row>
    <row r="359">
      <c r="A359" s="9"/>
      <c r="B359" s="5" t="s">
        <v>68</v>
      </c>
      <c r="C359" s="6">
        <v>1.0</v>
      </c>
      <c r="D359" s="11"/>
      <c r="E359" s="2"/>
      <c r="F359" s="10"/>
      <c r="G359" s="8" t="str">
        <f>IFERROR(__xludf.DUMMYFUNCTION("GOOGLETRANSLATE(B359,""DE"",""EN"")"),"Air grille defective")</f>
        <v>Air grille defective</v>
      </c>
      <c r="H359" s="8" t="str">
        <f>IFERROR(__xludf.DUMMYFUNCTION("GOOGLETRANSLATE(C359,""DE"",""EN"")"),"1")</f>
        <v>1</v>
      </c>
      <c r="I359" s="8"/>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W359" s="2"/>
      <c r="CX359" s="2"/>
      <c r="CY359" s="2"/>
      <c r="CZ359" s="2"/>
      <c r="DA359" s="2"/>
      <c r="DB359" s="2"/>
      <c r="DC359" s="2"/>
      <c r="DD359" s="2"/>
      <c r="DG359" s="2"/>
    </row>
    <row r="360">
      <c r="A360" s="9"/>
      <c r="B360" s="5" t="s">
        <v>129</v>
      </c>
      <c r="C360" s="6">
        <v>1.0</v>
      </c>
      <c r="D360" s="6">
        <v>1.0</v>
      </c>
      <c r="E360" s="2"/>
      <c r="F360" s="10"/>
      <c r="G360" s="8" t="str">
        <f>IFERROR(__xludf.DUMMYFUNCTION("GOOGLETRANSLATE(B360,""DE"",""EN"")"),"Magnetic lock defect")</f>
        <v>Magnetic lock defect</v>
      </c>
      <c r="H360" s="8" t="str">
        <f>IFERROR(__xludf.DUMMYFUNCTION("GOOGLETRANSLATE(C360,""DE"",""EN"")"),"1")</f>
        <v>1</v>
      </c>
      <c r="I360" s="8" t="str">
        <f>IFERROR(__xludf.DUMMYFUNCTION("GOOGLETRANSLATE(D360,""DE"",""EN"")"),"1")</f>
        <v>1</v>
      </c>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W360" s="2"/>
      <c r="CX360" s="2"/>
      <c r="CY360" s="2"/>
      <c r="CZ360" s="2"/>
      <c r="DA360" s="2"/>
      <c r="DB360" s="2"/>
      <c r="DC360" s="2"/>
      <c r="DD360" s="2"/>
      <c r="DG360" s="2"/>
    </row>
    <row r="361">
      <c r="A361" s="9"/>
      <c r="B361" s="5" t="s">
        <v>33</v>
      </c>
      <c r="C361" s="6">
        <v>1.0</v>
      </c>
      <c r="D361" s="6">
        <v>1.0</v>
      </c>
      <c r="E361" s="2"/>
      <c r="F361" s="10"/>
      <c r="G361" s="8" t="str">
        <f>IFERROR(__xludf.DUMMYFUNCTION("GOOGLETRANSLATE(B361,""DE"",""EN"")"),"Painting requirement")</f>
        <v>Painting requirement</v>
      </c>
      <c r="H361" s="8" t="str">
        <f>IFERROR(__xludf.DUMMYFUNCTION("GOOGLETRANSLATE(C361,""DE"",""EN"")"),"1")</f>
        <v>1</v>
      </c>
      <c r="I361" s="8" t="str">
        <f>IFERROR(__xludf.DUMMYFUNCTION("GOOGLETRANSLATE(D361,""DE"",""EN"")"),"1")</f>
        <v>1</v>
      </c>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W361" s="2"/>
      <c r="CX361" s="2"/>
      <c r="CY361" s="2"/>
      <c r="CZ361" s="2"/>
      <c r="DA361" s="2"/>
      <c r="DB361" s="2"/>
      <c r="DC361" s="2"/>
      <c r="DD361" s="2"/>
      <c r="DG361" s="2"/>
    </row>
    <row r="362">
      <c r="A362" s="9"/>
      <c r="B362" s="5" t="s">
        <v>69</v>
      </c>
      <c r="C362" s="6">
        <v>2.0</v>
      </c>
      <c r="D362" s="6">
        <v>2.0</v>
      </c>
      <c r="E362" s="2"/>
      <c r="F362" s="10"/>
      <c r="G362" s="8" t="str">
        <f>IFERROR(__xludf.DUMMYFUNCTION("GOOGLETRANSLATE(B362,""DE"",""EN"")"),"Mouse attack (42160005)")</f>
        <v>Mouse attack (42160005)</v>
      </c>
      <c r="H362" s="8" t="str">
        <f>IFERROR(__xludf.DUMMYFUNCTION("GOOGLETRANSLATE(C362,""DE"",""EN"")"),"2")</f>
        <v>2</v>
      </c>
      <c r="I362" s="8" t="str">
        <f>IFERROR(__xludf.DUMMYFUNCTION("GOOGLETRANSLATE(D362,""DE"",""EN"")"),"2")</f>
        <v>2</v>
      </c>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W362" s="2"/>
      <c r="CX362" s="2"/>
      <c r="CY362" s="2"/>
      <c r="CZ362" s="2"/>
      <c r="DA362" s="2"/>
      <c r="DB362" s="2"/>
      <c r="DC362" s="2"/>
      <c r="DD362" s="2"/>
      <c r="DG362" s="2"/>
    </row>
    <row r="363">
      <c r="A363" s="9"/>
      <c r="B363" s="5" t="s">
        <v>130</v>
      </c>
      <c r="C363" s="6">
        <v>2.0</v>
      </c>
      <c r="D363" s="6">
        <v>1.0</v>
      </c>
      <c r="E363" s="2"/>
      <c r="F363" s="10"/>
      <c r="G363" s="8" t="str">
        <f>IFERROR(__xludf.DUMMYFUNCTION("GOOGLETRANSLATE(B363,""DE"",""EN"")"),"Network connection defective")</f>
        <v>Network connection defective</v>
      </c>
      <c r="H363" s="8" t="str">
        <f>IFERROR(__xludf.DUMMYFUNCTION("GOOGLETRANSLATE(C363,""DE"",""EN"")"),"2")</f>
        <v>2</v>
      </c>
      <c r="I363" s="8" t="str">
        <f>IFERROR(__xludf.DUMMYFUNCTION("GOOGLETRANSLATE(D363,""DE"",""EN"")"),"1")</f>
        <v>1</v>
      </c>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W363" s="2"/>
      <c r="CX363" s="2"/>
      <c r="CY363" s="2"/>
      <c r="CZ363" s="2"/>
      <c r="DA363" s="2"/>
      <c r="DB363" s="2"/>
      <c r="DC363" s="2"/>
      <c r="DD363" s="2"/>
      <c r="DG363" s="2"/>
    </row>
    <row r="364">
      <c r="A364" s="9"/>
      <c r="B364" s="5" t="s">
        <v>35</v>
      </c>
      <c r="C364" s="6">
        <v>29.0</v>
      </c>
      <c r="D364" s="6">
        <v>25.0</v>
      </c>
      <c r="E364" s="2"/>
      <c r="F364" s="10"/>
      <c r="G364" s="8" t="str">
        <f>IFERROR(__xludf.DUMMYFUNCTION("GOOGLETRANSLATE(B364,""DE"",""EN"")"),"Opening/closure defective")</f>
        <v>Opening/closure defective</v>
      </c>
      <c r="H364" s="8" t="str">
        <f>IFERROR(__xludf.DUMMYFUNCTION("GOOGLETRANSLATE(C364,""DE"",""EN"")"),"29")</f>
        <v>29</v>
      </c>
      <c r="I364" s="8" t="str">
        <f>IFERROR(__xludf.DUMMYFUNCTION("GOOGLETRANSLATE(D364,""DE"",""EN"")"),"25")</f>
        <v>25</v>
      </c>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W364" s="2"/>
      <c r="CX364" s="2"/>
      <c r="CY364" s="2"/>
      <c r="CZ364" s="2"/>
      <c r="DA364" s="2"/>
      <c r="DB364" s="2"/>
      <c r="DC364" s="2"/>
      <c r="DD364" s="2"/>
      <c r="DG364" s="2"/>
    </row>
    <row r="365">
      <c r="A365" s="9"/>
      <c r="B365" s="5" t="s">
        <v>72</v>
      </c>
      <c r="C365" s="6">
        <v>1.0</v>
      </c>
      <c r="D365" s="6">
        <v>1.0</v>
      </c>
      <c r="E365" s="2"/>
      <c r="F365" s="10"/>
      <c r="G365" s="8" t="str">
        <f>IFERROR(__xludf.DUMMYFUNCTION("GOOGLETRANSLATE(B365,""DE"",""EN"")"),"Defect wheels")</f>
        <v>Defect wheels</v>
      </c>
      <c r="H365" s="8" t="str">
        <f>IFERROR(__xludf.DUMMYFUNCTION("GOOGLETRANSLATE(C365,""DE"",""EN"")"),"1")</f>
        <v>1</v>
      </c>
      <c r="I365" s="8" t="str">
        <f>IFERROR(__xludf.DUMMYFUNCTION("GOOGLETRANSLATE(D365,""DE"",""EN"")"),"1")</f>
        <v>1</v>
      </c>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W365" s="2"/>
      <c r="CX365" s="2"/>
      <c r="CY365" s="2"/>
      <c r="CZ365" s="2"/>
      <c r="DA365" s="2"/>
      <c r="DB365" s="2"/>
      <c r="DC365" s="2"/>
      <c r="DD365" s="2"/>
      <c r="DG365" s="2"/>
    </row>
    <row r="366">
      <c r="A366" s="9"/>
      <c r="B366" s="5" t="s">
        <v>38</v>
      </c>
      <c r="C366" s="6">
        <v>136.0</v>
      </c>
      <c r="D366" s="6">
        <v>79.0</v>
      </c>
      <c r="E366" s="2"/>
      <c r="F366" s="10"/>
      <c r="G366" s="8" t="str">
        <f>IFERROR(__xludf.DUMMYFUNCTION("GOOGLETRANSLATE(B366,""DE"",""EN"")"),"Cleaning outdoor area (42530002)")</f>
        <v>Cleaning outdoor area (42530002)</v>
      </c>
      <c r="H366" s="8" t="str">
        <f>IFERROR(__xludf.DUMMYFUNCTION("GOOGLETRANSLATE(C366,""DE"",""EN"")"),"136")</f>
        <v>136</v>
      </c>
      <c r="I366" s="8" t="str">
        <f>IFERROR(__xludf.DUMMYFUNCTION("GOOGLETRANSLATE(D366,""DE"",""EN"")"),"79")</f>
        <v>79</v>
      </c>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W366" s="2"/>
      <c r="CX366" s="2"/>
      <c r="CY366" s="2"/>
      <c r="CZ366" s="2"/>
      <c r="DA366" s="2"/>
      <c r="DB366" s="2"/>
      <c r="DC366" s="2"/>
      <c r="DD366" s="2"/>
      <c r="DG366" s="2"/>
    </row>
    <row r="367">
      <c r="A367" s="9"/>
      <c r="B367" s="5" t="s">
        <v>103</v>
      </c>
      <c r="C367" s="6">
        <v>1.0</v>
      </c>
      <c r="D367" s="6">
        <v>1.0</v>
      </c>
      <c r="E367" s="2"/>
      <c r="F367" s="10"/>
      <c r="G367" s="8" t="str">
        <f>IFERROR(__xludf.DUMMYFUNCTION("GOOGLETRANSLATE(B367,""DE"",""EN"")"),"Return alarm defective")</f>
        <v>Return alarm defective</v>
      </c>
      <c r="H367" s="8" t="str">
        <f>IFERROR(__xludf.DUMMYFUNCTION("GOOGLETRANSLATE(C367,""DE"",""EN"")"),"1")</f>
        <v>1</v>
      </c>
      <c r="I367" s="8" t="str">
        <f>IFERROR(__xludf.DUMMYFUNCTION("GOOGLETRANSLATE(D367,""DE"",""EN"")"),"1")</f>
        <v>1</v>
      </c>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W367" s="2"/>
      <c r="CX367" s="2"/>
      <c r="CY367" s="2"/>
      <c r="CZ367" s="2"/>
      <c r="DA367" s="2"/>
      <c r="DB367" s="2"/>
      <c r="DC367" s="2"/>
      <c r="DD367" s="2"/>
      <c r="DG367" s="2"/>
    </row>
    <row r="368">
      <c r="A368" s="9"/>
      <c r="B368" s="5" t="s">
        <v>131</v>
      </c>
      <c r="C368" s="6">
        <v>1.0</v>
      </c>
      <c r="D368" s="6">
        <v>1.0</v>
      </c>
      <c r="E368" s="2"/>
      <c r="F368" s="10"/>
      <c r="G368" s="8" t="str">
        <f>IFERROR(__xludf.DUMMYFUNCTION("GOOGLETRANSLATE(B368,""DE"",""EN"")"),"Switch / button defective")</f>
        <v>Switch / button defective</v>
      </c>
      <c r="H368" s="8" t="str">
        <f>IFERROR(__xludf.DUMMYFUNCTION("GOOGLETRANSLATE(C368,""DE"",""EN"")"),"1")</f>
        <v>1</v>
      </c>
      <c r="I368" s="8" t="str">
        <f>IFERROR(__xludf.DUMMYFUNCTION("GOOGLETRANSLATE(D368,""DE"",""EN"")"),"1")</f>
        <v>1</v>
      </c>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W368" s="2"/>
      <c r="CX368" s="2"/>
      <c r="CY368" s="2"/>
      <c r="CZ368" s="2"/>
      <c r="DA368" s="2"/>
      <c r="DB368" s="2"/>
      <c r="DC368" s="2"/>
      <c r="DD368" s="2"/>
      <c r="DG368" s="2"/>
    </row>
    <row r="369">
      <c r="A369" s="9"/>
      <c r="B369" s="5" t="s">
        <v>132</v>
      </c>
      <c r="C369" s="6">
        <v>1.0</v>
      </c>
      <c r="D369" s="6">
        <v>1.0</v>
      </c>
      <c r="E369" s="2"/>
      <c r="F369" s="10"/>
      <c r="G369" s="8" t="str">
        <f>IFERROR(__xludf.DUMMYFUNCTION("GOOGLETRANSLATE(B369,""DE"",""EN"")"),"Switch defective")</f>
        <v>Switch defective</v>
      </c>
      <c r="H369" s="8" t="str">
        <f>IFERROR(__xludf.DUMMYFUNCTION("GOOGLETRANSLATE(C369,""DE"",""EN"")"),"1")</f>
        <v>1</v>
      </c>
      <c r="I369" s="8" t="str">
        <f>IFERROR(__xludf.DUMMYFUNCTION("GOOGLETRANSLATE(D369,""DE"",""EN"")"),"1")</f>
        <v>1</v>
      </c>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W369" s="2"/>
      <c r="CX369" s="2"/>
      <c r="CY369" s="2"/>
      <c r="CZ369" s="2"/>
      <c r="DA369" s="2"/>
      <c r="DB369" s="2"/>
      <c r="DC369" s="2"/>
      <c r="DD369" s="2"/>
      <c r="DG369" s="2"/>
    </row>
    <row r="370">
      <c r="A370" s="9"/>
      <c r="B370" s="5" t="s">
        <v>40</v>
      </c>
      <c r="C370" s="6">
        <v>1.0</v>
      </c>
      <c r="D370" s="6">
        <v>1.0</v>
      </c>
      <c r="E370" s="2"/>
      <c r="F370" s="10"/>
      <c r="G370" s="8" t="str">
        <f>IFERROR(__xludf.DUMMYFUNCTION("GOOGLETRANSLATE(B370,""DE"",""EN"")"),"Castle defect")</f>
        <v>Castle defect</v>
      </c>
      <c r="H370" s="8" t="str">
        <f>IFERROR(__xludf.DUMMYFUNCTION("GOOGLETRANSLATE(C370,""DE"",""EN"")"),"1")</f>
        <v>1</v>
      </c>
      <c r="I370" s="8" t="str">
        <f>IFERROR(__xludf.DUMMYFUNCTION("GOOGLETRANSLATE(D370,""DE"",""EN"")"),"1")</f>
        <v>1</v>
      </c>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W370" s="2"/>
      <c r="CX370" s="2"/>
      <c r="CY370" s="2"/>
      <c r="CZ370" s="2"/>
      <c r="DA370" s="2"/>
      <c r="DB370" s="2"/>
      <c r="DC370" s="2"/>
      <c r="DD370" s="2"/>
      <c r="DG370" s="2"/>
    </row>
    <row r="371">
      <c r="A371" s="9"/>
      <c r="B371" s="5" t="s">
        <v>45</v>
      </c>
      <c r="C371" s="6">
        <v>9.0</v>
      </c>
      <c r="D371" s="6">
        <v>9.0</v>
      </c>
      <c r="E371" s="2"/>
      <c r="F371" s="10"/>
      <c r="G371" s="8" t="str">
        <f>IFERROR(__xludf.DUMMYFUNCTION("GOOGLETRANSLATE(B371,""DE"",""EN"")"),"Temperature problem")</f>
        <v>Temperature problem</v>
      </c>
      <c r="H371" s="8" t="str">
        <f>IFERROR(__xludf.DUMMYFUNCTION("GOOGLETRANSLATE(C371,""DE"",""EN"")"),"9")</f>
        <v>9</v>
      </c>
      <c r="I371" s="8" t="str">
        <f>IFERROR(__xludf.DUMMYFUNCTION("GOOGLETRANSLATE(D371,""DE"",""EN"")"),"9")</f>
        <v>9</v>
      </c>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W371" s="2"/>
      <c r="CX371" s="2"/>
      <c r="CY371" s="2"/>
      <c r="CZ371" s="2"/>
      <c r="DA371" s="2"/>
      <c r="DB371" s="2"/>
      <c r="DC371" s="2"/>
      <c r="DD371" s="2"/>
      <c r="DG371" s="2"/>
    </row>
    <row r="372">
      <c r="A372" s="9"/>
      <c r="B372" s="5" t="s">
        <v>46</v>
      </c>
      <c r="C372" s="6">
        <v>5.0</v>
      </c>
      <c r="D372" s="6">
        <v>5.0</v>
      </c>
      <c r="E372" s="2"/>
      <c r="F372" s="10"/>
      <c r="G372" s="8" t="str">
        <f>IFERROR(__xludf.DUMMYFUNCTION("GOOGLETRANSLATE(B372,""DE"",""EN"")"),"Door defective")</f>
        <v>Door defective</v>
      </c>
      <c r="H372" s="8" t="str">
        <f>IFERROR(__xludf.DUMMYFUNCTION("GOOGLETRANSLATE(C372,""DE"",""EN"")"),"5")</f>
        <v>5</v>
      </c>
      <c r="I372" s="8" t="str">
        <f>IFERROR(__xludf.DUMMYFUNCTION("GOOGLETRANSLATE(D372,""DE"",""EN"")"),"5")</f>
        <v>5</v>
      </c>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W372" s="2"/>
      <c r="CX372" s="2"/>
      <c r="CY372" s="2"/>
      <c r="CZ372" s="2"/>
      <c r="DA372" s="2"/>
      <c r="DB372" s="2"/>
      <c r="DC372" s="2"/>
      <c r="DD372" s="2"/>
      <c r="DG372" s="2"/>
    </row>
    <row r="373">
      <c r="A373" s="9"/>
      <c r="B373" s="5" t="s">
        <v>133</v>
      </c>
      <c r="C373" s="6">
        <v>1.0</v>
      </c>
      <c r="D373" s="6">
        <v>1.0</v>
      </c>
      <c r="E373" s="2"/>
      <c r="F373" s="10"/>
      <c r="G373" s="8" t="str">
        <f>IFERROR(__xludf.DUMMYFUNCTION("GOOGLETRANSLATE(B373,""DE"",""EN"")"),"Tour sensor radius adjusted")</f>
        <v>Tour sensor radius adjusted</v>
      </c>
      <c r="H373" s="8" t="str">
        <f>IFERROR(__xludf.DUMMYFUNCTION("GOOGLETRANSLATE(C373,""DE"",""EN"")"),"1")</f>
        <v>1</v>
      </c>
      <c r="I373" s="8" t="str">
        <f>IFERROR(__xludf.DUMMYFUNCTION("GOOGLETRANSLATE(D373,""DE"",""EN"")"),"1")</f>
        <v>1</v>
      </c>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W373" s="2"/>
      <c r="CX373" s="2"/>
      <c r="CY373" s="2"/>
      <c r="CZ373" s="2"/>
      <c r="DA373" s="2"/>
      <c r="DB373" s="2"/>
      <c r="DC373" s="2"/>
      <c r="DD373" s="2"/>
      <c r="DG373" s="2"/>
    </row>
    <row r="374">
      <c r="A374" s="9"/>
      <c r="B374" s="5" t="s">
        <v>49</v>
      </c>
      <c r="C374" s="6">
        <v>12.0</v>
      </c>
      <c r="D374" s="6">
        <v>12.0</v>
      </c>
      <c r="E374" s="2"/>
      <c r="F374" s="10"/>
      <c r="G374" s="8" t="str">
        <f>IFERROR(__xludf.DUMMYFUNCTION("GOOGLETRANSLATE(B374,""DE"",""EN"")"),"Leak")</f>
        <v>Leak</v>
      </c>
      <c r="H374" s="8" t="str">
        <f>IFERROR(__xludf.DUMMYFUNCTION("GOOGLETRANSLATE(C374,""DE"",""EN"")"),"12")</f>
        <v>12</v>
      </c>
      <c r="I374" s="8" t="str">
        <f>IFERROR(__xludf.DUMMYFUNCTION("GOOGLETRANSLATE(D374,""DE"",""EN"")"),"12")</f>
        <v>12</v>
      </c>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W374" s="2"/>
      <c r="CX374" s="2"/>
      <c r="CY374" s="2"/>
      <c r="CZ374" s="2"/>
      <c r="DA374" s="2"/>
      <c r="DB374" s="2"/>
      <c r="DC374" s="2"/>
      <c r="DD374" s="2"/>
      <c r="DG374" s="2"/>
    </row>
    <row r="375">
      <c r="A375" s="9"/>
      <c r="B375" s="5" t="s">
        <v>51</v>
      </c>
      <c r="C375" s="6">
        <v>4.0</v>
      </c>
      <c r="D375" s="6">
        <v>4.0</v>
      </c>
      <c r="E375" s="2"/>
      <c r="F375" s="10"/>
      <c r="G375" s="8" t="str">
        <f>IFERROR(__xludf.DUMMYFUNCTION("GOOGLETRANSLATE(B375,""DE"",""EN"")"),"Icy")</f>
        <v>Icy</v>
      </c>
      <c r="H375" s="8" t="str">
        <f>IFERROR(__xludf.DUMMYFUNCTION("GOOGLETRANSLATE(C375,""DE"",""EN"")"),"4")</f>
        <v>4</v>
      </c>
      <c r="I375" s="8" t="str">
        <f>IFERROR(__xludf.DUMMYFUNCTION("GOOGLETRANSLATE(D375,""DE"",""EN"")"),"4")</f>
        <v>4</v>
      </c>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W375" s="2"/>
      <c r="CX375" s="2"/>
      <c r="CY375" s="2"/>
      <c r="CZ375" s="2"/>
      <c r="DA375" s="2"/>
      <c r="DB375" s="2"/>
      <c r="DC375" s="2"/>
      <c r="DD375" s="2"/>
      <c r="DG375" s="2"/>
    </row>
    <row r="376">
      <c r="A376" s="12"/>
      <c r="B376" s="5" t="s">
        <v>52</v>
      </c>
      <c r="C376" s="6">
        <v>8.0</v>
      </c>
      <c r="D376" s="6">
        <v>2.0</v>
      </c>
      <c r="E376" s="2"/>
      <c r="F376" s="13"/>
      <c r="G376" s="8" t="str">
        <f>IFERROR(__xludf.DUMMYFUNCTION("GOOGLETRANSLATE(B376,""DE"",""EN"")"),"Wach- and patrol service (42600001)")</f>
        <v>Wach- and patrol service (42600001)</v>
      </c>
      <c r="H376" s="8" t="str">
        <f>IFERROR(__xludf.DUMMYFUNCTION("GOOGLETRANSLATE(C376,""DE"",""EN"")"),"8th")</f>
        <v>8th</v>
      </c>
      <c r="I376" s="8" t="str">
        <f>IFERROR(__xludf.DUMMYFUNCTION("GOOGLETRANSLATE(D376,""DE"",""EN"")"),"2")</f>
        <v>2</v>
      </c>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W376" s="2"/>
      <c r="CX376" s="2"/>
      <c r="CY376" s="2"/>
      <c r="CZ376" s="2"/>
      <c r="DA376" s="2"/>
      <c r="DB376" s="2"/>
      <c r="DC376" s="2"/>
      <c r="DD376" s="2"/>
      <c r="DG376" s="2"/>
    </row>
    <row r="377">
      <c r="A377" s="12"/>
      <c r="B377" s="5" t="s">
        <v>77</v>
      </c>
      <c r="C377" s="6">
        <v>1.0</v>
      </c>
      <c r="D377" s="6">
        <v>1.0</v>
      </c>
      <c r="E377" s="2"/>
      <c r="F377" s="13"/>
      <c r="G377" s="8" t="str">
        <f>IFERROR(__xludf.DUMMYFUNCTION("GOOGLETRANSLATE(B377,""DE"",""EN"")"),"Wicked sink")</f>
        <v>Wicked sink</v>
      </c>
      <c r="H377" s="8" t="str">
        <f>IFERROR(__xludf.DUMMYFUNCTION("GOOGLETRANSLATE(C377,""DE"",""EN"")"),"1")</f>
        <v>1</v>
      </c>
      <c r="I377" s="8" t="str">
        <f>IFERROR(__xludf.DUMMYFUNCTION("GOOGLETRANSLATE(D377,""DE"",""EN"")"),"1")</f>
        <v>1</v>
      </c>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W377" s="2"/>
      <c r="CX377" s="2"/>
      <c r="CY377" s="2"/>
      <c r="CZ377" s="2"/>
      <c r="DA377" s="2"/>
      <c r="DB377" s="2"/>
      <c r="DC377" s="2"/>
      <c r="DD377" s="2"/>
      <c r="DG377" s="2"/>
    </row>
    <row r="378">
      <c r="A378" s="4" t="s">
        <v>134</v>
      </c>
      <c r="B378" s="9"/>
      <c r="C378" s="14">
        <v>540.0</v>
      </c>
      <c r="D378" s="14">
        <v>353.0</v>
      </c>
      <c r="E378" s="2"/>
      <c r="F378" s="7" t="s">
        <v>134</v>
      </c>
      <c r="G378" s="8"/>
      <c r="H378" s="8" t="str">
        <f>IFERROR(__xludf.DUMMYFUNCTION("GOOGLETRANSLATE(C378,""DE"",""EN"")"),"540")</f>
        <v>540</v>
      </c>
      <c r="I378" s="8" t="str">
        <f>IFERROR(__xludf.DUMMYFUNCTION("GOOGLETRANSLATE(D378,""DE"",""EN"")"),"353")</f>
        <v>353</v>
      </c>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W378" s="2"/>
      <c r="CX378" s="2"/>
      <c r="CY378" s="2"/>
      <c r="CZ378" s="2"/>
      <c r="DA378" s="2"/>
      <c r="DB378" s="2"/>
      <c r="DC378" s="2"/>
      <c r="DD378" s="2"/>
      <c r="DG378" s="2"/>
    </row>
    <row r="379">
      <c r="A379" s="1" t="s">
        <v>135</v>
      </c>
      <c r="B379" s="15"/>
      <c r="C379" s="16">
        <v>4204.0</v>
      </c>
      <c r="D379" s="16">
        <v>2980.0</v>
      </c>
      <c r="E379" s="2"/>
      <c r="F379" s="3" t="s">
        <v>135</v>
      </c>
      <c r="G379" s="8"/>
      <c r="H379" s="8" t="str">
        <f>IFERROR(__xludf.DUMMYFUNCTION("GOOGLETRANSLATE(C379,""DE"",""EN"")"),"4204")</f>
        <v>4204</v>
      </c>
      <c r="I379" s="8" t="str">
        <f>IFERROR(__xludf.DUMMYFUNCTION("GOOGLETRANSLATE(D379,""DE"",""EN"")"),"2980")</f>
        <v>2980</v>
      </c>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W379" s="2"/>
      <c r="CX379" s="2"/>
      <c r="CY379" s="2"/>
      <c r="CZ379" s="2"/>
      <c r="DA379" s="2"/>
      <c r="DB379" s="2"/>
      <c r="DC379" s="2"/>
      <c r="DD379" s="2"/>
      <c r="DG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W380" s="2"/>
      <c r="CX380" s="2"/>
      <c r="CY380" s="2"/>
      <c r="CZ380" s="2"/>
      <c r="DA380" s="2"/>
      <c r="DB380" s="2"/>
      <c r="DC380" s="2"/>
      <c r="DD380" s="2"/>
      <c r="DG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W381" s="2"/>
      <c r="CX381" s="2"/>
      <c r="CY381" s="2"/>
      <c r="CZ381" s="2"/>
      <c r="DA381" s="2"/>
      <c r="DB381" s="2"/>
      <c r="DC381" s="2"/>
      <c r="DD381" s="2"/>
      <c r="DG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W382" s="2"/>
      <c r="CX382" s="2"/>
      <c r="CY382" s="2"/>
      <c r="CZ382" s="2"/>
      <c r="DA382" s="2"/>
      <c r="DB382" s="2"/>
      <c r="DC382" s="2"/>
      <c r="DD382" s="2"/>
      <c r="DG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W383" s="2"/>
      <c r="CX383" s="2"/>
      <c r="CY383" s="2"/>
      <c r="CZ383" s="2"/>
      <c r="DA383" s="2"/>
      <c r="DB383" s="2"/>
      <c r="DC383" s="2"/>
      <c r="DD383" s="2"/>
      <c r="DG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W384" s="2"/>
      <c r="CX384" s="2"/>
      <c r="CY384" s="2"/>
      <c r="CZ384" s="2"/>
      <c r="DA384" s="2"/>
      <c r="DB384" s="2"/>
      <c r="DC384" s="2"/>
      <c r="DD384" s="2"/>
      <c r="DG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W385" s="2"/>
      <c r="CX385" s="2"/>
      <c r="CY385" s="2"/>
      <c r="CZ385" s="2"/>
      <c r="DA385" s="2"/>
      <c r="DB385" s="2"/>
      <c r="DC385" s="2"/>
      <c r="DD385" s="2"/>
      <c r="DG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W386" s="2"/>
      <c r="CX386" s="2"/>
      <c r="CY386" s="2"/>
      <c r="CZ386" s="2"/>
      <c r="DA386" s="2"/>
      <c r="DB386" s="2"/>
      <c r="DC386" s="2"/>
      <c r="DD386" s="2"/>
      <c r="DG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W387" s="2"/>
      <c r="CX387" s="2"/>
      <c r="CY387" s="2"/>
      <c r="CZ387" s="2"/>
      <c r="DA387" s="2"/>
      <c r="DB387" s="2"/>
      <c r="DC387" s="2"/>
      <c r="DD387" s="2"/>
      <c r="DG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W388" s="2"/>
      <c r="CX388" s="2"/>
      <c r="CY388" s="2"/>
      <c r="CZ388" s="2"/>
      <c r="DA388" s="2"/>
      <c r="DB388" s="2"/>
      <c r="DC388" s="2"/>
      <c r="DD388" s="2"/>
      <c r="DG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W389" s="2"/>
      <c r="CX389" s="2"/>
      <c r="CY389" s="2"/>
      <c r="CZ389" s="2"/>
      <c r="DA389" s="2"/>
      <c r="DB389" s="2"/>
      <c r="DC389" s="2"/>
      <c r="DD389" s="2"/>
      <c r="DG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W390" s="2"/>
      <c r="CX390" s="2"/>
      <c r="CY390" s="2"/>
      <c r="CZ390" s="2"/>
      <c r="DA390" s="2"/>
      <c r="DB390" s="2"/>
      <c r="DC390" s="2"/>
      <c r="DD390" s="2"/>
      <c r="DG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W391" s="2"/>
      <c r="CX391" s="2"/>
      <c r="CY391" s="2"/>
      <c r="CZ391" s="2"/>
      <c r="DA391" s="2"/>
      <c r="DB391" s="2"/>
      <c r="DC391" s="2"/>
      <c r="DD391" s="2"/>
      <c r="DG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W392" s="2"/>
      <c r="CX392" s="2"/>
      <c r="CY392" s="2"/>
      <c r="CZ392" s="2"/>
      <c r="DA392" s="2"/>
      <c r="DB392" s="2"/>
      <c r="DC392" s="2"/>
      <c r="DD392" s="2"/>
      <c r="DG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W393" s="2"/>
      <c r="CX393" s="2"/>
      <c r="CY393" s="2"/>
      <c r="CZ393" s="2"/>
      <c r="DA393" s="2"/>
      <c r="DB393" s="2"/>
      <c r="DC393" s="2"/>
      <c r="DD393" s="2"/>
      <c r="DG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W394" s="2"/>
      <c r="CX394" s="2"/>
      <c r="CY394" s="2"/>
      <c r="CZ394" s="2"/>
      <c r="DA394" s="2"/>
      <c r="DB394" s="2"/>
      <c r="DC394" s="2"/>
      <c r="DD394" s="2"/>
      <c r="DG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W395" s="2"/>
      <c r="CX395" s="2"/>
      <c r="CY395" s="2"/>
      <c r="CZ395" s="2"/>
      <c r="DA395" s="2"/>
      <c r="DB395" s="2"/>
      <c r="DC395" s="2"/>
      <c r="DD395" s="2"/>
      <c r="DG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W396" s="2"/>
      <c r="CX396" s="2"/>
      <c r="CY396" s="2"/>
      <c r="CZ396" s="2"/>
      <c r="DA396" s="2"/>
      <c r="DB396" s="2"/>
      <c r="DC396" s="2"/>
      <c r="DD396" s="2"/>
      <c r="DG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W397" s="2"/>
      <c r="CX397" s="2"/>
      <c r="CY397" s="2"/>
      <c r="CZ397" s="2"/>
      <c r="DA397" s="2"/>
      <c r="DB397" s="2"/>
      <c r="DC397" s="2"/>
      <c r="DD397" s="2"/>
      <c r="DG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W398" s="2"/>
      <c r="CX398" s="2"/>
      <c r="CY398" s="2"/>
      <c r="CZ398" s="2"/>
      <c r="DA398" s="2"/>
      <c r="DB398" s="2"/>
      <c r="DC398" s="2"/>
      <c r="DD398" s="2"/>
      <c r="DG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W399" s="2"/>
      <c r="CX399" s="2"/>
      <c r="CY399" s="2"/>
      <c r="CZ399" s="2"/>
      <c r="DA399" s="2"/>
      <c r="DB399" s="2"/>
      <c r="DC399" s="2"/>
      <c r="DD399" s="2"/>
      <c r="DG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W400" s="2"/>
      <c r="CX400" s="2"/>
      <c r="CY400" s="2"/>
      <c r="CZ400" s="2"/>
      <c r="DA400" s="2"/>
      <c r="DB400" s="2"/>
      <c r="DC400" s="2"/>
      <c r="DD400" s="2"/>
      <c r="DG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W401" s="2"/>
      <c r="CX401" s="2"/>
      <c r="CY401" s="2"/>
      <c r="CZ401" s="2"/>
      <c r="DA401" s="2"/>
      <c r="DB401" s="2"/>
      <c r="DC401" s="2"/>
      <c r="DD401" s="2"/>
      <c r="DG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W402" s="2"/>
      <c r="CX402" s="2"/>
      <c r="CY402" s="2"/>
      <c r="CZ402" s="2"/>
      <c r="DA402" s="2"/>
      <c r="DB402" s="2"/>
      <c r="DC402" s="2"/>
      <c r="DD402" s="2"/>
      <c r="DG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W403" s="2"/>
      <c r="CX403" s="2"/>
      <c r="CY403" s="2"/>
      <c r="CZ403" s="2"/>
      <c r="DA403" s="2"/>
      <c r="DB403" s="2"/>
      <c r="DC403" s="2"/>
      <c r="DD403" s="2"/>
      <c r="DG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W404" s="2"/>
      <c r="CX404" s="2"/>
      <c r="CY404" s="2"/>
      <c r="CZ404" s="2"/>
      <c r="DA404" s="2"/>
      <c r="DB404" s="2"/>
      <c r="DC404" s="2"/>
      <c r="DD404" s="2"/>
      <c r="DG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W405" s="2"/>
      <c r="CX405" s="2"/>
      <c r="CY405" s="2"/>
      <c r="CZ405" s="2"/>
      <c r="DA405" s="2"/>
      <c r="DB405" s="2"/>
      <c r="DC405" s="2"/>
      <c r="DD405" s="2"/>
      <c r="DG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W406" s="2"/>
      <c r="CX406" s="2"/>
      <c r="CY406" s="2"/>
      <c r="CZ406" s="2"/>
      <c r="DA406" s="2"/>
      <c r="DB406" s="2"/>
      <c r="DC406" s="2"/>
      <c r="DD406" s="2"/>
      <c r="DG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W407" s="2"/>
      <c r="CX407" s="2"/>
      <c r="CY407" s="2"/>
      <c r="CZ407" s="2"/>
      <c r="DA407" s="2"/>
      <c r="DB407" s="2"/>
      <c r="DC407" s="2"/>
      <c r="DD407" s="2"/>
      <c r="DG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W408" s="2"/>
      <c r="CX408" s="2"/>
      <c r="CY408" s="2"/>
      <c r="CZ408" s="2"/>
      <c r="DA408" s="2"/>
      <c r="DB408" s="2"/>
      <c r="DC408" s="2"/>
      <c r="DD408" s="2"/>
      <c r="DG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W409" s="2"/>
      <c r="CX409" s="2"/>
      <c r="CY409" s="2"/>
      <c r="CZ409" s="2"/>
      <c r="DA409" s="2"/>
      <c r="DB409" s="2"/>
      <c r="DC409" s="2"/>
      <c r="DD409" s="2"/>
      <c r="DG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W410" s="2"/>
      <c r="CX410" s="2"/>
      <c r="CY410" s="2"/>
      <c r="CZ410" s="2"/>
      <c r="DA410" s="2"/>
      <c r="DB410" s="2"/>
      <c r="DC410" s="2"/>
      <c r="DD410" s="2"/>
      <c r="DG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W411" s="2"/>
      <c r="CX411" s="2"/>
      <c r="CY411" s="2"/>
      <c r="CZ411" s="2"/>
      <c r="DA411" s="2"/>
      <c r="DB411" s="2"/>
      <c r="DC411" s="2"/>
      <c r="DD411" s="2"/>
      <c r="DG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W412" s="2"/>
      <c r="CX412" s="2"/>
      <c r="CY412" s="2"/>
      <c r="CZ412" s="2"/>
      <c r="DA412" s="2"/>
      <c r="DB412" s="2"/>
      <c r="DC412" s="2"/>
      <c r="DD412" s="2"/>
      <c r="DG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W413" s="2"/>
      <c r="CX413" s="2"/>
      <c r="CY413" s="2"/>
      <c r="CZ413" s="2"/>
      <c r="DA413" s="2"/>
      <c r="DB413" s="2"/>
      <c r="DC413" s="2"/>
      <c r="DD413" s="2"/>
      <c r="DG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W414" s="2"/>
      <c r="CX414" s="2"/>
      <c r="CY414" s="2"/>
      <c r="CZ414" s="2"/>
      <c r="DA414" s="2"/>
      <c r="DB414" s="2"/>
      <c r="DC414" s="2"/>
      <c r="DD414" s="2"/>
      <c r="DG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W415" s="2"/>
      <c r="CX415" s="2"/>
      <c r="CY415" s="2"/>
      <c r="CZ415" s="2"/>
      <c r="DA415" s="2"/>
      <c r="DB415" s="2"/>
      <c r="DC415" s="2"/>
      <c r="DD415" s="2"/>
      <c r="DG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W416" s="2"/>
      <c r="CX416" s="2"/>
      <c r="CY416" s="2"/>
      <c r="CZ416" s="2"/>
      <c r="DA416" s="2"/>
      <c r="DB416" s="2"/>
      <c r="DC416" s="2"/>
      <c r="DD416" s="2"/>
      <c r="DG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W417" s="2"/>
      <c r="CX417" s="2"/>
      <c r="CY417" s="2"/>
      <c r="CZ417" s="2"/>
      <c r="DA417" s="2"/>
      <c r="DB417" s="2"/>
      <c r="DC417" s="2"/>
      <c r="DD417" s="2"/>
      <c r="DG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W418" s="2"/>
      <c r="CX418" s="2"/>
      <c r="CY418" s="2"/>
      <c r="CZ418" s="2"/>
      <c r="DA418" s="2"/>
      <c r="DB418" s="2"/>
      <c r="DC418" s="2"/>
      <c r="DD418" s="2"/>
      <c r="DG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W419" s="2"/>
      <c r="CX419" s="2"/>
      <c r="CY419" s="2"/>
      <c r="CZ419" s="2"/>
      <c r="DA419" s="2"/>
      <c r="DB419" s="2"/>
      <c r="DC419" s="2"/>
      <c r="DD419" s="2"/>
      <c r="DG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W420" s="2"/>
      <c r="CX420" s="2"/>
      <c r="CY420" s="2"/>
      <c r="CZ420" s="2"/>
      <c r="DA420" s="2"/>
      <c r="DB420" s="2"/>
      <c r="DC420" s="2"/>
      <c r="DD420" s="2"/>
      <c r="DG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W421" s="2"/>
      <c r="CX421" s="2"/>
      <c r="CY421" s="2"/>
      <c r="CZ421" s="2"/>
      <c r="DA421" s="2"/>
      <c r="DB421" s="2"/>
      <c r="DC421" s="2"/>
      <c r="DD421" s="2"/>
      <c r="DG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W422" s="2"/>
      <c r="CX422" s="2"/>
      <c r="CY422" s="2"/>
      <c r="CZ422" s="2"/>
      <c r="DA422" s="2"/>
      <c r="DB422" s="2"/>
      <c r="DC422" s="2"/>
      <c r="DD422" s="2"/>
      <c r="DG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W423" s="2"/>
      <c r="CX423" s="2"/>
      <c r="CY423" s="2"/>
      <c r="CZ423" s="2"/>
      <c r="DA423" s="2"/>
      <c r="DB423" s="2"/>
      <c r="DC423" s="2"/>
      <c r="DD423" s="2"/>
      <c r="DG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W424" s="2"/>
      <c r="CX424" s="2"/>
      <c r="CY424" s="2"/>
      <c r="CZ424" s="2"/>
      <c r="DA424" s="2"/>
      <c r="DB424" s="2"/>
      <c r="DC424" s="2"/>
      <c r="DD424" s="2"/>
      <c r="DG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W425" s="2"/>
      <c r="CX425" s="2"/>
      <c r="CY425" s="2"/>
      <c r="CZ425" s="2"/>
      <c r="DA425" s="2"/>
      <c r="DB425" s="2"/>
      <c r="DC425" s="2"/>
      <c r="DD425" s="2"/>
      <c r="DG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W426" s="2"/>
      <c r="CX426" s="2"/>
      <c r="CY426" s="2"/>
      <c r="CZ426" s="2"/>
      <c r="DA426" s="2"/>
      <c r="DB426" s="2"/>
      <c r="DC426" s="2"/>
      <c r="DD426" s="2"/>
      <c r="DG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W427" s="2"/>
      <c r="CX427" s="2"/>
      <c r="CY427" s="2"/>
      <c r="CZ427" s="2"/>
      <c r="DA427" s="2"/>
      <c r="DB427" s="2"/>
      <c r="DC427" s="2"/>
      <c r="DD427" s="2"/>
      <c r="DG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W428" s="2"/>
      <c r="CX428" s="2"/>
      <c r="CY428" s="2"/>
      <c r="CZ428" s="2"/>
      <c r="DA428" s="2"/>
      <c r="DB428" s="2"/>
      <c r="DC428" s="2"/>
      <c r="DD428" s="2"/>
      <c r="DG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W429" s="2"/>
      <c r="CX429" s="2"/>
      <c r="CY429" s="2"/>
      <c r="CZ429" s="2"/>
      <c r="DA429" s="2"/>
      <c r="DB429" s="2"/>
      <c r="DC429" s="2"/>
      <c r="DD429" s="2"/>
      <c r="DG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W430" s="2"/>
      <c r="CX430" s="2"/>
      <c r="CY430" s="2"/>
      <c r="CZ430" s="2"/>
      <c r="DA430" s="2"/>
      <c r="DB430" s="2"/>
      <c r="DC430" s="2"/>
      <c r="DD430" s="2"/>
      <c r="DG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W431" s="2"/>
      <c r="CX431" s="2"/>
      <c r="CY431" s="2"/>
      <c r="CZ431" s="2"/>
      <c r="DA431" s="2"/>
      <c r="DB431" s="2"/>
      <c r="DC431" s="2"/>
      <c r="DD431" s="2"/>
      <c r="DG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W432" s="2"/>
      <c r="CX432" s="2"/>
      <c r="CY432" s="2"/>
      <c r="CZ432" s="2"/>
      <c r="DA432" s="2"/>
      <c r="DB432" s="2"/>
      <c r="DC432" s="2"/>
      <c r="DD432" s="2"/>
      <c r="DG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W433" s="2"/>
      <c r="CX433" s="2"/>
      <c r="CY433" s="2"/>
      <c r="CZ433" s="2"/>
      <c r="DA433" s="2"/>
      <c r="DB433" s="2"/>
      <c r="DC433" s="2"/>
      <c r="DD433" s="2"/>
      <c r="DG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W434" s="2"/>
      <c r="CX434" s="2"/>
      <c r="CY434" s="2"/>
      <c r="CZ434" s="2"/>
      <c r="DA434" s="2"/>
      <c r="DB434" s="2"/>
      <c r="DC434" s="2"/>
      <c r="DD434" s="2"/>
      <c r="DG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W435" s="2"/>
      <c r="CX435" s="2"/>
      <c r="CY435" s="2"/>
      <c r="CZ435" s="2"/>
      <c r="DA435" s="2"/>
      <c r="DB435" s="2"/>
      <c r="DC435" s="2"/>
      <c r="DD435" s="2"/>
      <c r="DG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W436" s="2"/>
      <c r="CX436" s="2"/>
      <c r="CY436" s="2"/>
      <c r="CZ436" s="2"/>
      <c r="DA436" s="2"/>
      <c r="DB436" s="2"/>
      <c r="DC436" s="2"/>
      <c r="DD436" s="2"/>
      <c r="DG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W437" s="2"/>
      <c r="CX437" s="2"/>
      <c r="CY437" s="2"/>
      <c r="CZ437" s="2"/>
      <c r="DA437" s="2"/>
      <c r="DB437" s="2"/>
      <c r="DC437" s="2"/>
      <c r="DD437" s="2"/>
      <c r="DG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W438" s="2"/>
      <c r="CX438" s="2"/>
      <c r="CY438" s="2"/>
      <c r="CZ438" s="2"/>
      <c r="DA438" s="2"/>
      <c r="DB438" s="2"/>
      <c r="DC438" s="2"/>
      <c r="DD438" s="2"/>
      <c r="DG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W439" s="2"/>
      <c r="CX439" s="2"/>
      <c r="CY439" s="2"/>
      <c r="CZ439" s="2"/>
      <c r="DA439" s="2"/>
      <c r="DB439" s="2"/>
      <c r="DC439" s="2"/>
      <c r="DD439" s="2"/>
      <c r="DG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W440" s="2"/>
      <c r="CX440" s="2"/>
      <c r="CY440" s="2"/>
      <c r="CZ440" s="2"/>
      <c r="DA440" s="2"/>
      <c r="DB440" s="2"/>
      <c r="DC440" s="2"/>
      <c r="DD440" s="2"/>
      <c r="DG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W441" s="2"/>
      <c r="CX441" s="2"/>
      <c r="CY441" s="2"/>
      <c r="CZ441" s="2"/>
      <c r="DA441" s="2"/>
      <c r="DB441" s="2"/>
      <c r="DC441" s="2"/>
      <c r="DD441" s="2"/>
      <c r="DG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W442" s="2"/>
      <c r="CX442" s="2"/>
      <c r="CY442" s="2"/>
      <c r="CZ442" s="2"/>
      <c r="DA442" s="2"/>
      <c r="DB442" s="2"/>
      <c r="DC442" s="2"/>
      <c r="DD442" s="2"/>
      <c r="DG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W443" s="2"/>
      <c r="CX443" s="2"/>
      <c r="CY443" s="2"/>
      <c r="CZ443" s="2"/>
      <c r="DA443" s="2"/>
      <c r="DB443" s="2"/>
      <c r="DC443" s="2"/>
      <c r="DD443" s="2"/>
      <c r="DG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W444" s="2"/>
      <c r="CX444" s="2"/>
      <c r="CY444" s="2"/>
      <c r="CZ444" s="2"/>
      <c r="DA444" s="2"/>
      <c r="DB444" s="2"/>
      <c r="DC444" s="2"/>
      <c r="DD444" s="2"/>
      <c r="DG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W445" s="2"/>
      <c r="CX445" s="2"/>
      <c r="CY445" s="2"/>
      <c r="CZ445" s="2"/>
      <c r="DA445" s="2"/>
      <c r="DB445" s="2"/>
      <c r="DC445" s="2"/>
      <c r="DD445" s="2"/>
      <c r="DG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W446" s="2"/>
      <c r="CX446" s="2"/>
      <c r="CY446" s="2"/>
      <c r="CZ446" s="2"/>
      <c r="DA446" s="2"/>
      <c r="DB446" s="2"/>
      <c r="DC446" s="2"/>
      <c r="DD446" s="2"/>
      <c r="DG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W447" s="2"/>
      <c r="CX447" s="2"/>
      <c r="CY447" s="2"/>
      <c r="CZ447" s="2"/>
      <c r="DA447" s="2"/>
      <c r="DB447" s="2"/>
      <c r="DC447" s="2"/>
      <c r="DD447" s="2"/>
      <c r="DG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W448" s="2"/>
      <c r="CX448" s="2"/>
      <c r="CY448" s="2"/>
      <c r="CZ448" s="2"/>
      <c r="DA448" s="2"/>
      <c r="DB448" s="2"/>
      <c r="DC448" s="2"/>
      <c r="DD448" s="2"/>
      <c r="DG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W449" s="2"/>
      <c r="CX449" s="2"/>
      <c r="CY449" s="2"/>
      <c r="CZ449" s="2"/>
      <c r="DA449" s="2"/>
      <c r="DB449" s="2"/>
      <c r="DC449" s="2"/>
      <c r="DD449" s="2"/>
      <c r="DG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W450" s="2"/>
      <c r="CX450" s="2"/>
      <c r="CY450" s="2"/>
      <c r="CZ450" s="2"/>
      <c r="DA450" s="2"/>
      <c r="DB450" s="2"/>
      <c r="DC450" s="2"/>
      <c r="DD450" s="2"/>
      <c r="DG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W451" s="2"/>
      <c r="CX451" s="2"/>
      <c r="CY451" s="2"/>
      <c r="CZ451" s="2"/>
      <c r="DA451" s="2"/>
      <c r="DB451" s="2"/>
      <c r="DC451" s="2"/>
      <c r="DD451" s="2"/>
      <c r="DG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W452" s="2"/>
      <c r="CX452" s="2"/>
      <c r="CY452" s="2"/>
      <c r="CZ452" s="2"/>
      <c r="DA452" s="2"/>
      <c r="DB452" s="2"/>
      <c r="DC452" s="2"/>
      <c r="DD452" s="2"/>
      <c r="DG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W453" s="2"/>
      <c r="CX453" s="2"/>
      <c r="CY453" s="2"/>
      <c r="CZ453" s="2"/>
      <c r="DA453" s="2"/>
      <c r="DB453" s="2"/>
      <c r="DC453" s="2"/>
      <c r="DD453" s="2"/>
      <c r="DG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W454" s="2"/>
      <c r="CX454" s="2"/>
      <c r="CY454" s="2"/>
      <c r="CZ454" s="2"/>
      <c r="DA454" s="2"/>
      <c r="DB454" s="2"/>
      <c r="DC454" s="2"/>
      <c r="DD454" s="2"/>
      <c r="DG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W455" s="2"/>
      <c r="CX455" s="2"/>
      <c r="CY455" s="2"/>
      <c r="CZ455" s="2"/>
      <c r="DA455" s="2"/>
      <c r="DB455" s="2"/>
      <c r="DC455" s="2"/>
      <c r="DD455" s="2"/>
      <c r="DG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W456" s="2"/>
      <c r="CX456" s="2"/>
      <c r="CY456" s="2"/>
      <c r="CZ456" s="2"/>
      <c r="DA456" s="2"/>
      <c r="DB456" s="2"/>
      <c r="DC456" s="2"/>
      <c r="DD456" s="2"/>
      <c r="DG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W457" s="2"/>
      <c r="CX457" s="2"/>
      <c r="CY457" s="2"/>
      <c r="CZ457" s="2"/>
      <c r="DA457" s="2"/>
      <c r="DB457" s="2"/>
      <c r="DC457" s="2"/>
      <c r="DD457" s="2"/>
      <c r="DG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W458" s="2"/>
      <c r="CX458" s="2"/>
      <c r="CY458" s="2"/>
      <c r="CZ458" s="2"/>
      <c r="DA458" s="2"/>
      <c r="DB458" s="2"/>
      <c r="DC458" s="2"/>
      <c r="DD458" s="2"/>
      <c r="DG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W459" s="2"/>
      <c r="CX459" s="2"/>
      <c r="CY459" s="2"/>
      <c r="CZ459" s="2"/>
      <c r="DA459" s="2"/>
      <c r="DB459" s="2"/>
      <c r="DC459" s="2"/>
      <c r="DD459" s="2"/>
      <c r="DG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W460" s="2"/>
      <c r="CX460" s="2"/>
      <c r="CY460" s="2"/>
      <c r="CZ460" s="2"/>
      <c r="DA460" s="2"/>
      <c r="DB460" s="2"/>
      <c r="DC460" s="2"/>
      <c r="DD460" s="2"/>
      <c r="DG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W461" s="2"/>
      <c r="CX461" s="2"/>
      <c r="CY461" s="2"/>
      <c r="CZ461" s="2"/>
      <c r="DA461" s="2"/>
      <c r="DB461" s="2"/>
      <c r="DC461" s="2"/>
      <c r="DD461" s="2"/>
      <c r="DG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W462" s="2"/>
      <c r="CX462" s="2"/>
      <c r="CY462" s="2"/>
      <c r="CZ462" s="2"/>
      <c r="DA462" s="2"/>
      <c r="DB462" s="2"/>
      <c r="DC462" s="2"/>
      <c r="DD462" s="2"/>
      <c r="DG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W463" s="2"/>
      <c r="CX463" s="2"/>
      <c r="CY463" s="2"/>
      <c r="CZ463" s="2"/>
      <c r="DA463" s="2"/>
      <c r="DB463" s="2"/>
      <c r="DC463" s="2"/>
      <c r="DD463" s="2"/>
      <c r="DG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W464" s="2"/>
      <c r="CX464" s="2"/>
      <c r="CY464" s="2"/>
      <c r="CZ464" s="2"/>
      <c r="DA464" s="2"/>
      <c r="DB464" s="2"/>
      <c r="DC464" s="2"/>
      <c r="DD464" s="2"/>
      <c r="DG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W465" s="2"/>
      <c r="CX465" s="2"/>
      <c r="CY465" s="2"/>
      <c r="CZ465" s="2"/>
      <c r="DA465" s="2"/>
      <c r="DB465" s="2"/>
      <c r="DC465" s="2"/>
      <c r="DD465" s="2"/>
      <c r="DG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W466" s="2"/>
      <c r="CX466" s="2"/>
      <c r="CY466" s="2"/>
      <c r="CZ466" s="2"/>
      <c r="DA466" s="2"/>
      <c r="DB466" s="2"/>
      <c r="DC466" s="2"/>
      <c r="DD466" s="2"/>
      <c r="DG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W467" s="2"/>
      <c r="CX467" s="2"/>
      <c r="CY467" s="2"/>
      <c r="CZ467" s="2"/>
      <c r="DA467" s="2"/>
      <c r="DB467" s="2"/>
      <c r="DC467" s="2"/>
      <c r="DD467" s="2"/>
      <c r="DG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W468" s="2"/>
      <c r="CX468" s="2"/>
      <c r="CY468" s="2"/>
      <c r="CZ468" s="2"/>
      <c r="DA468" s="2"/>
      <c r="DB468" s="2"/>
      <c r="DC468" s="2"/>
      <c r="DD468" s="2"/>
      <c r="DG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W469" s="2"/>
      <c r="CX469" s="2"/>
      <c r="CY469" s="2"/>
      <c r="CZ469" s="2"/>
      <c r="DA469" s="2"/>
      <c r="DB469" s="2"/>
      <c r="DC469" s="2"/>
      <c r="DD469" s="2"/>
      <c r="DG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W470" s="2"/>
      <c r="CX470" s="2"/>
      <c r="CY470" s="2"/>
      <c r="CZ470" s="2"/>
      <c r="DA470" s="2"/>
      <c r="DB470" s="2"/>
      <c r="DC470" s="2"/>
      <c r="DD470" s="2"/>
      <c r="DG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W471" s="2"/>
      <c r="CX471" s="2"/>
      <c r="CY471" s="2"/>
      <c r="CZ471" s="2"/>
      <c r="DA471" s="2"/>
      <c r="DB471" s="2"/>
      <c r="DC471" s="2"/>
      <c r="DD471" s="2"/>
      <c r="DG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W472" s="2"/>
      <c r="CX472" s="2"/>
      <c r="CY472" s="2"/>
      <c r="CZ472" s="2"/>
      <c r="DA472" s="2"/>
      <c r="DB472" s="2"/>
      <c r="DC472" s="2"/>
      <c r="DD472" s="2"/>
      <c r="DG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W473" s="2"/>
      <c r="CX473" s="2"/>
      <c r="CY473" s="2"/>
      <c r="CZ473" s="2"/>
      <c r="DA473" s="2"/>
      <c r="DB473" s="2"/>
      <c r="DC473" s="2"/>
      <c r="DD473" s="2"/>
      <c r="DG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W474" s="2"/>
      <c r="CX474" s="2"/>
      <c r="CY474" s="2"/>
      <c r="CZ474" s="2"/>
      <c r="DA474" s="2"/>
      <c r="DB474" s="2"/>
      <c r="DC474" s="2"/>
      <c r="DD474" s="2"/>
      <c r="DG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W475" s="2"/>
      <c r="CX475" s="2"/>
      <c r="CY475" s="2"/>
      <c r="CZ475" s="2"/>
      <c r="DA475" s="2"/>
      <c r="DB475" s="2"/>
      <c r="DC475" s="2"/>
      <c r="DD475" s="2"/>
      <c r="DG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W476" s="2"/>
      <c r="CX476" s="2"/>
      <c r="CY476" s="2"/>
      <c r="CZ476" s="2"/>
      <c r="DA476" s="2"/>
      <c r="DB476" s="2"/>
      <c r="DC476" s="2"/>
      <c r="DD476" s="2"/>
      <c r="DG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W477" s="2"/>
      <c r="CX477" s="2"/>
      <c r="CY477" s="2"/>
      <c r="CZ477" s="2"/>
      <c r="DA477" s="2"/>
      <c r="DB477" s="2"/>
      <c r="DC477" s="2"/>
      <c r="DD477" s="2"/>
      <c r="DG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W478" s="2"/>
      <c r="CX478" s="2"/>
      <c r="CY478" s="2"/>
      <c r="CZ478" s="2"/>
      <c r="DA478" s="2"/>
      <c r="DB478" s="2"/>
      <c r="DC478" s="2"/>
      <c r="DD478" s="2"/>
      <c r="DG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W479" s="2"/>
      <c r="CX479" s="2"/>
      <c r="CY479" s="2"/>
      <c r="CZ479" s="2"/>
      <c r="DA479" s="2"/>
      <c r="DB479" s="2"/>
      <c r="DC479" s="2"/>
      <c r="DD479" s="2"/>
      <c r="DG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W480" s="2"/>
      <c r="CX480" s="2"/>
      <c r="CY480" s="2"/>
      <c r="CZ480" s="2"/>
      <c r="DA480" s="2"/>
      <c r="DB480" s="2"/>
      <c r="DC480" s="2"/>
      <c r="DD480" s="2"/>
      <c r="DG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W481" s="2"/>
      <c r="CX481" s="2"/>
      <c r="CY481" s="2"/>
      <c r="CZ481" s="2"/>
      <c r="DA481" s="2"/>
      <c r="DB481" s="2"/>
      <c r="DC481" s="2"/>
      <c r="DD481" s="2"/>
      <c r="DG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W482" s="2"/>
      <c r="CX482" s="2"/>
      <c r="CY482" s="2"/>
      <c r="CZ482" s="2"/>
      <c r="DA482" s="2"/>
      <c r="DB482" s="2"/>
      <c r="DC482" s="2"/>
      <c r="DD482" s="2"/>
      <c r="DG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W483" s="2"/>
      <c r="CX483" s="2"/>
      <c r="CY483" s="2"/>
      <c r="CZ483" s="2"/>
      <c r="DA483" s="2"/>
      <c r="DB483" s="2"/>
      <c r="DC483" s="2"/>
      <c r="DD483" s="2"/>
      <c r="DG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W484" s="2"/>
      <c r="CX484" s="2"/>
      <c r="CY484" s="2"/>
      <c r="CZ484" s="2"/>
      <c r="DA484" s="2"/>
      <c r="DB484" s="2"/>
      <c r="DC484" s="2"/>
      <c r="DD484" s="2"/>
      <c r="DG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W485" s="2"/>
      <c r="CX485" s="2"/>
      <c r="CY485" s="2"/>
      <c r="CZ485" s="2"/>
      <c r="DA485" s="2"/>
      <c r="DB485" s="2"/>
      <c r="DC485" s="2"/>
      <c r="DD485" s="2"/>
      <c r="DG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W486" s="2"/>
      <c r="CX486" s="2"/>
      <c r="CY486" s="2"/>
      <c r="CZ486" s="2"/>
      <c r="DA486" s="2"/>
      <c r="DB486" s="2"/>
      <c r="DC486" s="2"/>
      <c r="DD486" s="2"/>
      <c r="DG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W487" s="2"/>
      <c r="CX487" s="2"/>
      <c r="CY487" s="2"/>
      <c r="CZ487" s="2"/>
      <c r="DA487" s="2"/>
      <c r="DB487" s="2"/>
      <c r="DC487" s="2"/>
      <c r="DD487" s="2"/>
      <c r="DG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W488" s="2"/>
      <c r="CX488" s="2"/>
      <c r="CY488" s="2"/>
      <c r="CZ488" s="2"/>
      <c r="DA488" s="2"/>
      <c r="DB488" s="2"/>
      <c r="DC488" s="2"/>
      <c r="DD488" s="2"/>
      <c r="DG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W489" s="2"/>
      <c r="CX489" s="2"/>
      <c r="CY489" s="2"/>
      <c r="CZ489" s="2"/>
      <c r="DA489" s="2"/>
      <c r="DB489" s="2"/>
      <c r="DC489" s="2"/>
      <c r="DD489" s="2"/>
      <c r="DG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W490" s="2"/>
      <c r="CX490" s="2"/>
      <c r="CY490" s="2"/>
      <c r="CZ490" s="2"/>
      <c r="DA490" s="2"/>
      <c r="DB490" s="2"/>
      <c r="DC490" s="2"/>
      <c r="DD490" s="2"/>
      <c r="DG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W491" s="2"/>
      <c r="CX491" s="2"/>
      <c r="CY491" s="2"/>
      <c r="CZ491" s="2"/>
      <c r="DA491" s="2"/>
      <c r="DB491" s="2"/>
      <c r="DC491" s="2"/>
      <c r="DD491" s="2"/>
      <c r="DG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W492" s="2"/>
      <c r="CX492" s="2"/>
      <c r="CY492" s="2"/>
      <c r="CZ492" s="2"/>
      <c r="DA492" s="2"/>
      <c r="DB492" s="2"/>
      <c r="DC492" s="2"/>
      <c r="DD492" s="2"/>
      <c r="DG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W493" s="2"/>
      <c r="CX493" s="2"/>
      <c r="CY493" s="2"/>
      <c r="CZ493" s="2"/>
      <c r="DA493" s="2"/>
      <c r="DB493" s="2"/>
      <c r="DC493" s="2"/>
      <c r="DD493" s="2"/>
      <c r="DG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W494" s="2"/>
      <c r="CX494" s="2"/>
      <c r="CY494" s="2"/>
      <c r="CZ494" s="2"/>
      <c r="DA494" s="2"/>
      <c r="DB494" s="2"/>
      <c r="DC494" s="2"/>
      <c r="DD494" s="2"/>
      <c r="DG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W495" s="2"/>
      <c r="CX495" s="2"/>
      <c r="CY495" s="2"/>
      <c r="CZ495" s="2"/>
      <c r="DA495" s="2"/>
      <c r="DB495" s="2"/>
      <c r="DC495" s="2"/>
      <c r="DD495" s="2"/>
      <c r="DG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W496" s="2"/>
      <c r="CX496" s="2"/>
      <c r="CY496" s="2"/>
      <c r="CZ496" s="2"/>
      <c r="DA496" s="2"/>
      <c r="DB496" s="2"/>
      <c r="DC496" s="2"/>
      <c r="DD496" s="2"/>
      <c r="DG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W497" s="2"/>
      <c r="CX497" s="2"/>
      <c r="CY497" s="2"/>
      <c r="CZ497" s="2"/>
      <c r="DA497" s="2"/>
      <c r="DB497" s="2"/>
      <c r="DC497" s="2"/>
      <c r="DD497" s="2"/>
      <c r="DG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W498" s="2"/>
      <c r="CX498" s="2"/>
      <c r="CY498" s="2"/>
      <c r="CZ498" s="2"/>
      <c r="DA498" s="2"/>
      <c r="DB498" s="2"/>
      <c r="DC498" s="2"/>
      <c r="DD498" s="2"/>
      <c r="DG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W499" s="2"/>
      <c r="CX499" s="2"/>
      <c r="CY499" s="2"/>
      <c r="CZ499" s="2"/>
      <c r="DA499" s="2"/>
      <c r="DB499" s="2"/>
      <c r="DC499" s="2"/>
      <c r="DD499" s="2"/>
      <c r="DG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W500" s="2"/>
      <c r="CX500" s="2"/>
      <c r="CY500" s="2"/>
      <c r="CZ500" s="2"/>
      <c r="DA500" s="2"/>
      <c r="DB500" s="2"/>
      <c r="DC500" s="2"/>
      <c r="DD500" s="2"/>
      <c r="DG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W501" s="2"/>
      <c r="CX501" s="2"/>
      <c r="CY501" s="2"/>
      <c r="CZ501" s="2"/>
      <c r="DA501" s="2"/>
      <c r="DB501" s="2"/>
      <c r="DC501" s="2"/>
      <c r="DD501" s="2"/>
      <c r="DG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W502" s="2"/>
      <c r="CX502" s="2"/>
      <c r="CY502" s="2"/>
      <c r="CZ502" s="2"/>
      <c r="DA502" s="2"/>
      <c r="DB502" s="2"/>
      <c r="DC502" s="2"/>
      <c r="DD502" s="2"/>
      <c r="DG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W503" s="2"/>
      <c r="CX503" s="2"/>
      <c r="CY503" s="2"/>
      <c r="CZ503" s="2"/>
      <c r="DA503" s="2"/>
      <c r="DB503" s="2"/>
      <c r="DC503" s="2"/>
      <c r="DD503" s="2"/>
      <c r="DG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W504" s="2"/>
      <c r="CX504" s="2"/>
      <c r="CY504" s="2"/>
      <c r="CZ504" s="2"/>
      <c r="DA504" s="2"/>
      <c r="DB504" s="2"/>
      <c r="DC504" s="2"/>
      <c r="DD504" s="2"/>
      <c r="DG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W505" s="2"/>
      <c r="CX505" s="2"/>
      <c r="CY505" s="2"/>
      <c r="CZ505" s="2"/>
      <c r="DA505" s="2"/>
      <c r="DB505" s="2"/>
      <c r="DC505" s="2"/>
      <c r="DD505" s="2"/>
      <c r="DG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W506" s="2"/>
      <c r="CX506" s="2"/>
      <c r="CY506" s="2"/>
      <c r="CZ506" s="2"/>
      <c r="DA506" s="2"/>
      <c r="DB506" s="2"/>
      <c r="DC506" s="2"/>
      <c r="DD506" s="2"/>
      <c r="DG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W507" s="2"/>
      <c r="CX507" s="2"/>
      <c r="CY507" s="2"/>
      <c r="CZ507" s="2"/>
      <c r="DA507" s="2"/>
      <c r="DB507" s="2"/>
      <c r="DC507" s="2"/>
      <c r="DD507" s="2"/>
      <c r="DG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W508" s="2"/>
      <c r="CX508" s="2"/>
      <c r="CY508" s="2"/>
      <c r="CZ508" s="2"/>
      <c r="DA508" s="2"/>
      <c r="DB508" s="2"/>
      <c r="DC508" s="2"/>
      <c r="DD508" s="2"/>
      <c r="DG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W509" s="2"/>
      <c r="CX509" s="2"/>
      <c r="CY509" s="2"/>
      <c r="CZ509" s="2"/>
      <c r="DA509" s="2"/>
      <c r="DB509" s="2"/>
      <c r="DC509" s="2"/>
      <c r="DD509" s="2"/>
      <c r="DG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W510" s="2"/>
      <c r="CX510" s="2"/>
      <c r="CY510" s="2"/>
      <c r="CZ510" s="2"/>
      <c r="DA510" s="2"/>
      <c r="DB510" s="2"/>
      <c r="DC510" s="2"/>
      <c r="DD510" s="2"/>
      <c r="DG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W511" s="2"/>
      <c r="CX511" s="2"/>
      <c r="CY511" s="2"/>
      <c r="CZ511" s="2"/>
      <c r="DA511" s="2"/>
      <c r="DB511" s="2"/>
      <c r="DC511" s="2"/>
      <c r="DD511" s="2"/>
      <c r="DG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W512" s="2"/>
      <c r="CX512" s="2"/>
      <c r="CY512" s="2"/>
      <c r="CZ512" s="2"/>
      <c r="DA512" s="2"/>
      <c r="DB512" s="2"/>
      <c r="DC512" s="2"/>
      <c r="DD512" s="2"/>
      <c r="DG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W513" s="2"/>
      <c r="CX513" s="2"/>
      <c r="CY513" s="2"/>
      <c r="CZ513" s="2"/>
      <c r="DA513" s="2"/>
      <c r="DB513" s="2"/>
      <c r="DC513" s="2"/>
      <c r="DD513" s="2"/>
      <c r="DG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W514" s="2"/>
      <c r="CX514" s="2"/>
      <c r="CY514" s="2"/>
      <c r="CZ514" s="2"/>
      <c r="DA514" s="2"/>
      <c r="DB514" s="2"/>
      <c r="DC514" s="2"/>
      <c r="DD514" s="2"/>
      <c r="DG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W515" s="2"/>
      <c r="CX515" s="2"/>
      <c r="CY515" s="2"/>
      <c r="CZ515" s="2"/>
      <c r="DA515" s="2"/>
      <c r="DB515" s="2"/>
      <c r="DC515" s="2"/>
      <c r="DD515" s="2"/>
      <c r="DG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W516" s="2"/>
      <c r="CX516" s="2"/>
      <c r="CY516" s="2"/>
      <c r="CZ516" s="2"/>
      <c r="DA516" s="2"/>
      <c r="DB516" s="2"/>
      <c r="DC516" s="2"/>
      <c r="DD516" s="2"/>
      <c r="DG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W517" s="2"/>
      <c r="CX517" s="2"/>
      <c r="CY517" s="2"/>
      <c r="CZ517" s="2"/>
      <c r="DA517" s="2"/>
      <c r="DB517" s="2"/>
      <c r="DC517" s="2"/>
      <c r="DD517" s="2"/>
      <c r="DG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W518" s="2"/>
      <c r="CX518" s="2"/>
      <c r="CY518" s="2"/>
      <c r="CZ518" s="2"/>
      <c r="DA518" s="2"/>
      <c r="DB518" s="2"/>
      <c r="DC518" s="2"/>
      <c r="DD518" s="2"/>
      <c r="DG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W519" s="2"/>
      <c r="CX519" s="2"/>
      <c r="CY519" s="2"/>
      <c r="CZ519" s="2"/>
      <c r="DA519" s="2"/>
      <c r="DB519" s="2"/>
      <c r="DC519" s="2"/>
      <c r="DD519" s="2"/>
      <c r="DG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W520" s="2"/>
      <c r="CX520" s="2"/>
      <c r="CY520" s="2"/>
      <c r="CZ520" s="2"/>
      <c r="DA520" s="2"/>
      <c r="DB520" s="2"/>
      <c r="DC520" s="2"/>
      <c r="DD520" s="2"/>
      <c r="DG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W521" s="2"/>
      <c r="CX521" s="2"/>
      <c r="CY521" s="2"/>
      <c r="CZ521" s="2"/>
      <c r="DA521" s="2"/>
      <c r="DB521" s="2"/>
      <c r="DC521" s="2"/>
      <c r="DD521" s="2"/>
      <c r="DG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W522" s="2"/>
      <c r="CX522" s="2"/>
      <c r="CY522" s="2"/>
      <c r="CZ522" s="2"/>
      <c r="DA522" s="2"/>
      <c r="DB522" s="2"/>
      <c r="DC522" s="2"/>
      <c r="DD522" s="2"/>
      <c r="DG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W523" s="2"/>
      <c r="CX523" s="2"/>
      <c r="CY523" s="2"/>
      <c r="CZ523" s="2"/>
      <c r="DA523" s="2"/>
      <c r="DB523" s="2"/>
      <c r="DC523" s="2"/>
      <c r="DD523" s="2"/>
      <c r="DG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W524" s="2"/>
      <c r="CX524" s="2"/>
      <c r="CY524" s="2"/>
      <c r="CZ524" s="2"/>
      <c r="DA524" s="2"/>
      <c r="DB524" s="2"/>
      <c r="DC524" s="2"/>
      <c r="DD524" s="2"/>
      <c r="DG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W525" s="2"/>
      <c r="CX525" s="2"/>
      <c r="CY525" s="2"/>
      <c r="CZ525" s="2"/>
      <c r="DA525" s="2"/>
      <c r="DB525" s="2"/>
      <c r="DC525" s="2"/>
      <c r="DD525" s="2"/>
      <c r="DG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W526" s="2"/>
      <c r="CX526" s="2"/>
      <c r="CY526" s="2"/>
      <c r="CZ526" s="2"/>
      <c r="DA526" s="2"/>
      <c r="DB526" s="2"/>
      <c r="DC526" s="2"/>
      <c r="DD526" s="2"/>
      <c r="DG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W527" s="2"/>
      <c r="CX527" s="2"/>
      <c r="CY527" s="2"/>
      <c r="CZ527" s="2"/>
      <c r="DA527" s="2"/>
      <c r="DB527" s="2"/>
      <c r="DC527" s="2"/>
      <c r="DD527" s="2"/>
      <c r="DG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W528" s="2"/>
      <c r="CX528" s="2"/>
      <c r="CY528" s="2"/>
      <c r="CZ528" s="2"/>
      <c r="DA528" s="2"/>
      <c r="DB528" s="2"/>
      <c r="DC528" s="2"/>
      <c r="DD528" s="2"/>
      <c r="DG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W529" s="2"/>
      <c r="CX529" s="2"/>
      <c r="CY529" s="2"/>
      <c r="CZ529" s="2"/>
      <c r="DA529" s="2"/>
      <c r="DB529" s="2"/>
      <c r="DC529" s="2"/>
      <c r="DD529" s="2"/>
      <c r="DG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W530" s="2"/>
      <c r="CX530" s="2"/>
      <c r="CY530" s="2"/>
      <c r="CZ530" s="2"/>
      <c r="DA530" s="2"/>
      <c r="DB530" s="2"/>
      <c r="DC530" s="2"/>
      <c r="DD530" s="2"/>
      <c r="DG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W531" s="2"/>
      <c r="CX531" s="2"/>
      <c r="CY531" s="2"/>
      <c r="CZ531" s="2"/>
      <c r="DA531" s="2"/>
      <c r="DB531" s="2"/>
      <c r="DC531" s="2"/>
      <c r="DD531" s="2"/>
      <c r="DG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W532" s="2"/>
      <c r="CX532" s="2"/>
      <c r="CY532" s="2"/>
      <c r="CZ532" s="2"/>
      <c r="DA532" s="2"/>
      <c r="DB532" s="2"/>
      <c r="DC532" s="2"/>
      <c r="DD532" s="2"/>
      <c r="DG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W533" s="2"/>
      <c r="CX533" s="2"/>
      <c r="CY533" s="2"/>
      <c r="CZ533" s="2"/>
      <c r="DA533" s="2"/>
      <c r="DB533" s="2"/>
      <c r="DC533" s="2"/>
      <c r="DD533" s="2"/>
      <c r="DG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W534" s="2"/>
      <c r="CX534" s="2"/>
      <c r="CY534" s="2"/>
      <c r="CZ534" s="2"/>
      <c r="DA534" s="2"/>
      <c r="DB534" s="2"/>
      <c r="DC534" s="2"/>
      <c r="DD534" s="2"/>
      <c r="DG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W535" s="2"/>
      <c r="CX535" s="2"/>
      <c r="CY535" s="2"/>
      <c r="CZ535" s="2"/>
      <c r="DA535" s="2"/>
      <c r="DB535" s="2"/>
      <c r="DC535" s="2"/>
      <c r="DD535" s="2"/>
      <c r="DG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W536" s="2"/>
      <c r="CX536" s="2"/>
      <c r="CY536" s="2"/>
      <c r="CZ536" s="2"/>
      <c r="DA536" s="2"/>
      <c r="DB536" s="2"/>
      <c r="DC536" s="2"/>
      <c r="DD536" s="2"/>
      <c r="DG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W537" s="2"/>
      <c r="CX537" s="2"/>
      <c r="CY537" s="2"/>
      <c r="CZ537" s="2"/>
      <c r="DA537" s="2"/>
      <c r="DB537" s="2"/>
      <c r="DC537" s="2"/>
      <c r="DD537" s="2"/>
      <c r="DG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W538" s="2"/>
      <c r="CX538" s="2"/>
      <c r="CY538" s="2"/>
      <c r="CZ538" s="2"/>
      <c r="DA538" s="2"/>
      <c r="DB538" s="2"/>
      <c r="DC538" s="2"/>
      <c r="DD538" s="2"/>
      <c r="DG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W539" s="2"/>
      <c r="CX539" s="2"/>
      <c r="CY539" s="2"/>
      <c r="CZ539" s="2"/>
      <c r="DA539" s="2"/>
      <c r="DB539" s="2"/>
      <c r="DC539" s="2"/>
      <c r="DD539" s="2"/>
      <c r="DG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W540" s="2"/>
      <c r="CX540" s="2"/>
      <c r="CY540" s="2"/>
      <c r="CZ540" s="2"/>
      <c r="DA540" s="2"/>
      <c r="DB540" s="2"/>
      <c r="DC540" s="2"/>
      <c r="DD540" s="2"/>
      <c r="DG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W541" s="2"/>
      <c r="CX541" s="2"/>
      <c r="CY541" s="2"/>
      <c r="CZ541" s="2"/>
      <c r="DA541" s="2"/>
      <c r="DB541" s="2"/>
      <c r="DC541" s="2"/>
      <c r="DD541" s="2"/>
      <c r="DG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W542" s="2"/>
      <c r="CX542" s="2"/>
      <c r="CY542" s="2"/>
      <c r="CZ542" s="2"/>
      <c r="DA542" s="2"/>
      <c r="DB542" s="2"/>
      <c r="DC542" s="2"/>
      <c r="DD542" s="2"/>
      <c r="DG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W543" s="2"/>
      <c r="CX543" s="2"/>
      <c r="CY543" s="2"/>
      <c r="CZ543" s="2"/>
      <c r="DA543" s="2"/>
      <c r="DB543" s="2"/>
      <c r="DC543" s="2"/>
      <c r="DD543" s="2"/>
      <c r="DG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W544" s="2"/>
      <c r="CX544" s="2"/>
      <c r="CY544" s="2"/>
      <c r="CZ544" s="2"/>
      <c r="DA544" s="2"/>
      <c r="DB544" s="2"/>
      <c r="DC544" s="2"/>
      <c r="DD544" s="2"/>
      <c r="DG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W545" s="2"/>
      <c r="CX545" s="2"/>
      <c r="CY545" s="2"/>
      <c r="CZ545" s="2"/>
      <c r="DA545" s="2"/>
      <c r="DB545" s="2"/>
      <c r="DC545" s="2"/>
      <c r="DD545" s="2"/>
      <c r="DG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W546" s="2"/>
      <c r="CX546" s="2"/>
      <c r="CY546" s="2"/>
      <c r="CZ546" s="2"/>
      <c r="DA546" s="2"/>
      <c r="DB546" s="2"/>
      <c r="DC546" s="2"/>
      <c r="DD546" s="2"/>
      <c r="DG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W547" s="2"/>
      <c r="CX547" s="2"/>
      <c r="CY547" s="2"/>
      <c r="CZ547" s="2"/>
      <c r="DA547" s="2"/>
      <c r="DB547" s="2"/>
      <c r="DC547" s="2"/>
      <c r="DD547" s="2"/>
      <c r="DG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W548" s="2"/>
      <c r="CX548" s="2"/>
      <c r="CY548" s="2"/>
      <c r="CZ548" s="2"/>
      <c r="DA548" s="2"/>
      <c r="DB548" s="2"/>
      <c r="DC548" s="2"/>
      <c r="DD548" s="2"/>
      <c r="DG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W549" s="2"/>
      <c r="CX549" s="2"/>
      <c r="CY549" s="2"/>
      <c r="CZ549" s="2"/>
      <c r="DA549" s="2"/>
      <c r="DB549" s="2"/>
      <c r="DC549" s="2"/>
      <c r="DD549" s="2"/>
      <c r="DG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W550" s="2"/>
      <c r="CX550" s="2"/>
      <c r="CY550" s="2"/>
      <c r="CZ550" s="2"/>
      <c r="DA550" s="2"/>
      <c r="DB550" s="2"/>
      <c r="DC550" s="2"/>
      <c r="DD550" s="2"/>
      <c r="DG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W551" s="2"/>
      <c r="CX551" s="2"/>
      <c r="CY551" s="2"/>
      <c r="CZ551" s="2"/>
      <c r="DA551" s="2"/>
      <c r="DB551" s="2"/>
      <c r="DC551" s="2"/>
      <c r="DD551" s="2"/>
      <c r="DG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W552" s="2"/>
      <c r="CX552" s="2"/>
      <c r="CY552" s="2"/>
      <c r="CZ552" s="2"/>
      <c r="DA552" s="2"/>
      <c r="DB552" s="2"/>
      <c r="DC552" s="2"/>
      <c r="DD552" s="2"/>
      <c r="DG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W553" s="2"/>
      <c r="CX553" s="2"/>
      <c r="CY553" s="2"/>
      <c r="CZ553" s="2"/>
      <c r="DA553" s="2"/>
      <c r="DB553" s="2"/>
      <c r="DC553" s="2"/>
      <c r="DD553" s="2"/>
      <c r="DG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W554" s="2"/>
      <c r="CX554" s="2"/>
      <c r="CY554" s="2"/>
      <c r="CZ554" s="2"/>
      <c r="DA554" s="2"/>
      <c r="DB554" s="2"/>
      <c r="DC554" s="2"/>
      <c r="DD554" s="2"/>
      <c r="DG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W555" s="2"/>
      <c r="CX555" s="2"/>
      <c r="CY555" s="2"/>
      <c r="CZ555" s="2"/>
      <c r="DA555" s="2"/>
      <c r="DB555" s="2"/>
      <c r="DC555" s="2"/>
      <c r="DD555" s="2"/>
      <c r="DG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W556" s="2"/>
      <c r="CX556" s="2"/>
      <c r="CY556" s="2"/>
      <c r="CZ556" s="2"/>
      <c r="DA556" s="2"/>
      <c r="DB556" s="2"/>
      <c r="DC556" s="2"/>
      <c r="DD556" s="2"/>
      <c r="DG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W557" s="2"/>
      <c r="CX557" s="2"/>
      <c r="CY557" s="2"/>
      <c r="CZ557" s="2"/>
      <c r="DA557" s="2"/>
      <c r="DB557" s="2"/>
      <c r="DC557" s="2"/>
      <c r="DD557" s="2"/>
      <c r="DG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W558" s="2"/>
      <c r="CX558" s="2"/>
      <c r="CY558" s="2"/>
      <c r="CZ558" s="2"/>
      <c r="DA558" s="2"/>
      <c r="DB558" s="2"/>
      <c r="DC558" s="2"/>
      <c r="DD558" s="2"/>
      <c r="DG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W559" s="2"/>
      <c r="CX559" s="2"/>
      <c r="CY559" s="2"/>
      <c r="CZ559" s="2"/>
      <c r="DA559" s="2"/>
      <c r="DB559" s="2"/>
      <c r="DC559" s="2"/>
      <c r="DD559" s="2"/>
      <c r="DG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W560" s="2"/>
      <c r="CX560" s="2"/>
      <c r="CY560" s="2"/>
      <c r="CZ560" s="2"/>
      <c r="DA560" s="2"/>
      <c r="DB560" s="2"/>
      <c r="DC560" s="2"/>
      <c r="DD560" s="2"/>
      <c r="DG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W561" s="2"/>
      <c r="CX561" s="2"/>
      <c r="CY561" s="2"/>
      <c r="CZ561" s="2"/>
      <c r="DA561" s="2"/>
      <c r="DB561" s="2"/>
      <c r="DC561" s="2"/>
      <c r="DD561" s="2"/>
      <c r="DG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W562" s="2"/>
      <c r="CX562" s="2"/>
      <c r="CY562" s="2"/>
      <c r="CZ562" s="2"/>
      <c r="DA562" s="2"/>
      <c r="DB562" s="2"/>
      <c r="DC562" s="2"/>
      <c r="DD562" s="2"/>
      <c r="DG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W563" s="2"/>
      <c r="CX563" s="2"/>
      <c r="CY563" s="2"/>
      <c r="CZ563" s="2"/>
      <c r="DA563" s="2"/>
      <c r="DB563" s="2"/>
      <c r="DC563" s="2"/>
      <c r="DD563" s="2"/>
      <c r="DG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W564" s="2"/>
      <c r="CX564" s="2"/>
      <c r="CY564" s="2"/>
      <c r="CZ564" s="2"/>
      <c r="DA564" s="2"/>
      <c r="DB564" s="2"/>
      <c r="DC564" s="2"/>
      <c r="DD564" s="2"/>
      <c r="DG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W565" s="2"/>
      <c r="CX565" s="2"/>
      <c r="CY565" s="2"/>
      <c r="CZ565" s="2"/>
      <c r="DA565" s="2"/>
      <c r="DB565" s="2"/>
      <c r="DC565" s="2"/>
      <c r="DD565" s="2"/>
      <c r="DG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W566" s="2"/>
      <c r="CX566" s="2"/>
      <c r="CY566" s="2"/>
      <c r="CZ566" s="2"/>
      <c r="DA566" s="2"/>
      <c r="DB566" s="2"/>
      <c r="DC566" s="2"/>
      <c r="DD566" s="2"/>
      <c r="DG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W567" s="2"/>
      <c r="CX567" s="2"/>
      <c r="CY567" s="2"/>
      <c r="CZ567" s="2"/>
      <c r="DA567" s="2"/>
      <c r="DB567" s="2"/>
      <c r="DC567" s="2"/>
      <c r="DD567" s="2"/>
      <c r="DG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W568" s="2"/>
      <c r="CX568" s="2"/>
      <c r="CY568" s="2"/>
      <c r="CZ568" s="2"/>
      <c r="DA568" s="2"/>
      <c r="DB568" s="2"/>
      <c r="DC568" s="2"/>
      <c r="DD568" s="2"/>
      <c r="DG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W569" s="2"/>
      <c r="CX569" s="2"/>
      <c r="CY569" s="2"/>
      <c r="CZ569" s="2"/>
      <c r="DA569" s="2"/>
      <c r="DB569" s="2"/>
      <c r="DC569" s="2"/>
      <c r="DD569" s="2"/>
      <c r="DG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W570" s="2"/>
      <c r="CX570" s="2"/>
      <c r="CY570" s="2"/>
      <c r="CZ570" s="2"/>
      <c r="DA570" s="2"/>
      <c r="DB570" s="2"/>
      <c r="DC570" s="2"/>
      <c r="DD570" s="2"/>
      <c r="DG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W571" s="2"/>
      <c r="CX571" s="2"/>
      <c r="CY571" s="2"/>
      <c r="CZ571" s="2"/>
      <c r="DA571" s="2"/>
      <c r="DB571" s="2"/>
      <c r="DC571" s="2"/>
      <c r="DD571" s="2"/>
      <c r="DG571" s="2"/>
    </row>
  </sheetData>
  <mergeCells count="1142">
    <mergeCell ref="DE182:DF182"/>
    <mergeCell ref="DE183:DF183"/>
    <mergeCell ref="DE184:DF184"/>
    <mergeCell ref="DE185:DF185"/>
    <mergeCell ref="DE186:DF186"/>
    <mergeCell ref="DE187:DF187"/>
    <mergeCell ref="DE188:DF188"/>
    <mergeCell ref="DE189:DF189"/>
    <mergeCell ref="DE190:DF190"/>
    <mergeCell ref="DE191:DF191"/>
    <mergeCell ref="DE192:DF192"/>
    <mergeCell ref="DE193:DF193"/>
    <mergeCell ref="DE194:DF194"/>
    <mergeCell ref="DE195:DF195"/>
    <mergeCell ref="DE196:DF196"/>
    <mergeCell ref="DE197:DF197"/>
    <mergeCell ref="DE198:DF198"/>
    <mergeCell ref="DE199:DF199"/>
    <mergeCell ref="DE200:DF200"/>
    <mergeCell ref="DE201:DF201"/>
    <mergeCell ref="DE202:DF202"/>
    <mergeCell ref="DE203:DF203"/>
    <mergeCell ref="DE204:DF204"/>
    <mergeCell ref="DE205:DF205"/>
    <mergeCell ref="DE206:DF206"/>
    <mergeCell ref="DE207:DF207"/>
    <mergeCell ref="DE208:DF208"/>
    <mergeCell ref="DE209:DF209"/>
    <mergeCell ref="DE210:DF210"/>
    <mergeCell ref="DE211:DF211"/>
    <mergeCell ref="DE212:DF212"/>
    <mergeCell ref="DE213:DF213"/>
    <mergeCell ref="DE214:DF214"/>
    <mergeCell ref="DE215:DF215"/>
    <mergeCell ref="DE216:DF216"/>
    <mergeCell ref="DE217:DF217"/>
    <mergeCell ref="DE218:DF218"/>
    <mergeCell ref="DE219:DF219"/>
    <mergeCell ref="DE220:DF220"/>
    <mergeCell ref="DE221:DF221"/>
    <mergeCell ref="DE222:DF222"/>
    <mergeCell ref="DE223:DF223"/>
    <mergeCell ref="DE224:DF224"/>
    <mergeCell ref="DE225:DF225"/>
    <mergeCell ref="DE226:DF226"/>
    <mergeCell ref="DE227:DF227"/>
    <mergeCell ref="DE228:DF228"/>
    <mergeCell ref="DE229:DF229"/>
    <mergeCell ref="DE230:DF230"/>
    <mergeCell ref="DE231:DF231"/>
    <mergeCell ref="DE232:DF232"/>
    <mergeCell ref="DE233:DF233"/>
    <mergeCell ref="DE234:DF234"/>
    <mergeCell ref="DE235:DF235"/>
    <mergeCell ref="DE236:DF236"/>
    <mergeCell ref="DE237:DF237"/>
    <mergeCell ref="DE238:DF238"/>
    <mergeCell ref="DE239:DF239"/>
    <mergeCell ref="DE240:DF240"/>
    <mergeCell ref="DE241:DF241"/>
    <mergeCell ref="DE242:DF242"/>
    <mergeCell ref="DE243:DF243"/>
    <mergeCell ref="DE244:DF244"/>
    <mergeCell ref="DE245:DF245"/>
    <mergeCell ref="DE246:DF246"/>
    <mergeCell ref="DE247:DF247"/>
    <mergeCell ref="DE248:DF248"/>
    <mergeCell ref="DE249:DF249"/>
    <mergeCell ref="DE250:DF250"/>
    <mergeCell ref="DE251:DF251"/>
    <mergeCell ref="DE252:DF252"/>
    <mergeCell ref="DE253:DF253"/>
    <mergeCell ref="DE254:DF254"/>
    <mergeCell ref="DE255:DF255"/>
    <mergeCell ref="DE256:DF256"/>
    <mergeCell ref="DE257:DF257"/>
    <mergeCell ref="DE258:DF258"/>
    <mergeCell ref="DE259:DF259"/>
    <mergeCell ref="DE260:DF260"/>
    <mergeCell ref="DE261:DF261"/>
    <mergeCell ref="DE262:DF262"/>
    <mergeCell ref="DE263:DF263"/>
    <mergeCell ref="DE264:DF264"/>
    <mergeCell ref="DE265:DF265"/>
    <mergeCell ref="DE266:DF266"/>
    <mergeCell ref="DE267:DF267"/>
    <mergeCell ref="DE268:DF268"/>
    <mergeCell ref="DE269:DF269"/>
    <mergeCell ref="DE270:DF270"/>
    <mergeCell ref="DE271:DF271"/>
    <mergeCell ref="DE272:DF272"/>
    <mergeCell ref="DE273:DF273"/>
    <mergeCell ref="DE274:DF274"/>
    <mergeCell ref="DE275:DF275"/>
    <mergeCell ref="DE276:DF276"/>
    <mergeCell ref="DE277:DF277"/>
    <mergeCell ref="DE278:DF278"/>
    <mergeCell ref="DE279:DF279"/>
    <mergeCell ref="DE280:DF280"/>
    <mergeCell ref="DE281:DF281"/>
    <mergeCell ref="DE282:DF282"/>
    <mergeCell ref="DE283:DF283"/>
    <mergeCell ref="DE284:DF284"/>
    <mergeCell ref="DE285:DF285"/>
    <mergeCell ref="DE286:DF286"/>
    <mergeCell ref="DE287:DF287"/>
    <mergeCell ref="DE288:DF288"/>
    <mergeCell ref="DE289:DF289"/>
    <mergeCell ref="DE290:DF290"/>
    <mergeCell ref="DE291:DF291"/>
    <mergeCell ref="DE292:DF292"/>
    <mergeCell ref="DE293:DF293"/>
    <mergeCell ref="DE294:DF294"/>
    <mergeCell ref="DE295:DF295"/>
    <mergeCell ref="DE296:DF296"/>
    <mergeCell ref="DE297:DF297"/>
    <mergeCell ref="DE298:DF298"/>
    <mergeCell ref="DE299:DF299"/>
    <mergeCell ref="DE300:DF300"/>
    <mergeCell ref="DE301:DF301"/>
    <mergeCell ref="DE302:DF302"/>
    <mergeCell ref="DE303:DF303"/>
    <mergeCell ref="DE304:DF304"/>
    <mergeCell ref="DE305:DF305"/>
    <mergeCell ref="DE306:DF306"/>
    <mergeCell ref="DE307:DF307"/>
    <mergeCell ref="DE308:DF308"/>
    <mergeCell ref="DE309:DF309"/>
    <mergeCell ref="DE310:DF310"/>
    <mergeCell ref="DE311:DF311"/>
    <mergeCell ref="DE312:DF312"/>
    <mergeCell ref="DE313:DF313"/>
    <mergeCell ref="DE314:DF314"/>
    <mergeCell ref="DE315:DF315"/>
    <mergeCell ref="DE316:DF316"/>
    <mergeCell ref="DE317:DF317"/>
    <mergeCell ref="DE318:DF318"/>
    <mergeCell ref="DE319:DF319"/>
    <mergeCell ref="DE320:DF320"/>
    <mergeCell ref="DE321:DF321"/>
    <mergeCell ref="DE322:DF322"/>
    <mergeCell ref="DE323:DF323"/>
    <mergeCell ref="DE324:DF324"/>
    <mergeCell ref="DE325:DF325"/>
    <mergeCell ref="DE326:DF326"/>
    <mergeCell ref="DE327:DF327"/>
    <mergeCell ref="DE328:DF328"/>
    <mergeCell ref="DE329:DF329"/>
    <mergeCell ref="DE330:DF330"/>
    <mergeCell ref="DE331:DF331"/>
    <mergeCell ref="DE332:DF332"/>
    <mergeCell ref="DE333:DF333"/>
    <mergeCell ref="DE334:DF334"/>
    <mergeCell ref="DE335:DF335"/>
    <mergeCell ref="DE336:DF336"/>
    <mergeCell ref="DE337:DF337"/>
    <mergeCell ref="DE338:DF338"/>
    <mergeCell ref="DE339:DF339"/>
    <mergeCell ref="DE340:DF340"/>
    <mergeCell ref="DE341:DF341"/>
    <mergeCell ref="DE342:DF342"/>
    <mergeCell ref="DE343:DF343"/>
    <mergeCell ref="DE344:DF344"/>
    <mergeCell ref="DE345:DF345"/>
    <mergeCell ref="DE346:DF346"/>
    <mergeCell ref="DE347:DF347"/>
    <mergeCell ref="DE348:DF348"/>
    <mergeCell ref="DE349:DF349"/>
    <mergeCell ref="DE350:DF350"/>
    <mergeCell ref="DE351:DF351"/>
    <mergeCell ref="DE352:DF352"/>
    <mergeCell ref="DE353:DF353"/>
    <mergeCell ref="DE354:DF354"/>
    <mergeCell ref="DE355:DF355"/>
    <mergeCell ref="DE356:DF356"/>
    <mergeCell ref="DE357:DF357"/>
    <mergeCell ref="DE358:DF358"/>
    <mergeCell ref="DE359:DF359"/>
    <mergeCell ref="DE360:DF360"/>
    <mergeCell ref="DE361:DF361"/>
    <mergeCell ref="DE362:DF362"/>
    <mergeCell ref="DE363:DF363"/>
    <mergeCell ref="DE364:DF364"/>
    <mergeCell ref="DE365:DF365"/>
    <mergeCell ref="DE366:DF366"/>
    <mergeCell ref="DE367:DF367"/>
    <mergeCell ref="DE368:DF368"/>
    <mergeCell ref="DE369:DF369"/>
    <mergeCell ref="DE370:DF370"/>
    <mergeCell ref="DE371:DF371"/>
    <mergeCell ref="DE372:DF372"/>
    <mergeCell ref="DE373:DF373"/>
    <mergeCell ref="DE374:DF374"/>
    <mergeCell ref="DE375:DF375"/>
    <mergeCell ref="DE376:DF376"/>
    <mergeCell ref="DE377:DF377"/>
    <mergeCell ref="DE378:DF378"/>
    <mergeCell ref="DE379:DF379"/>
    <mergeCell ref="DE380:DF380"/>
    <mergeCell ref="DE381:DF381"/>
    <mergeCell ref="DE382:DF382"/>
    <mergeCell ref="DE383:DF383"/>
    <mergeCell ref="DE384:DF384"/>
    <mergeCell ref="DE385:DF385"/>
    <mergeCell ref="DE386:DF386"/>
    <mergeCell ref="DE387:DF387"/>
    <mergeCell ref="DE388:DF388"/>
    <mergeCell ref="DE389:DF389"/>
    <mergeCell ref="DE390:DF390"/>
    <mergeCell ref="DE391:DF391"/>
    <mergeCell ref="DE392:DF392"/>
    <mergeCell ref="DE393:DF393"/>
    <mergeCell ref="DE394:DF394"/>
    <mergeCell ref="DE395:DF395"/>
    <mergeCell ref="DE396:DF396"/>
    <mergeCell ref="DE397:DF397"/>
    <mergeCell ref="DE398:DF398"/>
    <mergeCell ref="DE399:DF399"/>
    <mergeCell ref="DE400:DF400"/>
    <mergeCell ref="DE401:DF401"/>
    <mergeCell ref="DE402:DF402"/>
    <mergeCell ref="DE403:DF403"/>
    <mergeCell ref="DE404:DF404"/>
    <mergeCell ref="DE405:DF405"/>
    <mergeCell ref="DE406:DF406"/>
    <mergeCell ref="DE407:DF407"/>
    <mergeCell ref="DE408:DF408"/>
    <mergeCell ref="DE409:DF409"/>
    <mergeCell ref="DE410:DF410"/>
    <mergeCell ref="DE411:DF411"/>
    <mergeCell ref="DE412:DF412"/>
    <mergeCell ref="DE413:DF413"/>
    <mergeCell ref="DE414:DF414"/>
    <mergeCell ref="DE415:DF415"/>
    <mergeCell ref="DE416:DF416"/>
    <mergeCell ref="DE417:DF417"/>
    <mergeCell ref="DE418:DF418"/>
    <mergeCell ref="DE419:DF419"/>
    <mergeCell ref="DE420:DF420"/>
    <mergeCell ref="DE421:DF421"/>
    <mergeCell ref="DE422:DF422"/>
    <mergeCell ref="DE423:DF423"/>
    <mergeCell ref="DE424:DF424"/>
    <mergeCell ref="DE425:DF425"/>
    <mergeCell ref="DE426:DF426"/>
    <mergeCell ref="DE427:DF427"/>
    <mergeCell ref="DE428:DF428"/>
    <mergeCell ref="DE429:DF429"/>
    <mergeCell ref="DE430:DF430"/>
    <mergeCell ref="DE431:DF431"/>
    <mergeCell ref="DE432:DF432"/>
    <mergeCell ref="DE433:DF433"/>
    <mergeCell ref="DE434:DF434"/>
    <mergeCell ref="DE435:DF435"/>
    <mergeCell ref="DE436:DF436"/>
    <mergeCell ref="DE437:DF437"/>
    <mergeCell ref="DE438:DF438"/>
    <mergeCell ref="DE439:DF439"/>
    <mergeCell ref="DE440:DF440"/>
    <mergeCell ref="DE441:DF441"/>
    <mergeCell ref="DE442:DF442"/>
    <mergeCell ref="DE443:DF443"/>
    <mergeCell ref="DE444:DF444"/>
    <mergeCell ref="DE445:DF445"/>
    <mergeCell ref="DE446:DF446"/>
    <mergeCell ref="DE447:DF447"/>
    <mergeCell ref="DE448:DF448"/>
    <mergeCell ref="DE449:DF449"/>
    <mergeCell ref="DE450:DF450"/>
    <mergeCell ref="DE451:DF451"/>
    <mergeCell ref="DE452:DF452"/>
    <mergeCell ref="DE453:DF453"/>
    <mergeCell ref="DE454:DF454"/>
    <mergeCell ref="DE455:DF455"/>
    <mergeCell ref="DE456:DF456"/>
    <mergeCell ref="DE457:DF457"/>
    <mergeCell ref="DE458:DF458"/>
    <mergeCell ref="DE459:DF459"/>
    <mergeCell ref="DE460:DF460"/>
    <mergeCell ref="DE461:DF461"/>
    <mergeCell ref="DE462:DF462"/>
    <mergeCell ref="DE463:DF463"/>
    <mergeCell ref="DE464:DF464"/>
    <mergeCell ref="DE465:DF465"/>
    <mergeCell ref="DE466:DF466"/>
    <mergeCell ref="DE467:DF467"/>
    <mergeCell ref="DE468:DF468"/>
    <mergeCell ref="DE469:DF469"/>
    <mergeCell ref="DE470:DF470"/>
    <mergeCell ref="DE471:DF471"/>
    <mergeCell ref="DE472:DF472"/>
    <mergeCell ref="DE473:DF473"/>
    <mergeCell ref="DE474:DF474"/>
    <mergeCell ref="DE475:DF475"/>
    <mergeCell ref="DE525:DF525"/>
    <mergeCell ref="DE526:DF526"/>
    <mergeCell ref="DE527:DF527"/>
    <mergeCell ref="DE528:DF528"/>
    <mergeCell ref="DE529:DF529"/>
    <mergeCell ref="DE530:DF530"/>
    <mergeCell ref="DE531:DF531"/>
    <mergeCell ref="DE532:DF532"/>
    <mergeCell ref="DE533:DF533"/>
    <mergeCell ref="DE534:DF534"/>
    <mergeCell ref="DE535:DF535"/>
    <mergeCell ref="DE536:DF536"/>
    <mergeCell ref="DE537:DF537"/>
    <mergeCell ref="DE538:DF538"/>
    <mergeCell ref="DE539:DF539"/>
    <mergeCell ref="DE540:DF540"/>
    <mergeCell ref="DE541:DF541"/>
    <mergeCell ref="DE542:DF542"/>
    <mergeCell ref="DE543:DF543"/>
    <mergeCell ref="DE544:DF544"/>
    <mergeCell ref="DE545:DF545"/>
    <mergeCell ref="DE546:DF546"/>
    <mergeCell ref="DE547:DF547"/>
    <mergeCell ref="DE548:DF548"/>
    <mergeCell ref="DE549:DF549"/>
    <mergeCell ref="DE550:DF550"/>
    <mergeCell ref="DE551:DF551"/>
    <mergeCell ref="DE552:DF552"/>
    <mergeCell ref="DE553:DF553"/>
    <mergeCell ref="DE554:DF554"/>
    <mergeCell ref="DE555:DF555"/>
    <mergeCell ref="DE556:DF556"/>
    <mergeCell ref="DE557:DF557"/>
    <mergeCell ref="DE558:DF558"/>
    <mergeCell ref="DE559:DF559"/>
    <mergeCell ref="DE567:DF567"/>
    <mergeCell ref="DE568:DF568"/>
    <mergeCell ref="DE569:DF569"/>
    <mergeCell ref="DE570:DF570"/>
    <mergeCell ref="DE571:DF571"/>
    <mergeCell ref="DE560:DF560"/>
    <mergeCell ref="DE561:DF561"/>
    <mergeCell ref="DE562:DF562"/>
    <mergeCell ref="DE563:DF563"/>
    <mergeCell ref="DE564:DF564"/>
    <mergeCell ref="DE565:DF565"/>
    <mergeCell ref="DE566:DF566"/>
    <mergeCell ref="DE476:DF476"/>
    <mergeCell ref="DE477:DF477"/>
    <mergeCell ref="DE478:DF478"/>
    <mergeCell ref="DE479:DF479"/>
    <mergeCell ref="DE480:DF480"/>
    <mergeCell ref="DE481:DF481"/>
    <mergeCell ref="DE482:DF482"/>
    <mergeCell ref="DE483:DF483"/>
    <mergeCell ref="DE484:DF484"/>
    <mergeCell ref="DE485:DF485"/>
    <mergeCell ref="DE486:DF486"/>
    <mergeCell ref="DE487:DF487"/>
    <mergeCell ref="DE488:DF488"/>
    <mergeCell ref="DE489:DF489"/>
    <mergeCell ref="DE490:DF490"/>
    <mergeCell ref="DE491:DF491"/>
    <mergeCell ref="DE492:DF492"/>
    <mergeCell ref="DE493:DF493"/>
    <mergeCell ref="DE494:DF494"/>
    <mergeCell ref="DE495:DF495"/>
    <mergeCell ref="DE496:DF496"/>
    <mergeCell ref="DE497:DF497"/>
    <mergeCell ref="DE498:DF498"/>
    <mergeCell ref="DE499:DF499"/>
    <mergeCell ref="DE500:DF500"/>
    <mergeCell ref="DE501:DF501"/>
    <mergeCell ref="DE502:DF502"/>
    <mergeCell ref="DE503:DF503"/>
    <mergeCell ref="DE504:DF504"/>
    <mergeCell ref="DE505:DF505"/>
    <mergeCell ref="DE506:DF506"/>
    <mergeCell ref="DE507:DF507"/>
    <mergeCell ref="DE508:DF508"/>
    <mergeCell ref="DE509:DF509"/>
    <mergeCell ref="DE510:DF510"/>
    <mergeCell ref="DE511:DF511"/>
    <mergeCell ref="DE512:DF512"/>
    <mergeCell ref="DE513:DF513"/>
    <mergeCell ref="DE514:DF514"/>
    <mergeCell ref="DE515:DF515"/>
    <mergeCell ref="DE516:DF516"/>
    <mergeCell ref="DE517:DF517"/>
    <mergeCell ref="DE518:DF518"/>
    <mergeCell ref="DE519:DF519"/>
    <mergeCell ref="DE520:DF520"/>
    <mergeCell ref="DE521:DF521"/>
    <mergeCell ref="DE522:DF522"/>
    <mergeCell ref="DE523:DF523"/>
    <mergeCell ref="DE524:DF524"/>
    <mergeCell ref="DE26:DF26"/>
    <mergeCell ref="DE27:DF27"/>
    <mergeCell ref="DE19:DF19"/>
    <mergeCell ref="DE20:DF20"/>
    <mergeCell ref="DE21:DF21"/>
    <mergeCell ref="DE22:DF22"/>
    <mergeCell ref="DE23:DF23"/>
    <mergeCell ref="DE24:DF24"/>
    <mergeCell ref="DE25:DF25"/>
    <mergeCell ref="CU1:CV1"/>
    <mergeCell ref="DE1:DF1"/>
    <mergeCell ref="CU2:CV2"/>
    <mergeCell ref="DE2:DF2"/>
    <mergeCell ref="CU3:CV3"/>
    <mergeCell ref="DE3:DF3"/>
    <mergeCell ref="DE4:DF4"/>
    <mergeCell ref="CU4:CV4"/>
    <mergeCell ref="CU5:CV5"/>
    <mergeCell ref="CU6:CV6"/>
    <mergeCell ref="CU7:CV7"/>
    <mergeCell ref="CU8:CV8"/>
    <mergeCell ref="CU9:CV9"/>
    <mergeCell ref="CU10:CV10"/>
    <mergeCell ref="DE5:DF5"/>
    <mergeCell ref="DE6:DF6"/>
    <mergeCell ref="DE7:DF7"/>
    <mergeCell ref="DE8:DF8"/>
    <mergeCell ref="DE9:DF9"/>
    <mergeCell ref="DE10:DF10"/>
    <mergeCell ref="DE11:DF11"/>
    <mergeCell ref="CU11:CV11"/>
    <mergeCell ref="CU12:CV12"/>
    <mergeCell ref="CU13:CV13"/>
    <mergeCell ref="CU14:CV14"/>
    <mergeCell ref="CU15:CV15"/>
    <mergeCell ref="CU16:CV16"/>
    <mergeCell ref="CU17:CV17"/>
    <mergeCell ref="CU18:CV18"/>
    <mergeCell ref="CU19:CV19"/>
    <mergeCell ref="CU20:CV20"/>
    <mergeCell ref="CU21:CV21"/>
    <mergeCell ref="CU22:CV22"/>
    <mergeCell ref="CU23:CV23"/>
    <mergeCell ref="CU24:CV24"/>
    <mergeCell ref="DE12:DF12"/>
    <mergeCell ref="DE13:DF13"/>
    <mergeCell ref="DE14:DF14"/>
    <mergeCell ref="DE15:DF15"/>
    <mergeCell ref="DE16:DF16"/>
    <mergeCell ref="DE17:DF17"/>
    <mergeCell ref="DE18:DF18"/>
    <mergeCell ref="DE28:DF28"/>
    <mergeCell ref="DE29:DF29"/>
    <mergeCell ref="DE30:DF30"/>
    <mergeCell ref="DE31:DF31"/>
    <mergeCell ref="DE32:DF32"/>
    <mergeCell ref="DE33:DF33"/>
    <mergeCell ref="DE34:DF34"/>
    <mergeCell ref="CU25:CV25"/>
    <mergeCell ref="CU26:CV26"/>
    <mergeCell ref="CU27:CV27"/>
    <mergeCell ref="CU28:CV28"/>
    <mergeCell ref="CU29:CV29"/>
    <mergeCell ref="CU30:CV30"/>
    <mergeCell ref="CU31:CV31"/>
    <mergeCell ref="CU32:CV32"/>
    <mergeCell ref="CU33:CV33"/>
    <mergeCell ref="CU34:CV34"/>
    <mergeCell ref="CU35:CV35"/>
    <mergeCell ref="CU36:CV36"/>
    <mergeCell ref="CU37:CV37"/>
    <mergeCell ref="CU38:CV38"/>
    <mergeCell ref="CU39:CV39"/>
    <mergeCell ref="CU40:CV40"/>
    <mergeCell ref="CU41:CV41"/>
    <mergeCell ref="CU42:CV42"/>
    <mergeCell ref="CU43:CV43"/>
    <mergeCell ref="CU44:CV44"/>
    <mergeCell ref="CU45:CV45"/>
    <mergeCell ref="CU46:CV46"/>
    <mergeCell ref="CU47:CV47"/>
    <mergeCell ref="CU48:CV48"/>
    <mergeCell ref="CU49:CV49"/>
    <mergeCell ref="CU50:CV50"/>
    <mergeCell ref="CU51:CV51"/>
    <mergeCell ref="CU52:CV52"/>
    <mergeCell ref="CU53:CV53"/>
    <mergeCell ref="CU54:CV54"/>
    <mergeCell ref="CU55:CV55"/>
    <mergeCell ref="CU56:CV56"/>
    <mergeCell ref="CU57:CV57"/>
    <mergeCell ref="CU58:CV58"/>
    <mergeCell ref="CU59:CV59"/>
    <mergeCell ref="CU60:CV60"/>
    <mergeCell ref="CU61:CV61"/>
    <mergeCell ref="CU62:CV62"/>
    <mergeCell ref="CU63:CV63"/>
    <mergeCell ref="CU64:CV64"/>
    <mergeCell ref="CU65:CV65"/>
    <mergeCell ref="CU66:CV66"/>
    <mergeCell ref="CU67:CV67"/>
    <mergeCell ref="CU68:CV68"/>
    <mergeCell ref="CU69:CV69"/>
    <mergeCell ref="CU70:CV70"/>
    <mergeCell ref="CU71:CV71"/>
    <mergeCell ref="CU72:CV72"/>
    <mergeCell ref="CU73:CV73"/>
    <mergeCell ref="DE35:DF35"/>
    <mergeCell ref="DE36:DF36"/>
    <mergeCell ref="DE37:DF37"/>
    <mergeCell ref="DE38:DF38"/>
    <mergeCell ref="DE39:DF39"/>
    <mergeCell ref="DE40:DF40"/>
    <mergeCell ref="DE41:DF41"/>
    <mergeCell ref="DE42:DF42"/>
    <mergeCell ref="DE43:DF43"/>
    <mergeCell ref="DE44:DF44"/>
    <mergeCell ref="DE45:DF45"/>
    <mergeCell ref="DE46:DF46"/>
    <mergeCell ref="DE47:DF47"/>
    <mergeCell ref="DE48:DF48"/>
    <mergeCell ref="DE49:DF49"/>
    <mergeCell ref="DE50:DF50"/>
    <mergeCell ref="DE51:DF51"/>
    <mergeCell ref="DE52:DF52"/>
    <mergeCell ref="DE53:DF53"/>
    <mergeCell ref="DE54:DF54"/>
    <mergeCell ref="DE55:DF55"/>
    <mergeCell ref="DE56:DF56"/>
    <mergeCell ref="DE57:DF57"/>
    <mergeCell ref="DE58:DF58"/>
    <mergeCell ref="DE59:DF59"/>
    <mergeCell ref="DE60:DF60"/>
    <mergeCell ref="DE61:DF61"/>
    <mergeCell ref="DE62:DF62"/>
    <mergeCell ref="DE63:DF63"/>
    <mergeCell ref="DE64:DF64"/>
    <mergeCell ref="DE65:DF65"/>
    <mergeCell ref="DE66:DF66"/>
    <mergeCell ref="DE67:DF67"/>
    <mergeCell ref="DE68:DF68"/>
    <mergeCell ref="DE69:DF69"/>
    <mergeCell ref="DE70:DF70"/>
    <mergeCell ref="DE71:DF71"/>
    <mergeCell ref="DE72:DF72"/>
    <mergeCell ref="DE73:DF73"/>
    <mergeCell ref="DE74:DF74"/>
    <mergeCell ref="DE75:DF75"/>
    <mergeCell ref="DE76:DF76"/>
    <mergeCell ref="DE77:DF77"/>
    <mergeCell ref="DE78:DF78"/>
    <mergeCell ref="DE79:DF79"/>
    <mergeCell ref="DE80:DF80"/>
    <mergeCell ref="DE81:DF81"/>
    <mergeCell ref="DE82:DF82"/>
    <mergeCell ref="DE83:DF83"/>
    <mergeCell ref="CU74:CV74"/>
    <mergeCell ref="CU75:CV75"/>
    <mergeCell ref="CU76:CV76"/>
    <mergeCell ref="CU77:CV77"/>
    <mergeCell ref="CU78:CV78"/>
    <mergeCell ref="CU79:CV79"/>
    <mergeCell ref="CU80:CV80"/>
    <mergeCell ref="CU81:CV81"/>
    <mergeCell ref="CU82:CV82"/>
    <mergeCell ref="CU83:CV83"/>
    <mergeCell ref="CU84:CV84"/>
    <mergeCell ref="CU85:CV85"/>
    <mergeCell ref="CU86:CV86"/>
    <mergeCell ref="CU87:CV87"/>
    <mergeCell ref="CU88:CV88"/>
    <mergeCell ref="CU89:CV89"/>
    <mergeCell ref="CU90:CV90"/>
    <mergeCell ref="CU91:CV91"/>
    <mergeCell ref="CU92:CV92"/>
    <mergeCell ref="CU93:CV93"/>
    <mergeCell ref="CU94:CV94"/>
    <mergeCell ref="CU95:CV95"/>
    <mergeCell ref="CU96:CV96"/>
    <mergeCell ref="CU97:CV97"/>
    <mergeCell ref="CU98:CV98"/>
    <mergeCell ref="CU99:CV99"/>
    <mergeCell ref="CU100:CV100"/>
    <mergeCell ref="CU101:CV101"/>
    <mergeCell ref="CU102:CV102"/>
    <mergeCell ref="CU103:CV103"/>
    <mergeCell ref="CU104:CV104"/>
    <mergeCell ref="CU105:CV105"/>
    <mergeCell ref="CU106:CV106"/>
    <mergeCell ref="CU107:CV107"/>
    <mergeCell ref="CU108:CV108"/>
    <mergeCell ref="CU109:CV109"/>
    <mergeCell ref="CU110:CV110"/>
    <mergeCell ref="CU111:CV111"/>
    <mergeCell ref="CU112:CV112"/>
    <mergeCell ref="CU113:CV113"/>
    <mergeCell ref="CU114:CV114"/>
    <mergeCell ref="CU115:CV115"/>
    <mergeCell ref="CU116:CV116"/>
    <mergeCell ref="CU117:CV117"/>
    <mergeCell ref="CU118:CV118"/>
    <mergeCell ref="CU119:CV119"/>
    <mergeCell ref="CU120:CV120"/>
    <mergeCell ref="CU121:CV121"/>
    <mergeCell ref="CU122:CV122"/>
    <mergeCell ref="DE84:DF84"/>
    <mergeCell ref="DE85:DF85"/>
    <mergeCell ref="DE86:DF86"/>
    <mergeCell ref="DE87:DF87"/>
    <mergeCell ref="DE88:DF88"/>
    <mergeCell ref="DE89:DF89"/>
    <mergeCell ref="DE90:DF90"/>
    <mergeCell ref="DE91:DF91"/>
    <mergeCell ref="DE92:DF92"/>
    <mergeCell ref="DE93:DF93"/>
    <mergeCell ref="DE94:DF94"/>
    <mergeCell ref="DE95:DF95"/>
    <mergeCell ref="DE96:DF96"/>
    <mergeCell ref="DE97:DF97"/>
    <mergeCell ref="DE98:DF98"/>
    <mergeCell ref="DE99:DF99"/>
    <mergeCell ref="DE100:DF100"/>
    <mergeCell ref="DE101:DF101"/>
    <mergeCell ref="DE102:DF102"/>
    <mergeCell ref="DE103:DF103"/>
    <mergeCell ref="DE104:DF104"/>
    <mergeCell ref="DE105:DF105"/>
    <mergeCell ref="DE106:DF106"/>
    <mergeCell ref="DE107:DF107"/>
    <mergeCell ref="DE108:DF108"/>
    <mergeCell ref="DE109:DF109"/>
    <mergeCell ref="DE110:DF110"/>
    <mergeCell ref="DE111:DF111"/>
    <mergeCell ref="DE112:DF112"/>
    <mergeCell ref="DE113:DF113"/>
    <mergeCell ref="DE114:DF114"/>
    <mergeCell ref="DE115:DF115"/>
    <mergeCell ref="DE116:DF116"/>
    <mergeCell ref="DE117:DF117"/>
    <mergeCell ref="DE118:DF118"/>
    <mergeCell ref="DE119:DF119"/>
    <mergeCell ref="DE120:DF120"/>
    <mergeCell ref="DE121:DF121"/>
    <mergeCell ref="DE122:DF122"/>
    <mergeCell ref="DE123:DF123"/>
    <mergeCell ref="DE124:DF124"/>
    <mergeCell ref="DE125:DF125"/>
    <mergeCell ref="DE126:DF126"/>
    <mergeCell ref="DE127:DF127"/>
    <mergeCell ref="DE128:DF128"/>
    <mergeCell ref="DE129:DF129"/>
    <mergeCell ref="DE130:DF130"/>
    <mergeCell ref="DE131:DF131"/>
    <mergeCell ref="DE132:DF132"/>
    <mergeCell ref="DE133:DF133"/>
    <mergeCell ref="DE134:DF134"/>
    <mergeCell ref="DE135:DF135"/>
    <mergeCell ref="DE136:DF136"/>
    <mergeCell ref="DE137:DF137"/>
    <mergeCell ref="DE138:DF138"/>
    <mergeCell ref="DE139:DF139"/>
    <mergeCell ref="DE140:DF140"/>
    <mergeCell ref="DE141:DF141"/>
    <mergeCell ref="DE142:DF142"/>
    <mergeCell ref="DE143:DF143"/>
    <mergeCell ref="DE144:DF144"/>
    <mergeCell ref="DE145:DF145"/>
    <mergeCell ref="DE146:DF146"/>
    <mergeCell ref="DE147:DF147"/>
    <mergeCell ref="DE148:DF148"/>
    <mergeCell ref="DE149:DF149"/>
    <mergeCell ref="DE150:DF150"/>
    <mergeCell ref="DE151:DF151"/>
    <mergeCell ref="DE152:DF152"/>
    <mergeCell ref="DE153:DF153"/>
    <mergeCell ref="DE154:DF154"/>
    <mergeCell ref="DE155:DF155"/>
    <mergeCell ref="DE156:DF156"/>
    <mergeCell ref="DE157:DF157"/>
    <mergeCell ref="DE158:DF158"/>
    <mergeCell ref="DE159:DF159"/>
    <mergeCell ref="DE160:DF160"/>
    <mergeCell ref="DE161:DF161"/>
    <mergeCell ref="DE162:DF162"/>
    <mergeCell ref="DE163:DF163"/>
    <mergeCell ref="DE164:DF164"/>
    <mergeCell ref="DE165:DF165"/>
    <mergeCell ref="DE166:DF166"/>
    <mergeCell ref="DE167:DF167"/>
    <mergeCell ref="DE168:DF168"/>
    <mergeCell ref="DE169:DF169"/>
    <mergeCell ref="DE170:DF170"/>
    <mergeCell ref="DE171:DF171"/>
    <mergeCell ref="DE172:DF172"/>
    <mergeCell ref="DE173:DF173"/>
    <mergeCell ref="DE174:DF174"/>
    <mergeCell ref="DE175:DF175"/>
    <mergeCell ref="DE176:DF176"/>
    <mergeCell ref="DE177:DF177"/>
    <mergeCell ref="DE178:DF178"/>
    <mergeCell ref="DE179:DF179"/>
    <mergeCell ref="DE180:DF180"/>
    <mergeCell ref="DE181:DF181"/>
    <mergeCell ref="CU515:CV515"/>
    <mergeCell ref="CU516:CV516"/>
    <mergeCell ref="CU517:CV517"/>
    <mergeCell ref="CU518:CV518"/>
    <mergeCell ref="CU519:CV519"/>
    <mergeCell ref="CU520:CV520"/>
    <mergeCell ref="CU521:CV521"/>
    <mergeCell ref="CU522:CV522"/>
    <mergeCell ref="CU523:CV523"/>
    <mergeCell ref="CU524:CV524"/>
    <mergeCell ref="CU525:CV525"/>
    <mergeCell ref="CU526:CV526"/>
    <mergeCell ref="CU527:CV527"/>
    <mergeCell ref="CU528:CV528"/>
    <mergeCell ref="CU529:CV529"/>
    <mergeCell ref="CU530:CV530"/>
    <mergeCell ref="CU531:CV531"/>
    <mergeCell ref="CU532:CV532"/>
    <mergeCell ref="CU533:CV533"/>
    <mergeCell ref="CU534:CV534"/>
    <mergeCell ref="CU535:CV535"/>
    <mergeCell ref="CU536:CV536"/>
    <mergeCell ref="CU537:CV537"/>
    <mergeCell ref="CU538:CV538"/>
    <mergeCell ref="CU539:CV539"/>
    <mergeCell ref="CU540:CV540"/>
    <mergeCell ref="CU541:CV541"/>
    <mergeCell ref="CU542:CV542"/>
    <mergeCell ref="CU543:CV543"/>
    <mergeCell ref="CU544:CV544"/>
    <mergeCell ref="CU545:CV545"/>
    <mergeCell ref="CU546:CV546"/>
    <mergeCell ref="CU547:CV547"/>
    <mergeCell ref="CU548:CV548"/>
    <mergeCell ref="CU549:CV549"/>
    <mergeCell ref="CU550:CV550"/>
    <mergeCell ref="CU551:CV551"/>
    <mergeCell ref="CU552:CV552"/>
    <mergeCell ref="CU553:CV553"/>
    <mergeCell ref="CU554:CV554"/>
    <mergeCell ref="CU555:CV555"/>
    <mergeCell ref="CU556:CV556"/>
    <mergeCell ref="CU564:CV564"/>
    <mergeCell ref="CU565:CV565"/>
    <mergeCell ref="CU566:CV566"/>
    <mergeCell ref="CU567:CV567"/>
    <mergeCell ref="CU568:CV568"/>
    <mergeCell ref="CU569:CV569"/>
    <mergeCell ref="CU570:CV570"/>
    <mergeCell ref="CU571:CV571"/>
    <mergeCell ref="CU557:CV557"/>
    <mergeCell ref="CU558:CV558"/>
    <mergeCell ref="CU559:CV559"/>
    <mergeCell ref="CU560:CV560"/>
    <mergeCell ref="CU561:CV561"/>
    <mergeCell ref="CU562:CV562"/>
    <mergeCell ref="CU563:CV563"/>
    <mergeCell ref="CU466:CV466"/>
    <mergeCell ref="CU467:CV467"/>
    <mergeCell ref="CU468:CV468"/>
    <mergeCell ref="CU469:CV469"/>
    <mergeCell ref="CU470:CV470"/>
    <mergeCell ref="CU471:CV471"/>
    <mergeCell ref="CU472:CV472"/>
    <mergeCell ref="CU473:CV473"/>
    <mergeCell ref="CU474:CV474"/>
    <mergeCell ref="CU475:CV475"/>
    <mergeCell ref="CU476:CV476"/>
    <mergeCell ref="CU477:CV477"/>
    <mergeCell ref="CU478:CV478"/>
    <mergeCell ref="CU479:CV479"/>
    <mergeCell ref="CU480:CV480"/>
    <mergeCell ref="CU481:CV481"/>
    <mergeCell ref="CU482:CV482"/>
    <mergeCell ref="CU483:CV483"/>
    <mergeCell ref="CU484:CV484"/>
    <mergeCell ref="CU485:CV485"/>
    <mergeCell ref="CU486:CV486"/>
    <mergeCell ref="CU487:CV487"/>
    <mergeCell ref="CU488:CV488"/>
    <mergeCell ref="CU489:CV489"/>
    <mergeCell ref="CU490:CV490"/>
    <mergeCell ref="CU491:CV491"/>
    <mergeCell ref="CU492:CV492"/>
    <mergeCell ref="CU493:CV493"/>
    <mergeCell ref="CU494:CV494"/>
    <mergeCell ref="CU495:CV495"/>
    <mergeCell ref="CU496:CV496"/>
    <mergeCell ref="CU497:CV497"/>
    <mergeCell ref="CU498:CV498"/>
    <mergeCell ref="CU499:CV499"/>
    <mergeCell ref="CU500:CV500"/>
    <mergeCell ref="CU501:CV501"/>
    <mergeCell ref="CU502:CV502"/>
    <mergeCell ref="CU503:CV503"/>
    <mergeCell ref="CU504:CV504"/>
    <mergeCell ref="CU505:CV505"/>
    <mergeCell ref="CU506:CV506"/>
    <mergeCell ref="CU507:CV507"/>
    <mergeCell ref="CU508:CV508"/>
    <mergeCell ref="CU509:CV509"/>
    <mergeCell ref="CU510:CV510"/>
    <mergeCell ref="CU511:CV511"/>
    <mergeCell ref="CU512:CV512"/>
    <mergeCell ref="CU513:CV513"/>
    <mergeCell ref="CU514:CV514"/>
    <mergeCell ref="CU123:CV123"/>
    <mergeCell ref="CU124:CV124"/>
    <mergeCell ref="CU125:CV125"/>
    <mergeCell ref="CU126:CV126"/>
    <mergeCell ref="CU127:CV127"/>
    <mergeCell ref="CU128:CV128"/>
    <mergeCell ref="CU129:CV129"/>
    <mergeCell ref="CU130:CV130"/>
    <mergeCell ref="CU131:CV131"/>
    <mergeCell ref="CU132:CV132"/>
    <mergeCell ref="CU133:CV133"/>
    <mergeCell ref="CU134:CV134"/>
    <mergeCell ref="CU135:CV135"/>
    <mergeCell ref="CU136:CV136"/>
    <mergeCell ref="CU137:CV137"/>
    <mergeCell ref="CU138:CV138"/>
    <mergeCell ref="CU139:CV139"/>
    <mergeCell ref="CU140:CV140"/>
    <mergeCell ref="CU141:CV141"/>
    <mergeCell ref="CU142:CV142"/>
    <mergeCell ref="CU143:CV143"/>
    <mergeCell ref="CU144:CV144"/>
    <mergeCell ref="CU145:CV145"/>
    <mergeCell ref="CU146:CV146"/>
    <mergeCell ref="CU147:CV147"/>
    <mergeCell ref="CU148:CV148"/>
    <mergeCell ref="CU149:CV149"/>
    <mergeCell ref="CU150:CV150"/>
    <mergeCell ref="CU151:CV151"/>
    <mergeCell ref="CU152:CV152"/>
    <mergeCell ref="CU153:CV153"/>
    <mergeCell ref="CU154:CV154"/>
    <mergeCell ref="CU155:CV155"/>
    <mergeCell ref="CU156:CV156"/>
    <mergeCell ref="CU157:CV157"/>
    <mergeCell ref="CU158:CV158"/>
    <mergeCell ref="CU159:CV159"/>
    <mergeCell ref="CU160:CV160"/>
    <mergeCell ref="CU161:CV161"/>
    <mergeCell ref="CU162:CV162"/>
    <mergeCell ref="CU163:CV163"/>
    <mergeCell ref="CU164:CV164"/>
    <mergeCell ref="CU165:CV165"/>
    <mergeCell ref="CU166:CV166"/>
    <mergeCell ref="CU167:CV167"/>
    <mergeCell ref="CU168:CV168"/>
    <mergeCell ref="CU169:CV169"/>
    <mergeCell ref="CU170:CV170"/>
    <mergeCell ref="CU171:CV171"/>
    <mergeCell ref="CU172:CV172"/>
    <mergeCell ref="CU173:CV173"/>
    <mergeCell ref="CU174:CV174"/>
    <mergeCell ref="CU175:CV175"/>
    <mergeCell ref="CU176:CV176"/>
    <mergeCell ref="CU177:CV177"/>
    <mergeCell ref="CU178:CV178"/>
    <mergeCell ref="CU179:CV179"/>
    <mergeCell ref="CU180:CV180"/>
    <mergeCell ref="CU181:CV181"/>
    <mergeCell ref="CU182:CV182"/>
    <mergeCell ref="CU183:CV183"/>
    <mergeCell ref="CU184:CV184"/>
    <mergeCell ref="CU185:CV185"/>
    <mergeCell ref="CU186:CV186"/>
    <mergeCell ref="CU187:CV187"/>
    <mergeCell ref="CU188:CV188"/>
    <mergeCell ref="CU189:CV189"/>
    <mergeCell ref="CU190:CV190"/>
    <mergeCell ref="CU191:CV191"/>
    <mergeCell ref="CU192:CV192"/>
    <mergeCell ref="CU193:CV193"/>
    <mergeCell ref="CU194:CV194"/>
    <mergeCell ref="CU195:CV195"/>
    <mergeCell ref="CU196:CV196"/>
    <mergeCell ref="CU197:CV197"/>
    <mergeCell ref="CU198:CV198"/>
    <mergeCell ref="CU199:CV199"/>
    <mergeCell ref="CU200:CV200"/>
    <mergeCell ref="CU201:CV201"/>
    <mergeCell ref="CU202:CV202"/>
    <mergeCell ref="CU203:CV203"/>
    <mergeCell ref="CU204:CV204"/>
    <mergeCell ref="CU205:CV205"/>
    <mergeCell ref="CU206:CV206"/>
    <mergeCell ref="CU207:CV207"/>
    <mergeCell ref="CU208:CV208"/>
    <mergeCell ref="CU209:CV209"/>
    <mergeCell ref="CU210:CV210"/>
    <mergeCell ref="CU211:CV211"/>
    <mergeCell ref="CU212:CV212"/>
    <mergeCell ref="CU213:CV213"/>
    <mergeCell ref="CU214:CV214"/>
    <mergeCell ref="CU215:CV215"/>
    <mergeCell ref="CU216:CV216"/>
    <mergeCell ref="CU217:CV217"/>
    <mergeCell ref="CU218:CV218"/>
    <mergeCell ref="CU219:CV219"/>
    <mergeCell ref="CU220:CV220"/>
    <mergeCell ref="CU221:CV221"/>
    <mergeCell ref="CU222:CV222"/>
    <mergeCell ref="CU223:CV223"/>
    <mergeCell ref="CU224:CV224"/>
    <mergeCell ref="CU225:CV225"/>
    <mergeCell ref="CU226:CV226"/>
    <mergeCell ref="CU227:CV227"/>
    <mergeCell ref="CU228:CV228"/>
    <mergeCell ref="CU229:CV229"/>
    <mergeCell ref="CU230:CV230"/>
    <mergeCell ref="CU231:CV231"/>
    <mergeCell ref="CU232:CV232"/>
    <mergeCell ref="CU233:CV233"/>
    <mergeCell ref="CU234:CV234"/>
    <mergeCell ref="CU235:CV235"/>
    <mergeCell ref="CU236:CV236"/>
    <mergeCell ref="CU237:CV237"/>
    <mergeCell ref="CU238:CV238"/>
    <mergeCell ref="CU239:CV239"/>
    <mergeCell ref="CU240:CV240"/>
    <mergeCell ref="CU241:CV241"/>
    <mergeCell ref="CU242:CV242"/>
    <mergeCell ref="CU243:CV243"/>
    <mergeCell ref="CU244:CV244"/>
    <mergeCell ref="CU245:CV245"/>
    <mergeCell ref="CU246:CV246"/>
    <mergeCell ref="CU247:CV247"/>
    <mergeCell ref="CU248:CV248"/>
    <mergeCell ref="CU249:CV249"/>
    <mergeCell ref="CU250:CV250"/>
    <mergeCell ref="CU251:CV251"/>
    <mergeCell ref="CU252:CV252"/>
    <mergeCell ref="CU253:CV253"/>
    <mergeCell ref="CU254:CV254"/>
    <mergeCell ref="CU255:CV255"/>
    <mergeCell ref="CU256:CV256"/>
    <mergeCell ref="CU257:CV257"/>
    <mergeCell ref="CU258:CV258"/>
    <mergeCell ref="CU259:CV259"/>
    <mergeCell ref="CU260:CV260"/>
    <mergeCell ref="CU261:CV261"/>
    <mergeCell ref="CU262:CV262"/>
    <mergeCell ref="CU263:CV263"/>
    <mergeCell ref="CU264:CV264"/>
    <mergeCell ref="CU265:CV265"/>
    <mergeCell ref="CU266:CV266"/>
    <mergeCell ref="CU267:CV267"/>
    <mergeCell ref="CU268:CV268"/>
    <mergeCell ref="CU269:CV269"/>
    <mergeCell ref="CU270:CV270"/>
    <mergeCell ref="CU271:CV271"/>
    <mergeCell ref="CU272:CV272"/>
    <mergeCell ref="CU273:CV273"/>
    <mergeCell ref="CU274:CV274"/>
    <mergeCell ref="CU275:CV275"/>
    <mergeCell ref="CU276:CV276"/>
    <mergeCell ref="CU277:CV277"/>
    <mergeCell ref="CU278:CV278"/>
    <mergeCell ref="CU279:CV279"/>
    <mergeCell ref="CU280:CV280"/>
    <mergeCell ref="CU281:CV281"/>
    <mergeCell ref="CU282:CV282"/>
    <mergeCell ref="CU283:CV283"/>
    <mergeCell ref="CU284:CV284"/>
    <mergeCell ref="CU285:CV285"/>
    <mergeCell ref="CU286:CV286"/>
    <mergeCell ref="CU287:CV287"/>
    <mergeCell ref="CU288:CV288"/>
    <mergeCell ref="CU289:CV289"/>
    <mergeCell ref="CU290:CV290"/>
    <mergeCell ref="CU291:CV291"/>
    <mergeCell ref="CU292:CV292"/>
    <mergeCell ref="CU293:CV293"/>
    <mergeCell ref="CU294:CV294"/>
    <mergeCell ref="CU295:CV295"/>
    <mergeCell ref="CU296:CV296"/>
    <mergeCell ref="CU297:CV297"/>
    <mergeCell ref="CU298:CV298"/>
    <mergeCell ref="CU299:CV299"/>
    <mergeCell ref="CU300:CV300"/>
    <mergeCell ref="CU301:CV301"/>
    <mergeCell ref="CU302:CV302"/>
    <mergeCell ref="CU303:CV303"/>
    <mergeCell ref="CU304:CV304"/>
    <mergeCell ref="CU305:CV305"/>
    <mergeCell ref="CU306:CV306"/>
    <mergeCell ref="CU307:CV307"/>
    <mergeCell ref="CU308:CV308"/>
    <mergeCell ref="CU309:CV309"/>
    <mergeCell ref="CU310:CV310"/>
    <mergeCell ref="CU311:CV311"/>
    <mergeCell ref="CU312:CV312"/>
    <mergeCell ref="CU313:CV313"/>
    <mergeCell ref="CU314:CV314"/>
    <mergeCell ref="CU315:CV315"/>
    <mergeCell ref="CU316:CV316"/>
    <mergeCell ref="CU317:CV317"/>
    <mergeCell ref="CU318:CV318"/>
    <mergeCell ref="CU319:CV319"/>
    <mergeCell ref="CU320:CV320"/>
    <mergeCell ref="CU321:CV321"/>
    <mergeCell ref="CU322:CV322"/>
    <mergeCell ref="CU323:CV323"/>
    <mergeCell ref="CU324:CV324"/>
    <mergeCell ref="CU325:CV325"/>
    <mergeCell ref="CU326:CV326"/>
    <mergeCell ref="CU327:CV327"/>
    <mergeCell ref="CU328:CV328"/>
    <mergeCell ref="CU329:CV329"/>
    <mergeCell ref="CU330:CV330"/>
    <mergeCell ref="CU331:CV331"/>
    <mergeCell ref="CU332:CV332"/>
    <mergeCell ref="CU333:CV333"/>
    <mergeCell ref="CU334:CV334"/>
    <mergeCell ref="CU335:CV335"/>
    <mergeCell ref="CU336:CV336"/>
    <mergeCell ref="CU337:CV337"/>
    <mergeCell ref="CU338:CV338"/>
    <mergeCell ref="CU339:CV339"/>
    <mergeCell ref="CU340:CV340"/>
    <mergeCell ref="CU341:CV341"/>
    <mergeCell ref="CU342:CV342"/>
    <mergeCell ref="CU343:CV343"/>
    <mergeCell ref="CU344:CV344"/>
    <mergeCell ref="CU345:CV345"/>
    <mergeCell ref="CU346:CV346"/>
    <mergeCell ref="CU347:CV347"/>
    <mergeCell ref="CU348:CV348"/>
    <mergeCell ref="CU349:CV349"/>
    <mergeCell ref="CU350:CV350"/>
    <mergeCell ref="CU351:CV351"/>
    <mergeCell ref="CU352:CV352"/>
    <mergeCell ref="CU353:CV353"/>
    <mergeCell ref="CU354:CV354"/>
    <mergeCell ref="CU355:CV355"/>
    <mergeCell ref="CU356:CV356"/>
    <mergeCell ref="CU357:CV357"/>
    <mergeCell ref="CU358:CV358"/>
    <mergeCell ref="CU359:CV359"/>
    <mergeCell ref="CU360:CV360"/>
    <mergeCell ref="CU361:CV361"/>
    <mergeCell ref="CU362:CV362"/>
    <mergeCell ref="CU363:CV363"/>
    <mergeCell ref="CU364:CV364"/>
    <mergeCell ref="CU365:CV365"/>
    <mergeCell ref="CU366:CV366"/>
    <mergeCell ref="CU367:CV367"/>
    <mergeCell ref="CU368:CV368"/>
    <mergeCell ref="CU369:CV369"/>
    <mergeCell ref="CU370:CV370"/>
    <mergeCell ref="CU371:CV371"/>
    <mergeCell ref="CU372:CV372"/>
    <mergeCell ref="CU373:CV373"/>
    <mergeCell ref="CU374:CV374"/>
    <mergeCell ref="CU375:CV375"/>
    <mergeCell ref="CU376:CV376"/>
    <mergeCell ref="CU377:CV377"/>
    <mergeCell ref="CU378:CV378"/>
    <mergeCell ref="CU379:CV379"/>
    <mergeCell ref="CU380:CV380"/>
    <mergeCell ref="CU381:CV381"/>
    <mergeCell ref="CU382:CV382"/>
    <mergeCell ref="CU383:CV383"/>
    <mergeCell ref="CU384:CV384"/>
    <mergeCell ref="CU385:CV385"/>
    <mergeCell ref="CU386:CV386"/>
    <mergeCell ref="CU387:CV387"/>
    <mergeCell ref="CU388:CV388"/>
    <mergeCell ref="CU389:CV389"/>
    <mergeCell ref="CU390:CV390"/>
    <mergeCell ref="CU391:CV391"/>
    <mergeCell ref="CU392:CV392"/>
    <mergeCell ref="CU393:CV393"/>
    <mergeCell ref="CU394:CV394"/>
    <mergeCell ref="CU395:CV395"/>
    <mergeCell ref="CU396:CV396"/>
    <mergeCell ref="CU397:CV397"/>
    <mergeCell ref="CU398:CV398"/>
    <mergeCell ref="CU399:CV399"/>
    <mergeCell ref="CU400:CV400"/>
    <mergeCell ref="CU401:CV401"/>
    <mergeCell ref="CU402:CV402"/>
    <mergeCell ref="CU403:CV403"/>
    <mergeCell ref="CU404:CV404"/>
    <mergeCell ref="CU405:CV405"/>
    <mergeCell ref="CU406:CV406"/>
    <mergeCell ref="CU407:CV407"/>
    <mergeCell ref="CU408:CV408"/>
    <mergeCell ref="CU409:CV409"/>
    <mergeCell ref="CU410:CV410"/>
    <mergeCell ref="CU411:CV411"/>
    <mergeCell ref="CU412:CV412"/>
    <mergeCell ref="CU413:CV413"/>
    <mergeCell ref="CU414:CV414"/>
    <mergeCell ref="CU415:CV415"/>
    <mergeCell ref="CU416:CV416"/>
    <mergeCell ref="CU417:CV417"/>
    <mergeCell ref="CU418:CV418"/>
    <mergeCell ref="CU419:CV419"/>
    <mergeCell ref="CU420:CV420"/>
    <mergeCell ref="CU421:CV421"/>
    <mergeCell ref="CU422:CV422"/>
    <mergeCell ref="CU423:CV423"/>
    <mergeCell ref="CU424:CV424"/>
    <mergeCell ref="CU425:CV425"/>
    <mergeCell ref="CU426:CV426"/>
    <mergeCell ref="CU427:CV427"/>
    <mergeCell ref="CU428:CV428"/>
    <mergeCell ref="CU429:CV429"/>
    <mergeCell ref="CU430:CV430"/>
    <mergeCell ref="CU431:CV431"/>
    <mergeCell ref="CU432:CV432"/>
    <mergeCell ref="CU433:CV433"/>
    <mergeCell ref="CU434:CV434"/>
    <mergeCell ref="CU435:CV435"/>
    <mergeCell ref="CU436:CV436"/>
    <mergeCell ref="CU437:CV437"/>
    <mergeCell ref="CU438:CV438"/>
    <mergeCell ref="CU439:CV439"/>
    <mergeCell ref="CU440:CV440"/>
    <mergeCell ref="CU441:CV441"/>
    <mergeCell ref="CU442:CV442"/>
    <mergeCell ref="CU443:CV443"/>
    <mergeCell ref="CU444:CV444"/>
    <mergeCell ref="CU445:CV445"/>
    <mergeCell ref="CU446:CV446"/>
    <mergeCell ref="CU447:CV447"/>
    <mergeCell ref="CU448:CV448"/>
    <mergeCell ref="CU449:CV449"/>
    <mergeCell ref="CU450:CV450"/>
    <mergeCell ref="CU451:CV451"/>
    <mergeCell ref="CU452:CV452"/>
    <mergeCell ref="CU453:CV453"/>
    <mergeCell ref="CU454:CV454"/>
    <mergeCell ref="CU455:CV455"/>
    <mergeCell ref="CU456:CV456"/>
    <mergeCell ref="CU457:CV457"/>
    <mergeCell ref="CU458:CV458"/>
    <mergeCell ref="CU459:CV459"/>
    <mergeCell ref="CU460:CV460"/>
    <mergeCell ref="CU461:CV461"/>
    <mergeCell ref="CU462:CV462"/>
    <mergeCell ref="CU463:CV463"/>
    <mergeCell ref="CU464:CV464"/>
    <mergeCell ref="CU465:CV46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4.5"/>
    <col customWidth="1" min="2" max="2" width="107.25"/>
  </cols>
  <sheetData>
    <row r="1">
      <c r="A1" s="17" t="s">
        <v>136</v>
      </c>
      <c r="B1" s="18" t="s">
        <v>137</v>
      </c>
    </row>
    <row r="2">
      <c r="A2" s="19" t="s">
        <v>138</v>
      </c>
    </row>
    <row r="3">
      <c r="A3" s="19" t="s">
        <v>139</v>
      </c>
      <c r="B3" s="20" t="str">
        <f>IFERROR(__xludf.DUMMYFUNCTION("GOOGLETRANSLATE(A3, ""fr"", ""en"")"),"Reserve curtain remains stuck
 URGENT")</f>
        <v>Reserve curtain remains stuck
 URGENT</v>
      </c>
    </row>
    <row r="4">
      <c r="A4" s="19" t="s">
        <v>140</v>
      </c>
      <c r="B4" s="20" t="str">
        <f>IFERROR(__xludf.DUMMYFUNCTION("GOOGLETRANSLATE(A4, ""fr"", ""en"")"),"Curtain out of the rail")</f>
        <v>Curtain out of the rail</v>
      </c>
    </row>
    <row r="5">
      <c r="A5" s="21"/>
      <c r="B5" s="20" t="str">
        <f>IFERROR(__xludf.DUMMYFUNCTION("GOOGLETRANSLATE(A5, ""fr"", ""en"")"),"#VALUE!")</f>
        <v>#VALUE!</v>
      </c>
    </row>
    <row r="6">
      <c r="A6" s="19" t="s">
        <v>141</v>
      </c>
      <c r="B6" s="20" t="str">
        <f>IFERROR(__xludf.DUMMYFUNCTION("GOOGLETRANSLATE(A6, ""fr"", ""en"")"),"The door is blocked at the top and no longer closes.")</f>
        <v>The door is blocked at the top and no longer closes.</v>
      </c>
    </row>
    <row r="7">
      <c r="A7" s="19" t="s">
        <v>142</v>
      </c>
      <c r="B7" s="20" t="str">
        <f>IFERROR(__xludf.DUMMYFUNCTION("GOOGLETRANSLATE(A7, ""fr"", ""en"")"),"Very urgent door which no longer opens we had to block with pallets")</f>
        <v>Very urgent door which no longer opens we had to block with pallets</v>
      </c>
    </row>
    <row r="8">
      <c r="A8" s="19" t="s">
        <v>143</v>
      </c>
      <c r="B8" s="20" t="str">
        <f>IFERROR(__xludf.DUMMYFUNCTION("GOOGLETRANSLATE(A8, ""fr"", ""en"")"),"closes no longer")</f>
        <v>closes no longer</v>
      </c>
    </row>
    <row r="9">
      <c r="A9" s="19" t="s">
        <v>144</v>
      </c>
      <c r="B9" s="20" t="str">
        <f>IFERROR(__xludf.DUMMYFUNCTION("GOOGLETRANSLATE(A9, ""fr"", ""en"")"),"* Launch a cleaning of the flexible door
 We can't cleanse Ria Painting with our products")</f>
        <v>* Launch a cleaning of the flexible door
 We can't cleanse Ria Painting with our products</v>
      </c>
    </row>
    <row r="10">
      <c r="A10" s="19" t="s">
        <v>145</v>
      </c>
      <c r="B10" s="20" t="str">
        <f>IFERROR(__xludf.DUMMYFUNCTION("GOOGLETRANSLATE(A10, ""fr"", ""en"")"),"Hello the door no longer closes customers enter the reserve")</f>
        <v>Hello the door no longer closes customers enter the reserve</v>
      </c>
    </row>
    <row r="11">
      <c r="A11" s="19" t="s">
        <v>146</v>
      </c>
      <c r="B11" s="20" t="str">
        <f>IFERROR(__xludf.DUMMYFUNCTION("GOOGLETRANSLATE(A11, ""fr"", ""en"")"),"Door closes anymore thank you for launching the intervention because customer enters the reserve")</f>
        <v>Door closes anymore thank you for launching the intervention because customer enters the reserve</v>
      </c>
    </row>
    <row r="12">
      <c r="A12" s="19" t="s">
        <v>147</v>
      </c>
      <c r="B12" s="20" t="str">
        <f>IFERROR(__xludf.DUMMYFUNCTION("GOOGLETRANSLATE(A12, ""fr"", ""en"")"),"Don't this farm")</f>
        <v>Don't this farm</v>
      </c>
    </row>
    <row r="13">
      <c r="A13" s="19" t="s">
        <v>148</v>
      </c>
      <c r="B13" s="20" t="str">
        <f>IFERROR(__xludf.DUMMYFUNCTION("GOOGLETRANSLATE(A13, ""fr"", ""en"")"),"flexible friend remains open does not even close in automatic mode thank you for launching an intervention thank you")</f>
        <v>flexible friend remains open does not even close in automatic mode thank you for launching an intervention thank you</v>
      </c>
    </row>
    <row r="14">
      <c r="A14" s="19" t="s">
        <v>149</v>
      </c>
      <c r="B14" s="20" t="str">
        <f>IFERROR(__xludf.DUMMYFUNCTION("GOOGLETRANSLATE(A14, ""fr"", ""en"")"),"The door closes anymore
 urgent")</f>
        <v>The door closes anymore
 urgent</v>
      </c>
    </row>
    <row r="15">
      <c r="A15" s="19" t="s">
        <v>150</v>
      </c>
      <c r="B15" s="20" t="str">
        <f>IFERROR(__xludf.DUMMYFUNCTION("GOOGLETRANSLATE(A15, ""fr"", ""en"")"),"quirky outing door
 In the closing opening position does not move")</f>
        <v>quirky outing door
 In the closing opening position does not move</v>
      </c>
    </row>
    <row r="16">
      <c r="A16" s="19" t="s">
        <v>151</v>
      </c>
      <c r="B16" s="20" t="str">
        <f>IFERROR(__xludf.DUMMYFUNCTION("GOOGLETRANSLATE(A16, ""fr"", ""en"")"),"hello the cables of the exit airlock automatic door are tombous could you start an intervention thank you")</f>
        <v>hello the cables of the exit airlock automatic door are tombous could you start an intervention thank you</v>
      </c>
    </row>
    <row r="17">
      <c r="A17" s="19" t="s">
        <v>152</v>
      </c>
      <c r="B17" s="20" t="str">
        <f>IFERROR(__xludf.DUMMYFUNCTION("GOOGLETRANSLATE(A17, ""fr"", ""en"")"),"Endomated exit door, offbeat, cables hanging, the door closes no longer properly. Dangerous for the team and customers.")</f>
        <v>Endomated exit door, offbeat, cables hanging, the door closes no longer properly. Dangerous for the team and customers.</v>
      </c>
    </row>
    <row r="18">
      <c r="A18" s="19" t="s">
        <v>153</v>
      </c>
      <c r="B18" s="20" t="str">
        <f>IFERROR(__xludf.DUMMYFUNCTION("GOOGLETRANSLATE(A18, ""fr"", ""en"")"),"forcing door")</f>
        <v>forcing door</v>
      </c>
    </row>
    <row r="19">
      <c r="A19" s="19" t="s">
        <v>154</v>
      </c>
      <c r="B19" s="20" t="str">
        <f>IFERROR(__xludf.DUMMYFUNCTION("GOOGLETRANSLATE(A19, ""fr"", ""en"")"),"Leak above the bakery flows from the visible client and dangerous radius")</f>
        <v>Leak above the bakery flows from the visible client and dangerous radius</v>
      </c>
    </row>
    <row r="20">
      <c r="A20" s="19" t="s">
        <v>155</v>
      </c>
      <c r="B20" s="20" t="str">
        <f>IFERROR(__xludf.DUMMYFUNCTION("GOOGLETRANSLATE(A20, ""fr"", ""en"")"),"* Review Painting Zone Quai")</f>
        <v>* Review Painting Zone Quai</v>
      </c>
    </row>
    <row r="21">
      <c r="A21" s="19" t="s">
        <v>156</v>
      </c>
      <c r="B21" s="20" t="str">
        <f>IFERROR(__xludf.DUMMYFUNCTION("GOOGLETRANSLATE(A21, ""fr"", ""en"")"),"Tag on the facade")</f>
        <v>Tag on the facade</v>
      </c>
    </row>
    <row r="22">
      <c r="A22" s="19" t="s">
        <v>157</v>
      </c>
      <c r="B22" s="20" t="str">
        <f>IFERROR(__xludf.DUMMYFUNCTION("GOOGLETRANSLATE(A22, ""fr"", ""en"")"),"*Dirty building paint / AE quote requested")</f>
        <v>*Dirty building paint / AE quote requested</v>
      </c>
    </row>
    <row r="23">
      <c r="A23" s="19" t="s">
        <v>158</v>
      </c>
      <c r="B23" s="20" t="str">
        <f>IFERROR(__xludf.DUMMYFUNCTION("GOOGLETRANSLATE(A23, ""fr"", ""en"")"),"Dirty facade on the green space side")</f>
        <v>Dirty facade on the green space side</v>
      </c>
    </row>
    <row r="24">
      <c r="A24" s="21"/>
      <c r="B24" s="20" t="str">
        <f>IFERROR(__xludf.DUMMYFUNCTION("GOOGLETRANSLATE(A24, ""fr"", ""en"")"),"#VALUE!")</f>
        <v>#VALUE!</v>
      </c>
    </row>
    <row r="25">
      <c r="A25" s="19" t="s">
        <v>159</v>
      </c>
      <c r="B25" s="20" t="str">
        <f>IFERROR(__xludf.DUMMYFUNCTION("GOOGLETRANSLATE(A25, ""fr"", ""en"")"),"It would take a glass cleaning over the entire height.")</f>
        <v>It would take a glass cleaning over the entire height.</v>
      </c>
    </row>
    <row r="26">
      <c r="A26" s="19" t="s">
        <v>160</v>
      </c>
      <c r="B26" s="20" t="str">
        <f>IFERROR(__xludf.DUMMYFUNCTION("GOOGLETRANSLATE(A26, ""fr"", ""en"")"),"Break key in the lock, the curtain remains blocked.
 Impossible to take a photo via the black screen MDE")</f>
        <v>Break key in the lock, the curtain remains blocked.
 Impossible to take a photo via the black screen MDE</v>
      </c>
    </row>
    <row r="27">
      <c r="A27" s="19" t="s">
        <v>161</v>
      </c>
      <c r="B27" s="20" t="str">
        <f>IFERROR(__xludf.DUMMYFUNCTION("GOOGLETRANSLATE(A27, ""fr"", ""en"")"),"Curtain blocked in a closed position")</f>
        <v>Curtain blocked in a closed position</v>
      </c>
    </row>
    <row r="28">
      <c r="A28" s="19" t="s">
        <v>162</v>
      </c>
      <c r="B28" s="20" t="str">
        <f>IFERROR(__xludf.DUMMYFUNCTION("GOOGLETRANSLATE(A28, ""fr"", ""en"")"),"No lighting in the parking lot and behind staff outing")</f>
        <v>No lighting in the parking lot and behind staff outing</v>
      </c>
    </row>
    <row r="29">
      <c r="A29" s="19" t="s">
        <v>163</v>
      </c>
      <c r="B29" s="20" t="str">
        <f>IFERROR(__xludf.DUMMYFUNCTION("GOOGLETRANSLATE(A29, ""fr"", ""en"")"),"* Hello no light works once it is dark the whole parking lot is switched off and when the staff leave the premises at 9 p.m. it is all black * CH wants to see with FM")</f>
        <v>* Hello no light works once it is dark the whole parking lot is switched off and when the staff leave the premises at 9 p.m. it is all black * CH wants to see with FM</v>
      </c>
    </row>
    <row r="30">
      <c r="A30" s="19" t="s">
        <v>164</v>
      </c>
      <c r="B30" s="20" t="str">
        <f>IFERROR(__xludf.DUMMYFUNCTION("GOOGLETRANSLATE(A30, ""fr"", ""en"")"),"Bird droppings to clean")</f>
        <v>Bird droppings to clean</v>
      </c>
    </row>
    <row r="31">
      <c r="A31" s="19" t="s">
        <v>165</v>
      </c>
      <c r="B31" s="20" t="str">
        <f>IFERROR(__xludf.DUMMYFUNCTION("GOOGLETRANSLATE(A31, ""fr"", ""en"")"),"The Daudann is broken (parking)
 urgent")</f>
        <v>The Daudann is broken (parking)
 urgent</v>
      </c>
    </row>
    <row r="32">
      <c r="A32" s="19" t="s">
        <v>166</v>
      </c>
      <c r="B32" s="20" t="str">
        <f>IFERROR(__xludf.DUMMYFUNCTION("GOOGLETRANSLATE(A32, ""fr"", ""en"")"),"* Complete cleaning rack caddies")</f>
        <v>* Complete cleaning rack caddies</v>
      </c>
    </row>
    <row r="33">
      <c r="A33" s="19" t="s">
        <v>167</v>
      </c>
      <c r="B33" s="20" t="str">
        <f>IFERROR(__xludf.DUMMYFUNCTION("GOOGLETRANSLATE(A33, ""fr"", ""en"")"),"*Pass the karcher at the droppings present on the rac")</f>
        <v>*Pass the karcher at the droppings present on the rac</v>
      </c>
    </row>
    <row r="34">
      <c r="A34" s="19" t="s">
        <v>168</v>
      </c>
      <c r="B34" s="20" t="str">
        <f>IFERROR(__xludf.DUMMYFUNCTION("GOOGLETRANSLATE(A34, ""fr"", ""en"")"),"One of the barriers of Caddies Park is broken.")</f>
        <v>One of the barriers of Caddies Park is broken.</v>
      </c>
    </row>
    <row r="35">
      <c r="A35" s="19" t="s">
        <v>169</v>
      </c>
      <c r="B35" s="20" t="str">
        <f>IFERROR(__xludf.DUMMYFUNCTION("GOOGLETRANSLATE(A35, ""fr"", ""en"")"),"* Urgent cause visit of 11/11. It would be necessary to clean the front of the store")</f>
        <v>* Urgent cause visit of 11/11. It would be necessary to clean the front of the store</v>
      </c>
    </row>
    <row r="36">
      <c r="A36" s="19" t="s">
        <v>170</v>
      </c>
      <c r="B36" s="20" t="str">
        <f>IFERROR(__xludf.DUMMYFUNCTION("GOOGLETRANSLATE(A36, ""fr"", ""en"")"),"The cigarette post is broken")</f>
        <v>The cigarette post is broken</v>
      </c>
    </row>
    <row r="37">
      <c r="A37" s="19" t="s">
        <v>171</v>
      </c>
      <c r="B37" s="20" t="str">
        <f>IFERROR(__xludf.DUMMYFUNCTION("GOOGLETRANSLATE(A37, ""fr"", ""en"")"),"* Bird droppings")</f>
        <v>* Bird droppings</v>
      </c>
    </row>
    <row r="38">
      <c r="A38" s="19" t="s">
        <v>172</v>
      </c>
      <c r="B38" s="20" t="str">
        <f>IFERROR(__xludf.DUMMYFUNCTION("GOOGLETRANSLATE(A38, ""fr"", ""en"")"),"* Presence of droppings")</f>
        <v>* Presence of droppings</v>
      </c>
    </row>
    <row r="39">
      <c r="A39" s="19" t="s">
        <v>173</v>
      </c>
      <c r="B39" s="20" t="str">
        <f>IFERROR(__xludf.DUMMYFUNCTION("GOOGLETRANSLATE(A39, ""fr"", ""en"")"),"stuck in the ground")</f>
        <v>stuck in the ground</v>
      </c>
    </row>
    <row r="40">
      <c r="A40" s="19" t="s">
        <v>174</v>
      </c>
      <c r="B40" s="20" t="str">
        <f>IFERROR(__xludf.DUMMYFUNCTION("GOOGLETRANSLATE(A40, ""fr"", ""en"")"),"* Thank you for launching an intervention for cleaning the park in Caddie,
 quay, parking, softens of dead leaves
 Visit October 13")</f>
        <v>* Thank you for launching an intervention for cleaning the park in Caddie,
 quay, parking, softens of dead leaves
 Visit October 13</v>
      </c>
    </row>
    <row r="41">
      <c r="A41" s="19" t="s">
        <v>175</v>
      </c>
      <c r="B41" s="20" t="str">
        <f>IFERROR(__xludf.DUMMYFUNCTION("GOOGLETRANSLATE(A41, ""fr"", ""en"")"),"Bird droppings on Park A Charriot")</f>
        <v>Bird droppings on Park A Charriot</v>
      </c>
    </row>
    <row r="42">
      <c r="A42" s="19" t="s">
        <v>176</v>
      </c>
      <c r="B42" s="20" t="str">
        <f>IFERROR(__xludf.DUMMYFUNCTION("GOOGLETRANSLATE(A42, ""fr"", ""en"")"),"no longer open")</f>
        <v>no longer open</v>
      </c>
    </row>
    <row r="43">
      <c r="A43" s="19" t="s">
        <v>177</v>
      </c>
      <c r="B43" s="20" t="str">
        <f>IFERROR(__xludf.DUMMYFUNCTION("GOOGLETRANSLATE(A43, ""fr"", ""en"")"),"Pose of the display, it's useful! In the Entrance SAS on Erratum .odm made by AT3. Finished work.")</f>
        <v>Pose of the display, it's useful! In the Entrance SAS on Erratum .odm made by AT3. Finished work.</v>
      </c>
    </row>
    <row r="44">
      <c r="A44" s="19" t="s">
        <v>178</v>
      </c>
      <c r="B44" s="20" t="str">
        <f>IFERROR(__xludf.DUMMYFUNCTION("GOOGLETRANSLATE(A44, ""fr"", ""en"")"),"hello door entrance remains open does not close any more thank you for launching a quick intervention")</f>
        <v>hello door entrance remains open does not close any more thank you for launching a quick intervention</v>
      </c>
    </row>
    <row r="45">
      <c r="A45" s="19" t="s">
        <v>179</v>
      </c>
      <c r="B45" s="20" t="str">
        <f>IFERROR(__xludf.DUMMYFUNCTION("GOOGLETRANSLATE(A45, ""fr"", ""en"")"),"* broken wall")</f>
        <v>* broken wall</v>
      </c>
    </row>
    <row r="46">
      <c r="A46" s="19" t="s">
        <v>180</v>
      </c>
      <c r="B46" s="20" t="str">
        <f>IFERROR(__xludf.DUMMYFUNCTION("GOOGLETRANSLATE(A46, ""fr"", ""en"")"),"Quay")</f>
        <v>Quay</v>
      </c>
    </row>
    <row r="47">
      <c r="A47" s="19" t="s">
        <v>181</v>
      </c>
      <c r="B47" s="20" t="str">
        <f>IFERROR(__xludf.DUMMYFUNCTION("GOOGLETRANSLATE(A47, ""fr"", ""en"")"),"wall socket no longer works
 URGENT")</f>
        <v>wall socket no longer works
 URGENT</v>
      </c>
    </row>
    <row r="48">
      <c r="A48" s="19" t="s">
        <v>182</v>
      </c>
      <c r="B48" s="20" t="str">
        <f>IFERROR(__xludf.DUMMYFUNCTION("GOOGLETRANSLATE(A48, ""fr"", ""en"")"),"Break handle")</f>
        <v>Break handle</v>
      </c>
    </row>
    <row r="49">
      <c r="A49" s="19" t="s">
        <v>182</v>
      </c>
      <c r="B49" s="20" t="str">
        <f>IFERROR(__xludf.DUMMYFUNCTION("GOOGLETRANSLATE(A49, ""fr"", ""en"")"),"Break handle")</f>
        <v>Break handle</v>
      </c>
    </row>
    <row r="50">
      <c r="A50" s="21"/>
      <c r="B50" s="20" t="str">
        <f>IFERROR(__xludf.DUMMYFUNCTION("GOOGLETRANSLATE(A50, ""fr"", ""en"")"),"#VALUE!")</f>
        <v>#VALUE!</v>
      </c>
    </row>
    <row r="51">
      <c r="A51" s="19" t="s">
        <v>183</v>
      </c>
      <c r="B51" s="20" t="str">
        <f>IFERROR(__xludf.DUMMYFUNCTION("GOOGLETRANSLATE(A51, ""fr"", ""en"")"),"* Quai area to be cleaned with karcher and the lanyard of the quay leading to the door of the reserve
 Visit of 13/10")</f>
        <v>* Quai area to be cleaned with karcher and the lanyard of the quay leading to the door of the reserve
 Visit of 13/10</v>
      </c>
    </row>
    <row r="52">
      <c r="A52" s="19" t="s">
        <v>184</v>
      </c>
      <c r="B52" s="20" t="str">
        <f>IFERROR(__xludf.DUMMYFUNCTION("GOOGLETRANSLATE(A52, ""fr"", ""en"")"),"HS material reserve door")</f>
        <v>HS material reserve door</v>
      </c>
    </row>
    <row r="53">
      <c r="A53" s="19" t="s">
        <v>185</v>
      </c>
      <c r="B53" s="20" t="str">
        <f>IFERROR(__xludf.DUMMYFUNCTION("GOOGLETRANSLATE(A53, ""fr"", ""en"")"),"* Quai cleaning")</f>
        <v>* Quai cleaning</v>
      </c>
    </row>
    <row r="54">
      <c r="A54" s="19" t="s">
        <v>186</v>
      </c>
      <c r="B54" s="20" t="str">
        <f>IFERROR(__xludf.DUMMYFUNCTION("GOOGLETRANSLATE(A54, ""fr"", ""en"")"),"Tighten
 Fill a 20cm hen biz in front of the entrance")</f>
        <v>Tighten
 Fill a 20cm hen biz in front of the entrance</v>
      </c>
    </row>
    <row r="55">
      <c r="A55" s="19" t="s">
        <v>187</v>
      </c>
      <c r="B55" s="20" t="str">
        <f>IFERROR(__xludf.DUMMYFUNCTION("GOOGLETRANSLATE(A55, ""fr"", ""en"")"),"Parking cleaning")</f>
        <v>Parking cleaning</v>
      </c>
    </row>
    <row r="56">
      <c r="A56" s="19" t="s">
        <v>188</v>
      </c>
      <c r="B56" s="20" t="str">
        <f>IFERROR(__xludf.DUMMYFUNCTION("GOOGLETRANSLATE(A56, ""fr"", ""en"")"),"Dodanne broken in the parking lot")</f>
        <v>Dodanne broken in the parking lot</v>
      </c>
    </row>
    <row r="57">
      <c r="A57" s="19" t="s">
        <v>189</v>
      </c>
      <c r="B57" s="20" t="str">
        <f>IFERROR(__xludf.DUMMYFUNCTION("GOOGLETRANSLATE(A57, ""fr"", ""en"")"),"Cleaning parking. Tire hanging out ...")</f>
        <v>Cleaning parking. Tire hanging out ...</v>
      </c>
    </row>
    <row r="58">
      <c r="A58" s="19" t="s">
        <v>190</v>
      </c>
      <c r="B58" s="20" t="str">
        <f>IFERROR(__xludf.DUMMYFUNCTION("GOOGLETRANSLATE(A58, ""fr"", ""en"")"),"car burn")</f>
        <v>car burn</v>
      </c>
    </row>
    <row r="59">
      <c r="A59" s="19" t="s">
        <v>191</v>
      </c>
      <c r="B59" s="20" t="str">
        <f>IFERROR(__xludf.DUMMYFUNCTION("GOOGLETRANSLATE(A59, ""fr"", ""en"")"),"Brulzr car")</f>
        <v>Brulzr car</v>
      </c>
    </row>
    <row r="60">
      <c r="A60" s="19" t="s">
        <v>192</v>
      </c>
      <c r="B60" s="20" t="str">
        <f>IFERROR(__xludf.DUMMYFUNCTION("GOOGLETRANSLATE(A60, ""fr"", ""en"")"),"Place on the lighting mast of a late mowing panel. Odm made by AT3.")</f>
        <v>Place on the lighting mast of a late mowing panel. Odm made by AT3.</v>
      </c>
    </row>
    <row r="61">
      <c r="A61" s="19" t="s">
        <v>193</v>
      </c>
      <c r="B61" s="20" t="str">
        <f>IFERROR(__xludf.DUMMYFUNCTION("GOOGLETRANSLATE(A61, ""fr"", ""en"")"),"ashtray torn off
 urgent")</f>
        <v>ashtray torn off
 urgent</v>
      </c>
    </row>
    <row r="62">
      <c r="A62" s="19" t="s">
        <v>194</v>
      </c>
      <c r="B62" s="20" t="str">
        <f>IFERROR(__xludf.DUMMYFUNCTION("GOOGLETRANSLATE(A62, ""fr"", ""en"")"),"Portal broken by the driver Monday evening (07.03)
 Expedition called Tuesday morning to contact the driver and make the observation")</f>
        <v>Portal broken by the driver Monday evening (07.03)
 Expedition called Tuesday morning to contact the driver and make the observation</v>
      </c>
    </row>
    <row r="63">
      <c r="A63" s="19" t="s">
        <v>195</v>
      </c>
      <c r="B63" s="20" t="str">
        <f>IFERROR(__xludf.DUMMYFUNCTION("GOOGLETRANSLATE(A63, ""fr"", ""en"")"),"Message: Emergency stop
 Maintenance call ok")</f>
        <v>Message: Emergency stop
 Maintenance call ok</v>
      </c>
    </row>
    <row r="64">
      <c r="A64" s="19" t="s">
        <v>196</v>
      </c>
      <c r="B64" s="20" t="str">
        <f>IFERROR(__xludf.DUMMYFUNCTION("GOOGLETRANSLATE(A64, ""fr"", ""en"")"),"Boule de la Haise breaks")</f>
        <v>Boule de la Haise breaks</v>
      </c>
    </row>
    <row r="65">
      <c r="A65" s="19" t="s">
        <v>197</v>
      </c>
      <c r="B65" s="20" t="str">
        <f>IFERROR(__xludf.DUMMYFUNCTION("GOOGLETRANSLATE(A65, ""fr"", ""en"")"),"Nothing is displayed on the screen")</f>
        <v>Nothing is displayed on the screen</v>
      </c>
    </row>
    <row r="66">
      <c r="A66" s="19" t="s">
        <v>198</v>
      </c>
      <c r="B66" s="20" t="str">
        <f>IFERROR(__xludf.DUMMYFUNCTION("GOOGLETRANSLATE(A66, ""fr"", ""en"")"),"The detector to remove the rolls no longer works")</f>
        <v>The detector to remove the rolls no longer works</v>
      </c>
    </row>
    <row r="67">
      <c r="A67" s="19" t="s">
        <v>199</v>
      </c>
      <c r="B67" s="20" t="str">
        <f>IFERROR(__xludf.DUMMYFUNCTION("GOOGLETRANSLATE(A67, ""fr"", ""en"")"),"oil leak all around")</f>
        <v>oil leak all around</v>
      </c>
    </row>
    <row r="68">
      <c r="A68" s="19" t="s">
        <v>200</v>
      </c>
      <c r="B68" s="20" t="str">
        <f>IFERROR(__xludf.DUMMYFUNCTION("GOOGLETRANSLATE(A68, ""fr"", ""en"")"),"carriage does not go up or go down")</f>
        <v>carriage does not go up or go down</v>
      </c>
    </row>
    <row r="69">
      <c r="A69" s="19" t="s">
        <v>201</v>
      </c>
      <c r="B69" s="20" t="str">
        <f>IFERROR(__xludf.DUMMYFUNCTION("GOOGLETRANSLATE(A69, ""fr"", ""en"")"),"Rolls block up")</f>
        <v>Rolls block up</v>
      </c>
    </row>
    <row r="70">
      <c r="A70" s="19" t="s">
        <v>202</v>
      </c>
      <c r="B70" s="20" t="str">
        <f>IFERROR(__xludf.DUMMYFUNCTION("GOOGLETRANSLATE(A70, ""fr"", ""en"")"),"Oil leak in front at the location of the boxes with boxes")</f>
        <v>Oil leak in front at the location of the boxes with boxes</v>
      </c>
    </row>
    <row r="71">
      <c r="A71" s="19" t="s">
        <v>203</v>
      </c>
      <c r="B71" s="20" t="str">
        <f>IFERROR(__xludf.DUMMYFUNCTION("GOOGLETRANSLATE(A71, ""fr"", ""en"")"),"The small wrist which is used to block the rolls is broken")</f>
        <v>The small wrist which is used to block the rolls is broken</v>
      </c>
    </row>
    <row r="72">
      <c r="A72" s="19" t="s">
        <v>204</v>
      </c>
      <c r="B72" s="20" t="str">
        <f>IFERROR(__xludf.DUMMYFUNCTION("GOOGLETRANSLATE(A72, ""fr"", ""en"")"),"The oven vibrates and makes a lot of noise during program n ° 2")</f>
        <v>The oven vibrates and makes a lot of noise during program n ° 2</v>
      </c>
    </row>
    <row r="73">
      <c r="A73" s="19" t="s">
        <v>205</v>
      </c>
      <c r="B73" s="20" t="str">
        <f>IFERROR(__xludf.DUMMYFUNCTION("GOOGLETRANSLATE(A73, ""fr"", ""en"")"),"hello I have the 2nd top oven which no longer works thank you for launching an intervention quickly thank you")</f>
        <v>hello I have the 2nd top oven which no longer works thank you for launching an intervention quickly thank you</v>
      </c>
    </row>
    <row r="74">
      <c r="A74" s="19" t="s">
        <v>206</v>
      </c>
      <c r="B74" s="20" t="str">
        <f>IFERROR(__xludf.DUMMYFUNCTION("GOOGLETRANSLATE(A74, ""fr"", ""en"")"),"Sound problem + product cooking.")</f>
        <v>Sound problem + product cooking.</v>
      </c>
    </row>
    <row r="75">
      <c r="A75" s="19" t="s">
        <v>207</v>
      </c>
      <c r="B75" s="20" t="str">
        <f>IFERROR(__xludf.DUMMYFUNCTION("GOOGLETRANSLATE(A75, ""fr"", ""en"")"),"See photo - Four blocked on this image")</f>
        <v>See photo - Four blocked on this image</v>
      </c>
    </row>
    <row r="76">
      <c r="A76" s="19" t="s">
        <v>208</v>
      </c>
      <c r="B76" s="20" t="str">
        <f>IFERROR(__xludf.DUMMYFUNCTION("GOOGLETRANSLATE(A76, ""fr"", ""en"")"),"door closes no longer properly and does not launch the program, wrist problem")</f>
        <v>door closes no longer properly and does not launch the program, wrist problem</v>
      </c>
    </row>
    <row r="77">
      <c r="A77" s="19" t="s">
        <v>209</v>
      </c>
      <c r="B77" s="20" t="str">
        <f>IFERROR(__xludf.DUMMYFUNCTION("GOOGLETRANSLATE(A77, ""fr"", ""en"")"),"wrist which does not close properly so indicates that the oven is not closing")</f>
        <v>wrist which does not close properly so indicates that the oven is not closing</v>
      </c>
    </row>
    <row r="78">
      <c r="A78" s="19" t="s">
        <v>210</v>
      </c>
      <c r="B78" s="20" t="str">
        <f>IFERROR(__xludf.DUMMYFUNCTION("GOOGLETRANSLATE(A78, ""fr"", ""en"")"),"Following the technician's intervention, an electrician should be involved again because ""2 phases are missing out of 3, taken non -compliant. Not enough juice for the oven to work""")</f>
        <v>Following the technician's intervention, an electrician should be involved again because "2 phases are missing out of 3, taken non -compliant. Not enough juice for the oven to work"</v>
      </c>
    </row>
    <row r="79">
      <c r="A79" s="19" t="s">
        <v>211</v>
      </c>
      <c r="B79" s="20" t="str">
        <f>IFERROR(__xludf.DUMMYFUNCTION("GOOGLETRANSLATE(A79, ""fr"", ""en"")"),"The door no longer closes on the oven of the top in the magaine")</f>
        <v>The door no longer closes on the oven of the top in the magaine</v>
      </c>
    </row>
    <row r="80">
      <c r="A80" s="19" t="s">
        <v>212</v>
      </c>
      <c r="B80" s="20" t="str">
        <f>IFERROR(__xludf.DUMMYFUNCTION("GOOGLETRANSLATE(A80, ""fr"", ""en"")"),"The top oven at the store level no longer lights the screen is black. A technician has already intervened for the oven but the problem comes from the electrical outlet which is defective")</f>
        <v>The top oven at the store level no longer lights the screen is black. A technician has already intervened for the oven but the problem comes from the electrical outlet which is defective</v>
      </c>
    </row>
    <row r="81">
      <c r="A81" s="19" t="s">
        <v>213</v>
      </c>
      <c r="B81" s="20" t="str">
        <f>IFERROR(__xludf.DUMMYFUNCTION("GOOGLETRANSLATE(A81, ""fr"", ""en"")"),"Following other requests an electrician came to change the oven socket but the oven still does not work.")</f>
        <v>Following other requests an electrician came to change the oven socket but the oven still does not work.</v>
      </c>
    </row>
    <row r="82">
      <c r="A82" s="19" t="s">
        <v>214</v>
      </c>
      <c r="B82" s="20" t="str">
        <f>IFERROR(__xludf.DUMMYFUNCTION("GOOGLETRANSLATE(A82, ""fr"", ""en"")"),"The oven screen was flashing, and then got on black screen. The oven no longer reacts")</f>
        <v>The oven screen was flashing, and then got on black screen. The oven no longer reacts</v>
      </c>
    </row>
    <row r="83">
      <c r="A83" s="19" t="s">
        <v>215</v>
      </c>
      <c r="B83" s="20" t="str">
        <f>IFERROR(__xludf.DUMMYFUNCTION("GOOGLETRANSLATE(A83, ""fr"", ""en"")"),"At the request of the FM: control of ethernet wiring and modem on ODM ovens made by AT3.")</f>
        <v>At the request of the FM: control of ethernet wiring and modem on ODM ovens made by AT3.</v>
      </c>
    </row>
    <row r="84">
      <c r="A84" s="19" t="s">
        <v>216</v>
      </c>
      <c r="B84" s="20" t="str">
        <f>IFERROR(__xludf.DUMMYFUNCTION("GOOGLETRANSLATE(A84, ""fr"", ""en"")"),"Rebouched the PVC evacuation of the oven.odm made by AT3.")</f>
        <v>Rebouched the PVC evacuation of the oven.odm made by AT3.</v>
      </c>
    </row>
    <row r="85">
      <c r="A85" s="19" t="s">
        <v>217</v>
      </c>
      <c r="B85" s="20" t="str">
        <f>IFERROR(__xludf.DUMMYFUNCTION("GOOGLETRANSLATE(A85, ""fr"", ""en"")"),"We do not have the code to be to be shown the urgent oven please")</f>
        <v>We do not have the code to be to be shown the urgent oven please</v>
      </c>
    </row>
    <row r="86">
      <c r="A86" s="19" t="s">
        <v>218</v>
      </c>
      <c r="B86" s="20" t="str">
        <f>IFERROR(__xludf.DUMMYFUNCTION("GOOGLETRANSLATE(A86, ""fr"", ""en"")"),"Oven cleaning problem
 Despite the filling of the product, the oven does not clean")</f>
        <v>Oven cleaning problem
 Despite the filling of the product, the oven does not clean</v>
      </c>
    </row>
    <row r="87">
      <c r="A87" s="19" t="s">
        <v>219</v>
      </c>
      <c r="B87" s="20" t="str">
        <f>IFERROR(__xludf.DUMMYFUNCTION("GOOGLETRANSLATE(A87, ""fr"", ""en"")"),"Reqte block on baguette cooking")</f>
        <v>Reqte block on baguette cooking</v>
      </c>
    </row>
    <row r="88">
      <c r="A88" s="19" t="s">
        <v>220</v>
      </c>
      <c r="B88" s="20" t="str">
        <f>IFERROR(__xludf.DUMMYFUNCTION("GOOGLETRANSLATE(A88, ""fr"", ""en"")"),"does not work")</f>
        <v>does not work</v>
      </c>
    </row>
    <row r="89">
      <c r="A89" s="19" t="s">
        <v>221</v>
      </c>
      <c r="B89" s="20" t="str">
        <f>IFERROR(__xludf.DUMMYFUNCTION("GOOGLETRANSLATE(A89, ""fr"", ""en"")"),"does not heat")</f>
        <v>does not heat</v>
      </c>
    </row>
    <row r="90">
      <c r="A90" s="19" t="s">
        <v>222</v>
      </c>
      <c r="B90" s="20" t="str">
        <f>IFERROR(__xludf.DUMMYFUNCTION("GOOGLETRANSLATE(A90, ""fr"", ""en"")"),"Not all oven works
 The general dijection of the oven is no longer rising
 URGENT")</f>
        <v>Not all oven works
 The general dijection of the oven is no longer rising
 URGENT</v>
      </c>
    </row>
    <row r="91">
      <c r="A91" s="19" t="s">
        <v>223</v>
      </c>
      <c r="B91" s="20" t="str">
        <f>IFERROR(__xludf.DUMMYFUNCTION("GOOGLETRANSLATE(A91, ""fr"", ""en"")"),"oven does not")</f>
        <v>oven does not</v>
      </c>
    </row>
    <row r="92">
      <c r="A92" s="19" t="s">
        <v>224</v>
      </c>
      <c r="B92" s="20" t="str">
        <f>IFERROR(__xludf.DUMMYFUNCTION("GOOGLETRANSLATE(A92, ""fr"", ""en"")"),"The oven does not get it. It must be put out each time to hope to use it")</f>
        <v>The oven does not get it. It must be put out each time to hope to use it</v>
      </c>
    </row>
    <row r="93">
      <c r="A93" s="19" t="s">
        <v>225</v>
      </c>
      <c r="B93" s="20" t="str">
        <f>IFERROR(__xludf.DUMMYFUNCTION("GOOGLETRANSLATE(A93, ""fr"", ""en"")"),"The oven makes all other ovens if on the way")</f>
        <v>The oven makes all other ovens if on the way</v>
      </c>
    </row>
    <row r="94">
      <c r="A94" s="19" t="s">
        <v>226</v>
      </c>
      <c r="B94" s="20" t="str">
        <f>IFERROR(__xludf.DUMMYFUNCTION("GOOGLETRANSLATE(A94, ""fr"", ""en"")"),"Plugs have skipped impossible urgent enlightenment")</f>
        <v>Plugs have skipped impossible urgent enlightenment</v>
      </c>
    </row>
    <row r="95">
      <c r="A95" s="21"/>
      <c r="B95" s="20" t="str">
        <f>IFERROR(__xludf.DUMMYFUNCTION("GOOGLETRANSLATE(A95, ""fr"", ""en"")"),"#VALUE!")</f>
        <v>#VALUE!</v>
      </c>
    </row>
    <row r="96">
      <c r="A96" s="19" t="s">
        <v>227</v>
      </c>
      <c r="B96" s="20" t="str">
        <f>IFERROR(__xludf.DUMMYFUNCTION("GOOGLETRANSLATE(A96, ""fr"", ""en"")"),"At the FM request: Ethernet wiring control on the ovens and the presence of MoDem.odm made by AT3. Finished work.")</f>
        <v>At the FM request: Ethernet wiring control on the ovens and the presence of MoDem.odm made by AT3. Finished work.</v>
      </c>
    </row>
    <row r="97">
      <c r="A97" s="19" t="s">
        <v>228</v>
      </c>
      <c r="B97" s="20" t="str">
        <f>IFERROR(__xludf.DUMMYFUNCTION("GOOGLETRANSLATE(A97, ""fr"", ""en"")"),"Return the cash flows")</f>
        <v>Return the cash flows</v>
      </c>
    </row>
    <row r="98">
      <c r="A98" s="19" t="s">
        <v>229</v>
      </c>
      <c r="B98" s="20" t="str">
        <f>IFERROR(__xludf.DUMMYFUNCTION("GOOGLETRANSLATE(A98, ""fr"", ""en"")"),"Urgent: problem with an oven in overvoltage that makes the whole lab bread bleed + leak in an oven
 (No photos because it is impossible to send the request from the MDE)")</f>
        <v>Urgent: problem with an oven in overvoltage that makes the whole lab bread bleed + leak in an oven
 (No photos because it is impossible to send the request from the MDE)</v>
      </c>
    </row>
    <row r="99">
      <c r="A99" s="19" t="s">
        <v>230</v>
      </c>
      <c r="B99" s="20" t="str">
        <f>IFERROR(__xludf.DUMMYFUNCTION("GOOGLETRANSLATE(A99, ""fr"", ""en"")"),"Interior window with broken down Left oven.")</f>
        <v>Interior window with broken down Left oven.</v>
      </c>
    </row>
    <row r="100">
      <c r="A100" s="19" t="s">
        <v>231</v>
      </c>
      <c r="B100" s="20" t="str">
        <f>IFERROR(__xludf.DUMMYFUNCTION("GOOGLETRANSLATE(A100, ""fr"", ""en"")"),"The oven no longer starts
 The screen is out
 The oven is therefore unusable")</f>
        <v>The oven no longer starts
 The screen is out
 The oven is therefore unusable</v>
      </c>
    </row>
    <row r="101">
      <c r="A101" s="19" t="s">
        <v>232</v>
      </c>
      <c r="B101" s="20" t="str">
        <f>IFERROR(__xludf.DUMMYFUNCTION("GOOGLETRANSLATE(A101, ""fr"", ""en"")"),"The two top ovens take a long time to heat up and subsequently do not cook properly. Sometimes non -Vendable bread.")</f>
        <v>The two top ovens take a long time to heat up and subsequently do not cook properly. Sometimes non -Vendable bread.</v>
      </c>
    </row>
    <row r="102">
      <c r="A102" s="19" t="s">
        <v>233</v>
      </c>
      <c r="B102" s="20" t="str">
        <f>IFERROR(__xludf.DUMMYFUNCTION("GOOGLETRANSLATE(A102, ""fr"", ""en"")"),"Indicate do not be closed out that it is well closed")</f>
        <v>Indicate do not be closed out that it is well closed</v>
      </c>
    </row>
    <row r="103">
      <c r="A103" s="19" t="s">
        <v>234</v>
      </c>
      <c r="B103" s="20" t="str">
        <f>IFERROR(__xludf.DUMMYFUNCTION("GOOGLETRANSLATE(A103, ""fr"", ""en"")"),"The oven does not work, indicates that the door is not closed when it is, so the cooking program does not start.
 Haut oven in reserve.")</f>
        <v>The oven does not work, indicates that the door is not closed when it is, so the cooking program does not start.
 Haut oven in reserve.</v>
      </c>
    </row>
    <row r="104">
      <c r="A104" s="19" t="s">
        <v>235</v>
      </c>
      <c r="B104" s="20" t="str">
        <f>IFERROR(__xludf.DUMMYFUNCTION("GOOGLETRANSLATE(A104, ""fr"", ""en"")"),"The oven does not clean")</f>
        <v>The oven does not clean</v>
      </c>
    </row>
    <row r="105">
      <c r="A105" s="19" t="s">
        <v>236</v>
      </c>
      <c r="B105" s="20" t="str">
        <f>IFERROR(__xludf.DUMMYFUNCTION("GOOGLETRANSLATE(A105, ""fr"", ""en"")"),"Right oven The door handle is not enlightened properly.")</f>
        <v>Right oven The door handle is not enlightened properly.</v>
      </c>
    </row>
    <row r="106">
      <c r="A106" s="19" t="s">
        <v>207</v>
      </c>
      <c r="B106" s="20" t="str">
        <f>IFERROR(__xludf.DUMMYFUNCTION("GOOGLETRANSLATE(A106, ""fr"", ""en"")"),"See photo - Four blocked on this image")</f>
        <v>See photo - Four blocked on this image</v>
      </c>
    </row>
    <row r="107">
      <c r="A107" s="21"/>
      <c r="B107" s="20" t="str">
        <f>IFERROR(__xludf.DUMMYFUNCTION("GOOGLETRANSLATE(A107, ""fr"", ""en"")"),"#VALUE!")</f>
        <v>#VALUE!</v>
      </c>
    </row>
    <row r="108">
      <c r="A108" s="19" t="s">
        <v>237</v>
      </c>
      <c r="B108" s="20" t="str">
        <f>IFERROR(__xludf.DUMMYFUNCTION("GOOGLETRANSLATE(A108, ""fr"", ""en"")"),"The oven indicates that the door is open when closed. We must regularly turn off and close the oven for updating.")</f>
        <v>The oven indicates that the door is open when closed. We must regularly turn off and close the oven for updating.</v>
      </c>
    </row>
    <row r="109">
      <c r="A109" s="19" t="s">
        <v>238</v>
      </c>
      <c r="B109" s="20" t="str">
        <f>IFERROR(__xludf.DUMMYFUNCTION("GOOGLETRANSLATE(A109, ""fr"", ""en"")"),"Kommodul replacement + connection test")</f>
        <v>Kommodul replacement + connection test</v>
      </c>
    </row>
    <row r="110">
      <c r="A110" s="19" t="s">
        <v>239</v>
      </c>
      <c r="B110" s="20" t="str">
        <f>IFERROR(__xludf.DUMMYFUNCTION("GOOGLETRANSLATE(A110, ""fr"", ""en"")"),"Starting the windows front of the SAS")</f>
        <v>Starting the windows front of the SAS</v>
      </c>
    </row>
    <row r="111">
      <c r="A111" s="19" t="s">
        <v>240</v>
      </c>
      <c r="B111" s="20" t="str">
        <f>IFERROR(__xludf.DUMMYFUNCTION("GOOGLETRANSLATE(A111, ""fr"", ""en"")"),"Provide store window intervention")</f>
        <v>Provide store window intervention</v>
      </c>
    </row>
    <row r="112">
      <c r="A112" s="19" t="s">
        <v>241</v>
      </c>
      <c r="B112" s="20" t="str">
        <f>IFERROR(__xludf.DUMMYFUNCTION("GOOGLETRANSLATE(A112, ""fr"", ""en"")"),"* Crown glass")</f>
        <v>* Crown glass</v>
      </c>
    </row>
    <row r="113">
      <c r="A113" s="19" t="s">
        <v>242</v>
      </c>
      <c r="B113" s="20" t="str">
        <f>IFERROR(__xludf.DUMMYFUNCTION("GOOGLETRANSLATE(A113, ""fr"", ""en"")"),"Store showcase at the front of a broken checkout following a shock
 Flowing from the bottom up to the top")</f>
        <v>Store showcase at the front of a broken checkout following a shock
 Flowing from the bottom up to the top</v>
      </c>
    </row>
    <row r="114">
      <c r="A114" s="19" t="s">
        <v>243</v>
      </c>
      <c r="B114" s="20" t="str">
        <f>IFERROR(__xludf.DUMMYFUNCTION("GOOGLETRANSLATE(A114, ""fr"", ""en"")"),"Store block")</f>
        <v>Store block</v>
      </c>
    </row>
    <row r="115">
      <c r="A115" s="19" t="s">
        <v>244</v>
      </c>
      <c r="B115" s="20" t="str">
        <f>IFERROR(__xludf.DUMMYFUNCTION("GOOGLETRANSLATE(A115, ""fr"", ""en"")"),"At the request of the CM: broken handle on the MF.ODM door made by AT3.")</f>
        <v>At the request of the CM: broken handle on the MF.ODM door made by AT3.</v>
      </c>
    </row>
    <row r="116">
      <c r="A116" s="19" t="s">
        <v>245</v>
      </c>
      <c r="B116" s="20" t="str">
        <f>IFERROR(__xludf.DUMMYFUNCTION("GOOGLETRANSLATE(A116, ""fr"", ""en"")"),"LED tube on MF HS.ODM made by AT3.")</f>
        <v>LED tube on MF HS.ODM made by AT3.</v>
      </c>
    </row>
    <row r="117">
      <c r="A117" s="19" t="s">
        <v>246</v>
      </c>
      <c r="B117" s="20" t="str">
        <f>IFERROR(__xludf.DUMMYFUNCTION("GOOGLETRANSLATE(A117, ""fr"", ""en"")"),"broken glass in the dish cooked in the fresh")</f>
        <v>broken glass in the dish cooked in the fresh</v>
      </c>
    </row>
    <row r="118">
      <c r="A118" s="19" t="s">
        <v>247</v>
      </c>
      <c r="B118" s="20" t="str">
        <f>IFERROR(__xludf.DUMMYFUNCTION("GOOGLETRANSLATE(A118, ""fr"", ""en"")"),"The light flashes without stop")</f>
        <v>The light flashes without stop</v>
      </c>
    </row>
    <row r="119">
      <c r="A119" s="19" t="s">
        <v>248</v>
      </c>
      <c r="B119" s="20" t="str">
        <f>IFERROR(__xludf.DUMMYFUNCTION("GOOGLETRANSLATE(A119, ""fr"", ""en"")"),"light that flashes once out of two")</f>
        <v>light that flashes once out of two</v>
      </c>
    </row>
    <row r="120">
      <c r="A120" s="19" t="s">
        <v>249</v>
      </c>
      <c r="B120" s="20" t="str">
        <f>IFERROR(__xludf.DUMMYFUNCTION("GOOGLETRANSLATE(A120, ""fr"", ""en"")"),"bees nest to change")</f>
        <v>bees nest to change</v>
      </c>
    </row>
    <row r="121">
      <c r="A121" s="19" t="s">
        <v>250</v>
      </c>
      <c r="B121" s="20" t="str">
        <f>IFERROR(__xludf.DUMMYFUNCTION("GOOGLETRANSLATE(A121, ""fr"", ""en"")"),"water")</f>
        <v>water</v>
      </c>
    </row>
    <row r="122">
      <c r="A122" s="19" t="s">
        <v>251</v>
      </c>
      <c r="B122" s="20" t="str">
        <f>IFERROR(__xludf.DUMMYFUNCTION("GOOGLETRANSLATE(A122, ""fr"", ""en"")"),"Broken honeycomb in the mf.odm made by AT3")</f>
        <v>Broken honeycomb in the mf.odm made by AT3</v>
      </c>
    </row>
    <row r="123">
      <c r="A123" s="19" t="s">
        <v>252</v>
      </c>
      <c r="B123" s="20" t="str">
        <f>IFERROR(__xludf.DUMMYFUNCTION("GOOGLETRANSLATE(A123, ""fr"", ""en"")"),"Neon HS Fresh Furniture")</f>
        <v>Neon HS Fresh Furniture</v>
      </c>
    </row>
    <row r="124">
      <c r="A124" s="19" t="s">
        <v>253</v>
      </c>
      <c r="B124" s="20" t="str">
        <f>IFERROR(__xludf.DUMMYFUNCTION("GOOGLETRANSLATE(A124, ""fr"", ""en"")"),"High temperature defects on all of the store furniture in the store. Effective intervention.")</f>
        <v>High temperature defects on all of the store furniture in the store. Effective intervention.</v>
      </c>
    </row>
    <row r="125">
      <c r="A125" s="19" t="s">
        <v>254</v>
      </c>
      <c r="B125" s="20" t="str">
        <f>IFERROR(__xludf.DUMMYFUNCTION("GOOGLETRANSLATE(A125, ""fr"", ""en"")"),"Fresh door handle broken snacking")</f>
        <v>Fresh door handle broken snacking</v>
      </c>
    </row>
    <row r="126">
      <c r="A126" s="19" t="s">
        <v>255</v>
      </c>
      <c r="B126" s="20" t="str">
        <f>IFERROR(__xludf.DUMMYFUNCTION("GOOGLETRANSLATE(A126, ""fr"", ""en"")"),"Apparent sheet at the bottom of the department")</f>
        <v>Apparent sheet at the bottom of the department</v>
      </c>
    </row>
    <row r="127">
      <c r="A127" s="19" t="s">
        <v>256</v>
      </c>
      <c r="B127" s="20" t="str">
        <f>IFERROR(__xludf.DUMMYFUNCTION("GOOGLETRANSLATE(A127, ""fr"", ""en"")"),"Broken thermometer.")</f>
        <v>Broken thermometer.</v>
      </c>
    </row>
    <row r="128">
      <c r="A128" s="19" t="s">
        <v>257</v>
      </c>
      <c r="B128" s="20" t="str">
        <f>IFERROR(__xludf.DUMMYFUNCTION("GOOGLETRANSLATE(A128, ""fr"", ""en"")"),"A neon no longer works.")</f>
        <v>A neon no longer works.</v>
      </c>
    </row>
    <row r="129">
      <c r="A129" s="19" t="s">
        <v>258</v>
      </c>
      <c r="B129" s="20" t="str">
        <f>IFERROR(__xludf.DUMMYFUNCTION("GOOGLETRANSLATE(A129, ""fr"", ""en"")"),"Break holder, poignate on the left")</f>
        <v>Break holder, poignate on the left</v>
      </c>
    </row>
    <row r="130">
      <c r="A130" s="19" t="s">
        <v>259</v>
      </c>
      <c r="B130" s="20" t="str">
        <f>IFERROR(__xludf.DUMMYFUNCTION("GOOGLETRANSLATE(A130, ""fr"", ""en"")"),"Apparent metal at the bottom radius in several places")</f>
        <v>Apparent metal at the bottom radius in several places</v>
      </c>
    </row>
    <row r="131">
      <c r="A131" s="19" t="s">
        <v>260</v>
      </c>
      <c r="B131" s="20" t="str">
        <f>IFERROR(__xludf.DUMMYFUNCTION("GOOGLETRANSLATE(A131, ""fr"", ""en"")"),"Broken door, replacement request")</f>
        <v>Broken door, replacement request</v>
      </c>
    </row>
    <row r="132">
      <c r="A132" s="19" t="s">
        <v>261</v>
      </c>
      <c r="B132" s="20" t="str">
        <f>IFERROR(__xludf.DUMMYFUNCTION("GOOGLETRANSLATE(A132, ""fr"", ""en"")"),"AT Watering purge")</f>
        <v>AT Watering purge</v>
      </c>
    </row>
    <row r="133">
      <c r="A133" s="19" t="s">
        <v>262</v>
      </c>
      <c r="B133" s="20" t="str">
        <f>IFERROR(__xludf.DUMMYFUNCTION("GOOGLETRANSLATE(A133, ""fr"", ""en"")"),"At. Lum HS MF")</f>
        <v>At. Lum HS MF</v>
      </c>
    </row>
    <row r="134">
      <c r="A134" s="19" t="s">
        <v>263</v>
      </c>
      <c r="B134" s="20" t="str">
        <f>IFERROR(__xludf.DUMMYFUNCTION("GOOGLETRANSLATE(A134, ""fr"", ""en"")"),"Protection Furniture Fresh Debtity")</f>
        <v>Protection Furniture Fresh Debtity</v>
      </c>
    </row>
    <row r="135">
      <c r="A135" s="19" t="s">
        <v>264</v>
      </c>
      <c r="B135" s="20" t="str">
        <f>IFERROR(__xludf.DUMMYFUNCTION("GOOGLETRANSLATE(A135, ""fr"", ""en"")"),"At the request of the CM: HS LED tubes in Fresh furniture. ODM made by AT3. Finished work")</f>
        <v>At the request of the CM: HS LED tubes in Fresh furniture. ODM made by AT3. Finished work</v>
      </c>
    </row>
    <row r="136">
      <c r="A136" s="19" t="s">
        <v>265</v>
      </c>
      <c r="B136" s="20" t="str">
        <f>IFERROR(__xludf.DUMMYFUNCTION("GOOGLETRANSLATE(A136, ""fr"", ""en"")"),"The fresh door degrees when it is too open")</f>
        <v>The fresh door degrees when it is too open</v>
      </c>
    </row>
    <row r="137">
      <c r="A137" s="19" t="s">
        <v>266</v>
      </c>
      <c r="B137" s="20" t="str">
        <f>IFERROR(__xludf.DUMMYFUNCTION("GOOGLETRANSLATE(A137, ""fr"", ""en"")"),"Pb of liaison on fresh linear with pc bo")</f>
        <v>Pb of liaison on fresh linear with pc bo</v>
      </c>
    </row>
    <row r="138">
      <c r="A138" s="19" t="s">
        <v>267</v>
      </c>
      <c r="B138" s="20" t="str">
        <f>IFERROR(__xludf.DUMMYFUNCTION("GOOGLETRANSLATE(A138, ""fr"", ""en"")"),"Furniture filled with water. Temperature ok.")</f>
        <v>Furniture filled with water. Temperature ok.</v>
      </c>
    </row>
    <row r="139">
      <c r="A139" s="19" t="s">
        <v>268</v>
      </c>
      <c r="B139" s="20" t="str">
        <f>IFERROR(__xludf.DUMMYFUNCTION("GOOGLETRANSLATE(A139, ""fr"", ""en"")"),"HS spot")</f>
        <v>HS spot</v>
      </c>
    </row>
    <row r="140">
      <c r="A140" s="19" t="s">
        <v>269</v>
      </c>
      <c r="B140" s="20" t="str">
        <f>IFERROR(__xludf.DUMMYFUNCTION("GOOGLETRANSLATE(A140, ""fr"", ""en"")"),"Lack the name of the department")</f>
        <v>Lack the name of the department</v>
      </c>
    </row>
    <row r="141">
      <c r="A141" s="19" t="s">
        <v>270</v>
      </c>
      <c r="B141" s="20" t="str">
        <f>IFERROR(__xludf.DUMMYFUNCTION("GOOGLETRANSLATE(A141, ""fr"", ""en"")"),"A window of a fresh furniture with wrist on the right is broken. This is the first door in the signs next to the milk.")</f>
        <v>A window of a fresh furniture with wrist on the right is broken. This is the first door in the signs next to the milk.</v>
      </c>
    </row>
    <row r="142">
      <c r="A142" s="19" t="s">
        <v>271</v>
      </c>
      <c r="B142" s="20" t="str">
        <f>IFERROR(__xludf.DUMMYFUNCTION("GOOGLETRANSLATE(A142, ""fr"", ""en"")"),"broken window")</f>
        <v>broken window</v>
      </c>
    </row>
    <row r="143">
      <c r="A143" s="19" t="s">
        <v>272</v>
      </c>
      <c r="B143" s="20" t="str">
        <f>IFERROR(__xludf.DUMMYFUNCTION("GOOGLETRANSLATE(A143, ""fr"", ""en"")"),"Fresh broken door. Left door with right handle")</f>
        <v>Fresh broken door. Left door with right handle</v>
      </c>
    </row>
    <row r="144">
      <c r="A144" s="19" t="s">
        <v>273</v>
      </c>
      <c r="B144" s="20" t="str">
        <f>IFERROR(__xludf.DUMMYFUNCTION("GOOGLETRANSLATE(A144, ""fr"", ""en"")"),"The door of a fresh furniture with wrist on the right in broken")</f>
        <v>The door of a fresh furniture with wrist on the right in broken</v>
      </c>
    </row>
    <row r="145">
      <c r="A145" s="19" t="s">
        <v>274</v>
      </c>
      <c r="B145" s="20" t="str">
        <f>IFERROR(__xludf.DUMMYFUNCTION("GOOGLETRANSLATE(A145, ""fr"", ""en"")"),"The neon of our Italian fresh axis is HS")</f>
        <v>The neon of our Italian fresh axis is HS</v>
      </c>
    </row>
    <row r="146">
      <c r="A146" s="19" t="s">
        <v>275</v>
      </c>
      <c r="B146" s="20" t="str">
        <f>IFERROR(__xludf.DUMMYFUNCTION("GOOGLETRANSLATE(A146, ""fr"", ""en"")"),"Left door with right handle in the broken fresh furniture")</f>
        <v>Left door with right handle in the broken fresh furniture</v>
      </c>
    </row>
    <row r="147">
      <c r="A147" s="19" t="s">
        <v>276</v>
      </c>
      <c r="B147" s="20" t="str">
        <f>IFERROR(__xludf.DUMMYFUNCTION("GOOGLETRANSLATE(A147, ""fr"", ""en"")"),"light off")</f>
        <v>light off</v>
      </c>
    </row>
    <row r="148">
      <c r="A148" s="19" t="s">
        <v>277</v>
      </c>
      <c r="B148" s="20" t="str">
        <f>IFERROR(__xludf.DUMMYFUNCTION("GOOGLETRANSLATE(A148, ""fr"", ""en"")"),"Light at the top in the promotions axis which no longer works")</f>
        <v>Light at the top in the promotions axis which no longer works</v>
      </c>
    </row>
    <row r="149">
      <c r="A149" s="19" t="s">
        <v>278</v>
      </c>
      <c r="B149" s="20" t="str">
        <f>IFERROR(__xludf.DUMMYFUNCTION("GOOGLETRANSLATE(A149, ""fr"", ""en"")"),"Installation of a wooden stake and a video surveillance sign. Oodm made by AT3.")</f>
        <v>Installation of a wooden stake and a video surveillance sign. Oodm made by AT3.</v>
      </c>
    </row>
    <row r="150">
      <c r="A150" s="19" t="s">
        <v>279</v>
      </c>
      <c r="B150" s="20" t="str">
        <f>IFERROR(__xludf.DUMMYFUNCTION("GOOGLETRANSLATE(A150, ""fr"", ""en"")"),"At the request of the FM: Take measures and photos on the meshes of the neighbors to prevent the detritus from Lidl from penetrating with the wind from the neighbors. Odm made by AT3. Finished work")</f>
        <v>At the request of the FM: Take measures and photos on the meshes of the neighbors to prevent the detritus from Lidl from penetrating with the wind from the neighbors. Odm made by AT3. Finished work</v>
      </c>
    </row>
    <row r="151">
      <c r="A151" s="19" t="s">
        <v>280</v>
      </c>
      <c r="B151" s="20" t="str">
        <f>IFERROR(__xludf.DUMMYFUNCTION("GOOGLETRANSLATE(A151, ""fr"", ""en"")"),"Laying of the breeze seen on the fence between Lidl and the neighborhood. Odm made by AT3. Finished work.")</f>
        <v>Laying of the breeze seen on the fence between Lidl and the neighborhood. Odm made by AT3. Finished work.</v>
      </c>
    </row>
    <row r="152">
      <c r="A152" s="19" t="s">
        <v>281</v>
      </c>
      <c r="B152" s="20" t="str">
        <f>IFERROR(__xludf.DUMMYFUNCTION("GOOGLETRANSLATE(A152, ""fr"", ""en"")"),"Placement of video surveillance panels on the parking input .odm made by AT3. Finished work.")</f>
        <v>Placement of video surveillance panels on the parking input .odm made by AT3. Finished work.</v>
      </c>
    </row>
    <row r="153">
      <c r="A153" s="19" t="s">
        <v>282</v>
      </c>
      <c r="B153" s="20" t="str">
        <f>IFERROR(__xludf.DUMMYFUNCTION("GOOGLETRANSLATE(A153, ""fr"", ""en"")"),"REBUSE HOLES + Laying of the ventilation grid and painting .odm made by AT3. Finished work.")</f>
        <v>REBUSE HOLES + Laying of the ventilation grid and painting .odm made by AT3. Finished work.</v>
      </c>
    </row>
    <row r="154">
      <c r="A154" s="19" t="s">
        <v>283</v>
      </c>
      <c r="B154" s="20" t="str">
        <f>IFERROR(__xludf.DUMMYFUNCTION("GOOGLETRANSLATE(A154, ""fr"", ""en"")"),"*top of the building and wall to clean")</f>
        <v>*top of the building and wall to clean</v>
      </c>
    </row>
    <row r="155">
      <c r="A155" s="21"/>
      <c r="B155" s="20" t="str">
        <f>IFERROR(__xludf.DUMMYFUNCTION("GOOGLETRANSLATE(A155, ""fr"", ""en"")"),"#VALUE!")</f>
        <v>#VALUE!</v>
      </c>
    </row>
    <row r="156">
      <c r="A156" s="19" t="s">
        <v>284</v>
      </c>
      <c r="B156" s="20" t="str">
        <f>IFERROR(__xludf.DUMMYFUNCTION("GOOGLETRANSLATE(A156, ""fr"", ""en"")"),"Rebouchy hole in the entry floor cfn.odm made by AT3. Finished work")</f>
        <v>Rebouchy hole in the entry floor cfn.odm made by AT3. Finished work</v>
      </c>
    </row>
    <row r="157">
      <c r="A157" s="19" t="s">
        <v>285</v>
      </c>
      <c r="B157" s="20" t="str">
        <f>IFERROR(__xludf.DUMMYFUNCTION("GOOGLETRANSLATE(A157, ""fr"", ""en"")"),"Installation of posts and video surveillance sign on the various entrances to the parking lot.")</f>
        <v>Installation of posts and video surveillance sign on the various entrances to the parking lot.</v>
      </c>
    </row>
    <row r="158">
      <c r="A158" s="19" t="s">
        <v>286</v>
      </c>
      <c r="B158" s="20" t="str">
        <f>IFERROR(__xludf.DUMMYFUNCTION("GOOGLETRANSLATE(A158, ""fr"", ""en"")"),"The corner of the exterior wall was stamped .odm made by AT3. Work in progress.")</f>
        <v>The corner of the exterior wall was stamped .odm made by AT3. Work in progress.</v>
      </c>
    </row>
    <row r="159">
      <c r="A159" s="19" t="s">
        <v>287</v>
      </c>
      <c r="B159" s="20" t="str">
        <f>IFERROR(__xludf.DUMMYFUNCTION("GOOGLETRANSLATE(A159, ""fr"", ""en"")"),"Provide a pickup for tires that are in our parking lot
 urgent")</f>
        <v>Provide a pickup for tires that are in our parking lot
 urgent</v>
      </c>
    </row>
    <row r="160">
      <c r="A160" s="19" t="s">
        <v>288</v>
      </c>
      <c r="B160" s="20" t="str">
        <f>IFERROR(__xludf.DUMMYFUNCTION("GOOGLETRANSLATE(A160, ""fr"", ""en"")"),"dropout on the store of the store")</f>
        <v>dropout on the store of the store</v>
      </c>
    </row>
    <row r="161">
      <c r="A161" s="19" t="s">
        <v>289</v>
      </c>
      <c r="B161" s="20" t="str">
        <f>IFERROR(__xludf.DUMMYFUNCTION("GOOGLETRANSLATE(A161, ""fr"", ""en"")"),"We have more and more rats in the store car park. The Rentokill company has passed and told me that it was necessary to prune everything around the store. I can't take a photo because it is too far from the store for the MDE.")</f>
        <v>We have more and more rats in the store car park. The Rentokill company has passed and told me that it was necessary to prune everything around the store. I can't take a photo because it is too far from the store for the MDE.</v>
      </c>
    </row>
    <row r="162">
      <c r="A162" s="19" t="s">
        <v>290</v>
      </c>
      <c r="B162" s="20" t="str">
        <f>IFERROR(__xludf.DUMMYFUNCTION("GOOGLETRANSLATE(A162, ""fr"", ""en"")"),"The foam should be removed along the walls as well as the leaves in the parking lot")</f>
        <v>The foam should be removed along the walls as well as the leaves in the parking lot</v>
      </c>
    </row>
    <row r="163">
      <c r="A163" s="19" t="s">
        <v>291</v>
      </c>
      <c r="B163" s="20" t="str">
        <f>IFERROR(__xludf.DUMMYFUNCTION("GOOGLETRANSLATE(A163, ""fr"", ""en"")"),"The foam should be removed along the matures as well as the weeds")</f>
        <v>The foam should be removed along the matures as well as the weeds</v>
      </c>
    </row>
    <row r="164">
      <c r="A164" s="21"/>
      <c r="B164" s="20" t="str">
        <f>IFERROR(__xludf.DUMMYFUNCTION("GOOGLETRANSLATE(A164, ""fr"", ""en"")"),"#VALUE!")</f>
        <v>#VALUE!</v>
      </c>
    </row>
    <row r="165">
      <c r="A165" s="19" t="s">
        <v>292</v>
      </c>
      <c r="B165" s="20" t="str">
        <f>IFERROR(__xludf.DUMMYFUNCTION("GOOGLETRANSLATE(A165, ""fr"", ""en"")"),"Lighting Brand HS")</f>
        <v>Lighting Brand HS</v>
      </c>
    </row>
    <row r="166">
      <c r="A166" s="19" t="s">
        <v>293</v>
      </c>
      <c r="B166" s="20" t="str">
        <f>IFERROR(__xludf.DUMMYFUNCTION("GOOGLETRANSLATE(A166, ""fr"", ""en"")"),"Installation of the display on the vehicle recharging terminal .odm made by AT3. Finished work.")</f>
        <v>Installation of the display on the vehicle recharging terminal .odm made by AT3. Finished work.</v>
      </c>
    </row>
    <row r="167">
      <c r="A167" s="19" t="s">
        <v>294</v>
      </c>
      <c r="B167" s="20" t="str">
        <f>IFERROR(__xludf.DUMMYFUNCTION("GOOGLETRANSLATE(A167, ""fr"", ""en"")"),"Installation of the display soon made available .DM vehicle recharging terminals made by AT3. Finished work.")</f>
        <v>Installation of the display soon made available .DM vehicle recharging terminals made by AT3. Finished work.</v>
      </c>
    </row>
    <row r="168">
      <c r="A168" s="19" t="s">
        <v>295</v>
      </c>
      <c r="B168" s="20" t="str">
        <f>IFERROR(__xludf.DUMMYFUNCTION("GOOGLETRANSLATE(A168, ""fr"", ""en"")"),"Defective schedule")</f>
        <v>Defective schedule</v>
      </c>
    </row>
    <row r="169">
      <c r="A169" s="19" t="s">
        <v>296</v>
      </c>
      <c r="B169" s="20" t="str">
        <f>IFERROR(__xludf.DUMMYFUNCTION("GOOGLETRANSLATE(A169, ""fr"", ""en"")"),"Absence of a rescue sticker at the exit of the level 1 boxes")</f>
        <v>Absence of a rescue sticker at the exit of the level 1 boxes</v>
      </c>
    </row>
    <row r="170">
      <c r="A170" s="19" t="s">
        <v>297</v>
      </c>
      <c r="B170" s="20" t="str">
        <f>IFERROR(__xludf.DUMMYFUNCTION("GOOGLETRANSLATE(A170, ""fr"", ""en"")"),"* Entrance panel of the degraded parking")</f>
        <v>* Entrance panel of the degraded parking</v>
      </c>
    </row>
    <row r="171">
      <c r="A171" s="19" t="s">
        <v>298</v>
      </c>
      <c r="B171" s="20" t="str">
        <f>IFERROR(__xludf.DUMMYFUNCTION("GOOGLETRANSLATE(A171, ""fr"", ""en"")"),"Installation of stickers on the vehicle recharging terminal .odm made by AT3. Finished work.")</f>
        <v>Installation of stickers on the vehicle recharging terminal .odm made by AT3. Finished work.</v>
      </c>
    </row>
    <row r="172">
      <c r="A172" s="19" t="s">
        <v>299</v>
      </c>
      <c r="B172" s="20" t="str">
        <f>IFERROR(__xludf.DUMMYFUNCTION("GOOGLETRANSLATE(A172, ""fr"", ""en"")"),"At late mowing display")</f>
        <v>At late mowing display</v>
      </c>
    </row>
    <row r="173">
      <c r="A173" s="19" t="s">
        <v>300</v>
      </c>
      <c r="B173" s="20" t="str">
        <f>IFERROR(__xludf.DUMMYFUNCTION("GOOGLETRANSLATE(A173, ""fr"", ""en"")"),"Installation of posts and parking ban panels and the presence of video surveillance in the .ODM parking lot by AT3.")</f>
        <v>Installation of posts and parking ban panels and the presence of video surveillance in the .ODM parking lot by AT3.</v>
      </c>
    </row>
    <row r="174">
      <c r="A174" s="19" t="s">
        <v>301</v>
      </c>
      <c r="B174" s="20" t="str">
        <f>IFERROR(__xludf.DUMMYFUNCTION("GOOGLETRANSLATE(A174, ""fr"", ""en"")"),"Plublicitarian panel torn off")</f>
        <v>Plublicitarian panel torn off</v>
      </c>
    </row>
    <row r="175">
      <c r="A175" s="19" t="s">
        <v>302</v>
      </c>
      <c r="B175" s="20" t="str">
        <f>IFERROR(__xludf.DUMMYFUNCTION("GOOGLETRANSLATE(A175, ""fr"", ""en"")"),"Display of the 4x3 panel fell to the ground on the sidewalk .odm made by AT3. Finished work.")</f>
        <v>Display of the 4x3 panel fell to the ground on the sidewalk .odm made by AT3. Finished work.</v>
      </c>
    </row>
    <row r="176">
      <c r="A176" s="19" t="s">
        <v>303</v>
      </c>
      <c r="B176" s="20" t="str">
        <f>IFERROR(__xludf.DUMMYFUNCTION("GOOGLETRANSLATE(A176, ""fr"", ""en"")"),"Torn advertising panel")</f>
        <v>Torn advertising panel</v>
      </c>
    </row>
    <row r="177">
      <c r="A177" s="19" t="s">
        <v>304</v>
      </c>
      <c r="B177" s="20" t="str">
        <f>IFERROR(__xludf.DUMMYFUNCTION("GOOGLETRANSLATE(A177, ""fr"", ""en"")"),"(Urgent) for:
 -Recuperate visuals (best channels) DS Smith panels at the Consomag cell
 -Re attract and destroy the visual currently in place in the DS Smith panels.
 -Remplace by the visual ‘Best SPM channels’
 For information :
 -Visual Noteau availabl"&amp;"e to the Consomag cell")</f>
        <v>(Urgent) for:
 -Recuperate visuals (best channels) DS Smith panels at the Consomag cell
 -Re attract and destroy the visual currently in place in the DS Smith panels.
 -Remplace by the visual ‘Best SPM channels’
 For information :
 -Visual Noteau available to the Consomag cell</v>
      </c>
    </row>
    <row r="178">
      <c r="A178" s="19" t="s">
        <v>304</v>
      </c>
      <c r="B178" s="20" t="str">
        <f>IFERROR(__xludf.DUMMYFUNCTION("GOOGLETRANSLATE(A178, ""fr"", ""en"")"),"(Urgent) for:
 -Recuperate visuals (best channels) DS Smith panels at the Consomag cell
 -Re attract and destroy the visual currently in place in the DS Smith panels.
 -Remplace by the visual ‘Best SPM channels’
 For information :
 -Visual Noteau availabl"&amp;"e to the Consomag cell")</f>
        <v>(Urgent) for:
 -Recuperate visuals (best channels) DS Smith panels at the Consomag cell
 -Re attract and destroy the visual currently in place in the DS Smith panels.
 -Remplace by the visual ‘Best SPM channels’
 For information :
 -Visual Noteau available to the Consomag cell</v>
      </c>
    </row>
    <row r="179">
      <c r="A179" s="19" t="s">
        <v>304</v>
      </c>
      <c r="B179" s="20" t="str">
        <f>IFERROR(__xludf.DUMMYFUNCTION("GOOGLETRANSLATE(A179, ""fr"", ""en"")"),"(Urgent) for:
 -Recuperate visuals (best channels) DS Smith panels at the Consomag cell
 -Re attract and destroy the visual currently in place in the DS Smith panels.
 -Remplace by the visual ‘Best SPM channels’
 For information :
 -Visual Noteau availabl"&amp;"e to the Consomag cell")</f>
        <v>(Urgent) for:
 -Recuperate visuals (best channels) DS Smith panels at the Consomag cell
 -Re attract and destroy the visual currently in place in the DS Smith panels.
 -Remplace by the visual ‘Best SPM channels’
 For information :
 -Visual Noteau available to the Consomag cell</v>
      </c>
    </row>
    <row r="180">
      <c r="A180" s="21"/>
      <c r="B180" s="20" t="str">
        <f>IFERROR(__xludf.DUMMYFUNCTION("GOOGLETRANSLATE(A180, ""fr"", ""en"")"),"#VALUE!")</f>
        <v>#VALUE!</v>
      </c>
    </row>
    <row r="181">
      <c r="A181" s="19" t="s">
        <v>305</v>
      </c>
      <c r="B181" s="20" t="str">
        <f>IFERROR(__xludf.DUMMYFUNCTION("GOOGLETRANSLATE(A181, ""fr"", ""en"")"),"Urgent: one of the automatic input door is dislocated and does not close any more properly.")</f>
        <v>Urgent: one of the automatic input door is dislocated and does not close any more properly.</v>
      </c>
    </row>
    <row r="182">
      <c r="A182" s="19" t="s">
        <v>306</v>
      </c>
      <c r="B182" s="20" t="str">
        <f>IFERROR(__xludf.DUMMYFUNCTION("GOOGLETRANSLATE(A182, ""fr"", ""en"")"),"no longer detects customers, the door remains closed")</f>
        <v>no longer detects customers, the door remains closed</v>
      </c>
    </row>
    <row r="183">
      <c r="A183" s="19" t="s">
        <v>307</v>
      </c>
      <c r="B183" s="20" t="str">
        <f>IFERROR(__xludf.DUMMYFUNCTION("GOOGLETRANSLATE(A183, ""fr"", ""en"")"),"Porte SAS Porte Store Entrance and Store exit, both are constantly open. Already asked.")</f>
        <v>Porte SAS Porte Store Entrance and Store exit, both are constantly open. Already asked.</v>
      </c>
    </row>
    <row r="184">
      <c r="A184" s="19" t="s">
        <v>308</v>
      </c>
      <c r="B184" s="20" t="str">
        <f>IFERROR(__xludf.DUMMYFUNCTION("GOOGLETRANSLATE(A184, ""fr"", ""en"")"),"door that does not even keep pressing the green outstanding green button please")</f>
        <v>door that does not even keep pressing the green outstanding green button please</v>
      </c>
    </row>
    <row r="185">
      <c r="A185" s="19" t="s">
        <v>309</v>
      </c>
      <c r="B185" s="20" t="str">
        <f>IFERROR(__xludf.DUMMYFUNCTION("GOOGLETRANSLATE(A185, ""fr"", ""en"")"),"Forcing door because no key")</f>
        <v>Forcing door because no key</v>
      </c>
    </row>
    <row r="186">
      <c r="A186" s="19" t="s">
        <v>310</v>
      </c>
      <c r="B186" s="20" t="str">
        <f>IFERROR(__xludf.DUMMYFUNCTION("GOOGLETRANSLATE(A186, ""fr"", ""en"")"),"does not keep it automatically or closure")</f>
        <v>does not keep it automatically or closure</v>
      </c>
    </row>
    <row r="187">
      <c r="A187" s="19" t="s">
        <v>311</v>
      </c>
      <c r="B187" s="20" t="str">
        <f>IFERROR(__xludf.DUMMYFUNCTION("GOOGLETRANSLATE(A187, ""fr"", ""en"")"),"Door very difficult to live in for the closure of the store.")</f>
        <v>Door very difficult to live in for the closure of the store.</v>
      </c>
    </row>
    <row r="188">
      <c r="A188" s="19" t="s">
        <v>312</v>
      </c>
      <c r="B188" s="20" t="str">
        <f>IFERROR(__xludf.DUMMYFUNCTION("GOOGLETRANSLATE(A188, ""fr"", ""en"")"),"The door does not even open by having the door disjurred")</f>
        <v>The door does not even open by having the door disjurred</v>
      </c>
    </row>
    <row r="189">
      <c r="A189" s="19" t="s">
        <v>313</v>
      </c>
      <c r="B189" s="20" t="str">
        <f>IFERROR(__xludf.DUMMYFUNCTION("GOOGLETRANSLATE(A189, ""fr"", ""en"")"),"Manual opening and closing")</f>
        <v>Manual opening and closing</v>
      </c>
    </row>
    <row r="190">
      <c r="A190" s="19" t="s">
        <v>314</v>
      </c>
      <c r="B190" s="20" t="str">
        <f>IFERROR(__xludf.DUMMYFUNCTION("GOOGLETRANSLATE(A190, ""fr"", ""en"")"),"door does not hold and firm more automatically")</f>
        <v>door does not hold and firm more automatically</v>
      </c>
    </row>
    <row r="191">
      <c r="A191" s="19" t="s">
        <v>315</v>
      </c>
      <c r="B191" s="20" t="str">
        <f>IFERROR(__xludf.DUMMYFUNCTION("GOOGLETRANSLATE(A191, ""fr"", ""en"")"),"* Break window following a shock. CH request for a quote made in Heitz on 06/03. CH: Reception of the quote, awaiting validation")</f>
        <v>* Break window following a shock. CH request for a quote made in Heitz on 06/03. CH: Reception of the quote, awaiting validation</v>
      </c>
    </row>
    <row r="192">
      <c r="A192" s="19" t="s">
        <v>316</v>
      </c>
      <c r="B192" s="20" t="str">
        <f>IFERROR(__xludf.DUMMYFUNCTION("GOOGLETRANSLATE(A192, ""fr"", ""en"")"),"For FM info: Bound measurements ESA. Ood made by AT3. Finished work.")</f>
        <v>For FM info: Bound measurements ESA. Ood made by AT3. Finished work.</v>
      </c>
    </row>
    <row r="193">
      <c r="A193" s="19" t="s">
        <v>317</v>
      </c>
      <c r="B193" s="20" t="str">
        <f>IFERROR(__xludf.DUMMYFUNCTION("GOOGLETRANSLATE(A193, ""fr"", ""en"")"),"broken poster")</f>
        <v>broken poster</v>
      </c>
    </row>
    <row r="194">
      <c r="A194" s="19" t="s">
        <v>318</v>
      </c>
      <c r="B194" s="20" t="str">
        <f>IFERROR(__xludf.DUMMYFUNCTION("GOOGLETRANSLATE(A194, ""fr"", ""en"")"),"The portico remains blocked")</f>
        <v>The portico remains blocked</v>
      </c>
    </row>
    <row r="195">
      <c r="A195" s="19" t="s">
        <v>319</v>
      </c>
      <c r="B195" s="20" t="str">
        <f>IFERROR(__xludf.DUMMYFUNCTION("GOOGLETRANSLATE(A195, ""fr"", ""en"")"),"Erratum support")</f>
        <v>Erratum support</v>
      </c>
    </row>
    <row r="196">
      <c r="A196" s="19" t="s">
        <v>320</v>
      </c>
      <c r="B196" s="20" t="str">
        <f>IFERROR(__xludf.DUMMYFUNCTION("GOOGLETRANSLATE(A196, ""fr"", ""en"")"),"door closes anymore")</f>
        <v>door closes anymore</v>
      </c>
    </row>
    <row r="197">
      <c r="A197" s="19" t="s">
        <v>321</v>
      </c>
      <c r="B197" s="20" t="str">
        <f>IFERROR(__xludf.DUMMYFUNCTION("GOOGLETRANSLATE(A197, ""fr"", ""en"")"),"RELAUNCH :
 Store entry door no longer closes, requests Ims already made a moment ago. Record has made a quote. Still no news for some time.")</f>
        <v>RELAUNCH :
 Store entry door no longer closes, requests Ims already made a moment ago. Record has made a quote. Still no news for some time.</v>
      </c>
    </row>
    <row r="198">
      <c r="A198" s="19" t="s">
        <v>322</v>
      </c>
      <c r="B198" s="20" t="str">
        <f>IFERROR(__xludf.DUMMYFUNCTION("GOOGLETRANSLATE(A198, ""fr"", ""en"")"),"The exit gate no longer closes completely.")</f>
        <v>The exit gate no longer closes completely.</v>
      </c>
    </row>
    <row r="199">
      <c r="A199" s="19" t="s">
        <v>323</v>
      </c>
      <c r="B199" s="20" t="str">
        <f>IFERROR(__xludf.DUMMYFUNCTION("GOOGLETRANSLATE(A199, ""fr"", ""en"")"),"The tensioners are damaged and recovered. When the door opens the sons hang")</f>
        <v>The tensioners are damaged and recovered. When the door opens the sons hang</v>
      </c>
    </row>
    <row r="200">
      <c r="A200" s="19" t="s">
        <v>324</v>
      </c>
      <c r="B200" s="20" t="str">
        <f>IFERROR(__xludf.DUMMYFUNCTION("GOOGLETRANSLATE(A200, ""fr"", ""en"")"),"Door that creaks enormously, do not understand why, as if something was blocking")</f>
        <v>Door that creaks enormously, do not understand why, as if something was blocking</v>
      </c>
    </row>
    <row r="201">
      <c r="A201" s="19" t="s">
        <v>325</v>
      </c>
      <c r="B201" s="20" t="str">
        <f>IFERROR(__xludf.DUMMYFUNCTION("GOOGLETRANSLATE(A201, ""fr"", ""en"")"),"A cable hangs when the door suds")</f>
        <v>A cable hangs when the door suds</v>
      </c>
    </row>
    <row r="202">
      <c r="A202" s="19" t="s">
        <v>149</v>
      </c>
      <c r="B202" s="20" t="str">
        <f>IFERROR(__xludf.DUMMYFUNCTION("GOOGLETRANSLATE(A202, ""fr"", ""en"")"),"The door closes anymore
 urgent")</f>
        <v>The door closes anymore
 urgent</v>
      </c>
    </row>
    <row r="203">
      <c r="A203" s="21"/>
      <c r="B203" s="20" t="str">
        <f>IFERROR(__xludf.DUMMYFUNCTION("GOOGLETRANSLATE(A203, ""fr"", ""en"")"),"#VALUE!")</f>
        <v>#VALUE!</v>
      </c>
    </row>
    <row r="204">
      <c r="A204" s="19" t="s">
        <v>326</v>
      </c>
      <c r="B204" s="20" t="str">
        <f>IFERROR(__xludf.DUMMYFUNCTION("GOOGLETRANSLATE(A204, ""fr"", ""en"")"),"Difficult closure because damaged door")</f>
        <v>Difficult closure because damaged door</v>
      </c>
    </row>
    <row r="205">
      <c r="A205" s="19" t="s">
        <v>327</v>
      </c>
      <c r="B205" s="20" t="str">
        <f>IFERROR(__xludf.DUMMYFUNCTION("GOOGLETRANSLATE(A205, ""fr"", ""en"")"),"Broken automatic door")</f>
        <v>Broken automatic door</v>
      </c>
    </row>
    <row r="206">
      <c r="A206" s="19" t="s">
        <v>328</v>
      </c>
      <c r="B206" s="20" t="str">
        <f>IFERROR(__xludf.DUMMYFUNCTION("GOOGLETRANSLATE(A206, ""fr"", ""en"")"),"hello exit door no longer closes remains open permanently")</f>
        <v>hello exit door no longer closes remains open permanently</v>
      </c>
    </row>
    <row r="207">
      <c r="A207" s="19" t="s">
        <v>329</v>
      </c>
      <c r="B207" s="20" t="str">
        <f>IFERROR(__xludf.DUMMYFUNCTION("GOOGLETRANSLATE(A207, ""fr"", ""en"")"),"automatic door do not stop when they close if someone passes")</f>
        <v>automatic door do not stop when they close if someone passes</v>
      </c>
    </row>
    <row r="208">
      <c r="A208" s="19" t="s">
        <v>330</v>
      </c>
      <c r="B208" s="20" t="str">
        <f>IFERROR(__xludf.DUMMYFUNCTION("GOOGLETRANSLATE(A208, ""fr"", ""en"")"),"door closes no longer and does not open it automatically, we must leave the door open constant")</f>
        <v>door closes no longer and does not open it automatically, we must leave the door open constant</v>
      </c>
    </row>
    <row r="209">
      <c r="A209" s="19" t="s">
        <v>331</v>
      </c>
      <c r="B209" s="20" t="str">
        <f>IFERROR(__xludf.DUMMYFUNCTION("GOOGLETRANSLATE(A209, ""fr"", ""en"")"),"The exit door no longer opens and closes no longer electric.")</f>
        <v>The exit door no longer opens and closes no longer electric.</v>
      </c>
    </row>
    <row r="210">
      <c r="A210" s="19" t="s">
        <v>332</v>
      </c>
      <c r="B210" s="20" t="str">
        <f>IFERROR(__xludf.DUMMYFUNCTION("GOOGLETRANSLATE(A210, ""fr"", ""en"")"),"Placement of the display is useful! In the airlock entry on the .odm erratum made by AT3. Finished work.")</f>
        <v>Placement of the display is useful! In the airlock entry on the .odm erratum made by AT3. Finished work.</v>
      </c>
    </row>
    <row r="211">
      <c r="A211" s="19" t="s">
        <v>333</v>
      </c>
      <c r="B211" s="20" t="str">
        <f>IFERROR(__xludf.DUMMYFUNCTION("GOOGLETRANSLATE(A211, ""fr"", ""en"")"),"inverter that rings at the urgent office")</f>
        <v>inverter that rings at the urgent office</v>
      </c>
    </row>
    <row r="212">
      <c r="A212" s="19" t="s">
        <v>334</v>
      </c>
      <c r="B212" s="20" t="str">
        <f>IFERROR(__xludf.DUMMYFUNCTION("GOOGLETRANSLATE(A212, ""fr"", ""en"")"),"Driving of the door that is closed")</f>
        <v>Driving of the door that is closed</v>
      </c>
    </row>
    <row r="213">
      <c r="A213" s="19" t="s">
        <v>335</v>
      </c>
      <c r="B213" s="20" t="str">
        <f>IFERROR(__xludf.DUMMYFUNCTION("GOOGLETRANSLATE(A213, ""fr"", ""en"")"),"Cover sheet on Embtétie cheat carpet.odm made by AT3. Finished work.")</f>
        <v>Cover sheet on Embtétie cheat carpet.odm made by AT3. Finished work.</v>
      </c>
    </row>
    <row r="214">
      <c r="A214" s="19" t="s">
        <v>336</v>
      </c>
      <c r="B214" s="20" t="str">
        <f>IFERROR(__xludf.DUMMYFUNCTION("GOOGLETRANSLATE(A214, ""fr"", ""en"")"),"Urgent balance that no longer works / cleaning+reinforcement ok")</f>
        <v>Urgent balance that no longer works / cleaning+reinforcement ok</v>
      </c>
    </row>
    <row r="215">
      <c r="A215" s="19" t="s">
        <v>337</v>
      </c>
      <c r="B215" s="20" t="str">
        <f>IFERROR(__xludf.DUMMYFUNCTION("GOOGLETRANSLATE(A215, ""fr"", ""en"")"),"the deactivation of anti -theft labels is not done")</f>
        <v>the deactivation of anti -theft labels is not done</v>
      </c>
    </row>
    <row r="216">
      <c r="A216" s="19" t="s">
        <v>338</v>
      </c>
      <c r="B216" s="20" t="str">
        <f>IFERROR(__xludf.DUMMYFUNCTION("GOOGLETRANSLATE(A216, ""fr"", ""en"")"),"The automatic fund door no longer closes and I don't have the key")</f>
        <v>The automatic fund door no longer closes and I don't have the key</v>
      </c>
    </row>
    <row r="217">
      <c r="A217" s="19" t="s">
        <v>339</v>
      </c>
      <c r="B217" s="20" t="str">
        <f>IFERROR(__xludf.DUMMYFUNCTION("GOOGLETRANSLATE(A217, ""fr"", ""en"")"),"SCO HS gate no longer works
 even with keys")</f>
        <v>SCO HS gate no longer works
 even with keys</v>
      </c>
    </row>
    <row r="218">
      <c r="A218" s="19" t="s">
        <v>340</v>
      </c>
      <c r="B218" s="20" t="str">
        <f>IFERROR(__xludf.DUMMYFUNCTION("GOOGLETRANSLATE(A218, ""fr"", ""en"")"),"Counter cash missing key x3")</f>
        <v>Counter cash missing key x3</v>
      </c>
    </row>
    <row r="219">
      <c r="A219" s="19" t="s">
        <v>341</v>
      </c>
      <c r="B219" s="20" t="str">
        <f>IFERROR(__xludf.DUMMYFUNCTION("GOOGLETRANSLATE(A219, ""fr"", ""en"")"),"Need 3 false tickets")</f>
        <v>Need 3 false tickets</v>
      </c>
    </row>
    <row r="220">
      <c r="A220" s="19" t="s">
        <v>342</v>
      </c>
      <c r="B220" s="20" t="str">
        <f>IFERROR(__xludf.DUMMYFUNCTION("GOOGLETRANSLATE(A220, ""fr"", ""en"")"),"Counter Storing Soup in cash")</f>
        <v>Counter Storing Soup in cash</v>
      </c>
    </row>
    <row r="221">
      <c r="A221" s="19" t="s">
        <v>343</v>
      </c>
      <c r="B221" s="20" t="str">
        <f>IFERROR(__xludf.DUMMYFUNCTION("GOOGLETRANSLATE(A221, ""fr"", ""en"")"),"1/3/5 box carpets does not work")</f>
        <v>1/3/5 box carpets does not work</v>
      </c>
    </row>
    <row r="222">
      <c r="A222" s="19" t="s">
        <v>344</v>
      </c>
      <c r="B222" s="20" t="str">
        <f>IFERROR(__xludf.DUMMYFUNCTION("GOOGLETRANSLATE(A222, ""fr"", ""en"")"),"detector of counterfeit tickets do not work")</f>
        <v>detector of counterfeit tickets do not work</v>
      </c>
    </row>
    <row r="223">
      <c r="A223" s="19" t="s">
        <v>345</v>
      </c>
      <c r="B223" s="20" t="str">
        <f>IFERROR(__xludf.DUMMYFUNCTION("GOOGLETRANSLATE(A223, ""fr"", ""en"")"),"request from an electrician to the green cable that does not work")</f>
        <v>request from an electrician to the green cable that does not work</v>
      </c>
    </row>
    <row r="224">
      <c r="A224" s="19" t="s">
        <v>346</v>
      </c>
      <c r="B224" s="20" t="str">
        <f>IFERROR(__xludf.DUMMYFUNCTION("GOOGLETRANSLATE(A224, ""fr"", ""en"")"),"photo")</f>
        <v>photo</v>
      </c>
    </row>
    <row r="225">
      <c r="A225" s="21"/>
      <c r="B225" s="20" t="str">
        <f>IFERROR(__xludf.DUMMYFUNCTION("GOOGLETRANSLATE(A225, ""fr"", ""en"")"),"#VALUE!")</f>
        <v>#VALUE!</v>
      </c>
    </row>
    <row r="226">
      <c r="A226" s="19" t="s">
        <v>347</v>
      </c>
      <c r="B226" s="20" t="str">
        <f>IFERROR(__xludf.DUMMYFUNCTION("GOOGLETRANSLATE(A226, ""fr"", ""en"")"),"Hello, I ""counters damage, please change them. Thank you")</f>
        <v>Hello, I "counters damage, please change them. Thank you</v>
      </c>
    </row>
    <row r="227">
      <c r="A227" s="19" t="s">
        <v>348</v>
      </c>
      <c r="B227" s="20" t="str">
        <f>IFERROR(__xludf.DUMMYFUNCTION("GOOGLETRANSLATE(A227, ""fr"", ""en"")"),"KLS CB display, in cash 4 and CB carpet in checkout 5.
 CB display not adapt")</f>
        <v>KLS CB display, in cash 4 and CB carpet in checkout 5.
 CB display not adapt</v>
      </c>
    </row>
    <row r="228">
      <c r="A228" s="19" t="s">
        <v>349</v>
      </c>
      <c r="B228" s="20" t="str">
        <f>IFERROR(__xludf.DUMMYFUNCTION("GOOGLETRANSLATE(A228, ""fr"", ""en"")"),"We have more key")</f>
        <v>We have more key</v>
      </c>
    </row>
    <row r="229">
      <c r="A229" s="19" t="s">
        <v>350</v>
      </c>
      <c r="B229" s="20" t="str">
        <f>IFERROR(__xludf.DUMMYFUNCTION("GOOGLETRANSLATE(A229, ""fr"", ""en"")"),"No anti-theft detection")</f>
        <v>No anti-theft detection</v>
      </c>
    </row>
    <row r="230">
      <c r="A230" s="19" t="s">
        <v>351</v>
      </c>
      <c r="B230" s="20" t="str">
        <f>IFERROR(__xludf.DUMMYFUNCTION("GOOGLETRANSLATE(A230, ""fr"", ""en"")"),"Lack the key, on lost")</f>
        <v>Lack the key, on lost</v>
      </c>
    </row>
    <row r="231">
      <c r="A231" s="19" t="s">
        <v>352</v>
      </c>
      <c r="B231" s="20" t="str">
        <f>IFERROR(__xludf.DUMMYFUNCTION("GOOGLETRANSLATE(A231, ""fr"", ""en"")"),"Balance of the cash register which does not work properly. Obligation to reinnitize the more time in the day")</f>
        <v>Balance of the cash register which does not work properly. Obligation to reinnitize the more time in the day</v>
      </c>
    </row>
    <row r="232">
      <c r="A232" s="19" t="s">
        <v>353</v>
      </c>
      <c r="B232" s="20" t="str">
        <f>IFERROR(__xludf.DUMMYFUNCTION("GOOGLETRANSLATE(A232, ""fr"", ""en"")"),"DESCTIVIVE Anti -theftsman HS.")</f>
        <v>DESCTIVIVE Anti -theftsman HS.</v>
      </c>
    </row>
    <row r="233">
      <c r="A233" s="19" t="s">
        <v>354</v>
      </c>
      <c r="B233" s="20" t="str">
        <f>IFERROR(__xludf.DUMMYFUNCTION("GOOGLETRANSLATE(A233, ""fr"", ""en"")"),"Lack of PMR checkout door stop.")</f>
        <v>Lack of PMR checkout door stop.</v>
      </c>
    </row>
    <row r="234">
      <c r="A234" s="19" t="s">
        <v>355</v>
      </c>
      <c r="B234" s="20" t="str">
        <f>IFERROR(__xludf.DUMMYFUNCTION("GOOGLETRANSLATE(A234, ""fr"", ""en"")"),"Cash mat number 3 Problems, advance once in 2.")</f>
        <v>Cash mat number 3 Problems, advance once in 2.</v>
      </c>
    </row>
    <row r="235">
      <c r="A235" s="19" t="s">
        <v>356</v>
      </c>
      <c r="B235" s="20" t="str">
        <f>IFERROR(__xludf.DUMMYFUNCTION("GOOGLETRANSLATE(A235, ""fr"", ""en"")"),"Fund rugs 5 Grins, cheese carpet 3 not permanently.")</f>
        <v>Fund rugs 5 Grins, cheese carpet 3 not permanently.</v>
      </c>
    </row>
    <row r="236">
      <c r="A236" s="19" t="s">
        <v>357</v>
      </c>
      <c r="B236" s="20" t="str">
        <f>IFERROR(__xludf.DUMMYFUNCTION("GOOGLETRANSLATE(A236, ""fr"", ""en"")"),"KLS Defectuous system
 Fund 2 and 5: Blocked in blinking green
 Fund 3 and 4: Blocked blue frozen (call for a manager)
 No sound signal in the store when pressing a button: opening/closing of a cash register, call for a manager ...")</f>
        <v>KLS Defectuous system
 Fund 2 and 5: Blocked in blinking green
 Fund 3 and 4: Blocked blue frozen (call for a manager)
 No sound signal in the store when pressing a button: opening/closing of a cash register, call for a manager ...</v>
      </c>
    </row>
    <row r="237">
      <c r="A237" s="19" t="s">
        <v>358</v>
      </c>
      <c r="B237" s="20" t="str">
        <f>IFERROR(__xludf.DUMMYFUNCTION("GOOGLETRANSLATE(A237, ""fr"", ""en"")"),"A Diebolt technician is again interested in our cash register 4.
 He asks that an electrician checks the cable which connects the body to the brewing bay.
 The box is always unusable.")</f>
        <v>A Diebolt technician is again interested in our cash register 4.
 He asks that an electrician checks the cable which connects the body to the brewing bay.
 The box is always unusable.</v>
      </c>
    </row>
    <row r="238">
      <c r="A238" s="19" t="s">
        <v>359</v>
      </c>
      <c r="B238" s="20" t="str">
        <f>IFERROR(__xludf.DUMMYFUNCTION("GOOGLETRANSLATE(A238, ""fr"", ""en"")"),"Caisse 3's floor is broken.")</f>
        <v>Caisse 3's floor is broken.</v>
      </c>
    </row>
    <row r="239">
      <c r="A239" s="19" t="s">
        <v>360</v>
      </c>
      <c r="B239" s="20" t="str">
        <f>IFERROR(__xludf.DUMMYFUNCTION("GOOGLETRANSLATE(A239, ""fr"", ""en"")"),"Caisse n ° 4 is offline. Zibolt has intervened but it is a problem with a network cable that goes in a chute and they cannot intervene.")</f>
        <v>Caisse n ° 4 is offline. Zibolt has intervened but it is a problem with a network cable that goes in a chute and they cannot intervene.</v>
      </c>
    </row>
    <row r="240">
      <c r="A240" s="19" t="s">
        <v>361</v>
      </c>
      <c r="B240" s="20" t="str">
        <f>IFERROR(__xludf.DUMMYFUNCTION("GOOGLETRANSLATE(A240, ""fr"", ""en"")"),"Care 4 still doesn't work.
 Diebold intervened and told us that it is the network card that must be changed.")</f>
        <v>Care 4 still doesn't work.
 Diebold intervened and told us that it is the network card that must be changed.</v>
      </c>
    </row>
    <row r="241">
      <c r="A241" s="19" t="s">
        <v>362</v>
      </c>
      <c r="B241" s="20" t="str">
        <f>IFERROR(__xludf.DUMMYFUNCTION("GOOGLETRANSLATE(A241, ""fr"", ""en"")"),"Care 4 still doesn't work.
 Two companies came but neither found a solution.")</f>
        <v>Care 4 still doesn't work.
 Two companies came but neither found a solution.</v>
      </c>
    </row>
    <row r="242">
      <c r="A242" s="19" t="s">
        <v>363</v>
      </c>
      <c r="B242" s="20" t="str">
        <f>IFERROR(__xludf.DUMMYFUNCTION("GOOGLETRANSLATE(A242, ""fr"", ""en"")"),"We have received the material for the boxes of boxes.")</f>
        <v>We have received the material for the boxes of boxes.</v>
      </c>
    </row>
    <row r="243">
      <c r="A243" s="19" t="s">
        <v>364</v>
      </c>
      <c r="B243" s="20" t="str">
        <f>IFERROR(__xludf.DUMMYFUNCTION("GOOGLETRANSLATE(A243, ""fr"", ""en"")"),"Counter cash block more keys on it")</f>
        <v>Counter cash block more keys on it</v>
      </c>
    </row>
    <row r="244">
      <c r="A244" s="19" t="s">
        <v>365</v>
      </c>
      <c r="B244" s="20" t="str">
        <f>IFERROR(__xludf.DUMMYFUNCTION("GOOGLETRANSLATE(A244, ""fr"", ""en"")"),"3 HS Caisse Management System remains on and blocks on the responsible call.")</f>
        <v>3 HS Caisse Management System remains on and blocks on the responsible call.</v>
      </c>
    </row>
    <row r="245">
      <c r="A245" s="19" t="s">
        <v>366</v>
      </c>
      <c r="B245" s="20" t="str">
        <f>IFERROR(__xludf.DUMMYFUNCTION("GOOGLETRANSLATE(A245, ""fr"", ""en"")"),"Fund 3 damaged cash register system.")</f>
        <v>Fund 3 damaged cash register system.</v>
      </c>
    </row>
    <row r="246">
      <c r="A246" s="19" t="s">
        <v>367</v>
      </c>
      <c r="B246" s="20" t="str">
        <f>IFERROR(__xludf.DUMMYFUNCTION("GOOGLETRANSLATE(A246, ""fr"", ""en"")"),"a working portico not")</f>
        <v>a working portico not</v>
      </c>
    </row>
    <row r="247">
      <c r="A247" s="19" t="s">
        <v>368</v>
      </c>
      <c r="B247" s="20" t="str">
        <f>IFERROR(__xludf.DUMMYFUNCTION("GOOGLETRANSLATE(A247, ""fr"", ""en"")"),"sounds without any stop even if no customers pass.")</f>
        <v>sounds without any stop even if no customers pass.</v>
      </c>
    </row>
    <row r="248">
      <c r="A248" s="19" t="s">
        <v>369</v>
      </c>
      <c r="B248" s="20" t="str">
        <f>IFERROR(__xludf.DUMMYFUNCTION("GOOGLETRANSLATE(A248, ""fr"", ""en"")"),"blocks itself")</f>
        <v>blocks itself</v>
      </c>
    </row>
    <row r="249">
      <c r="A249" s="19" t="s">
        <v>370</v>
      </c>
      <c r="B249" s="20" t="str">
        <f>IFERROR(__xludf.DUMMYFUNCTION("GOOGLETRANSLATE(A249, ""fr"", ""en"")"),"output bound sounds for no reason every 5 minutes")</f>
        <v>output bound sounds for no reason every 5 minutes</v>
      </c>
    </row>
    <row r="250">
      <c r="A250" s="19" t="s">
        <v>371</v>
      </c>
      <c r="B250" s="20" t="str">
        <f>IFERROR(__xludf.DUMMYFUNCTION("GOOGLETRANSLATE(A250, ""fr"", ""en"")"),"For FM info: Taken measures from the EAS .odm terminal made by AT3. Finished work.")</f>
        <v>For FM info: Taken measures from the EAS .odm terminal made by AT3. Finished work.</v>
      </c>
    </row>
    <row r="251">
      <c r="A251" s="19" t="s">
        <v>372</v>
      </c>
      <c r="B251" s="20" t="str">
        <f>IFERROR(__xludf.DUMMYFUNCTION("GOOGLETRANSLATE(A251, ""fr"", ""en"")"),"EAS output gantries sound quite regularly.")</f>
        <v>EAS output gantries sound quite regularly.</v>
      </c>
    </row>
    <row r="252">
      <c r="A252" s="19" t="s">
        <v>373</v>
      </c>
      <c r="B252" s="20" t="str">
        <f>IFERROR(__xludf.DUMMYFUNCTION("GOOGLETRANSLATE(A252, ""fr"", ""en"")"),"HS anti -theft ringtone")</f>
        <v>HS anti -theft ringtone</v>
      </c>
    </row>
    <row r="253">
      <c r="A253" s="19" t="s">
        <v>374</v>
      </c>
      <c r="B253" s="20" t="str">
        <f>IFERROR(__xludf.DUMMYFUNCTION("GOOGLETRANSLATE(A253, ""fr"", ""en"")"),"make that sound even there is nobody")</f>
        <v>make that sound even there is nobody</v>
      </c>
    </row>
    <row r="254">
      <c r="A254" s="19" t="s">
        <v>375</v>
      </c>
      <c r="B254" s="20" t="str">
        <f>IFERROR(__xludf.DUMMYFUNCTION("GOOGLETRANSLATE(A254, ""fr"", ""en"")"),"The EAS terminals of the store entrance sound recurrently without reasons. (a dozen ringtones following approximately every hour)")</f>
        <v>The EAS terminals of the store entrance sound recurrently without reasons. (a dozen ringtones following approximately every hour)</v>
      </c>
    </row>
    <row r="255">
      <c r="A255" s="19" t="s">
        <v>376</v>
      </c>
      <c r="B255" s="20" t="str">
        <f>IFERROR(__xludf.DUMMYFUNCTION("GOOGLETRANSLATE(A255, ""fr"", ""en"")"),"EAS terminal does not work when passing anti -theft")</f>
        <v>EAS terminal does not work when passing anti -theft</v>
      </c>
    </row>
    <row r="256">
      <c r="A256" s="19" t="s">
        <v>377</v>
      </c>
      <c r="B256" s="20" t="str">
        <f>IFERROR(__xludf.DUMMYFUNCTION("GOOGLETRANSLATE(A256, ""fr"", ""en"")"),"The desactivator of Caisse 3 is broken")</f>
        <v>The desactivator of Caisse 3 is broken</v>
      </c>
    </row>
    <row r="257">
      <c r="A257" s="19" t="s">
        <v>378</v>
      </c>
      <c r="B257" s="20" t="str">
        <f>IFERROR(__xludf.DUMMYFUNCTION("GOOGLETRANSLATE(A257, ""fr"", ""en"")"),"The terminal only works if the anti -theft is glued to the terminal problem of sensitivity")</f>
        <v>The terminal only works if the anti -theft is glued to the terminal problem of sensitivity</v>
      </c>
    </row>
    <row r="258">
      <c r="A258" s="19" t="s">
        <v>379</v>
      </c>
      <c r="B258" s="20" t="str">
        <f>IFERROR(__xludf.DUMMYFUNCTION("GOOGLETRANSLATE(A258, ""fr"", ""en"")"),"terminals EAS outputs constantly sounds")</f>
        <v>terminals EAS outputs constantly sounds</v>
      </c>
    </row>
    <row r="259">
      <c r="A259" s="19" t="s">
        <v>380</v>
      </c>
      <c r="B259" s="20" t="str">
        <f>IFERROR(__xludf.DUMMYFUNCTION("GOOGLETRANSLATE(A259, ""fr"", ""en"")"),"A company intervened yesterday because the EAS terminal from the store sounds all the time when no one goes between. They lowered sensitivity but today the problem has returned.")</f>
        <v>A company intervened yesterday because the EAS terminal from the store sounds all the time when no one goes between. They lowered sensitivity but today the problem has returned.</v>
      </c>
    </row>
    <row r="260">
      <c r="A260" s="19" t="s">
        <v>381</v>
      </c>
      <c r="B260" s="20" t="str">
        <f>IFERROR(__xludf.DUMMYFUNCTION("GOOGLETRANSLATE(A260, ""fr"", ""en"")"),"New anti -thefts (yellow stickers) are not detect")</f>
        <v>New anti -thefts (yellow stickers) are not detect</v>
      </c>
    </row>
    <row r="261">
      <c r="A261" s="19" t="s">
        <v>382</v>
      </c>
      <c r="B261" s="20" t="str">
        <f>IFERROR(__xludf.DUMMYFUNCTION("GOOGLETRANSLATE(A261, ""fr"", ""en"")"),"DEPLACE The SPECIAL Offer panel at the level of the SPECIAL DPH offer")</f>
        <v>DEPLACE The SPECIAL Offer panel at the level of the SPECIAL DPH offer</v>
      </c>
    </row>
    <row r="262">
      <c r="A262" s="21"/>
      <c r="B262" s="20" t="str">
        <f>IFERROR(__xludf.DUMMYFUNCTION("GOOGLETRANSLATE(A262, ""fr"", ""en"")"),"#VALUE!")</f>
        <v>#VALUE!</v>
      </c>
    </row>
    <row r="263">
      <c r="A263" s="19" t="s">
        <v>383</v>
      </c>
      <c r="B263" s="20" t="str">
        <f>IFERROR(__xludf.DUMMYFUNCTION("GOOGLETRANSLATE(A263, ""fr"", ""en"")"),"move the wine merchant's selection panel")</f>
        <v>move the wine merchant's selection panel</v>
      </c>
    </row>
    <row r="264">
      <c r="A264" s="21"/>
      <c r="B264" s="20" t="str">
        <f>IFERROR(__xludf.DUMMYFUNCTION("GOOGLETRANSLATE(A264, ""fr"", ""en"")"),"#VALUE!")</f>
        <v>#VALUE!</v>
      </c>
    </row>
    <row r="265">
      <c r="A265" s="19" t="s">
        <v>384</v>
      </c>
      <c r="B265" s="20" t="str">
        <f>IFERROR(__xludf.DUMMYFUNCTION("GOOGLETRANSLATE(A265, ""fr"", ""en"")"),"The Erratum Entrance Entrance is missing")</f>
        <v>The Erratum Entrance Entrance is missing</v>
      </c>
    </row>
    <row r="266">
      <c r="A266" s="19" t="s">
        <v>385</v>
      </c>
      <c r="B266" s="20" t="str">
        <f>IFERROR(__xludf.DUMMYFUNCTION("GOOGLETRANSLATE(A266, ""fr"", ""en"")"),"Request for replacing all strips Price Fresh radius + some riveted price strip on Food Action Table")</f>
        <v>Request for replacing all strips Price Fresh radius + some riveted price strip on Food Action Table</v>
      </c>
    </row>
    <row r="267">
      <c r="A267" s="19" t="s">
        <v>386</v>
      </c>
      <c r="B267" s="20" t="str">
        <f>IFERROR(__xludf.DUMMYFUNCTION("GOOGLETRANSLATE(A267, ""fr"", ""en"")"),"At modif display leon")</f>
        <v>At modif display leon</v>
      </c>
    </row>
    <row r="268">
      <c r="A268" s="19" t="s">
        <v>387</v>
      </c>
      <c r="B268" s="20" t="str">
        <f>IFERROR(__xludf.DUMMYFUNCTION("GOOGLETRANSLATE(A268, ""fr"", ""en"")"),"Half play to be replaced")</f>
        <v>Half play to be replaced</v>
      </c>
    </row>
    <row r="269">
      <c r="A269" s="19" t="s">
        <v>388</v>
      </c>
      <c r="B269" s="20" t="str">
        <f>IFERROR(__xludf.DUMMYFUNCTION("GOOGLETRANSLATE(A269, ""fr"", ""en"")"),"Casse on POS above fresh. (Deluxe and envia)")</f>
        <v>Casse on POS above fresh. (Deluxe and envia)</v>
      </c>
    </row>
    <row r="270">
      <c r="A270" s="19" t="s">
        <v>389</v>
      </c>
      <c r="B270" s="20" t="str">
        <f>IFERROR(__xludf.DUMMYFUNCTION("GOOGLETRANSLATE(A270, ""fr"", ""en"")"),"PLV support case Casse")</f>
        <v>PLV support case Casse</v>
      </c>
    </row>
    <row r="271">
      <c r="A271" s="19" t="s">
        <v>390</v>
      </c>
      <c r="B271" s="20" t="str">
        <f>IFERROR(__xludf.DUMMYFUNCTION("GOOGLETRANSLATE(A271, ""fr"", ""en"")"),"One of the plinths along the glass window of the boxes is set up.")</f>
        <v>One of the plinths along the glass window of the boxes is set up.</v>
      </c>
    </row>
    <row r="272">
      <c r="A272" s="19" t="s">
        <v>391</v>
      </c>
      <c r="B272" s="20" t="str">
        <f>IFERROR(__xludf.DUMMYFUNCTION("GOOGLETRANSLATE(A272, ""fr"", ""en"")"),"hole at the level of the arch at the bottom")</f>
        <v>hole at the level of the arch at the bottom</v>
      </c>
    </row>
    <row r="273">
      <c r="A273" s="19" t="s">
        <v>392</v>
      </c>
      <c r="B273" s="20" t="str">
        <f>IFERROR(__xludf.DUMMYFUNCTION("GOOGLETRANSLATE(A273, ""fr"", ""en"")"),"The barrier of the automatic funds no longer closes
 URGENT")</f>
        <v>The barrier of the automatic funds no longer closes
 URGENT</v>
      </c>
    </row>
    <row r="274">
      <c r="A274" s="19" t="s">
        <v>393</v>
      </c>
      <c r="B274" s="20" t="str">
        <f>IFERROR(__xludf.DUMMYFUNCTION("GOOGLETRANSLATE(A274, ""fr"", ""en"")"),"Arrival 6 a.m. this morning alarm in continuous ringing; good temperature but no access to temperatures curves via bo")</f>
        <v>Arrival 6 a.m. this morning alarm in continuous ringing; good temperature but no access to temperatures curves via bo</v>
      </c>
    </row>
    <row r="275">
      <c r="A275" s="19" t="s">
        <v>394</v>
      </c>
      <c r="B275" s="20" t="str">
        <f>IFERROR(__xludf.DUMMYFUNCTION("GOOGLETRANSLATE(A275, ""fr"", ""en"")"),"The store temperature is blocked on 20 degrees
 Cannot be changed
 Hot outdoors hot inside
 Extempt procon command")</f>
        <v>The store temperature is blocked on 20 degrees
 Cannot be changed
 Hot outdoors hot inside
 Extempt procon command</v>
      </c>
    </row>
    <row r="276">
      <c r="A276" s="19" t="s">
        <v>395</v>
      </c>
      <c r="B276" s="20" t="str">
        <f>IFERROR(__xludf.DUMMYFUNCTION("GOOGLETRANSLATE(A276, ""fr"", ""en"")"),"The alarm speaker is broken because the alarm rings continuously.
 The key no longer turns to turn it off.
 It prevents us from putting the store alarm.")</f>
        <v>The alarm speaker is broken because the alarm rings continuously.
 The key no longer turns to turn it off.
 It prevents us from putting the store alarm.</v>
      </c>
    </row>
    <row r="277">
      <c r="A277" s="19" t="s">
        <v>396</v>
      </c>
      <c r="B277" s="20" t="str">
        <f>IFERROR(__xludf.DUMMYFUNCTION("GOOGLETRANSLATE(A277, ""fr"", ""en"")"),"Totally stamped bread ark")</f>
        <v>Totally stamped bread ark</v>
      </c>
    </row>
    <row r="278">
      <c r="A278" s="21"/>
      <c r="B278" s="20" t="str">
        <f>IFERROR(__xludf.DUMMYFUNCTION("GOOGLETRANSLATE(A278, ""fr"", ""en"")"),"#VALUE!")</f>
        <v>#VALUE!</v>
      </c>
    </row>
    <row r="279">
      <c r="A279" s="21"/>
      <c r="B279" s="20" t="str">
        <f>IFERROR(__xludf.DUMMYFUNCTION("GOOGLETRANSLATE(A279, ""fr"", ""en"")"),"#VALUE!")</f>
        <v>#VALUE!</v>
      </c>
    </row>
    <row r="280">
      <c r="A280" s="21"/>
      <c r="B280" s="20" t="str">
        <f>IFERROR(__xludf.DUMMYFUNCTION("GOOGLETRANSLATE(A280, ""fr"", ""en"")"),"#VALUE!")</f>
        <v>#VALUE!</v>
      </c>
    </row>
    <row r="281">
      <c r="A281" s="19" t="s">
        <v>397</v>
      </c>
      <c r="B281" s="20" t="str">
        <f>IFERROR(__xludf.DUMMYFUNCTION("GOOGLETRANSLATE(A281, ""fr"", ""en"")"),"bread ark door to change
 Attention small width")</f>
        <v>bread ark door to change
 Attention small width</v>
      </c>
    </row>
    <row r="282">
      <c r="A282" s="19" t="s">
        <v>398</v>
      </c>
      <c r="B282" s="20" t="str">
        <f>IFERROR(__xludf.DUMMYFUNCTION("GOOGLETRANSLATE(A282, ""fr"", ""en"")"),"abyss")</f>
        <v>abyss</v>
      </c>
    </row>
    <row r="283">
      <c r="A283" s="19" t="s">
        <v>399</v>
      </c>
      <c r="B283" s="20" t="str">
        <f>IFERROR(__xludf.DUMMYFUNCTION("GOOGLETRANSLATE(A283, ""fr"", ""en"")"),"Good morning
 Following the audit visit they miss 3 lateral hooks in 3 niches")</f>
        <v>Good morning
 Following the audit visit they miss 3 lateral hooks in 3 niches</v>
      </c>
    </row>
    <row r="284">
      <c r="A284" s="19" t="s">
        <v>400</v>
      </c>
      <c r="B284" s="20" t="str">
        <f>IFERROR(__xludf.DUMMYFUNCTION("GOOGLETRANSLATE(A284, ""fr"", ""en"")"),"Estry base")</f>
        <v>Estry base</v>
      </c>
    </row>
    <row r="285">
      <c r="A285" s="19" t="s">
        <v>401</v>
      </c>
      <c r="B285" s="20" t="str">
        <f>IFERROR(__xludf.DUMMYFUNCTION("GOOGLETRANSLATE(A285, ""fr"", ""en"")"),"Lack grill level raque bread on the left")</f>
        <v>Lack grill level raque bread on the left</v>
      </c>
    </row>
    <row r="286">
      <c r="A286" s="19" t="s">
        <v>402</v>
      </c>
      <c r="B286" s="20" t="str">
        <f>IFERROR(__xludf.DUMMYFUNCTION("GOOGLETRANSLATE(A286, ""fr"", ""en"")"),"Change Special Pain Panel Bread")</f>
        <v>Change Special Pain Panel Bread</v>
      </c>
    </row>
    <row r="287">
      <c r="A287" s="19" t="s">
        <v>403</v>
      </c>
      <c r="B287" s="20" t="str">
        <f>IFERROR(__xludf.DUMMYFUNCTION("GOOGLETRANSLATE(A287, ""fr"", ""en"")"),"Portev HS")</f>
        <v>Portev HS</v>
      </c>
    </row>
    <row r="288">
      <c r="A288" s="21"/>
      <c r="B288" s="20" t="str">
        <f>IFERROR(__xludf.DUMMYFUNCTION("GOOGLETRANSLATE(A288, ""fr"", ""en"")"),"#VALUE!")</f>
        <v>#VALUE!</v>
      </c>
    </row>
    <row r="289">
      <c r="A289" s="19" t="s">
        <v>404</v>
      </c>
      <c r="B289" s="20" t="str">
        <f>IFERROR(__xludf.DUMMYFUNCTION("GOOGLETRANSLATE(A289, ""fr"", ""en"")"),"Part of the facade is slightly pressed and is therefore no longer aligned with the rest of the facade")</f>
        <v>Part of the facade is slightly pressed and is therefore no longer aligned with the rest of the facade</v>
      </c>
    </row>
    <row r="290">
      <c r="A290" s="19" t="s">
        <v>405</v>
      </c>
      <c r="B290" s="20" t="str">
        <f>IFERROR(__xludf.DUMMYFUNCTION("GOOGLETRANSLATE(A290, ""fr"", ""en"")"),"HS security barrier")</f>
        <v>HS security barrier</v>
      </c>
    </row>
    <row r="291">
      <c r="A291" s="19" t="s">
        <v>406</v>
      </c>
      <c r="B291" s="20" t="str">
        <f>IFERROR(__xludf.DUMMYFUNCTION("GOOGLETRANSLATE(A291, ""fr"", ""en"")"),"The access hatch in the trash under the bread furniture is broken.")</f>
        <v>The access hatch in the trash under the bread furniture is broken.</v>
      </c>
    </row>
    <row r="292">
      <c r="A292" s="19" t="s">
        <v>407</v>
      </c>
      <c r="B292" s="20" t="str">
        <f>IFERROR(__xludf.DUMMYFUNCTION("GOOGLETRANSLATE(A292, ""fr"", ""en"")"),"Fleeing roof")</f>
        <v>Fleeing roof</v>
      </c>
    </row>
    <row r="293">
      <c r="A293" s="19" t="s">
        <v>408</v>
      </c>
      <c r="B293" s="20" t="str">
        <f>IFERROR(__xludf.DUMMYFUNCTION("GOOGLETRANSLATE(A293, ""fr"", ""en"")"),"HS furniture")</f>
        <v>HS furniture</v>
      </c>
    </row>
    <row r="294">
      <c r="A294" s="19" t="s">
        <v>409</v>
      </c>
      <c r="B294" s="20" t="str">
        <f>IFERROR(__xludf.DUMMYFUNCTION("GOOGLETRANSLATE(A294, ""fr"", ""en"")"),"Metal grid lack")</f>
        <v>Metal grid lack</v>
      </c>
    </row>
    <row r="295">
      <c r="A295" s="19" t="s">
        <v>410</v>
      </c>
      <c r="B295" s="20" t="str">
        <f>IFERROR(__xludf.DUMMYFUNCTION("GOOGLETRANSLATE(A295, ""fr"", ""en"")"),"The plexiglass of the bread baking area in store is designed of the metal part.")</f>
        <v>The plexiglass of the bread baking area in store is designed of the metal part.</v>
      </c>
    </row>
    <row r="296">
      <c r="A296" s="19" t="s">
        <v>411</v>
      </c>
      <c r="B296" s="20" t="str">
        <f>IFERROR(__xludf.DUMMYFUNCTION("GOOGLETRANSLATE(A296, ""fr"", ""en"")"),"HS windows. At the level of not hygian donuts")</f>
        <v>HS windows. At the level of not hygian donuts</v>
      </c>
    </row>
    <row r="297">
      <c r="A297" s="19" t="s">
        <v>412</v>
      </c>
      <c r="B297" s="20" t="str">
        <f>IFERROR(__xludf.DUMMYFUNCTION("GOOGLETRANSLATE(A297, ""fr"", ""en"")"),"Problem to get out of the oven and put in the oven.")</f>
        <v>Problem to get out of the oven and put in the oven.</v>
      </c>
    </row>
    <row r="298">
      <c r="A298" s="19" t="s">
        <v>413</v>
      </c>
      <c r="B298" s="20" t="str">
        <f>IFERROR(__xludf.DUMMYFUNCTION("GOOGLETRANSLATE(A298, ""fr"", ""en"")"),"Rear opening of the Rolls not compatible to remove it from the oven with withdrawal rod.")</f>
        <v>Rear opening of the Rolls not compatible to remove it from the oven with withdrawal rod.</v>
      </c>
    </row>
    <row r="299">
      <c r="A299" s="19" t="s">
        <v>414</v>
      </c>
      <c r="B299" s="20" t="str">
        <f>IFERROR(__xludf.DUMMYFUNCTION("GOOGLETRANSLATE(A299, ""fr"", ""en"")"),"Rolls Abimer which falls. dangerous for customers and employees")</f>
        <v>Rolls Abimer which falls. dangerous for customers and employees</v>
      </c>
    </row>
    <row r="300">
      <c r="A300" s="19" t="s">
        <v>415</v>
      </c>
      <c r="B300" s="20" t="str">
        <f>IFERROR(__xludf.DUMMYFUNCTION("GOOGLETRANSLATE(A300, ""fr"", ""en"")"),"The water flows continuously")</f>
        <v>The water flows continuously</v>
      </c>
    </row>
    <row r="301">
      <c r="A301" s="19" t="s">
        <v>416</v>
      </c>
      <c r="B301" s="20" t="str">
        <f>IFERROR(__xludf.DUMMYFUNCTION("GOOGLETRANSLATE(A301, ""fr"", ""en"")"),"Urgent: leak under the sink at the bread preparation table.")</f>
        <v>Urgent: leak under the sink at the bread preparation table.</v>
      </c>
    </row>
    <row r="302">
      <c r="A302" s="19" t="s">
        <v>417</v>
      </c>
      <c r="B302" s="20" t="str">
        <f>IFERROR(__xludf.DUMMYFUNCTION("GOOGLETRANSLATE(A302, ""fr"", ""en"")"),"Black bar door Cassee")</f>
        <v>Black bar door Cassee</v>
      </c>
    </row>
    <row r="303">
      <c r="A303" s="19" t="s">
        <v>418</v>
      </c>
      <c r="B303" s="20" t="str">
        <f>IFERROR(__xludf.DUMMYFUNCTION("GOOGLETRANSLATE(A303, ""fr"", ""en"")"),"Leak in the pipes under the sink of the bread preparation area.")</f>
        <v>Leak in the pipes under the sink of the bread preparation area.</v>
      </c>
    </row>
    <row r="304">
      <c r="A304" s="19" t="s">
        <v>419</v>
      </c>
      <c r="B304" s="20" t="str">
        <f>IFERROR(__xludf.DUMMYFUNCTION("GOOGLETRANSLATE(A304, ""fr"", ""en"")"),"hello impossible to screw the bread window for presentation of the man in van chouquettes? Or Pinho thank you")</f>
        <v>hello impossible to screw the bread window for presentation of the man in van chouquettes? Or Pinho thank you</v>
      </c>
    </row>
    <row r="305">
      <c r="A305" s="19" t="s">
        <v>420</v>
      </c>
      <c r="B305" s="20" t="str">
        <f>IFERROR(__xludf.DUMMYFUNCTION("GOOGLETRANSLATE(A305, ""fr"", ""en"")"),"Bulky liquid soap support.")</f>
        <v>Bulky liquid soap support.</v>
      </c>
    </row>
    <row r="306">
      <c r="A306" s="19" t="s">
        <v>421</v>
      </c>
      <c r="B306" s="20" t="str">
        <f>IFERROR(__xludf.DUMMYFUNCTION("GOOGLETRANSLATE(A306, ""fr"", ""en"")"),"A notch to close a bread window is broken. The door closes anymore.")</f>
        <v>A notch to close a bread window is broken. The door closes anymore.</v>
      </c>
    </row>
    <row r="307">
      <c r="A307" s="19" t="s">
        <v>422</v>
      </c>
      <c r="B307" s="20" t="str">
        <f>IFERROR(__xludf.DUMMYFUNCTION("GOOGLETRANSLATE(A307, ""fr"", ""en"")"),"We have rolls with breads that have the wheels that no longer hold well.
 (See: photo)")</f>
        <v>We have rolls with breads that have the wheels that no longer hold well.
 (See: photo)</v>
      </c>
    </row>
    <row r="308">
      <c r="A308" s="19" t="s">
        <v>423</v>
      </c>
      <c r="B308" s="20" t="str">
        <f>IFERROR(__xludf.DUMMYFUNCTION("GOOGLETRANSLATE(A308, ""fr"", ""en"")"),"Cold alarm at 10 °")</f>
        <v>Cold alarm at 10 °</v>
      </c>
    </row>
    <row r="309">
      <c r="A309" s="19" t="s">
        <v>424</v>
      </c>
      <c r="B309" s="20" t="str">
        <f>IFERROR(__xludf.DUMMYFUNCTION("GOOGLETRANSLATE(A309, ""fr"", ""en"")"),"Join Decoller We can close the door")</f>
        <v>Join Decoller We can close the door</v>
      </c>
    </row>
    <row r="310">
      <c r="A310" s="19" t="s">
        <v>320</v>
      </c>
      <c r="B310" s="20" t="str">
        <f>IFERROR(__xludf.DUMMYFUNCTION("GOOGLETRANSLATE(A310, ""fr"", ""en"")"),"door closes anymore")</f>
        <v>door closes anymore</v>
      </c>
    </row>
    <row r="311">
      <c r="A311" s="19" t="s">
        <v>425</v>
      </c>
      <c r="B311" s="20" t="str">
        <f>IFERROR(__xludf.DUMMYFUNCTION("GOOGLETRANSLATE(A311, ""fr"", ""en"")"),"leak")</f>
        <v>leak</v>
      </c>
    </row>
    <row r="312">
      <c r="A312" s="19" t="s">
        <v>426</v>
      </c>
      <c r="B312" s="20" t="str">
        <f>IFERROR(__xludf.DUMMYFUNCTION("GOOGLETRANSLATE(A312, ""fr"", ""en"")"),"Room that continues to flee following 3 interventions")</f>
        <v>Room that continues to flee following 3 interventions</v>
      </c>
    </row>
    <row r="313">
      <c r="A313" s="19" t="s">
        <v>427</v>
      </c>
      <c r="B313" s="20" t="str">
        <f>IFERROR(__xludf.DUMMYFUNCTION("GOOGLETRANSLATE(A313, ""fr"", ""en"")"),"One of the door wheels came out of the axis. The door no longer completely supports and is no longer completely closed.")</f>
        <v>One of the door wheels came out of the axis. The door no longer completely supports and is no longer completely closed.</v>
      </c>
    </row>
    <row r="314">
      <c r="A314" s="19" t="s">
        <v>428</v>
      </c>
      <c r="B314" s="20" t="str">
        <f>IFERROR(__xludf.DUMMYFUNCTION("GOOGLETRANSLATE(A314, ""fr"", ""en"")"),"The wheel to the right of the Cold Room Porte FL is out of its axis.
 The door no longer firm.")</f>
        <v>The wheel to the right of the Cold Room Porte FL is out of its axis.
 The door no longer firm.</v>
      </c>
    </row>
    <row r="315">
      <c r="A315" s="19" t="s">
        <v>429</v>
      </c>
      <c r="B315" s="20" t="str">
        <f>IFERROR(__xludf.DUMMYFUNCTION("GOOGLETRANSLATE(A315, ""fr"", ""en"")"),"The door of the cold room does not open.
 A technician has already come for this problem last week.")</f>
        <v>The door of the cold room does not open.
 A technician has already come for this problem last week.</v>
      </c>
    </row>
    <row r="316">
      <c r="A316" s="19" t="s">
        <v>430</v>
      </c>
      <c r="B316" s="20" t="str">
        <f>IFERROR(__xludf.DUMMYFUNCTION("GOOGLETRANSLATE(A316, ""fr"", ""en"")"),"The door to the left of the positive cold room no longer sucks.")</f>
        <v>The door to the left of the positive cold room no longer sucks.</v>
      </c>
    </row>
    <row r="317">
      <c r="A317" s="19" t="s">
        <v>431</v>
      </c>
      <c r="B317" s="20" t="str">
        <f>IFERROR(__xludf.DUMMYFUNCTION("GOOGLETRANSLATE(A317, ""fr"", ""en"")"),"We have the FL chamber door which no longer closes.")</f>
        <v>We have the FL chamber door which no longer closes.</v>
      </c>
    </row>
    <row r="318">
      <c r="A318" s="19" t="s">
        <v>432</v>
      </c>
      <c r="B318" s="20" t="str">
        <f>IFERROR(__xludf.DUMMYFUNCTION("GOOGLETRANSLATE(A318, ""fr"", ""en"")"),"* We would have to pass our cold room FL in cool cold room fresh.")</f>
        <v>* We would have to pass our cold room FL in cool cold room fresh.</v>
      </c>
    </row>
    <row r="319">
      <c r="A319" s="19" t="s">
        <v>433</v>
      </c>
      <c r="B319" s="20" t="str">
        <f>IFERROR(__xludf.DUMMYFUNCTION("GOOGLETRANSLATE(A319, ""fr"", ""en"")"),"The light of the positive cold room of the quay does not stop flashy.")</f>
        <v>The light of the positive cold room of the quay does not stop flashy.</v>
      </c>
    </row>
    <row r="320">
      <c r="A320" s="19" t="s">
        <v>434</v>
      </c>
      <c r="B320" s="20" t="str">
        <f>IFERROR(__xludf.DUMMYFUNCTION("GOOGLETRANSLATE(A320, ""fr"", ""en"")"),"The door of the FL room is blocked in the semi -open position. One of the casters came out of the gonding.
 No FL in bedroom.")</f>
        <v>The door of the FL room is blocked in the semi -open position. One of the casters came out of the gonding.
 No FL in bedroom.</v>
      </c>
    </row>
    <row r="321">
      <c r="A321" s="19" t="s">
        <v>435</v>
      </c>
      <c r="B321" s="20" t="str">
        <f>IFERROR(__xludf.DUMMYFUNCTION("GOOGLETRANSLATE(A321, ""fr"", ""en"")"),"Difficult to open door to the level of the rail")</f>
        <v>Difficult to open door to the level of the rail</v>
      </c>
    </row>
    <row r="322">
      <c r="A322" s="19" t="s">
        <v>436</v>
      </c>
      <c r="B322" s="20" t="str">
        <f>IFERROR(__xludf.DUMMYFUNCTION("GOOGLETRANSLATE(A322, ""fr"", ""en"")"),"Urgent door block does not close any more, sliding door upwards,
 Axima has put in maintenance but thinks it is the door or the engine.")</f>
        <v>Urgent door block does not close any more, sliding door upwards,
 Axima has put in maintenance but thinks it is the door or the engine.</v>
      </c>
    </row>
    <row r="323">
      <c r="A323" s="19" t="s">
        <v>437</v>
      </c>
      <c r="B323" s="20" t="str">
        <f>IFERROR(__xludf.DUMMYFUNCTION("GOOGLETRANSLATE(A323, ""fr"", ""en"")"),"not functional")</f>
        <v>not functional</v>
      </c>
    </row>
    <row r="324">
      <c r="A324" s="19" t="s">
        <v>438</v>
      </c>
      <c r="B324" s="20" t="str">
        <f>IFERROR(__xludf.DUMMYFUNCTION("GOOGLETRANSLATE(A324, ""fr"", ""en"")"),"Missing emergency button.")</f>
        <v>Missing emergency button.</v>
      </c>
    </row>
    <row r="325">
      <c r="A325" s="19" t="s">
        <v>439</v>
      </c>
      <c r="B325" s="20" t="str">
        <f>IFERROR(__xludf.DUMMYFUNCTION("GOOGLETRANSLATE(A325, ""fr"", ""en"")"),"The Porte Cold Cold Room Porte at the door that has trouble closing.")</f>
        <v>The Porte Cold Cold Room Porte at the door that has trouble closing.</v>
      </c>
    </row>
    <row r="326">
      <c r="A326" s="19" t="s">
        <v>440</v>
      </c>
      <c r="B326" s="20" t="str">
        <f>IFERROR(__xludf.DUMMYFUNCTION("GOOGLETRANSLATE(A326, ""fr"", ""en"")"),"The cold room of Le Reserve has not been at a temperature since Sunday 01/12/22 morning. It displays 15 degrees.")</f>
        <v>The cold room of Le Reserve has not been at a temperature since Sunday 01/12/22 morning. It displays 15 degrees.</v>
      </c>
    </row>
    <row r="327">
      <c r="A327" s="19" t="s">
        <v>441</v>
      </c>
      <c r="B327" s="20" t="str">
        <f>IFERROR(__xludf.DUMMYFUNCTION("GOOGLETRANSLATE(A327, ""fr"", ""en"")"),"no longer sustains")</f>
        <v>no longer sustains</v>
      </c>
    </row>
    <row r="328">
      <c r="A328" s="19" t="s">
        <v>442</v>
      </c>
      <c r="B328" s="20" t="str">
        <f>IFERROR(__xludf.DUMMYFUNCTION("GOOGLETRANSLATE(A328, ""fr"", ""en"")"),"water flowing in the bedroom")</f>
        <v>water flowing in the bedroom</v>
      </c>
    </row>
    <row r="329">
      <c r="A329" s="19" t="s">
        <v>443</v>
      </c>
      <c r="B329" s="20" t="str">
        <f>IFERROR(__xludf.DUMMYFUNCTION("GOOGLETRANSLATE(A329, ""fr"", ""en"")"),"We find it difficult to close the door of the cold room fl.
 The door this blocks a few centimeter from the soil.
 She also reopens when she goes to the end.")</f>
        <v>We find it difficult to close the door of the cold room fl.
 The door this blocks a few centimeter from the soil.
 She also reopens when she goes to the end.</v>
      </c>
    </row>
    <row r="330">
      <c r="A330" s="19" t="s">
        <v>444</v>
      </c>
      <c r="B330" s="20" t="str">
        <f>IFERROR(__xludf.DUMMYFUNCTION("GOOGLETRANSLATE(A330, ""fr"", ""en"")"),"The right side of the door of the cold room no longer opens. The company that takes care of it has already come twice for that but the problem persists")</f>
        <v>The right side of the door of the cold room no longer opens. The company that takes care of it has already come twice for that but the problem persists</v>
      </c>
    </row>
    <row r="331">
      <c r="A331" s="19" t="s">
        <v>445</v>
      </c>
      <c r="B331" s="20" t="str">
        <f>IFERROR(__xludf.DUMMYFUNCTION("GOOGLETRANSLATE(A331, ""fr"", ""en"")"),"Unable to open the left door, blocked opening wheel")</f>
        <v>Unable to open the left door, blocked opening wheel</v>
      </c>
    </row>
    <row r="332">
      <c r="A332" s="19" t="s">
        <v>446</v>
      </c>
      <c r="B332" s="20" t="str">
        <f>IFERROR(__xludf.DUMMYFUNCTION("GOOGLETRANSLATE(A332, ""fr"", ""en"")"),"The door of the cold room of the reserve no longer closes.")</f>
        <v>The door of the cold room of the reserve no longer closes.</v>
      </c>
    </row>
    <row r="333">
      <c r="A333" s="19" t="s">
        <v>447</v>
      </c>
      <c r="B333" s="20" t="str">
        <f>IFERROR(__xludf.DUMMYFUNCTION("GOOGLETRANSLATE(A333, ""fr"", ""en"")"),"Urgent: Postal cold room door no longer closes, passage from Axima on 15.04, maintenance of the room because the problem comes from the engine or the door.")</f>
        <v>Urgent: Postal cold room door no longer closes, passage from Axima on 15.04, maintenance of the room because the problem comes from the engine or the door.</v>
      </c>
    </row>
    <row r="334">
      <c r="A334" s="19" t="s">
        <v>437</v>
      </c>
      <c r="B334" s="20" t="str">
        <f>IFERROR(__xludf.DUMMYFUNCTION("GOOGLETRANSLATE(A334, ""fr"", ""en"")"),"not functional")</f>
        <v>not functional</v>
      </c>
    </row>
    <row r="335">
      <c r="A335" s="19" t="s">
        <v>448</v>
      </c>
      <c r="B335" s="20" t="str">
        <f>IFERROR(__xludf.DUMMYFUNCTION("GOOGLETRANSLATE(A335, ""fr"", ""en"")"),"High temperature room but no alarm,
 Inter -made request by phone: 303737709")</f>
        <v>High temperature room but no alarm,
 Inter -made request by phone: 303737709</v>
      </c>
    </row>
    <row r="336">
      <c r="A336" s="19" t="s">
        <v>449</v>
      </c>
      <c r="B336" s="20" t="str">
        <f>IFERROR(__xludf.DUMMYFUNCTION("GOOGLETRANSLATE(A336, ""fr"", ""en"")"),"temperature problem for 30 min
 No cold alarm
 Heart temperature 1.9 °
 Announced temperature of the 14 ° room
 Axima already contacted for request for urgent intervention")</f>
        <v>temperature problem for 30 min
 No cold alarm
 Heart temperature 1.9 °
 Announced temperature of the 14 ° room
 Axima already contacted for request for urgent intervention</v>
      </c>
    </row>
    <row r="337">
      <c r="A337" s="19" t="s">
        <v>450</v>
      </c>
      <c r="B337" s="20" t="str">
        <f>IFERROR(__xludf.DUMMYFUNCTION("GOOGLETRANSLATE(A337, ""fr"", ""en"")"),"The door alarm flashes flashes without stop and the temperature of the quay cold room is too high")</f>
        <v>The door alarm flashes flashes without stop and the temperature of the quay cold room is too high</v>
      </c>
    </row>
    <row r="338">
      <c r="A338" s="19" t="s">
        <v>451</v>
      </c>
      <c r="B338" s="20" t="str">
        <f>IFERROR(__xludf.DUMMYFUNCTION("GOOGLETRANSLATE(A338, ""fr"", ""en"")"),"temperature cold room fl is too high")</f>
        <v>temperature cold room fl is too high</v>
      </c>
    </row>
    <row r="339">
      <c r="A339" s="19" t="s">
        <v>452</v>
      </c>
      <c r="B339" s="20" t="str">
        <f>IFERROR(__xludf.DUMMYFUNCTION("GOOGLETRANSLATE(A339, ""fr"", ""en"")"),"Our POSITIVE COLD CRAUDE door is again blocked. The left door no longer opens.")</f>
        <v>Our POSITIVE COLD CRAUDE door is again blocked. The left door no longer opens.</v>
      </c>
    </row>
    <row r="340">
      <c r="A340" s="19" t="s">
        <v>453</v>
      </c>
      <c r="B340" s="20" t="str">
        <f>IFERROR(__xludf.DUMMYFUNCTION("GOOGLETRANSLATE(A340, ""fr"", ""en"")"),"DEFAUT F 04
 provide an intervention please")</f>
        <v>DEFAUT F 04
 provide an intervention please</v>
      </c>
    </row>
    <row r="341">
      <c r="A341" s="19" t="s">
        <v>454</v>
      </c>
      <c r="B341" s="20" t="str">
        <f>IFERROR(__xludf.DUMMYFUNCTION("GOOGLETRANSLATE(A341, ""fr"", ""en"")"),"Embtied cut -off switch on CFP.ODM made by AT3. Finished work.")</f>
        <v>Embtied cut -off switch on CFP.ODM made by AT3. Finished work.</v>
      </c>
    </row>
    <row r="342">
      <c r="A342" s="19" t="s">
        <v>455</v>
      </c>
      <c r="B342" s="20" t="str">
        <f>IFERROR(__xludf.DUMMYFUNCTION("GOOGLETRANSLATE(A342, ""fr"", ""en"")"),"The door does not open by pressing the but button to open it in manual")</f>
        <v>The door does not open by pressing the but button to open it in manual</v>
      </c>
    </row>
    <row r="343">
      <c r="A343" s="19" t="s">
        <v>456</v>
      </c>
      <c r="B343" s="20" t="str">
        <f>IFERROR(__xludf.DUMMYFUNCTION("GOOGLETRANSLATE(A343, ""fr"", ""en"")"),"Control of the opening handle of the CFP.POIGNÉ HS to change.odm made by AT3. Finished work.")</f>
        <v>Control of the opening handle of the CFP.POIGNÉ HS to change.odm made by AT3. Finished work.</v>
      </c>
    </row>
    <row r="344">
      <c r="A344" s="19" t="s">
        <v>457</v>
      </c>
      <c r="B344" s="20" t="str">
        <f>IFERROR(__xludf.DUMMYFUNCTION("GOOGLETRANSLATE(A344, ""fr"", ""en"")"),"Orange light flashes for no apparent reason.
 We opened well and then close the doors, awaiting a 15 -a -minute as recommended but it still cliognottes.")</f>
        <v>Orange light flashes for no apparent reason.
 We opened well and then close the doors, awaiting a 15 -a -minute as recommended but it still cliognottes.</v>
      </c>
    </row>
    <row r="345">
      <c r="A345" s="19" t="s">
        <v>458</v>
      </c>
      <c r="B345" s="20" t="str">
        <f>IFERROR(__xludf.DUMMYFUNCTION("GOOGLETRANSLATE(A345, ""fr"", ""en"")"),"broken door room, intervene bedroom fl en fees until the fresh room repair")</f>
        <v>broken door room, intervene bedroom fl en fees until the fresh room repair</v>
      </c>
    </row>
    <row r="346">
      <c r="A346" s="19" t="s">
        <v>459</v>
      </c>
      <c r="B346" s="20" t="str">
        <f>IFERROR(__xludf.DUMMYFUNCTION("GOOGLETRANSLATE(A346, ""fr"", ""en"")"),"Ice taking + FLO positive chamber leakage")</f>
        <v>Ice taking + FLO positive chamber leakage</v>
      </c>
    </row>
    <row r="347">
      <c r="A347" s="19" t="s">
        <v>460</v>
      </c>
      <c r="B347" s="20" t="str">
        <f>IFERROR(__xludf.DUMMYFUNCTION("GOOGLETRANSLATE(A347, ""fr"", ""en"")"),"Ha who flashes and launches a default")</f>
        <v>Ha who flashes and launches a default</v>
      </c>
    </row>
    <row r="348">
      <c r="A348" s="19" t="s">
        <v>461</v>
      </c>
      <c r="B348" s="20" t="str">
        <f>IFERROR(__xludf.DUMMYFUNCTION("GOOGLETRANSLATE(A348, ""fr"", ""en"")"),"second broken door, she dedicates herself to her axis")</f>
        <v>second broken door, she dedicates herself to her axis</v>
      </c>
    </row>
    <row r="349">
      <c r="A349" s="19" t="s">
        <v>462</v>
      </c>
      <c r="B349" s="20" t="str">
        <f>IFERROR(__xludf.DUMMYFUNCTION("GOOGLETRANSLATE(A349, ""fr"", ""en"")"),"POSITIVE FLOID COLD ROOM - Air conditioning works when the door is open / see Benjamin Service FM")</f>
        <v>POSITIVE FLOID COLD ROOM - Air conditioning works when the door is open / see Benjamin Service FM</v>
      </c>
    </row>
    <row r="350">
      <c r="A350" s="19" t="s">
        <v>463</v>
      </c>
      <c r="B350" s="20" t="str">
        <f>IFERROR(__xludf.DUMMYFUNCTION("GOOGLETRANSLATE(A350, ""fr"", ""en"")"),"The FL chamber door cable is derailed. We blocked the door manually in the open position")</f>
        <v>The FL chamber door cable is derailed. We blocked the door manually in the open position</v>
      </c>
    </row>
    <row r="351">
      <c r="A351" s="19" t="s">
        <v>464</v>
      </c>
      <c r="B351" s="20" t="str">
        <f>IFERROR(__xludf.DUMMYFUNCTION("GOOGLETRANSLATE(A351, ""fr"", ""en"")"),"The door is passes and can no longer open.
 Impossible to recover the goods inside.")</f>
        <v>The door is passes and can no longer open.
 Impossible to recover the goods inside.</v>
      </c>
    </row>
    <row r="352">
      <c r="A352" s="19" t="s">
        <v>465</v>
      </c>
      <c r="B352" s="20" t="str">
        <f>IFERROR(__xludf.DUMMYFUNCTION("GOOGLETRANSLATE(A352, ""fr"", ""en"")"),"FL room door off rail")</f>
        <v>FL room door off rail</v>
      </c>
    </row>
    <row r="353">
      <c r="A353" s="19" t="s">
        <v>466</v>
      </c>
      <c r="B353" s="20" t="str">
        <f>IFERROR(__xludf.DUMMYFUNCTION("GOOGLETRANSLATE(A353, ""fr"", ""en"")"),"Fruit and vegetable room alarm box that flashes and gets into default")</f>
        <v>Fruit and vegetable room alarm box that flashes and gets into default</v>
      </c>
    </row>
    <row r="354">
      <c r="A354" s="19" t="s">
        <v>467</v>
      </c>
      <c r="B354" s="20" t="str">
        <f>IFERROR(__xludf.DUMMYFUNCTION("GOOGLETRANSLATE(A354, ""fr"", ""en"")"),"Urgent - The Porte de Monte/Found more")</f>
        <v>Urgent - The Porte de Monte/Found more</v>
      </c>
    </row>
    <row r="355">
      <c r="A355" s="19" t="s">
        <v>468</v>
      </c>
      <c r="B355" s="20" t="str">
        <f>IFERROR(__xludf.DUMMYFUNCTION("GOOGLETRANSLATE(A355, ""fr"", ""en"")"),"DEGONDE DEGONDER Porte Intervention 303836406")</f>
        <v>DEGONDE DEGONDER Porte Intervention 303836406</v>
      </c>
    </row>
    <row r="356">
      <c r="A356" s="19" t="s">
        <v>469</v>
      </c>
      <c r="B356" s="20" t="str">
        <f>IFERROR(__xludf.DUMMYFUNCTION("GOOGLETRANSLATE(A356, ""fr"", ""en"")"),"Handle of the door broken by the delivery man")</f>
        <v>Handle of the door broken by the delivery man</v>
      </c>
    </row>
    <row r="357">
      <c r="A357" s="19" t="s">
        <v>470</v>
      </c>
      <c r="B357" s="20" t="str">
        <f>IFERROR(__xludf.DUMMYFUNCTION("GOOGLETRANSLATE(A357, ""fr"", ""en"")"),"Sailing door because the driver is entering the door, Axima can do nothing anymore. See with record.")</f>
        <v>Sailing door because the driver is entering the door, Axima can do nothing anymore. See with record.</v>
      </c>
    </row>
    <row r="358">
      <c r="A358" s="19" t="s">
        <v>471</v>
      </c>
      <c r="B358" s="20" t="str">
        <f>IFERROR(__xludf.DUMMYFUNCTION("GOOGLETRANSLATE(A358, ""fr"", ""en"")"),"Door that no longer deforms")</f>
        <v>Door that no longer deforms</v>
      </c>
    </row>
    <row r="359">
      <c r="A359" s="19" t="s">
        <v>472</v>
      </c>
      <c r="B359" s="20" t="str">
        <f>IFERROR(__xludf.DUMMYFUNCTION("GOOGLETRANSLATE(A359, ""fr"", ""en"")"),"When we arrive this morning alarm on the way and temperature of the room too high")</f>
        <v>When we arrive this morning alarm on the way and temperature of the room too high</v>
      </c>
    </row>
    <row r="360">
      <c r="A360" s="19" t="s">
        <v>473</v>
      </c>
      <c r="B360" s="20" t="str">
        <f>IFERROR(__xludf.DUMMYFUNCTION("GOOGLETRANSLATE(A360, ""fr"", ""en"")"),"The door came out of its axis")</f>
        <v>The door came out of its axis</v>
      </c>
    </row>
    <row r="361">
      <c r="A361" s="19" t="s">
        <v>474</v>
      </c>
      <c r="B361" s="20" t="str">
        <f>IFERROR(__xludf.DUMMYFUNCTION("GOOGLETRANSLATE(A361, ""fr"", ""en"")"),"The Sorrie de Laxe door")</f>
        <v>The Sorrie de Laxe door</v>
      </c>
    </row>
    <row r="362">
      <c r="A362" s="21"/>
      <c r="B362" s="20" t="str">
        <f>IFERROR(__xludf.DUMMYFUNCTION("GOOGLETRANSLATE(A362, ""fr"", ""en"")"),"#VALUE!")</f>
        <v>#VALUE!</v>
      </c>
    </row>
    <row r="363">
      <c r="A363" s="19" t="s">
        <v>475</v>
      </c>
      <c r="B363" s="20" t="str">
        <f>IFERROR(__xludf.DUMMYFUNCTION("GOOGLETRANSLATE(A363, ""fr"", ""en"")"),"Broken honeycomb window cooked fresh food.")</f>
        <v>Broken honeycomb window cooked fresh food.</v>
      </c>
    </row>
    <row r="364">
      <c r="A364" s="21"/>
      <c r="B364" s="20" t="str">
        <f>IFERROR(__xludf.DUMMYFUNCTION("GOOGLETRANSLATE(A364, ""fr"", ""en"")"),"#VALUE!")</f>
        <v>#VALUE!</v>
      </c>
    </row>
    <row r="365">
      <c r="A365" s="19" t="s">
        <v>476</v>
      </c>
      <c r="B365" s="20" t="str">
        <f>IFERROR(__xludf.DUMMYFUNCTION("GOOGLETRANSLATE(A365, ""fr"", ""en"")"),"Small door to replace / urgent")</f>
        <v>Small door to replace / urgent</v>
      </c>
    </row>
    <row r="366">
      <c r="A366" s="19" t="s">
        <v>477</v>
      </c>
      <c r="B366" s="20" t="str">
        <f>IFERROR(__xludf.DUMMYFUNCTION("GOOGLETRANSLATE(A366, ""fr"", ""en"")"),"Break door thank you for changing it")</f>
        <v>Break door thank you for changing it</v>
      </c>
    </row>
    <row r="367">
      <c r="A367" s="19" t="s">
        <v>478</v>
      </c>
      <c r="B367" s="20" t="str">
        <f>IFERROR(__xludf.DUMMYFUNCTION("GOOGLETRANSLATE(A367, ""fr"", ""en"")"),"Door handle to replace")</f>
        <v>Door handle to replace</v>
      </c>
    </row>
    <row r="368">
      <c r="A368" s="19" t="s">
        <v>479</v>
      </c>
      <c r="B368" s="20" t="str">
        <f>IFERROR(__xludf.DUMMYFUNCTION("GOOGLETRANSLATE(A368, ""fr"", ""en"")"),"Fresh fridge lights")</f>
        <v>Fresh fridge lights</v>
      </c>
    </row>
    <row r="369">
      <c r="A369" s="19" t="s">
        <v>480</v>
      </c>
      <c r="B369" s="20" t="str">
        <f>IFERROR(__xludf.DUMMYFUNCTION("GOOGLETRANSLATE(A369, ""fr"", ""en"")"),"We have a leak in the fresh or VVP furniture. We cannot know where it comes from.
 Between the TG VVP and the Italian fresh furniture.")</f>
        <v>We have a leak in the fresh or VVP furniture. We cannot know where it comes from.
 Between the TG VVP and the Italian fresh furniture.</v>
      </c>
    </row>
    <row r="370">
      <c r="A370" s="19" t="s">
        <v>481</v>
      </c>
      <c r="B370" s="20" t="str">
        <f>IFERROR(__xludf.DUMMYFUNCTION("GOOGLETRANSLATE(A370, ""fr"", ""en"")"),"We have honeycomb filters that are broken.")</f>
        <v>We have honeycomb filters that are broken.</v>
      </c>
    </row>
    <row r="371">
      <c r="A371" s="19" t="s">
        <v>482</v>
      </c>
      <c r="B371" s="20" t="str">
        <f>IFERROR(__xludf.DUMMYFUNCTION("GOOGLETRANSLATE(A371, ""fr"", ""en"")"),"Fresh furniture
 RS1-026 Temp. Hybrid furniture 1
 To the alarm that sounds ""high temperature""
 On the temperature screen there is the letter ""d"" which appears. (See photo)")</f>
        <v>Fresh furniture
 RS1-026 Temp. Hybrid furniture 1
 To the alarm that sounds "high temperature"
 On the temperature screen there is the letter "d" which appears. (See photo)</v>
      </c>
    </row>
    <row r="372">
      <c r="A372" s="19" t="s">
        <v>483</v>
      </c>
      <c r="B372" s="20" t="str">
        <f>IFERROR(__xludf.DUMMYFUNCTION("GOOGLETRANSLATE(A372, ""fr"", ""en"")"),"A technician spent the last week to repair a leak on a fridge but this one refers again.")</f>
        <v>A technician spent the last week to repair a leak on a fridge but this one refers again.</v>
      </c>
    </row>
    <row r="373">
      <c r="A373" s="19" t="s">
        <v>484</v>
      </c>
      <c r="B373" s="20" t="str">
        <f>IFERROR(__xludf.DUMMYFUNCTION("GOOGLETRANSLATE(A373, ""fr"", ""en"")"),"HS lighting in an MF.ODM made by AT3. Finished work")</f>
        <v>HS lighting in an MF.ODM made by AT3. Finished work</v>
      </c>
    </row>
    <row r="374">
      <c r="A374" s="19" t="s">
        <v>485</v>
      </c>
      <c r="B374" s="20" t="str">
        <f>IFERROR(__xludf.DUMMYFUNCTION("GOOGLETRANSLATE(A374, ""fr"", ""en"")"),"Alarm FROIS Take up to + 20. Application from Inter 303813255")</f>
        <v>Alarm FROIS Take up to + 20. Application from Inter 303813255</v>
      </c>
    </row>
    <row r="375">
      <c r="A375" s="19" t="s">
        <v>486</v>
      </c>
      <c r="B375" s="20" t="str">
        <f>IFERROR(__xludf.DUMMYFUNCTION("GOOGLETRANSLATE(A375, ""fr"", ""en"")"),"We have ice intake on the floor of the cold Negative room.")</f>
        <v>We have ice intake on the floor of the cold Negative room.</v>
      </c>
    </row>
    <row r="376">
      <c r="A376" s="19" t="s">
        <v>487</v>
      </c>
      <c r="B376" s="20" t="str">
        <f>IFERROR(__xludf.DUMMYFUNCTION("GOOGLETRANSLATE(A376, ""fr"", ""en"")"),"We have two cold alarms
 RS1-017 EMPS CF NEGATIVE
 RS1-018 Postive cf
 which displays the same alarm ""no connection""")</f>
        <v>We have two cold alarms
 RS1-017 EMPS CF NEGATIVE
 RS1-018 Postive cf
 which displays the same alarm "no connection"</v>
      </c>
    </row>
    <row r="377">
      <c r="A377" s="19" t="s">
        <v>488</v>
      </c>
      <c r="B377" s="20" t="str">
        <f>IFERROR(__xludf.DUMMYFUNCTION("GOOGLETRANSLATE(A377, ""fr"", ""en"")"),"The room is at temperature but descent quite easily in alarm")</f>
        <v>The room is at temperature but descent quite easily in alarm</v>
      </c>
    </row>
    <row r="378">
      <c r="A378" s="19" t="s">
        <v>489</v>
      </c>
      <c r="B378" s="20" t="str">
        <f>IFERROR(__xludf.DUMMYFUNCTION("GOOGLETRANSLATE(A378, ""fr"", ""en"")"),"Problem following an electcite cut")</f>
        <v>Problem following an electcite cut</v>
      </c>
    </row>
    <row r="379">
      <c r="A379" s="19" t="s">
        <v>490</v>
      </c>
      <c r="B379" s="20" t="str">
        <f>IFERROR(__xludf.DUMMYFUNCTION("GOOGLETRANSLATE(A379, ""fr"", ""en"")"),"door no longer holds properly")</f>
        <v>door no longer holds properly</v>
      </c>
    </row>
    <row r="380">
      <c r="A380" s="19" t="s">
        <v>491</v>
      </c>
      <c r="B380" s="20" t="str">
        <f>IFERROR(__xludf.DUMMYFUNCTION("GOOGLETRANSLATE(A380, ""fr"", ""en"")"),"We have ice on the ground and behind the engine")</f>
        <v>We have ice on the ground and behind the engine</v>
      </c>
    </row>
    <row r="381">
      <c r="A381" s="19" t="s">
        <v>492</v>
      </c>
      <c r="B381" s="20" t="str">
        <f>IFERROR(__xludf.DUMMYFUNCTION("GOOGLETRANSLATE(A381, ""fr"", ""en"")"),"The Negative Cold Room Alarm was active for 12 minutes for no reason. The temperature is going back down.")</f>
        <v>The Negative Cold Room Alarm was active for 12 minutes for no reason. The temperature is going back down.</v>
      </c>
    </row>
    <row r="382">
      <c r="A382" s="19" t="s">
        <v>493</v>
      </c>
      <c r="B382" s="20" t="str">
        <f>IFERROR(__xludf.DUMMYFUNCTION("GOOGLETRANSLATE(A382, ""fr"", ""en"")"),"ice intake")</f>
        <v>ice intake</v>
      </c>
    </row>
    <row r="383">
      <c r="A383" s="19" t="s">
        <v>494</v>
      </c>
      <c r="B383" s="20" t="str">
        <f>IFERROR(__xludf.DUMMYFUNCTION("GOOGLETRANSLATE(A383, ""fr"", ""en"")"),"The Negative Cold Room takes time to descend into a temperature and is quickly taken in ice. A person came for the ice taking Monday evening and the cold room has ice again on the ground.")</f>
        <v>The Negative Cold Room takes time to descend into a temperature and is quickly taken in ice. A person came for the ice taking Monday evening and the cold room has ice again on the ground.</v>
      </c>
    </row>
    <row r="384">
      <c r="A384" s="19" t="s">
        <v>495</v>
      </c>
      <c r="B384" s="20" t="str">
        <f>IFERROR(__xludf.DUMMYFUNCTION("GOOGLETRANSLATE(A384, ""fr"", ""en"")"),"Boloqué opening and closing")</f>
        <v>Boloqué opening and closing</v>
      </c>
    </row>
    <row r="385">
      <c r="A385" s="19" t="s">
        <v>496</v>
      </c>
      <c r="B385" s="20" t="str">
        <f>IFERROR(__xludf.DUMMYFUNCTION("GOOGLETRANSLATE(A385, ""fr"", ""en"")"),"Ice taking in the bedroom on the floor and on 1 palette")</f>
        <v>Ice taking in the bedroom on the floor and on 1 palette</v>
      </c>
    </row>
    <row r="386">
      <c r="A386" s="19" t="s">
        <v>497</v>
      </c>
      <c r="B386" s="20" t="str">
        <f>IFERROR(__xludf.DUMMYFUNCTION("GOOGLETRANSLATE(A386, ""fr"", ""en"")"),"Tasted door. Rail output completely.")</f>
        <v>Tasted door. Rail output completely.</v>
      </c>
    </row>
    <row r="387">
      <c r="A387" s="19" t="s">
        <v>498</v>
      </c>
      <c r="B387" s="20" t="str">
        <f>IFERROR(__xludf.DUMMYFUNCTION("GOOGLETRANSLATE(A387, ""fr"", ""en"")"),"Urgent door tasting rails.")</f>
        <v>Urgent door tasting rails.</v>
      </c>
    </row>
    <row r="388">
      <c r="A388" s="19" t="s">
        <v>499</v>
      </c>
      <c r="B388" s="20" t="str">
        <f>IFERROR(__xludf.DUMMYFUNCTION("GOOGLETRANSLATE(A388, ""fr"", ""en"")"),"Ceiling and floor ice intake in the cooler")</f>
        <v>Ceiling and floor ice intake in the cooler</v>
      </c>
    </row>
    <row r="389">
      <c r="A389" s="19" t="s">
        <v>500</v>
      </c>
      <c r="B389" s="20" t="str">
        <f>IFERROR(__xludf.DUMMYFUNCTION("GOOGLETRANSLATE(A389, ""fr"", ""en"")"),"handwritten
 move it and re -put the left leaf of the door")</f>
        <v>handwritten
 move it and re -put the left leaf of the door</v>
      </c>
    </row>
    <row r="390">
      <c r="A390" s="19" t="s">
        <v>501</v>
      </c>
      <c r="B390" s="20" t="str">
        <f>IFERROR(__xludf.DUMMYFUNCTION("GOOGLETRANSLATE(A390, ""fr"", ""en"")"),"Ice taking of the negative room")</f>
        <v>Ice taking of the negative room</v>
      </c>
    </row>
    <row r="391">
      <c r="A391" s="19" t="s">
        <v>502</v>
      </c>
      <c r="B391" s="20" t="str">
        <f>IFERROR(__xludf.DUMMYFUNCTION("GOOGLETRANSLATE(A391, ""fr"", ""en"")"),"Ice taking of the room")</f>
        <v>Ice taking of the room</v>
      </c>
    </row>
    <row r="392">
      <c r="A392" s="19" t="s">
        <v>503</v>
      </c>
      <c r="B392" s="20" t="str">
        <f>IFERROR(__xludf.DUMMYFUNCTION("GOOGLETRANSLATE(A392, ""fr"", ""en"")"),"At snow behind the evaporator + on the probes in the Negative CF")</f>
        <v>At snow behind the evaporator + on the probes in the Negative CF</v>
      </c>
    </row>
    <row r="393">
      <c r="A393" s="21"/>
      <c r="B393" s="20" t="str">
        <f>IFERROR(__xludf.DUMMYFUNCTION("GOOGLETRANSLATE(A393, ""fr"", ""en"")"),"#VALUE!")</f>
        <v>#VALUE!</v>
      </c>
    </row>
    <row r="394">
      <c r="A394" s="19" t="s">
        <v>504</v>
      </c>
      <c r="B394" s="20" t="str">
        <f>IFERROR(__xludf.DUMMYFUNCTION("GOOGLETRANSLATE(A394, ""fr"", ""en"")"),"At Cf Negative + Snowing in the ceiling + probe")</f>
        <v>At Cf Negative + Snowing in the ceiling + probe</v>
      </c>
    </row>
    <row r="395">
      <c r="A395" s="19" t="s">
        <v>505</v>
      </c>
      <c r="B395" s="20" t="str">
        <f>IFERROR(__xludf.DUMMYFUNCTION("GOOGLETRANSLATE(A395, ""fr"", ""en"")"),"Hello the door of the negative room does not open it anymore I already called axima the interveting number is 303760480 because I can no longer get out of Surgele and can no longer make bread thank you for the intervention")</f>
        <v>Hello the door of the negative room does not open it anymore I already called axima the interveting number is 303760480 because I can no longer get out of Surgele and can no longer make bread thank you for the intervention</v>
      </c>
    </row>
    <row r="396">
      <c r="A396" s="19" t="s">
        <v>506</v>
      </c>
      <c r="B396" s="20" t="str">
        <f>IFERROR(__xludf.DUMMYFUNCTION("GOOGLETRANSLATE(A396, ""fr"", ""en"")"),"Surgele door does not open it anymore thank you for launching the intervention quickly")</f>
        <v>Surgele door does not open it anymore thank you for launching the intervention quickly</v>
      </c>
    </row>
    <row r="397">
      <c r="A397" s="19" t="s">
        <v>507</v>
      </c>
      <c r="B397" s="20" t="str">
        <f>IFERROR(__xludf.DUMMYFUNCTION("GOOGLETRANSLATE(A397, ""fr"", ""en"")"),"Following audit chain of the cold, swept ceiling room -.")</f>
        <v>Following audit chain of the cold, swept ceiling room -.</v>
      </c>
    </row>
    <row r="398">
      <c r="A398" s="19" t="s">
        <v>508</v>
      </c>
      <c r="B398" s="20" t="str">
        <f>IFERROR(__xludf.DUMMYFUNCTION("GOOGLETRANSLATE(A398, ""fr"", ""en"")"),"HS door handle - 2 screws, but one of two no longer holds (hs thread)")</f>
        <v>HS door handle - 2 screws, but one of two no longer holds (hs thread)</v>
      </c>
    </row>
    <row r="399">
      <c r="A399" s="19" t="s">
        <v>509</v>
      </c>
      <c r="B399" s="20" t="str">
        <f>IFERROR(__xludf.DUMMYFUNCTION("GOOGLETRANSLATE(A399, ""fr"", ""en"")"),"Abnormal condensation on the ceiling of the negative room of the lab bread
 Condensation drops freeze on the ground and represent a serious risk of falling in the room")</f>
        <v>Abnormal condensation on the ceiling of the negative room of the lab bread
 Condensation drops freeze on the ground and represent a serious risk of falling in the room</v>
      </c>
    </row>
    <row r="400">
      <c r="A400" s="19" t="s">
        <v>510</v>
      </c>
      <c r="B400" s="20" t="str">
        <f>IFERROR(__xludf.DUMMYFUNCTION("GOOGLETRANSLATE(A400, ""fr"", ""en"")"),"temperature at least 18 degrees alarm sounds")</f>
        <v>temperature at least 18 degrees alarm sounds</v>
      </c>
    </row>
    <row r="401">
      <c r="A401" s="19" t="s">
        <v>511</v>
      </c>
      <c r="B401" s="20" t="str">
        <f>IFERROR(__xludf.DUMMYFUNCTION("GOOGLETRANSLATE(A401, ""fr"", ""en"")"),"Ice taking in the negative cold room.")</f>
        <v>Ice taking in the negative cold room.</v>
      </c>
    </row>
    <row r="402">
      <c r="A402" s="19" t="s">
        <v>512</v>
      </c>
      <c r="B402" s="20" t="str">
        <f>IFERROR(__xludf.DUMMYFUNCTION("GOOGLETRANSLATE(A402, ""fr"", ""en"")"),"Door degondee, Constantly sounds urgent thank you")</f>
        <v>Door degondee, Constantly sounds urgent thank you</v>
      </c>
    </row>
    <row r="403">
      <c r="A403" s="21"/>
      <c r="B403" s="20" t="str">
        <f>IFERROR(__xludf.DUMMYFUNCTION("GOOGLETRANSLATE(A403, ""fr"", ""en"")"),"#VALUE!")</f>
        <v>#VALUE!</v>
      </c>
    </row>
    <row r="404">
      <c r="A404" s="19" t="s">
        <v>513</v>
      </c>
      <c r="B404" s="20" t="str">
        <f>IFERROR(__xludf.DUMMYFUNCTION("GOOGLETRANSLATE(A404, ""fr"", ""en"")"),"Active negative cold room alarm and temperature increase")</f>
        <v>Active negative cold room alarm and temperature increase</v>
      </c>
    </row>
    <row r="405">
      <c r="A405" s="19" t="s">
        <v>514</v>
      </c>
      <c r="B405" s="20" t="str">
        <f>IFERROR(__xludf.DUMMYFUNCTION("GOOGLETRANSLATE(A405, ""fr"", ""en"")"),"Cold Cold Single Negative Bedroom")</f>
        <v>Cold Cold Single Negative Bedroom</v>
      </c>
    </row>
    <row r="406">
      <c r="A406" s="19" t="s">
        <v>515</v>
      </c>
      <c r="B406" s="20" t="str">
        <f>IFERROR(__xludf.DUMMYFUNCTION("GOOGLETRANSLATE(A406, ""fr"", ""en"")"),"Have the two doors with blue docks removed which no longer have useful and annoy access to the room")</f>
        <v>Have the two doors with blue docks removed which no longer have useful and annoy access to the room</v>
      </c>
    </row>
    <row r="407">
      <c r="A407" s="19" t="s">
        <v>516</v>
      </c>
      <c r="B407" s="20" t="str">
        <f>IFERROR(__xludf.DUMMYFUNCTION("GOOGLETRANSLATE(A407, ""fr"", ""en"")"),"The alarm of the small door of the platform sounds without stopping, time that we do not spend the badge on it.")</f>
        <v>The alarm of the small door of the platform sounds without stopping, time that we do not spend the badge on it.</v>
      </c>
    </row>
    <row r="408">
      <c r="A408" s="19" t="s">
        <v>517</v>
      </c>
      <c r="B408" s="20" t="str">
        <f>IFERROR(__xludf.DUMMYFUNCTION("GOOGLETRANSLATE(A408, ""fr"", ""en"")"),"The handful of the small dock door was torn off by a transpalette.")</f>
        <v>The handful of the small dock door was torn off by a transpalette.</v>
      </c>
    </row>
    <row r="409">
      <c r="A409" s="19" t="s">
        <v>518</v>
      </c>
      <c r="B409" s="20" t="str">
        <f>IFERROR(__xludf.DUMMYFUNCTION("GOOGLETRANSLATE(A409, ""fr"", ""en"")"),"The door from the quay is no longer closed following a shock.")</f>
        <v>The door from the quay is no longer closed following a shock.</v>
      </c>
    </row>
    <row r="410">
      <c r="A410" s="19" t="s">
        <v>519</v>
      </c>
      <c r="B410" s="20" t="str">
        <f>IFERROR(__xludf.DUMMYFUNCTION("GOOGLETRANSLATE(A410, ""fr"", ""en"")"),"At the request of the RM: door sweep from the quay torn from the ground. The concrete floor is not regular which tears the door sweep. Balaie change by at3. Finished work")</f>
        <v>At the request of the RM: door sweep from the quay torn from the ground. The concrete floor is not regular which tears the door sweep. Balaie change by at3. Finished work</v>
      </c>
    </row>
    <row r="411">
      <c r="A411" s="19" t="s">
        <v>520</v>
      </c>
      <c r="B411" s="20" t="str">
        <f>IFERROR(__xludf.DUMMYFUNCTION("GOOGLETRANSLATE(A411, ""fr"", ""en"")"),"The grip is broken")</f>
        <v>The grip is broken</v>
      </c>
    </row>
    <row r="412">
      <c r="A412" s="19" t="s">
        <v>521</v>
      </c>
      <c r="B412" s="20" t="str">
        <f>IFERROR(__xludf.DUMMYFUNCTION("GOOGLETRANSLATE(A412, ""fr"", ""en"")"),"change of the lock please")</f>
        <v>change of the lock please</v>
      </c>
    </row>
    <row r="413">
      <c r="A413" s="19" t="s">
        <v>522</v>
      </c>
      <c r="B413" s="20" t="str">
        <f>IFERROR(__xludf.DUMMYFUNCTION("GOOGLETRANSLATE(A413, ""fr"", ""en"")"),"Grille cylinder measurement in reserve for the replacement of it .odm made by AT3. Finished work.")</f>
        <v>Grille cylinder measurement in reserve for the replacement of it .odm made by AT3. Finished work.</v>
      </c>
    </row>
    <row r="414">
      <c r="A414" s="19" t="s">
        <v>523</v>
      </c>
      <c r="B414" s="20" t="str">
        <f>IFERROR(__xludf.DUMMYFUNCTION("GOOGLETRANSLATE(A414, ""fr"", ""en"")"),"Roulette comes out of his rail")</f>
        <v>Roulette comes out of his rail</v>
      </c>
    </row>
    <row r="415">
      <c r="A415" s="19" t="s">
        <v>524</v>
      </c>
      <c r="B415" s="20" t="str">
        <f>IFERROR(__xludf.DUMMYFUNCTION("GOOGLETRANSLATE(A415, ""fr"", ""en"")"),"At Night Grille Lock Request CM")</f>
        <v>At Night Grille Lock Request CM</v>
      </c>
    </row>
    <row r="416">
      <c r="A416" s="19" t="s">
        <v>523</v>
      </c>
      <c r="B416" s="20" t="str">
        <f>IFERROR(__xludf.DUMMYFUNCTION("GOOGLETRANSLATE(A416, ""fr"", ""en"")"),"Roulette comes out of his rail")</f>
        <v>Roulette comes out of his rail</v>
      </c>
    </row>
    <row r="417">
      <c r="A417" s="19" t="s">
        <v>525</v>
      </c>
      <c r="B417" s="20" t="str">
        <f>IFERROR(__xludf.DUMMYFUNCTION("GOOGLETRANSLATE(A417, ""fr"", ""en"")"),"Grille leaves the rails (grid between the reserve and the quay).")</f>
        <v>Grille leaves the rails (grid between the reserve and the quay).</v>
      </c>
    </row>
    <row r="418">
      <c r="A418" s="19" t="s">
        <v>526</v>
      </c>
      <c r="B418" s="20" t="str">
        <f>IFERROR(__xludf.DUMMYFUNCTION("GOOGLETRANSLATE(A418, ""fr"", ""en"")"),"It would be necessary to install a socket at the dry bindat for our bis desk. Please")</f>
        <v>It would be necessary to install a socket at the dry bindat for our bis desk. Please</v>
      </c>
    </row>
    <row r="419">
      <c r="A419" s="19" t="s">
        <v>527</v>
      </c>
      <c r="B419" s="20" t="str">
        <f>IFERROR(__xludf.DUMMYFUNCTION("GOOGLETRANSLATE(A419, ""fr"", ""en"")"),"works that in urgent turtle mode")</f>
        <v>works that in urgent turtle mode</v>
      </c>
    </row>
    <row r="420">
      <c r="A420" s="19" t="s">
        <v>528</v>
      </c>
      <c r="B420" s="20" t="str">
        <f>IFERROR(__xludf.DUMMYFUNCTION("GOOGLETRANSLATE(A420, ""fr"", ""en"")"),"damaged socket")</f>
        <v>damaged socket</v>
      </c>
    </row>
    <row r="421">
      <c r="A421" s="19" t="s">
        <v>529</v>
      </c>
      <c r="B421" s="20" t="str">
        <f>IFERROR(__xludf.DUMMYFUNCTION("GOOGLETRANSLATE(A421, ""fr"", ""en"")"),"Urgent: Electric transpalette no longer loads.
 Need an electric replacement transparent because more than 2 in stores.")</f>
        <v>Urgent: Electric transpalette no longer loads.
 Need an electric replacement transparent because more than 2 in stores.</v>
      </c>
    </row>
    <row r="422">
      <c r="A422" s="19" t="s">
        <v>530</v>
      </c>
      <c r="B422" s="20" t="str">
        <f>IFERROR(__xludf.DUMMYFUNCTION("GOOGLETRANSLATE(A422, ""fr"", ""en"")"),"Urgent: broken electrical outlet. Only 2 electric transpalets in store.")</f>
        <v>Urgent: broken electrical outlet. Only 2 electric transpalets in store.</v>
      </c>
    </row>
    <row r="423">
      <c r="A423" s="19" t="s">
        <v>531</v>
      </c>
      <c r="B423" s="20" t="str">
        <f>IFERROR(__xludf.DUMMYFUNCTION("GOOGLETRANSLATE(A423, ""fr"", ""en"")"),"Electrical outlet of the transpalette is broken")</f>
        <v>Electrical outlet of the transpalette is broken</v>
      </c>
    </row>
    <row r="424">
      <c r="A424" s="19" t="s">
        <v>532</v>
      </c>
      <c r="B424" s="20" t="str">
        <f>IFERROR(__xludf.DUMMYFUNCTION("GOOGLETRANSLATE(A424, ""fr"", ""en"")"),"The drawn drawn from the palette does not stay at the top.")</f>
        <v>The drawn drawn from the palette does not stay at the top.</v>
      </c>
    </row>
    <row r="425">
      <c r="A425" s="19" t="s">
        <v>533</v>
      </c>
      <c r="B425" s="20" t="str">
        <f>IFERROR(__xludf.DUMMYFUNCTION("GOOGLETRANSLATE(A425, ""fr"", ""en"")"),"The catch is broken")</f>
        <v>The catch is broken</v>
      </c>
    </row>
    <row r="426">
      <c r="A426" s="19" t="s">
        <v>534</v>
      </c>
      <c r="B426" s="20" t="str">
        <f>IFERROR(__xludf.DUMMYFUNCTION("GOOGLETRANSLATE(A426, ""fr"", ""en"")"),"Transpalette discharges quickly and stops made sudden stops. Force to put it out of the way to leave before it stops again.")</f>
        <v>Transpalette discharges quickly and stops made sudden stops. Force to put it out of the way to leave before it stops again.</v>
      </c>
    </row>
    <row r="427">
      <c r="A427" s="19" t="s">
        <v>535</v>
      </c>
      <c r="B427" s="20" t="str">
        <f>IFERROR(__xludf.DUMMYFUNCTION("GOOGLETRANSLATE(A427, ""fr"", ""en"")"),"The transpalette no longer loads.")</f>
        <v>The transpalette no longer loads.</v>
      </c>
    </row>
    <row r="428">
      <c r="A428" s="21"/>
      <c r="B428" s="20" t="str">
        <f>IFERROR(__xludf.DUMMYFUNCTION("GOOGLETRANSLATE(A428, ""fr"", ""en"")"),"#VALUE!")</f>
        <v>#VALUE!</v>
      </c>
    </row>
    <row r="429">
      <c r="A429" s="19" t="s">
        <v>536</v>
      </c>
      <c r="B429" s="20" t="str">
        <f>IFERROR(__xludf.DUMMYFUNCTION("GOOGLETRANSLATE(A429, ""fr"", ""en"")"),"do not aspire. All the filters are debted. Can you please send us a loan racing machine during the repairs")</f>
        <v>do not aspire. All the filters are debted. Can you please send us a loan racing machine during the repairs</v>
      </c>
    </row>
    <row r="430">
      <c r="A430" s="19" t="s">
        <v>537</v>
      </c>
      <c r="B430" s="20" t="str">
        <f>IFERROR(__xludf.DUMMYFUNCTION("GOOGLETRANSLATE(A430, ""fr"", ""en"")"),"missing brush and no longer aspires")</f>
        <v>missing brush and no longer aspires</v>
      </c>
    </row>
    <row r="431">
      <c r="A431" s="19" t="s">
        <v>538</v>
      </c>
      <c r="B431" s="20" t="str">
        <f>IFERROR(__xludf.DUMMYFUNCTION("GOOGLETRANSLATE(A431, ""fr"", ""en"")"),"Lack a brush below + leakage")</f>
        <v>Lack a brush below + leakage</v>
      </c>
    </row>
    <row r="432">
      <c r="A432" s="21"/>
      <c r="B432" s="20" t="str">
        <f>IFERROR(__xludf.DUMMYFUNCTION("GOOGLETRANSLATE(A432, ""fr"", ""en"")"),"#VALUE!")</f>
        <v>#VALUE!</v>
      </c>
    </row>
    <row r="433">
      <c r="A433" s="21"/>
      <c r="B433" s="20" t="str">
        <f>IFERROR(__xludf.DUMMYFUNCTION("GOOGLETRANSLATE(A433, ""fr"", ""en"")"),"#VALUE!")</f>
        <v>#VALUE!</v>
      </c>
    </row>
    <row r="434">
      <c r="A434" s="19" t="s">
        <v>539</v>
      </c>
      <c r="B434" s="20" t="str">
        <f>IFERROR(__xludf.DUMMYFUNCTION("GOOGLETRANSLATE(A434, ""fr"", ""en"")"),"Defective self -lister brush. No longer cleans.")</f>
        <v>Defective self -lister brush. No longer cleans.</v>
      </c>
    </row>
    <row r="435">
      <c r="A435" s="21"/>
      <c r="B435" s="20" t="str">
        <f>IFERROR(__xludf.DUMMYFUNCTION("GOOGLETRANSLATE(A435, ""fr"", ""en"")"),"#VALUE!")</f>
        <v>#VALUE!</v>
      </c>
    </row>
    <row r="436">
      <c r="A436" s="19" t="s">
        <v>540</v>
      </c>
      <c r="B436" s="20" t="str">
        <f>IFERROR(__xludf.DUMMYFUNCTION("GOOGLETRANSLATE(A436, ""fr"", ""en"")"),"Water that does not come out, please could we have a loan. Thank you. A happy new year to you all on the 2807")</f>
        <v>Water that does not come out, please could we have a loan. Thank you. A happy new year to you all on the 2807</v>
      </c>
    </row>
    <row r="437">
      <c r="A437" s="19" t="s">
        <v>541</v>
      </c>
      <c r="B437" s="20" t="str">
        <f>IFERROR(__xludf.DUMMYFUNCTION("GOOGLETRANSLATE(A437, ""fr"", ""en"")"),"leak")</f>
        <v>leak</v>
      </c>
    </row>
    <row r="438">
      <c r="A438" s="19" t="s">
        <v>542</v>
      </c>
      <c r="B438" s="20" t="str">
        <f>IFERROR(__xludf.DUMMYFUNCTION("GOOGLETRANSLATE(A438, ""fr"", ""en"")"),"Water leak under the machine loss of all water")</f>
        <v>Water leak under the machine loss of all water</v>
      </c>
    </row>
    <row r="439">
      <c r="A439" s="19" t="s">
        <v>543</v>
      </c>
      <c r="B439" s="20" t="str">
        <f>IFERROR(__xludf.DUMMYFUNCTION("GOOGLETRANSLATE(A439, ""fr"", ""en"")"),"rug")</f>
        <v>rug</v>
      </c>
    </row>
    <row r="440">
      <c r="A440" s="19" t="s">
        <v>544</v>
      </c>
      <c r="B440" s="20" t="str">
        <f>IFERROR(__xludf.DUMMYFUNCTION("GOOGLETRANSLATE(A440, ""fr"", ""en"")"),"Leak at the connecting of the pipe to fill the water with the aggressor")</f>
        <v>Leak at the connecting of the pipe to fill the water with the aggressor</v>
      </c>
    </row>
    <row r="441">
      <c r="A441" s="19" t="s">
        <v>545</v>
      </c>
      <c r="B441" s="20" t="str">
        <f>IFERROR(__xludf.DUMMYFUNCTION("GOOGLETRANSLATE(A441, ""fr"", ""en"")"),"The Autolaveuse, having a hard time aspiring")</f>
        <v>The Autolaveuse, having a hard time aspiring</v>
      </c>
    </row>
    <row r="442">
      <c r="A442" s="19" t="s">
        <v>546</v>
      </c>
      <c r="B442" s="20" t="str">
        <f>IFERROR(__xludf.DUMMYFUNCTION("GOOGLETRANSLATE(A442, ""fr"", ""en"")"),"The self-lavery has almost no more water. The filters are clean.")</f>
        <v>The self-lavery has almost no more water. The filters are clean.</v>
      </c>
    </row>
    <row r="443">
      <c r="A443" s="21"/>
      <c r="B443" s="20" t="str">
        <f>IFERROR(__xludf.DUMMYFUNCTION("GOOGLETRANSLATE(A443, ""fr"", ""en"")"),"#VALUE!")</f>
        <v>#VALUE!</v>
      </c>
    </row>
    <row r="444">
      <c r="A444" s="19" t="s">
        <v>547</v>
      </c>
      <c r="B444" s="20" t="str">
        <f>IFERROR(__xludf.DUMMYFUNCTION("GOOGLETRANSLATE(A444, ""fr"", ""en"")"),"One of the car brush is declined and the joint around has been removed.")</f>
        <v>One of the car brush is declined and the joint around has been removed.</v>
      </c>
    </row>
    <row r="445">
      <c r="A445" s="19" t="s">
        <v>548</v>
      </c>
      <c r="B445" s="20" t="str">
        <f>IFERROR(__xludf.DUMMYFUNCTION("GOOGLETRANSLATE(A445, ""fr"", ""en"")"),"Attempt to unclog with the current maintenance product
 It seems to miss the filter at the entry of the evacuation just below the grids. Can you send me a please? THANKS")</f>
        <v>Attempt to unclog with the current maintenance product
 It seems to miss the filter at the entry of the evacuation just below the grids. Can you send me a please? THANKS</v>
      </c>
    </row>
    <row r="446">
      <c r="A446" s="19" t="s">
        <v>549</v>
      </c>
      <c r="B446" s="20" t="str">
        <f>IFERROR(__xludf.DUMMYFUNCTION("GOOGLETRANSLATE(A446, ""fr"", ""en"")"),"the alarm could not be put
 Orange light on the box")</f>
        <v>the alarm could not be put
 Orange light on the box</v>
      </c>
    </row>
    <row r="447">
      <c r="A447" s="19" t="s">
        <v>550</v>
      </c>
      <c r="B447" s="20" t="str">
        <f>IFERROR(__xludf.DUMMYFUNCTION("GOOGLETRANSLATE(A447, ""fr"", ""en"")"),"Door door more alarm")</f>
        <v>Door door more alarm</v>
      </c>
    </row>
    <row r="448">
      <c r="A448" s="21"/>
      <c r="B448" s="20" t="str">
        <f>IFERROR(__xludf.DUMMYFUNCTION("GOOGLETRANSLATE(A448, ""fr"", ""en"")"),"#VALUE!")</f>
        <v>#VALUE!</v>
      </c>
    </row>
    <row r="449">
      <c r="A449" s="19" t="s">
        <v>551</v>
      </c>
      <c r="B449" s="20" t="str">
        <f>IFERROR(__xludf.DUMMYFUNCTION("GOOGLETRANSLATE(A449, ""fr"", ""en"")"),"The alarm does not work when the Pieton door is open without badgage")</f>
        <v>The alarm does not work when the Pieton door is open without badgage</v>
      </c>
    </row>
    <row r="450">
      <c r="A450" s="19" t="s">
        <v>552</v>
      </c>
      <c r="B450" s="20" t="str">
        <f>IFERROR(__xludf.DUMMYFUNCTION("GOOGLETRANSLATE(A450, ""fr"", ""en"")"),"Key search, replace the lock of the Cisson Vidosurveilance")</f>
        <v>Key search, replace the lock of the Cisson Vidosurveilance</v>
      </c>
    </row>
    <row r="451">
      <c r="A451" s="19" t="s">
        <v>553</v>
      </c>
      <c r="B451" s="20" t="str">
        <f>IFERROR(__xludf.DUMMYFUNCTION("GOOGLETRANSLATE(A451, ""fr"", ""en"")"),"Alarm of the employee front door which is no longer set out. Key blocked on the light and which no longer moves to operate the alarm")</f>
        <v>Alarm of the employee front door which is no longer set out. Key blocked on the light and which no longer moves to operate the alarm</v>
      </c>
    </row>
    <row r="452">
      <c r="A452" s="19" t="s">
        <v>554</v>
      </c>
      <c r="B452" s="20" t="str">
        <f>IFERROR(__xludf.DUMMYFUNCTION("GOOGLETRANSLATE(A452, ""fr"", ""en"")"),"recharge the bandit in gas
 He's a last week")</f>
        <v>recharge the bandit in gas
 He's a last week</v>
      </c>
    </row>
    <row r="453">
      <c r="A453" s="19" t="s">
        <v>555</v>
      </c>
      <c r="B453" s="20" t="str">
        <f>IFERROR(__xludf.DUMMYFUNCTION("GOOGLETRANSLATE(A453, ""fr"", ""en"")"),"The fire alarm is triggered several times during the day without any reasons")</f>
        <v>The fire alarm is triggered several times during the day without any reasons</v>
      </c>
    </row>
    <row r="454">
      <c r="A454" s="19" t="s">
        <v>556</v>
      </c>
      <c r="B454" s="20" t="str">
        <f>IFERROR(__xludf.DUMMYFUNCTION("GOOGLETRANSLATE(A454, ""fr"", ""en"")"),"* Unsclaimed box HS")</f>
        <v>* Unsclaimed box HS</v>
      </c>
    </row>
    <row r="455">
      <c r="A455" s="19" t="s">
        <v>557</v>
      </c>
      <c r="B455" s="20" t="str">
        <f>IFERROR(__xludf.DUMMYFUNCTION("GOOGLETRANSLATE(A455, ""fr"", ""en"")"),"Compliance of the video surveillance box. ODM made by AT3. Finished work")</f>
        <v>Compliance of the video surveillance box. ODM made by AT3. Finished work</v>
      </c>
    </row>
    <row r="456">
      <c r="A456" s="19" t="s">
        <v>558</v>
      </c>
      <c r="B456" s="20" t="str">
        <f>IFERROR(__xludf.DUMMYFUNCTION("GOOGLETRANSLATE(A456, ""fr"", ""en"")"),"For FM info: visual control in live mode of the absence of the boxes on the screen .odm made by AT3. Finished work.")</f>
        <v>For FM info: visual control in live mode of the absence of the boxes on the screen .odm made by AT3. Finished work.</v>
      </c>
    </row>
    <row r="457">
      <c r="A457" s="19" t="s">
        <v>559</v>
      </c>
      <c r="B457" s="20" t="str">
        <f>IFERROR(__xludf.DUMMYFUNCTION("GOOGLETRANSLATE(A457, ""fr"", ""en"")"),"* DEPLAID CAMERA SCO to have a visu on all SCOs. FM: Recall Mag on Friday, chef Mag will be present. Benjamin takes care of it")</f>
        <v>* DEPLAID CAMERA SCO to have a visu on all SCOs. FM: Recall Mag on Friday, chef Mag will be present. Benjamin takes care of it</v>
      </c>
    </row>
    <row r="458">
      <c r="A458" s="19" t="s">
        <v>560</v>
      </c>
      <c r="B458" s="20" t="str">
        <f>IFERROR(__xludf.DUMMYFUNCTION("GOOGLETRANSLATE(A458, ""fr"", ""en"")"),"AT3 CHECK LIST quarterly 2806")</f>
        <v>AT3 CHECK LIST quarterly 2806</v>
      </c>
    </row>
    <row r="459">
      <c r="A459" s="19" t="s">
        <v>561</v>
      </c>
      <c r="B459" s="20" t="str">
        <f>IFERROR(__xludf.DUMMYFUNCTION("GOOGLETRANSLATE(A459, ""fr"", ""en"")"),"At the request of the FM: counting of cameras in the mag and screenshot of video surveillance.odm made by AT3. Finished work.")</f>
        <v>At the request of the FM: counting of cameras in the mag and screenshot of video surveillance.odm made by AT3. Finished work.</v>
      </c>
    </row>
    <row r="460">
      <c r="A460" s="19" t="s">
        <v>562</v>
      </c>
      <c r="B460" s="20" t="str">
        <f>IFERROR(__xludf.DUMMYFUNCTION("GOOGLETRANSLATE(A460, ""fr"", ""en"")"),"Put a lead on the Video Surveillance box")</f>
        <v>Put a lead on the Video Surveillance box</v>
      </c>
    </row>
    <row r="461">
      <c r="A461" s="19" t="s">
        <v>563</v>
      </c>
      <c r="B461" s="20" t="str">
        <f>IFERROR(__xludf.DUMMYFUNCTION("GOOGLETRANSLATE(A461, ""fr"", ""en"")"),"We miss the label bearing the VMK server video mention")</f>
        <v>We miss the label bearing the VMK server video mention</v>
      </c>
    </row>
    <row r="462">
      <c r="A462" s="19" t="s">
        <v>564</v>
      </c>
      <c r="B462" s="20" t="str">
        <f>IFERROR(__xludf.DUMMYFUNCTION("GOOGLETRANSLATE(A462, ""fr"", ""en"")"),"At the FM request: video surveillance control in live and dsb.odm mode made by AT3. Finished work.")</f>
        <v>At the FM request: video surveillance control in live and dsb.odm mode made by AT3. Finished work.</v>
      </c>
    </row>
    <row r="463">
      <c r="A463" s="19" t="s">
        <v>565</v>
      </c>
      <c r="B463" s="20" t="str">
        <f>IFERROR(__xludf.DUMMYFUNCTION("GOOGLETRANSLATE(A463, ""fr"", ""en"")"),"DSB password change of video surveillance .odm made by AT3. Finished work.")</f>
        <v>DSB password change of video surveillance .odm made by AT3. Finished work.</v>
      </c>
    </row>
    <row r="464">
      <c r="A464" s="19" t="s">
        <v>566</v>
      </c>
      <c r="B464" s="20" t="str">
        <f>IFERROR(__xludf.DUMMYFUNCTION("GOOGLETRANSLATE(A464, ""fr"", ""en"")"),"Compliance the video boxes.odm made by AT3. Finished work")</f>
        <v>Compliance the video boxes.odm made by AT3. Finished work</v>
      </c>
    </row>
    <row r="465">
      <c r="A465" s="19" t="s">
        <v>567</v>
      </c>
      <c r="B465" s="20" t="str">
        <f>IFERROR(__xludf.DUMMYFUNCTION("GOOGLETRANSLATE(A465, ""fr"", ""en"")"),"For FM info: video surveillance control. Visual spaces on boxes in live mode.odm made by AT3. Finished work.")</f>
        <v>For FM info: video surveillance control. Visual spaces on boxes in live mode.odm made by AT3. Finished work.</v>
      </c>
    </row>
    <row r="466">
      <c r="A466" s="19" t="s">
        <v>568</v>
      </c>
      <c r="B466" s="20" t="str">
        <f>IFERROR(__xludf.DUMMYFUNCTION("GOOGLETRANSLATE(A466, ""fr"", ""en"")"),"At the request of the FM: video surveillance control in DSB and Live mode on different areas such as the trunk, conveyor entrance, unloading quay .odm made by AT3. Finished work.")</f>
        <v>At the request of the FM: video surveillance control in DSB and Live mode on different areas such as the trunk, conveyor entrance, unloading quay .odm made by AT3. Finished work.</v>
      </c>
    </row>
    <row r="467">
      <c r="A467" s="19" t="s">
        <v>569</v>
      </c>
      <c r="B467" s="20" t="str">
        <f>IFERROR(__xludf.DUMMYFUNCTION("GOOGLETRANSLATE(A467, ""fr"", ""en"")"),"HS camera system remains frozen")</f>
        <v>HS camera system remains frozen</v>
      </c>
    </row>
    <row r="468">
      <c r="A468" s="19" t="s">
        <v>570</v>
      </c>
      <c r="B468" s="20" t="str">
        <f>IFERROR(__xludf.DUMMYFUNCTION("GOOGLETRANSLATE(A468, ""fr"", ""en"")"),"PB ACCES Camera + Orientation")</f>
        <v>PB ACCES Camera + Orientation</v>
      </c>
    </row>
    <row r="469">
      <c r="A469" s="19" t="s">
        <v>571</v>
      </c>
      <c r="B469" s="20" t="str">
        <f>IFERROR(__xludf.DUMMYFUNCTION("GOOGLETRANSLATE(A469, ""fr"", ""en"")"),"At the request of the FM: control of video surveillance .odm made by AT3. Finished work.")</f>
        <v>At the request of the FM: control of video surveillance .odm made by AT3. Finished work.</v>
      </c>
    </row>
    <row r="470">
      <c r="A470" s="19" t="s">
        <v>572</v>
      </c>
      <c r="B470" s="20" t="str">
        <f>IFERROR(__xludf.DUMMYFUNCTION("GOOGLETRANSLATE(A470, ""fr"", ""en"")"),"DSB code change of video surveillance.odm made by AT3. Finished work.")</f>
        <v>DSB code change of video surveillance.odm made by AT3. Finished work.</v>
      </c>
    </row>
    <row r="471">
      <c r="A471" s="19" t="s">
        <v>573</v>
      </c>
      <c r="B471" s="20" t="str">
        <f>IFERROR(__xludf.DUMMYFUNCTION("GOOGLETRANSLATE(A471, ""fr"", ""en"")"),"Compliance the video box. ODM made by AT3. Finished work")</f>
        <v>Compliance the video box. ODM made by AT3. Finished work</v>
      </c>
    </row>
    <row r="472">
      <c r="A472" s="19" t="s">
        <v>574</v>
      </c>
      <c r="B472" s="20" t="str">
        <f>IFERROR(__xludf.DUMMYFUNCTION("GOOGLETRANSLATE(A472, ""fr"", ""en"")"),"At the request of the FM: Video control on the conveyor area, quay, boxes, office and trunk in live mode. Pas of connections in dsb.odm made by AT3. Finished work")</f>
        <v>At the request of the FM: Video control on the conveyor area, quay, boxes, office and trunk in live mode. Pas of connections in dsb.odm made by AT3. Finished work</v>
      </c>
    </row>
    <row r="473">
      <c r="A473" s="19" t="s">
        <v>575</v>
      </c>
      <c r="B473" s="20" t="str">
        <f>IFERROR(__xludf.DUMMYFUNCTION("GOOGLETRANSLATE(A473, ""fr"", ""en"")"),"Blocking wheels")</f>
        <v>Blocking wheels</v>
      </c>
    </row>
    <row r="474">
      <c r="A474" s="19" t="s">
        <v>576</v>
      </c>
      <c r="B474" s="20" t="str">
        <f>IFERROR(__xludf.DUMMYFUNCTION("GOOGLETRANSLATE(A474, ""fr"", ""en"")"),"Urgent HS closure chest")</f>
        <v>Urgent HS closure chest</v>
      </c>
    </row>
    <row r="475">
      <c r="A475" s="19" t="s">
        <v>577</v>
      </c>
      <c r="B475" s="20" t="str">
        <f>IFERROR(__xludf.DUMMYFUNCTION("GOOGLETRANSLATE(A475, ""fr"", ""en"")"),"Unable to open the Valois with the key. Take a look in the lock but not the second to open it")</f>
        <v>Unable to open the Valois with the key. Take a look in the lock but not the second to open it</v>
      </c>
    </row>
    <row r="476">
      <c r="A476" s="19" t="s">
        <v>578</v>
      </c>
      <c r="B476" s="20" t="str">
        <f>IFERROR(__xludf.DUMMYFUNCTION("GOOGLETRANSLATE(A476, ""fr"", ""en"")"),"Cleae in the lock")</f>
        <v>Cleae in the lock</v>
      </c>
    </row>
    <row r="477">
      <c r="A477" s="19" t="s">
        <v>579</v>
      </c>
      <c r="B477" s="20" t="str">
        <f>IFERROR(__xludf.DUMMYFUNCTION("GOOGLETRANSLATE(A477, ""fr"", ""en"")"),"The Valit has the hatch that no longer rocks. There must be a stuck envelope and we cannot open the door without the key to the fundraising company.
 The Depot on Saturday evening is in the large trunk.
 The background transport company comes tomorrow mor"&amp;"ning.")</f>
        <v>The Valit has the hatch that no longer rocks. There must be a stuck envelope and we cannot open the door without the key to the fundraising company.
 The Depot on Saturday evening is in the large trunk.
 The background transport company comes tomorrow morning.</v>
      </c>
    </row>
    <row r="478">
      <c r="A478" s="19" t="s">
        <v>580</v>
      </c>
      <c r="B478" s="20" t="str">
        <f>IFERROR(__xludf.DUMMYFUNCTION("GOOGLETRANSLATE(A478, ""fr"", ""en"")"),"AT Modif Distri Gel + Paper")</f>
        <v>AT Modif Distri Gel + Paper</v>
      </c>
    </row>
    <row r="479">
      <c r="A479" s="19" t="s">
        <v>581</v>
      </c>
      <c r="B479" s="20" t="str">
        <f>IFERROR(__xludf.DUMMYFUNCTION("GOOGLETRANSLATE(A479, ""fr"", ""en"")"),"At a destro, insect HS in the lab")</f>
        <v>At a destro, insect HS in the lab</v>
      </c>
    </row>
    <row r="480">
      <c r="A480" s="19" t="s">
        <v>582</v>
      </c>
      <c r="B480" s="20" t="str">
        <f>IFERROR(__xludf.DUMMYFUNCTION("GOOGLETRANSLATE(A480, ""fr"", ""en"")"),"AT MAINTENANCE DESTRO INSECT")</f>
        <v>AT MAINTENANCE DESTRO INSECT</v>
      </c>
    </row>
    <row r="481">
      <c r="A481" s="19" t="s">
        <v>583</v>
      </c>
      <c r="B481" s="20" t="str">
        <f>IFERROR(__xludf.DUMMYFUNCTION("GOOGLETRANSLATE(A481, ""fr"", ""en"")"),"HS microwave no longer heats")</f>
        <v>HS microwave no longer heats</v>
      </c>
    </row>
    <row r="482">
      <c r="A482" s="19" t="s">
        <v>584</v>
      </c>
      <c r="B482" s="20" t="str">
        <f>IFERROR(__xludf.DUMMYFUNCTION("GOOGLETRANSLATE(A482, ""fr"", ""en"")"),"At the request of the DR: restart the hot water tank with social. Odm made by AT3. Finished work.")</f>
        <v>At the request of the DR: restart the hot water tank with social. Odm made by AT3. Finished work.</v>
      </c>
    </row>
    <row r="483">
      <c r="A483" s="19" t="s">
        <v>585</v>
      </c>
      <c r="B483" s="20" t="str">
        <f>IFERROR(__xludf.DUMMYFUNCTION("GOOGLETRANSLATE(A483, ""fr"", ""en"")"),"ELRATUM ELRATUM request in SAS D ENTER")</f>
        <v>ELRATUM ELRATUM request in SAS D ENTER</v>
      </c>
    </row>
    <row r="484">
      <c r="A484" s="21"/>
      <c r="B484" s="20" t="str">
        <f>IFERROR(__xludf.DUMMYFUNCTION("GOOGLETRANSLATE(A484, ""fr"", ""en"")"),"#VALUE!")</f>
        <v>#VALUE!</v>
      </c>
    </row>
    <row r="485">
      <c r="A485" s="21"/>
      <c r="B485" s="20" t="str">
        <f>IFERROR(__xludf.DUMMYFUNCTION("GOOGLETRANSLATE(A485, ""fr"", ""en"")"),"#VALUE!")</f>
        <v>#VALUE!</v>
      </c>
    </row>
    <row r="486">
      <c r="A486" s="19" t="s">
        <v>586</v>
      </c>
      <c r="B486" s="20" t="str">
        <f>IFERROR(__xludf.DUMMYFUNCTION("GOOGLETRANSLATE(A486, ""fr"", ""en"")"),"Fl Abimer podium")</f>
        <v>Fl Abimer podium</v>
      </c>
    </row>
    <row r="487">
      <c r="A487" s="19" t="s">
        <v>587</v>
      </c>
      <c r="B487" s="20" t="str">
        <f>IFERROR(__xludf.DUMMYFUNCTION("GOOGLETRANSLATE(A487, ""fr"", ""en"")"),"FL CASE FURNITURE")</f>
        <v>FL CASE FURNITURE</v>
      </c>
    </row>
    <row r="488">
      <c r="A488" s="19" t="s">
        <v>588</v>
      </c>
      <c r="B488" s="20" t="str">
        <f>IFERROR(__xludf.DUMMYFUNCTION("GOOGLETRANSLATE(A488, ""fr"", ""en"")"),"Podium side vegetables broken")</f>
        <v>Podium side vegetables broken</v>
      </c>
    </row>
    <row r="489">
      <c r="A489" s="19" t="s">
        <v>400</v>
      </c>
      <c r="B489" s="20" t="str">
        <f>IFERROR(__xludf.DUMMYFUNCTION("GOOGLETRANSLATE(A489, ""fr"", ""en"")"),"Estry base")</f>
        <v>Estry base</v>
      </c>
    </row>
    <row r="490">
      <c r="A490" s="19" t="s">
        <v>589</v>
      </c>
      <c r="B490" s="20" t="str">
        <f>IFERROR(__xludf.DUMMYFUNCTION("GOOGLETRANSLATE(A490, ""fr"", ""en"")"),"broken base
 To replace")</f>
        <v>broken base
 To replace</v>
      </c>
    </row>
    <row r="491">
      <c r="A491" s="19" t="s">
        <v>590</v>
      </c>
      <c r="B491" s="20" t="str">
        <f>IFERROR(__xludf.DUMMYFUNCTION("GOOGLETRANSLATE(A491, ""fr"", ""en"")"),"The ergonomic box chairs are all broken. It is missing from the casters to each.
 Will it be possible to change them all? There are 4 in total.
 THANKS.")</f>
        <v>The ergonomic box chairs are all broken. It is missing from the casters to each.
 Will it be possible to change them all? There are 4 in total.
 THANKS.</v>
      </c>
    </row>
    <row r="492">
      <c r="A492" s="19" t="s">
        <v>591</v>
      </c>
      <c r="B492" s="20" t="str">
        <f>IFERROR(__xludf.DUMMYFUNCTION("GOOGLETRANSLATE(A492, ""fr"", ""en"")"),"Can you send us non-Food tables to be able to replace those that are broken")</f>
        <v>Can you send us non-Food tables to be able to replace those that are broken</v>
      </c>
    </row>
    <row r="493">
      <c r="A493" s="21"/>
      <c r="B493" s="20" t="str">
        <f>IFERROR(__xludf.DUMMYFUNCTION("GOOGLETRANSLATE(A493, ""fr"", ""en"")"),"#VALUE!")</f>
        <v>#VALUE!</v>
      </c>
    </row>
    <row r="494">
      <c r="A494" s="21"/>
      <c r="B494" s="20" t="str">
        <f>IFERROR(__xludf.DUMMYFUNCTION("GOOGLETRANSLATE(A494, ""fr"", ""en"")"),"#VALUE!")</f>
        <v>#VALUE!</v>
      </c>
    </row>
    <row r="495">
      <c r="A495" s="19" t="s">
        <v>592</v>
      </c>
      <c r="B495" s="20" t="str">
        <f>IFERROR(__xludf.DUMMYFUNCTION("GOOGLETRANSLATE(A495, ""fr"", ""en"")"),"The frozen bank band no longer fell straight
 urgent")</f>
        <v>The frozen bank band no longer fell straight
 urgent</v>
      </c>
    </row>
    <row r="496">
      <c r="A496" s="19" t="s">
        <v>593</v>
      </c>
      <c r="B496" s="20" t="str">
        <f>IFERROR(__xludf.DUMMYFUNCTION("GOOGLETRANSLATE(A496, ""fr"", ""en"")"),"Urgent Electric Armoir Protection Bakery")</f>
        <v>Urgent Electric Armoir Protection Bakery</v>
      </c>
    </row>
    <row r="497">
      <c r="A497" s="19" t="s">
        <v>594</v>
      </c>
      <c r="B497" s="20" t="str">
        <f>IFERROR(__xludf.DUMMYFUNCTION("GOOGLETRANSLATE(A497, ""fr"", ""en"")"),"broken bakery furniture")</f>
        <v>broken bakery furniture</v>
      </c>
    </row>
    <row r="498">
      <c r="A498" s="19" t="s">
        <v>595</v>
      </c>
      <c r="B498" s="20" t="str">
        <f>IFERROR(__xludf.DUMMYFUNCTION("GOOGLETRANSLATE(A498, ""fr"", ""en"")"),"Dress the cosmetic special offers panel")</f>
        <v>Dress the cosmetic special offers panel</v>
      </c>
    </row>
    <row r="499">
      <c r="A499" s="21"/>
      <c r="B499" s="20" t="str">
        <f>IFERROR(__xludf.DUMMYFUNCTION("GOOGLETRANSLATE(A499, ""fr"", ""en"")"),"#VALUE!")</f>
        <v>#VALUE!</v>
      </c>
    </row>
    <row r="500">
      <c r="A500" s="19" t="s">
        <v>596</v>
      </c>
      <c r="B500" s="20" t="str">
        <f>IFERROR(__xludf.DUMMYFUNCTION("GOOGLETRANSLATE(A500, ""fr"", ""en"")"),"Good morning
 With the new piece of furniture, it would be necessary to move the storage of POS which is blocked by this piece of furniture.
 THANKS")</f>
        <v>Good morning
 With the new piece of furniture, it would be necessary to move the storage of POS which is blocked by this piece of furniture.
 THANKS</v>
      </c>
    </row>
    <row r="501">
      <c r="A501" s="19" t="s">
        <v>597</v>
      </c>
      <c r="B501" s="20" t="str">
        <f>IFERROR(__xludf.DUMMYFUNCTION("GOOGLETRANSLATE(A501, ""fr"", ""en"")"),"2 FL FURNES CASSE")</f>
        <v>2 FL FURNES CASSE</v>
      </c>
    </row>
    <row r="502">
      <c r="A502" s="19" t="s">
        <v>598</v>
      </c>
      <c r="B502" s="20" t="str">
        <f>IFERROR(__xludf.DUMMYFUNCTION("GOOGLETRANSLATE(A502, ""fr"", ""en"")"),"The price strip of the dry action table is broken
 Screw a new thank you")</f>
        <v>The price strip of the dry action table is broken
 Screw a new thank you</v>
      </c>
    </row>
    <row r="503">
      <c r="A503" s="19" t="s">
        <v>599</v>
      </c>
      <c r="B503" s="20" t="str">
        <f>IFERROR(__xludf.DUMMYFUNCTION("GOOGLETRANSLATE(A503, ""fr"", ""en"")"),"Broken Book Allée des Co, nerves")</f>
        <v>Broken Book Allée des Co, nerves</v>
      </c>
    </row>
    <row r="504">
      <c r="A504" s="19" t="s">
        <v>600</v>
      </c>
      <c r="B504" s="20" t="str">
        <f>IFERROR(__xludf.DUMMYFUNCTION("GOOGLETRANSLATE(A504, ""fr"", ""en"")"),"change your place the wine merchant selection thank you")</f>
        <v>change your place the wine merchant selection thank you</v>
      </c>
    </row>
    <row r="505">
      <c r="A505" s="21"/>
      <c r="B505" s="20" t="str">
        <f>IFERROR(__xludf.DUMMYFUNCTION("GOOGLETRANSLATE(A505, ""fr"", ""en"")"),"#VALUE!")</f>
        <v>#VALUE!</v>
      </c>
    </row>
    <row r="506">
      <c r="A506" s="19" t="s">
        <v>601</v>
      </c>
      <c r="B506" s="20" t="str">
        <f>IFERROR(__xludf.DUMMYFUNCTION("GOOGLETRANSLATE(A506, ""fr"", ""en"")"),"Podium fl a change")</f>
        <v>Podium fl a change</v>
      </c>
    </row>
    <row r="507">
      <c r="A507" s="19" t="s">
        <v>602</v>
      </c>
      <c r="B507" s="20" t="str">
        <f>IFERROR(__xludf.DUMMYFUNCTION("GOOGLETRANSLATE(A507, ""fr"", ""en"")"),"Podium to replace")</f>
        <v>Podium to replace</v>
      </c>
    </row>
    <row r="508">
      <c r="A508" s="19" t="s">
        <v>603</v>
      </c>
      <c r="B508" s="20" t="str">
        <f>IFERROR(__xludf.DUMMYFUNCTION("GOOGLETRANSLATE(A508, ""fr"", ""en"")"),"Water department cheek")</f>
        <v>Water department cheek</v>
      </c>
    </row>
    <row r="509">
      <c r="A509" s="19" t="s">
        <v>604</v>
      </c>
      <c r="B509" s="20" t="str">
        <f>IFERROR(__xludf.DUMMYFUNCTION("GOOGLETRANSLATE(A509, ""fr"", ""en"")"),"3 FL podiums
 To replace")</f>
        <v>3 FL podiums
 To replace</v>
      </c>
    </row>
    <row r="510">
      <c r="A510" s="19" t="s">
        <v>605</v>
      </c>
      <c r="B510" s="20" t="str">
        <f>IFERROR(__xludf.DUMMYFUNCTION("GOOGLETRANSLATE(A510, ""fr"", ""en"")"),"Lack of wood in milk")</f>
        <v>Lack of wood in milk</v>
      </c>
    </row>
    <row r="511">
      <c r="A511" s="19" t="s">
        <v>606</v>
      </c>
      <c r="B511" s="20" t="str">
        <f>IFERROR(__xludf.DUMMYFUNCTION("GOOGLETRANSLATE(A511, ""fr"", ""en"")"),"Gel distributor to replace")</f>
        <v>Gel distributor to replace</v>
      </c>
    </row>
    <row r="512">
      <c r="A512" s="19" t="s">
        <v>607</v>
      </c>
      <c r="B512" s="20" t="str">
        <f>IFERROR(__xludf.DUMMYFUNCTION("GOOGLETRANSLATE(A512, ""fr"", ""en"")"),"Organic Breakage furniture")</f>
        <v>Organic Breakage furniture</v>
      </c>
    </row>
    <row r="513">
      <c r="A513" s="19" t="s">
        <v>608</v>
      </c>
      <c r="B513" s="20" t="str">
        <f>IFERROR(__xludf.DUMMYFUNCTION("GOOGLETRANSLATE(A513, ""fr"", ""en"")"),"Wooden drink Palisade")</f>
        <v>Wooden drink Palisade</v>
      </c>
    </row>
    <row r="514">
      <c r="A514" s="19" t="s">
        <v>609</v>
      </c>
      <c r="B514" s="20" t="str">
        <f>IFERROR(__xludf.DUMMYFUNCTION("GOOGLETRANSLATE(A514, ""fr"", ""en"")"),"Envia Basses Basse")</f>
        <v>Envia Basses Basse</v>
      </c>
    </row>
    <row r="515">
      <c r="A515" s="19" t="s">
        <v>610</v>
      </c>
      <c r="B515" s="20" t="str">
        <f>IFERROR(__xludf.DUMMYFUNCTION("GOOGLETRANSLATE(A515, ""fr"", ""en"")"),"The wheel is broken if you can replace it please
 THANKS")</f>
        <v>The wheel is broken if you can replace it please
 THANKS</v>
      </c>
    </row>
    <row r="516">
      <c r="A516" s="19" t="s">
        <v>611</v>
      </c>
      <c r="B516" s="20" t="str">
        <f>IFERROR(__xludf.DUMMYFUNCTION("GOOGLETRANSLATE(A516, ""fr"", ""en"")"),"HS milk day")</f>
        <v>HS milk day</v>
      </c>
    </row>
    <row r="517">
      <c r="A517" s="19" t="s">
        <v>612</v>
      </c>
      <c r="B517" s="20" t="str">
        <f>IFERROR(__xludf.DUMMYFUNCTION("GOOGLETRANSLATE(A517, ""fr"", ""en"")"),"Break")</f>
        <v>Break</v>
      </c>
    </row>
    <row r="518">
      <c r="A518" s="21"/>
      <c r="B518" s="20" t="str">
        <f>IFERROR(__xludf.DUMMYFUNCTION("GOOGLETRANSLATE(A518, ""fr"", ""en"")"),"#VALUE!")</f>
        <v>#VALUE!</v>
      </c>
    </row>
    <row r="519">
      <c r="A519" s="19" t="s">
        <v>613</v>
      </c>
      <c r="B519" s="20" t="str">
        <f>IFERROR(__xludf.DUMMYFUNCTION("GOOGLETRANSLATE(A519, ""fr"", ""en"")"),"Door of the small cabinet of the broken reserve.")</f>
        <v>Door of the small cabinet of the broken reserve.</v>
      </c>
    </row>
    <row r="520">
      <c r="A520" s="19" t="s">
        <v>614</v>
      </c>
      <c r="B520" s="20" t="str">
        <f>IFERROR(__xludf.DUMMYFUNCTION("GOOGLETRANSLATE(A520, ""fr"", ""en"")"),"Podium under the broken syrups")</f>
        <v>Podium under the broken syrups</v>
      </c>
    </row>
    <row r="521">
      <c r="A521" s="19" t="s">
        <v>615</v>
      </c>
      <c r="B521" s="20" t="str">
        <f>IFERROR(__xludf.DUMMYFUNCTION("GOOGLETRANSLATE(A521, ""fr"", ""en"")"),"Casier in the V2 to install")</f>
        <v>Casier in the V2 to install</v>
      </c>
    </row>
    <row r="522">
      <c r="A522" s="19" t="s">
        <v>616</v>
      </c>
      <c r="B522" s="20" t="str">
        <f>IFERROR(__xludf.DUMMYFUNCTION("GOOGLETRANSLATE(A522, ""fr"", ""en"")"),"Organic podium HS You must disassemble LED installation LED CF Photo
 We have the podium")</f>
        <v>Organic podium HS You must disassemble LED installation LED CF Photo
 We have the podium</v>
      </c>
    </row>
    <row r="523">
      <c r="A523" s="19" t="s">
        <v>617</v>
      </c>
      <c r="B523" s="20" t="str">
        <f>IFERROR(__xludf.DUMMYFUNCTION("GOOGLETRANSLATE(A523, ""fr"", ""en"")"),"Fresh strips Break along the entire length")</f>
        <v>Fresh strips Break along the entire length</v>
      </c>
    </row>
    <row r="524">
      <c r="A524" s="19" t="s">
        <v>618</v>
      </c>
      <c r="B524" s="20" t="str">
        <f>IFERROR(__xludf.DUMMYFUNCTION("GOOGLETRANSLATE(A524, ""fr"", ""en"")"),"Personal record to climb")</f>
        <v>Personal record to climb</v>
      </c>
    </row>
    <row r="525">
      <c r="A525" s="19" t="s">
        <v>619</v>
      </c>
      <c r="B525" s="20" t="str">
        <f>IFERROR(__xludf.DUMMYFUNCTION("GOOGLETRANSLATE(A525, ""fr"", ""en"")"),"Replacement of podium drinks
 Play screwed on the podium")</f>
        <v>Replacement of podium drinks
 Play screwed on the podium</v>
      </c>
    </row>
    <row r="526">
      <c r="A526" s="19" t="s">
        <v>620</v>
      </c>
      <c r="B526" s="20" t="str">
        <f>IFERROR(__xludf.DUMMYFUNCTION("GOOGLETRANSLATE(A526, ""fr"", ""en"")"),"shores of banks to be removed in the fridge, clear gray
 Bring 30 strips of sticker banks to predict the replacement of those existing")</f>
        <v>shores of banks to be removed in the fridge, clear gray
 Bring 30 strips of sticker banks to predict the replacement of those existing</v>
      </c>
    </row>
    <row r="527">
      <c r="A527" s="19" t="s">
        <v>621</v>
      </c>
      <c r="B527" s="20" t="str">
        <f>IFERROR(__xludf.DUMMYFUNCTION("GOOGLETRANSLATE(A527, ""fr"", ""en"")"),"Several strips of banks to rivet on Food Action Tables")</f>
        <v>Several strips of banks to rivet on Food Action Tables</v>
      </c>
    </row>
    <row r="528">
      <c r="A528" s="19" t="s">
        <v>622</v>
      </c>
      <c r="B528" s="20" t="str">
        <f>IFERROR(__xludf.DUMMYFUNCTION("GOOGLETRANSLATE(A528, ""fr"", ""en"")"),"A large number of bangs in the fresh radius took off following the passage of the Pinoh provider in S22")</f>
        <v>A large number of bangs in the fresh radius took off following the passage of the Pinoh provider in S22</v>
      </c>
    </row>
    <row r="529">
      <c r="A529" s="19" t="s">
        <v>623</v>
      </c>
      <c r="B529" s="20" t="str">
        <f>IFERROR(__xludf.DUMMYFUNCTION("GOOGLETRANSLATE(A529, ""fr"", ""en"")"),"Podium pressed to replace")</f>
        <v>Podium pressed to replace</v>
      </c>
    </row>
    <row r="530">
      <c r="A530" s="19" t="s">
        <v>624</v>
      </c>
      <c r="B530" s="20" t="str">
        <f>IFERROR(__xludf.DUMMYFUNCTION("GOOGLETRANSLATE(A530, ""fr"", ""en"")"),"Broken half-nicks to replace")</f>
        <v>Broken half-nicks to replace</v>
      </c>
    </row>
    <row r="531">
      <c r="A531" s="19" t="s">
        <v>625</v>
      </c>
      <c r="B531" s="20" t="str">
        <f>IFERROR(__xludf.DUMMYFUNCTION("GOOGLETRANSLATE(A531, ""fr"", ""en"")"),"Podium pressed and broken")</f>
        <v>Podium pressed and broken</v>
      </c>
    </row>
    <row r="532">
      <c r="A532" s="19" t="s">
        <v>626</v>
      </c>
      <c r="B532" s="20" t="str">
        <f>IFERROR(__xludf.DUMMYFUNCTION("GOOGLETRANSLATE(A532, ""fr"", ""en"")"),"Replacement request for several price bands on fresh furniture")</f>
        <v>Replacement request for several price bands on fresh furniture</v>
      </c>
    </row>
    <row r="533">
      <c r="A533" s="19" t="s">
        <v>627</v>
      </c>
      <c r="B533" s="20" t="str">
        <f>IFERROR(__xludf.DUMMYFUNCTION("GOOGLETRANSLATE(A533, ""fr"", ""en"")"),"Following reimplantation, enlargement of a cosmetic bone axis.
 - Need to set up LED on an entire axis.
 - OS panel on two axes instead of one.
 - Red PLV Price strip and Melamine.")</f>
        <v>Following reimplantation, enlargement of a cosmetic bone axis.
 - Need to set up LED on an entire axis.
 - OS panel on two axes instead of one.
 - Red PLV Price strip and Melamine.</v>
      </c>
    </row>
    <row r="534">
      <c r="A534" s="19" t="s">
        <v>628</v>
      </c>
      <c r="B534" s="20" t="str">
        <f>IFERROR(__xludf.DUMMYFUNCTION("GOOGLETRANSLATE(A534, ""fr"", ""en"")"),"There are lockers where it is not possible to put padlocks or who have the way door which does not allow you to be also used.
 Therefore lack of locker for new entrants.")</f>
        <v>There are lockers where it is not possible to put padlocks or who have the way door which does not allow you to be also used.
 Therefore lack of locker for new entrants.</v>
      </c>
    </row>
    <row r="535">
      <c r="A535" s="19" t="s">
        <v>629</v>
      </c>
      <c r="B535" s="20" t="str">
        <f>IFERROR(__xludf.DUMMYFUNCTION("GOOGLETRANSLATE(A535, ""fr"", ""en"")"),"Bread furniture filled")</f>
        <v>Bread furniture filled</v>
      </c>
    </row>
    <row r="536">
      <c r="A536" s="19" t="s">
        <v>630</v>
      </c>
      <c r="B536" s="20" t="str">
        <f>IFERROR(__xludf.DUMMYFUNCTION("GOOGLETRANSLATE(A536, ""fr"", ""en"")"),"Podium fl tg with overstructure to change
 No Mag podium
 provide that the service provider comes with")</f>
        <v>Podium fl tg with overstructure to change
 No Mag podium
 provide that the service provider comes with</v>
      </c>
    </row>
    <row r="537">
      <c r="A537" s="19" t="s">
        <v>631</v>
      </c>
      <c r="B537" s="20" t="str">
        <f>IFERROR(__xludf.DUMMYFUNCTION("GOOGLETRANSLATE(A537, ""fr"", ""en"")"),"Aluminum protection to fix and stick against VVP window")</f>
        <v>Aluminum protection to fix and stick against VVP window</v>
      </c>
    </row>
    <row r="538">
      <c r="A538" s="19" t="s">
        <v>632</v>
      </c>
      <c r="B538" s="20" t="str">
        <f>IFERROR(__xludf.DUMMYFUNCTION("GOOGLETRANSLATE(A538, ""fr"", ""en"")"),"Installation of the new Mobi office (deployment on 06/07). Remove the MDE office.")</f>
        <v>Installation of the new Mobi office (deployment on 06/07). Remove the MDE office.</v>
      </c>
    </row>
    <row r="539">
      <c r="A539" s="19" t="s">
        <v>633</v>
      </c>
      <c r="B539" s="20" t="str">
        <f>IFERROR(__xludf.DUMMYFUNCTION("GOOGLETRANSLATE(A539, ""fr"", ""en"")"),"gate
 Chartier HS")</f>
        <v>gate
 Chartier HS</v>
      </c>
    </row>
    <row r="540">
      <c r="A540" s="19" t="s">
        <v>634</v>
      </c>
      <c r="B540" s="20" t="str">
        <f>IFERROR(__xludf.DUMMYFUNCTION("GOOGLETRANSLATE(A540, ""fr"", ""en"")"),"Half play milk release HS
 Please get the half plays in consomag cell in Dr")</f>
        <v>Half play milk release HS
 Please get the half plays in consomag cell in Dr</v>
      </c>
    </row>
    <row r="541">
      <c r="A541" s="19" t="s">
        <v>635</v>
      </c>
      <c r="B541" s="20" t="str">
        <f>IFERROR(__xludf.DUMMYFUNCTION("GOOGLETRANSLATE(A541, ""fr"", ""en"")"),"Broken podium.")</f>
        <v>Broken podium.</v>
      </c>
    </row>
    <row r="542">
      <c r="A542" s="19" t="s">
        <v>636</v>
      </c>
      <c r="B542" s="20" t="str">
        <f>IFERROR(__xludf.DUMMYFUNCTION("GOOGLETRANSLATE(A542, ""fr"", ""en"")"),"Remove the chouquette axis, put the other back in place.")</f>
        <v>Remove the chouquette axis, put the other back in place.</v>
      </c>
    </row>
    <row r="543">
      <c r="A543" s="19" t="s">
        <v>637</v>
      </c>
      <c r="B543" s="20" t="str">
        <f>IFERROR(__xludf.DUMMYFUNCTION("GOOGLETRANSLATE(A543, ""fr"", ""en"")"),"broken straight.")</f>
        <v>broken straight.</v>
      </c>
    </row>
    <row r="544">
      <c r="A544" s="19" t="s">
        <v>638</v>
      </c>
      <c r="B544" s="20" t="str">
        <f>IFERROR(__xludf.DUMMYFUNCTION("GOOGLETRANSLATE(A544, ""fr"", ""en"")"),"Sound covering to put.")</f>
        <v>Sound covering to put.</v>
      </c>
    </row>
    <row r="545">
      <c r="A545" s="19" t="s">
        <v>639</v>
      </c>
      <c r="B545" s="20" t="str">
        <f>IFERROR(__xludf.DUMMYFUNCTION("GOOGLETRANSLATE(A545, ""fr"", ""en"")"),"Etagere FL installation, already present on the sale surface)")</f>
        <v>Etagere FL installation, already present on the sale surface)</v>
      </c>
    </row>
    <row r="546">
      <c r="A546" s="19" t="s">
        <v>640</v>
      </c>
      <c r="B546" s="20" t="str">
        <f>IFERROR(__xludf.DUMMYFUNCTION("GOOGLETRANSLATE(A546, ""fr"", ""en"")"),"When installing the new computer bay, the technicians left the office as it is in the photo. Thanks for making the necessary.")</f>
        <v>When installing the new computer bay, the technicians left the office as it is in the photo. Thanks for making the necessary.</v>
      </c>
    </row>
    <row r="547">
      <c r="A547" s="19" t="s">
        <v>641</v>
      </c>
      <c r="B547" s="20" t="str">
        <f>IFERROR(__xludf.DUMMYFUNCTION("GOOGLETRANSLATE(A547, ""fr"", ""en"")"),"Breed edge ripped on the milk and piece of furniture pressed Pates side")</f>
        <v>Breed edge ripped on the milk and piece of furniture pressed Pates side</v>
      </c>
    </row>
    <row r="548">
      <c r="A548" s="19" t="s">
        <v>642</v>
      </c>
      <c r="B548" s="20" t="str">
        <f>IFERROR(__xludf.DUMMYFUNCTION("GOOGLETRANSLATE(A548, ""fr"", ""en"")"),"We should add a price mummine at the level of the water airlock as we have a cashier nose")</f>
        <v>We should add a price mummine at the level of the water airlock as we have a cashier nose</v>
      </c>
    </row>
    <row r="549">
      <c r="A549" s="19" t="s">
        <v>643</v>
      </c>
      <c r="B549" s="20" t="str">
        <f>IFERROR(__xludf.DUMMYFUNCTION("GOOGLETRANSLATE(A549, ""fr"", ""en"")"),"The left cheek in the milk is broken")</f>
        <v>The left cheek in the milk is broken</v>
      </c>
    </row>
    <row r="550">
      <c r="A550" s="19" t="s">
        <v>644</v>
      </c>
      <c r="B550" s="20" t="str">
        <f>IFERROR(__xludf.DUMMYFUNCTION("GOOGLETRANSLATE(A550, ""fr"", ""en"")"),"We have a lot of FL lighting that does not work.")</f>
        <v>We have a lot of FL lighting that does not work.</v>
      </c>
    </row>
    <row r="551">
      <c r="A551" s="19" t="s">
        <v>645</v>
      </c>
      <c r="B551" s="20" t="str">
        <f>IFERROR(__xludf.DUMMYFUNCTION("GOOGLETRANSLATE(A551, ""fr"", ""en"")"),"The box at the beaten of the reserve is broken.")</f>
        <v>The box at the beaten of the reserve is broken.</v>
      </c>
    </row>
    <row r="552">
      <c r="A552" s="19" t="s">
        <v>646</v>
      </c>
      <c r="B552" s="20" t="str">
        <f>IFERROR(__xludf.DUMMYFUNCTION("GOOGLETRANSLATE(A552, ""fr"", ""en"")"),"Furniture in the fruits and organic vegetables is broken.")</f>
        <v>Furniture in the fruits and organic vegetables is broken.</v>
      </c>
    </row>
    <row r="553">
      <c r="A553" s="19" t="s">
        <v>647</v>
      </c>
      <c r="B553" s="20" t="str">
        <f>IFERROR(__xludf.DUMMYFUNCTION("GOOGLETRANSLATE(A553, ""fr"", ""en"")"),"We would have to add melamine for the price posters above the Flower action and in all around the right corner of the entrance")</f>
        <v>We would have to add melamine for the price posters above the Flower action and in all around the right corner of the entrance</v>
      </c>
    </row>
    <row r="554">
      <c r="A554" s="19" t="s">
        <v>648</v>
      </c>
      <c r="B554" s="20" t="str">
        <f>IFERROR(__xludf.DUMMYFUNCTION("GOOGLETRANSLATE(A554, ""fr"", ""en"")"),"It would be necessary to delve on the left behind the Surg furniture, the furniture with the stages. He is screwing on the ground.")</f>
        <v>It would be necessary to delve on the left behind the Surg furniture, the furniture with the stages. He is screwing on the ground.</v>
      </c>
    </row>
    <row r="555">
      <c r="A555" s="19" t="s">
        <v>649</v>
      </c>
      <c r="B555" s="20" t="str">
        <f>IFERROR(__xludf.DUMMYFUNCTION("GOOGLETRANSLATE(A555, ""fr"", ""en"")"),"We should add us a podium under the bieres department (see: photos)")</f>
        <v>We should add us a podium under the bieres department (see: photos)</v>
      </c>
    </row>
    <row r="556">
      <c r="A556" s="19" t="s">
        <v>650</v>
      </c>
      <c r="B556" s="20" t="str">
        <f>IFERROR(__xludf.DUMMYFUNCTION("GOOGLETRANSLATE(A556, ""fr"", ""en"")"),"He mowed to change a FL furniture in front of the bread in the aisle 1")</f>
        <v>He mowed to change a FL furniture in front of the bread in the aisle 1</v>
      </c>
    </row>
    <row r="557">
      <c r="A557" s="19" t="s">
        <v>651</v>
      </c>
      <c r="B557" s="20" t="str">
        <f>IFERROR(__xludf.DUMMYFUNCTION("GOOGLETRANSLATE(A557, ""fr"", ""en"")"),"Cassement podium")</f>
        <v>Cassement podium</v>
      </c>
    </row>
    <row r="558">
      <c r="A558" s="19" t="s">
        <v>652</v>
      </c>
      <c r="B558" s="20" t="str">
        <f>IFERROR(__xludf.DUMMYFUNCTION("GOOGLETRANSLATE(A558, ""fr"", ""en"")"),"We should change the cheek to the left of the entrance to the reserve against drinks.")</f>
        <v>We should change the cheek to the left of the entrance to the reserve against drinks.</v>
      </c>
    </row>
    <row r="559">
      <c r="A559" s="19" t="s">
        <v>653</v>
      </c>
      <c r="B559" s="20" t="str">
        <f>IFERROR(__xludf.DUMMYFUNCTION("GOOGLETRANSLATE(A559, ""fr"", ""en"")"),"We have two broken podiums")</f>
        <v>We have two broken podiums</v>
      </c>
    </row>
    <row r="560">
      <c r="A560" s="19" t="s">
        <v>654</v>
      </c>
      <c r="B560" s="20" t="str">
        <f>IFERROR(__xludf.DUMMYFUNCTION("GOOGLETRANSLATE(A560, ""fr"", ""en"")"),"2 furniture at the FL are breakwater")</f>
        <v>2 furniture at the FL are breakwater</v>
      </c>
    </row>
    <row r="561">
      <c r="A561" s="19" t="s">
        <v>655</v>
      </c>
      <c r="B561" s="20" t="str">
        <f>IFERROR(__xludf.DUMMYFUNCTION("GOOGLETRANSLATE(A561, ""fr"", ""en"")"),"Rolls broken")</f>
        <v>Rolls broken</v>
      </c>
    </row>
    <row r="562">
      <c r="A562" s="19" t="s">
        <v>656</v>
      </c>
      <c r="B562" s="20" t="str">
        <f>IFERROR(__xludf.DUMMYFUNCTION("GOOGLETRANSLATE(A562, ""fr"", ""en"")"),"Two podiums should be changed at the chips.
 - podium which makes the angle on the right
 - A podium in the middle that is two axes wide.")</f>
        <v>Two podiums should be changed at the chips.
 - podium which makes the angle on the right
 - A podium in the middle that is two axes wide.</v>
      </c>
    </row>
    <row r="563">
      <c r="A563" s="21"/>
      <c r="B563" s="20" t="str">
        <f>IFERROR(__xludf.DUMMYFUNCTION("GOOGLETRANSLATE(A563, ""fr"", ""en"")"),"#VALUE!")</f>
        <v>#VALUE!</v>
      </c>
    </row>
    <row r="564">
      <c r="A564" s="21"/>
      <c r="B564" s="20" t="str">
        <f>IFERROR(__xludf.DUMMYFUNCTION("GOOGLETRANSLATE(A564, ""fr"", ""en"")"),"#VALUE!")</f>
        <v>#VALUE!</v>
      </c>
    </row>
    <row r="565">
      <c r="A565" s="19" t="s">
        <v>657</v>
      </c>
      <c r="B565" s="20" t="str">
        <f>IFERROR(__xludf.DUMMYFUNCTION("GOOGLETRANSLATE(A565, ""fr"", ""en"")"),"Paneau between Mag Hs")</f>
        <v>Paneau between Mag Hs</v>
      </c>
    </row>
    <row r="566">
      <c r="A566" s="19" t="s">
        <v>658</v>
      </c>
      <c r="B566" s="20" t="str">
        <f>IFERROR(__xludf.DUMMYFUNCTION("GOOGLETRANSLATE(A566, ""fr"", ""en"")"),"Good morning,
 We should move the ""wine merchant"" axis for the new plannogram")</f>
        <v>Good morning,
 We should move the "wine merchant" axis for the new plannogram</v>
      </c>
    </row>
    <row r="567">
      <c r="A567" s="19" t="s">
        <v>659</v>
      </c>
      <c r="B567" s="20" t="str">
        <f>IFERROR(__xludf.DUMMYFUNCTION("GOOGLETRANSLATE(A567, ""fr"", ""en"")"),"The cheek on the left of the reserve is hs")</f>
        <v>The cheek on the left of the reserve is hs</v>
      </c>
    </row>
    <row r="568">
      <c r="A568" s="19" t="s">
        <v>660</v>
      </c>
      <c r="B568" s="20" t="str">
        <f>IFERROR(__xludf.DUMMYFUNCTION("GOOGLETRANSLATE(A568, ""fr"", ""en"")"),"We are missing 3 bread anti -return bar")</f>
        <v>We are missing 3 bread anti -return bar</v>
      </c>
    </row>
    <row r="569">
      <c r="A569" s="19" t="s">
        <v>661</v>
      </c>
      <c r="B569" s="20" t="str">
        <f>IFERROR(__xludf.DUMMYFUNCTION("GOOGLETRANSLATE(A569, ""fr"", ""en"")"),"Break border breaking breaking")</f>
        <v>Break border breaking breaking</v>
      </c>
    </row>
    <row r="570">
      <c r="A570" s="19" t="s">
        <v>662</v>
      </c>
      <c r="B570" s="20" t="str">
        <f>IFERROR(__xludf.DUMMYFUNCTION("GOOGLETRANSLATE(A570, ""fr"", ""en"")"),"hunting water flows continuously")</f>
        <v>hunting water flows continuously</v>
      </c>
    </row>
    <row r="571">
      <c r="A571" s="19" t="s">
        <v>663</v>
      </c>
      <c r="B571" s="20" t="str">
        <f>IFERROR(__xludf.DUMMYFUNCTION("GOOGLETRANSLATE(A571, ""fr"", ""en"")"),"Installation of the hand towel support on the hydroalcoholic gel distributor + Fate of the old dispenser hand and rebut of the .odm holes made by AT3. Finished work.")</f>
        <v>Installation of the hand towel support on the hydroalcoholic gel distributor + Fate of the old dispenser hand and rebut of the .odm holes made by AT3. Finished work.</v>
      </c>
    </row>
    <row r="572">
      <c r="A572" s="19" t="s">
        <v>664</v>
      </c>
      <c r="B572" s="20" t="str">
        <f>IFERROR(__xludf.DUMMYFUNCTION("GOOGLETRANSLATE(A572, ""fr"", ""en"")"),"WC BUCH WALL WOMEN WEEK")</f>
        <v>WC BUCH WALL WOMEN WEEK</v>
      </c>
    </row>
    <row r="573">
      <c r="A573" s="19" t="s">
        <v>665</v>
      </c>
      <c r="B573" s="20" t="str">
        <f>IFERROR(__xludf.DUMMYFUNCTION("GOOGLETRANSLATE(A573, ""fr"", ""en"")"),"Installation of a padlock on the hydroalcoholic gel distributor + change of spout. Odm made by AT3. Finished work.")</f>
        <v>Installation of a padlock on the hydroalcoholic gel distributor + change of spout. Odm made by AT3. Finished work.</v>
      </c>
    </row>
    <row r="574">
      <c r="A574" s="19" t="s">
        <v>666</v>
      </c>
      <c r="B574" s="20" t="str">
        <f>IFERROR(__xludf.DUMMYFUNCTION("GOOGLETRANSLATE(A574, ""fr"", ""en"")"),"A handboard support please")</f>
        <v>A handboard support please</v>
      </c>
    </row>
    <row r="575">
      <c r="A575" s="19" t="s">
        <v>667</v>
      </c>
      <c r="B575" s="20" t="str">
        <f>IFERROR(__xludf.DUMMYFUNCTION("GOOGLETRANSLATE(A575, ""fr"", ""en"")"),"Sink in the bakery which has no pressure + the water has trouble stopping to flow or does not stop all")</f>
        <v>Sink in the bakery which has no pressure + the water has trouble stopping to flow or does not stop all</v>
      </c>
    </row>
    <row r="576">
      <c r="A576" s="19" t="s">
        <v>668</v>
      </c>
      <c r="B576" s="20" t="str">
        <f>IFERROR(__xludf.DUMMYFUNCTION("GOOGLETRANSLATE(A576, ""fr"", ""en"")"),"Self -flush hose Break")</f>
        <v>Self -flush hose Break</v>
      </c>
    </row>
    <row r="577">
      <c r="A577" s="19" t="s">
        <v>669</v>
      </c>
      <c r="B577" s="20" t="str">
        <f>IFERROR(__xludf.DUMMYFUNCTION("GOOGLETRANSLATE(A577, ""fr"", ""en"")"),"The 2 blocked toilets")</f>
        <v>The 2 blocked toilets</v>
      </c>
    </row>
    <row r="578">
      <c r="A578" s="19" t="s">
        <v>670</v>
      </c>
      <c r="B578" s="20" t="str">
        <f>IFERROR(__xludf.DUMMYFUNCTION("GOOGLETRANSLATE(A578, ""fr"", ""en"")"),"Installation of the hand towel support on the hydroalcoholic gel distributor + removal of the old dispenser hand and cleaning its support .odm done by AT3. Finished work.")</f>
        <v>Installation of the hand towel support on the hydroalcoholic gel distributor + removal of the old dispenser hand and cleaning its support .odm done by AT3. Finished work.</v>
      </c>
    </row>
    <row r="579">
      <c r="A579" s="19" t="s">
        <v>671</v>
      </c>
      <c r="B579" s="20" t="str">
        <f>IFERROR(__xludf.DUMMYFUNCTION("GOOGLETRANSLATE(A579, ""fr"", ""en"")"),"blocked toilet")</f>
        <v>blocked toilet</v>
      </c>
    </row>
    <row r="580">
      <c r="A580" s="19" t="s">
        <v>672</v>
      </c>
      <c r="B580" s="20" t="str">
        <f>IFERROR(__xludf.DUMMYFUNCTION("GOOGLETRANSLATE(A580, ""fr"", ""en"")"),"Blocked client toilet sink")</f>
        <v>Blocked client toilet sink</v>
      </c>
    </row>
    <row r="581">
      <c r="A581" s="19" t="s">
        <v>673</v>
      </c>
      <c r="B581" s="20" t="str">
        <f>IFERROR(__xludf.DUMMYFUNCTION("GOOGLETRANSLATE(A581, ""fr"", ""en"")"),"the 3
 Boucher toilet")</f>
        <v>the 3
 Boucher toilet</v>
      </c>
    </row>
    <row r="582">
      <c r="A582" s="21"/>
      <c r="B582" s="20" t="str">
        <f>IFERROR(__xludf.DUMMYFUNCTION("GOOGLETRANSLATE(A582, ""fr"", ""en"")"),"#VALUE!")</f>
        <v>#VALUE!</v>
      </c>
    </row>
    <row r="583">
      <c r="A583" s="19" t="s">
        <v>674</v>
      </c>
      <c r="B583" s="20" t="str">
        <f>IFERROR(__xludf.DUMMYFUNCTION("GOOGLETRANSLATE(A583, ""fr"", ""en"")"),"Installation of the hand wipe support on the hydroalcoholic gel distributor + Fate of the old distributor and cleaning of its old support .odm done by AT3. Finished work.")</f>
        <v>Installation of the hand wipe support on the hydroalcoholic gel distributor + Fate of the old distributor and cleaning of its old support .odm done by AT3. Finished work.</v>
      </c>
    </row>
    <row r="584">
      <c r="A584" s="19" t="s">
        <v>675</v>
      </c>
      <c r="B584" s="20" t="str">
        <f>IFERROR(__xludf.DUMMYFUNCTION("GOOGLETRANSLATE(A584, ""fr"", ""en"")"),"Food no longer")</f>
        <v>Food no longer</v>
      </c>
    </row>
    <row r="585">
      <c r="A585" s="21"/>
      <c r="B585" s="20" t="str">
        <f>IFERROR(__xludf.DUMMYFUNCTION("GOOGLETRANSLATE(A585, ""fr"", ""en"")"),"#VALUE!")</f>
        <v>#VALUE!</v>
      </c>
    </row>
    <row r="586">
      <c r="A586" s="19" t="s">
        <v>676</v>
      </c>
      <c r="B586" s="20" t="str">
        <f>IFERROR(__xludf.DUMMYFUNCTION("GOOGLETRANSLATE(A586, ""fr"", ""en"")"),"blade breaks")</f>
        <v>blade breaks</v>
      </c>
    </row>
    <row r="587">
      <c r="A587" s="19" t="s">
        <v>677</v>
      </c>
      <c r="B587" s="20" t="str">
        <f>IFERROR(__xludf.DUMMYFUNCTION("GOOGLETRANSLATE(A587, ""fr"", ""en"")"),"The slicer is error")</f>
        <v>The slicer is error</v>
      </c>
    </row>
    <row r="588">
      <c r="A588" s="21"/>
      <c r="B588" s="20" t="str">
        <f>IFERROR(__xludf.DUMMYFUNCTION("GOOGLETRANSLATE(A588, ""fr"", ""en"")"),"#VALUE!")</f>
        <v>#VALUE!</v>
      </c>
    </row>
    <row r="589">
      <c r="A589" s="19" t="s">
        <v>678</v>
      </c>
      <c r="B589" s="20" t="str">
        <f>IFERROR(__xludf.DUMMYFUNCTION("GOOGLETRANSLATE(A589, ""fr"", ""en"")"),"At the request of the RM: mesh door of the reserve no longer closes. Demanding the HS lock.")</f>
        <v>At the request of the RM: mesh door of the reserve no longer closes. Demanding the HS lock.</v>
      </c>
    </row>
    <row r="590">
      <c r="A590" s="19" t="s">
        <v>679</v>
      </c>
      <c r="B590" s="20" t="str">
        <f>IFERROR(__xludf.DUMMYFUNCTION("GOOGLETRANSLATE(A590, ""fr"", ""en"")"),"Photos requested")</f>
        <v>Photos requested</v>
      </c>
    </row>
    <row r="591">
      <c r="A591" s="21"/>
      <c r="B591" s="20" t="str">
        <f>IFERROR(__xludf.DUMMYFUNCTION("GOOGLETRANSLATE(A591, ""fr"", ""en"")"),"#VALUE!")</f>
        <v>#VALUE!</v>
      </c>
    </row>
    <row r="592">
      <c r="A592" s="19" t="s">
        <v>680</v>
      </c>
      <c r="B592" s="20" t="str">
        <f>IFERROR(__xludf.DUMMYFUNCTION("GOOGLETRANSLATE(A592, ""fr"", ""en"")"),"The screw is closed and no way to tighten it")</f>
        <v>The screw is closed and no way to tighten it</v>
      </c>
    </row>
    <row r="593">
      <c r="A593" s="19" t="s">
        <v>681</v>
      </c>
      <c r="B593" s="20" t="str">
        <f>IFERROR(__xludf.DUMMYFUNCTION("GOOGLETRANSLATE(A593, ""fr"", ""en"")"),"Impossible Douvrie le Valois")</f>
        <v>Impossible Douvrie le Valois</v>
      </c>
    </row>
    <row r="594">
      <c r="A594" s="19" t="s">
        <v>682</v>
      </c>
      <c r="B594" s="20" t="str">
        <f>IFERROR(__xludf.DUMMYFUNCTION("GOOGLETRANSLATE(A594, ""fr"", ""en"")"),"Removal of 5 Digicods for the SPM company in the CM.ODM office made by AT3. Finished work.")</f>
        <v>Removal of 5 Digicods for the SPM company in the CM.ODM office made by AT3. Finished work.</v>
      </c>
    </row>
    <row r="595">
      <c r="A595" s="19" t="s">
        <v>683</v>
      </c>
      <c r="B595" s="20" t="str">
        <f>IFERROR(__xludf.DUMMYFUNCTION("GOOGLETRANSLATE(A595, ""fr"", ""en"")"),"Pointing outdoor Break, this prevents the drivers from being able to unload.")</f>
        <v>Pointing outdoor Break, this prevents the drivers from being able to unload.</v>
      </c>
    </row>
    <row r="596">
      <c r="A596" s="19" t="s">
        <v>684</v>
      </c>
      <c r="B596" s="20" t="str">
        <f>IFERROR(__xludf.DUMMYFUNCTION("GOOGLETRANSLATE(A596, ""fr"", ""en"")"),"HS driver door handle")</f>
        <v>HS driver door handle</v>
      </c>
    </row>
    <row r="597">
      <c r="A597" s="19" t="s">
        <v>685</v>
      </c>
      <c r="B597" s="20" t="str">
        <f>IFERROR(__xludf.DUMMYFUNCTION("GOOGLETRANSLATE(A597, ""fr"", ""en"")"),"Blocked chest door")</f>
        <v>Blocked chest door</v>
      </c>
    </row>
    <row r="598">
      <c r="A598" s="19" t="s">
        <v>686</v>
      </c>
      <c r="B598" s="20" t="str">
        <f>IFERROR(__xludf.DUMMYFUNCTION("GOOGLETRANSLATE(A598, ""fr"", ""en"")"),"The handle of the door leading from the store to social premises broke when you wanted to open the door.")</f>
        <v>The handle of the door leading from the store to social premises broke when you wanted to open the door.</v>
      </c>
    </row>
    <row r="599">
      <c r="A599" s="19" t="s">
        <v>687</v>
      </c>
      <c r="B599" s="20" t="str">
        <f>IFERROR(__xludf.DUMMYFUNCTION("GOOGLETRANSLATE(A599, ""fr"", ""en"")"),"Outdoor lock problem to open store, cling, risk of breaking key in the lock.")</f>
        <v>Outdoor lock problem to open store, cling, risk of breaking key in the lock.</v>
      </c>
    </row>
    <row r="600">
      <c r="A600" s="19" t="s">
        <v>688</v>
      </c>
      <c r="B600" s="20" t="str">
        <f>IFERROR(__xludf.DUMMYFUNCTION("GOOGLETRANSLATE(A600, ""fr"", ""en"")"),"At the request of the FM: control of access to the Socials with the store key.odm made by AT3. Finished work")</f>
        <v>At the request of the FM: control of access to the Socials with the store key.odm made by AT3. Finished work</v>
      </c>
    </row>
    <row r="601">
      <c r="A601" s="19" t="s">
        <v>689</v>
      </c>
      <c r="B601" s="20" t="str">
        <f>IFERROR(__xludf.DUMMYFUNCTION("GOOGLETRANSLATE(A601, ""fr"", ""en"")"),"At the request of the store manager: lock, door of the hs, plus bait of a pulled door.odm made by AT3. Finished work.")</f>
        <v>At the request of the store manager: lock, door of the hs, plus bait of a pulled door.odm made by AT3. Finished work.</v>
      </c>
    </row>
    <row r="602">
      <c r="A602" s="19" t="s">
        <v>690</v>
      </c>
      <c r="B602" s="20" t="str">
        <f>IFERROR(__xludf.DUMMYFUNCTION("GOOGLETRANSLATE(A602, ""fr"", ""en"")"),"At3 check list 2806")</f>
        <v>At3 check list 2806</v>
      </c>
    </row>
    <row r="603">
      <c r="A603" s="19" t="s">
        <v>691</v>
      </c>
      <c r="B603" s="20" t="str">
        <f>IFERROR(__xludf.DUMMYFUNCTION("GOOGLETRANSLATE(A603, ""fr"", ""en"")"),"Remove the RIA box and fill the holes and palletized to send DR for destruction .odm made by AT3. Finished work.")</f>
        <v>Remove the RIA box and fill the holes and palletized to send DR for destruction .odm made by AT3. Finished work.</v>
      </c>
    </row>
    <row r="604">
      <c r="A604" s="19" t="s">
        <v>692</v>
      </c>
      <c r="B604" s="20" t="str">
        <f>IFERROR(__xludf.DUMMYFUNCTION("GOOGLETRANSLATE(A604, ""fr"", ""en"")"),"RIA measurement for FM: ODM made by AT3. Finished work.")</f>
        <v>RIA measurement for FM: ODM made by AT3. Finished work.</v>
      </c>
    </row>
    <row r="605">
      <c r="A605" s="19" t="s">
        <v>693</v>
      </c>
      <c r="B605" s="20" t="str">
        <f>IFERROR(__xludf.DUMMYFUNCTION("GOOGLETRANSLATE(A605, ""fr"", ""en"")"),"Sale to be made on 24/10/2022. Seasonal reimplantation.")</f>
        <v>Sale to be made on 24/10/2022. Seasonal reimplantation.</v>
      </c>
    </row>
    <row r="606">
      <c r="A606" s="19" t="s">
        <v>694</v>
      </c>
      <c r="B606" s="20" t="str">
        <f>IFERROR(__xludf.DUMMYFUNCTION("GOOGLETRANSLATE(A606, ""fr"", ""en"")"),"Update of the security register with the accessibility document .odm made by AT3. Finished work.")</f>
        <v>Update of the security register with the accessibility document .odm made by AT3. Finished work.</v>
      </c>
    </row>
    <row r="607">
      <c r="A607" s="19" t="s">
        <v>695</v>
      </c>
      <c r="B607" s="20" t="str">
        <f>IFERROR(__xludf.DUMMYFUNCTION("GOOGLETRANSLATE(A607, ""fr"", ""en"")"),"Installation of the new .odm defibrillator made by AT3. Finished work")</f>
        <v>Installation of the new .odm defibrillator made by AT3. Finished work</v>
      </c>
    </row>
    <row r="608">
      <c r="A608" s="19" t="s">
        <v>694</v>
      </c>
      <c r="B608" s="20" t="str">
        <f>IFERROR(__xludf.DUMMYFUNCTION("GOOGLETRANSLATE(A608, ""fr"", ""en"")"),"Update of the security register with the accessibility document .odm made by AT3. Finished work.")</f>
        <v>Update of the security register with the accessibility document .odm made by AT3. Finished work.</v>
      </c>
    </row>
    <row r="609">
      <c r="A609" s="19" t="s">
        <v>696</v>
      </c>
      <c r="B609" s="20" t="str">
        <f>IFERROR(__xludf.DUMMYFUNCTION("GOOGLETRANSLATE(A609, ""fr"", ""en"")"),"Cabin that sounds")</f>
        <v>Cabin that sounds</v>
      </c>
    </row>
    <row r="610">
      <c r="A610" s="19" t="s">
        <v>697</v>
      </c>
      <c r="B610" s="20" t="str">
        <f>IFERROR(__xludf.DUMMYFUNCTION("GOOGLETRANSLATE(A610, ""fr"", ""en"")"),"Inverter rings every 30 minutes and stops")</f>
        <v>Inverter rings every 30 minutes and stops</v>
      </c>
    </row>
    <row r="611">
      <c r="A611" s="19" t="s">
        <v>698</v>
      </c>
      <c r="B611" s="20" t="str">
        <f>IFERROR(__xludf.DUMMYFUNCTION("GOOGLETRANSLATE(A611, ""fr"", ""en"")"),"Take out of the urgent wall")</f>
        <v>Take out of the urgent wall</v>
      </c>
    </row>
    <row r="612">
      <c r="A612" s="21"/>
      <c r="B612" s="20" t="str">
        <f>IFERROR(__xludf.DUMMYFUNCTION("GOOGLETRANSLATE(A612, ""fr"", ""en"")"),"#VALUE!")</f>
        <v>#VALUE!</v>
      </c>
    </row>
    <row r="613">
      <c r="A613" s="19" t="s">
        <v>699</v>
      </c>
      <c r="B613" s="20" t="str">
        <f>IFERROR(__xludf.DUMMYFUNCTION("GOOGLETRANSLATE(A613, ""fr"", ""en"")"),"1 on 2 neon HS in the chest room")</f>
        <v>1 on 2 neon HS in the chest room</v>
      </c>
    </row>
    <row r="614">
      <c r="A614" s="19" t="s">
        <v>700</v>
      </c>
      <c r="B614" s="20" t="str">
        <f>IFERROR(__xludf.DUMMYFUNCTION("GOOGLETRANSLATE(A614, ""fr"", ""en"")"),"Reserve alarm verification: Round continuously all night of June 16 until 7 a.m.
 to control")</f>
        <v>Reserve alarm verification: Round continuously all night of June 16 until 7 a.m.
 to control</v>
      </c>
    </row>
    <row r="615">
      <c r="A615" s="19" t="s">
        <v>701</v>
      </c>
      <c r="B615" s="20" t="str">
        <f>IFERROR(__xludf.DUMMYFUNCTION("GOOGLETRANSLATE(A615, ""fr"", ""en"")"),"Break holder at next passage")</f>
        <v>Break holder at next passage</v>
      </c>
    </row>
    <row r="616">
      <c r="A616" s="19" t="s">
        <v>702</v>
      </c>
      <c r="B616" s="20" t="str">
        <f>IFERROR(__xludf.DUMMYFUNCTION("GOOGLETRANSLATE(A616, ""fr"", ""en"")"),"GENERAL FOURCEUR FONCTINNATION PROBLEM General Four (General Boulangerie Dijection Declanche in its place. Photo because I cannot send WiFi problem")</f>
        <v>GENERAL FOURCEUR FONCTINNATION PROBLEM General Four (General Boulangerie Dijection Declanche in its place. Photo because I cannot send WiFi problem</v>
      </c>
    </row>
    <row r="617">
      <c r="A617" s="19" t="s">
        <v>703</v>
      </c>
      <c r="B617" s="20" t="str">
        <f>IFERROR(__xludf.DUMMYFUNCTION("GOOGLETRANSLATE(A617, ""fr"", ""en"")"),"Fire alarm that rings continuously")</f>
        <v>Fire alarm that rings continuously</v>
      </c>
    </row>
    <row r="618">
      <c r="A618" s="19" t="s">
        <v>704</v>
      </c>
      <c r="B618" s="20" t="str">
        <f>IFERROR(__xludf.DUMMYFUNCTION("GOOGLETRANSLATE(A618, ""fr"", ""en"")"),"At the request of the FM: control of the global installation Relay.odm made by AT3. Finished work")</f>
        <v>At the request of the FM: control of the global installation Relay.odm made by AT3. Finished work</v>
      </c>
    </row>
    <row r="619">
      <c r="A619" s="19" t="s">
        <v>705</v>
      </c>
      <c r="B619" s="20" t="str">
        <f>IFERROR(__xludf.DUMMYFUNCTION("GOOGLETRANSLATE(A619, ""fr"", ""en"")"),"The audio message in the store ""Dear customers, we inform you that the store will close its doors, please go to the boxes"" is between 8:05 pm and 8:10 pm. Would it be possible to adjust the message so that it is between 8:45 p.m. and 8:50 p.m.?
 THANK"&amp;"S")</f>
        <v>The audio message in the store "Dear customers, we inform you that the store will close its doors, please go to the boxes" is between 8:05 pm and 8:10 pm. Would it be possible to adjust the message so that it is between 8:45 p.m. and 8:50 p.m.?
 THANKS</v>
      </c>
    </row>
    <row r="620">
      <c r="A620" s="19" t="s">
        <v>706</v>
      </c>
      <c r="B620" s="20" t="str">
        <f>IFERROR(__xludf.DUMMYFUNCTION("GOOGLETRANSLATE(A620, ""fr"", ""en"")"),"No light in the Surgele or in the VVP. Temperature ok. ELECTRICAL TABLE OK No dysidator pb. URGENT !")</f>
        <v>No light in the Surgele or in the VVP. Temperature ok. ELECTRICAL TABLE OK No dysidator pb. URGENT !</v>
      </c>
    </row>
    <row r="621">
      <c r="A621" s="19" t="s">
        <v>707</v>
      </c>
      <c r="B621" s="20" t="str">
        <f>IFERROR(__xludf.DUMMYFUNCTION("GOOGLETRANSLATE(A621, ""fr"", ""en"")"),"Lack of visibility to bread, non -functional neon.")</f>
        <v>Lack of visibility to bread, non -functional neon.</v>
      </c>
    </row>
    <row r="622">
      <c r="A622" s="19" t="s">
        <v>708</v>
      </c>
      <c r="B622" s="20" t="str">
        <f>IFERROR(__xludf.DUMMYFUNCTION("GOOGLETRANSLATE(A622, ""fr"", ""en"")"),"Light Customer WC no longer works - Urgnt")</f>
        <v>Light Customer WC no longer works - Urgnt</v>
      </c>
    </row>
    <row r="623">
      <c r="A623" s="19" t="s">
        <v>709</v>
      </c>
      <c r="B623" s="20" t="str">
        <f>IFERROR(__xludf.DUMMYFUNCTION("GOOGLETRANSLATE(A623, ""fr"", ""en"")"),"Installation request additional for mobile desktop")</f>
        <v>Installation request additional for mobile desktop</v>
      </c>
    </row>
    <row r="624">
      <c r="A624" s="19" t="s">
        <v>710</v>
      </c>
      <c r="B624" s="20" t="str">
        <f>IFERROR(__xludf.DUMMYFUNCTION("GOOGLETRANSLATE(A624, ""fr"", ""en"")"),"The reserve wall socket at the level of non -food breakage is damaged")</f>
        <v>The reserve wall socket at the level of non -food breakage is damaged</v>
      </c>
    </row>
    <row r="625">
      <c r="A625" s="19" t="s">
        <v>711</v>
      </c>
      <c r="B625" s="20" t="str">
        <f>IFERROR(__xludf.DUMMYFUNCTION("GOOGLETRANSLATE(A625, ""fr"", ""en"")"),"The case that sounds important emails in store only sounds. We made a SSP request but a priori it was Dr to manage CA.")</f>
        <v>The case that sounds important emails in store only sounds. We made a SSP request but a priori it was Dr to manage CA.</v>
      </c>
    </row>
    <row r="626">
      <c r="A626" s="19" t="s">
        <v>712</v>
      </c>
      <c r="B626" s="20" t="str">
        <f>IFERROR(__xludf.DUMMYFUNCTION("GOOGLETRANSLATE(A626, ""fr"", ""en"")"),"The interputor of the men's cloakroom is HS")</f>
        <v>The interputor of the men's cloakroom is HS</v>
      </c>
    </row>
    <row r="627">
      <c r="A627" s="21"/>
      <c r="B627" s="20" t="str">
        <f>IFERROR(__xludf.DUMMYFUNCTION("GOOGLETRANSLATE(A627, ""fr"", ""en"")"),"#VALUE!")</f>
        <v>#VALUE!</v>
      </c>
    </row>
    <row r="628">
      <c r="A628" s="19" t="s">
        <v>713</v>
      </c>
      <c r="B628" s="20" t="str">
        <f>IFERROR(__xludf.DUMMYFUNCTION("GOOGLETRANSLATE(A628, ""fr"", ""en"")"),"fzux contact small box oblige to disconnect it if not an alarm constantly sounds")</f>
        <v>fzux contact small box oblige to disconnect it if not an alarm constantly sounds</v>
      </c>
    </row>
    <row r="629">
      <c r="A629" s="19" t="s">
        <v>714</v>
      </c>
      <c r="B629" s="20" t="str">
        <f>IFERROR(__xludf.DUMMYFUNCTION("GOOGLETRANSLATE(A629, ""fr"", ""en"")"),"SCO exit door is blocking in open mode")</f>
        <v>SCO exit door is blocking in open mode</v>
      </c>
    </row>
    <row r="630">
      <c r="A630" s="19" t="s">
        <v>715</v>
      </c>
      <c r="B630" s="20" t="str">
        <f>IFERROR(__xludf.DUMMYFUNCTION("GOOGLETRANSLATE(A630, ""fr"", ""en"")"),"The entrance door of social social farm. Finished work.")</f>
        <v>The entrance door of social social farm. Finished work.</v>
      </c>
    </row>
    <row r="631">
      <c r="A631" s="19" t="s">
        <v>716</v>
      </c>
      <c r="B631" s="20" t="str">
        <f>IFERROR(__xludf.DUMMYFUNCTION("GOOGLETRANSLATE(A631, ""fr"", ""en"")"),"screws for the digicode at the door to enter the office too small to tighten the wrists")</f>
        <v>screws for the digicode at the door to enter the office too small to tighten the wrists</v>
      </c>
    </row>
    <row r="632">
      <c r="A632" s="21"/>
      <c r="B632" s="20" t="str">
        <f>IFERROR(__xludf.DUMMYFUNCTION("GOOGLETRANSLATE(A632, ""fr"", ""en"")"),"#VALUE!")</f>
        <v>#VALUE!</v>
      </c>
    </row>
    <row r="633">
      <c r="A633" s="19" t="s">
        <v>717</v>
      </c>
      <c r="B633" s="20" t="str">
        <f>IFERROR(__xludf.DUMMYFUNCTION("GOOGLETRANSLATE(A633, ""fr"", ""en"")"),"The grip is broken")</f>
        <v>The grip is broken</v>
      </c>
    </row>
    <row r="634">
      <c r="A634" s="19" t="s">
        <v>718</v>
      </c>
      <c r="B634" s="20" t="str">
        <f>IFERROR(__xludf.DUMMYFUNCTION("GOOGLETRANSLATE(A634, ""fr"", ""en"")"),"The doorbell no longer works")</f>
        <v>The doorbell no longer works</v>
      </c>
    </row>
    <row r="635">
      <c r="A635" s="19" t="s">
        <v>719</v>
      </c>
      <c r="B635" s="20" t="str">
        <f>IFERROR(__xludf.DUMMYFUNCTION("GOOGLETRANSLATE(A635, ""fr"", ""en"")"),"Handle which is unscrewed, it turns in the void")</f>
        <v>Handle which is unscrewed, it turns in the void</v>
      </c>
    </row>
    <row r="636">
      <c r="A636" s="19" t="s">
        <v>720</v>
      </c>
      <c r="B636" s="20" t="str">
        <f>IFERROR(__xludf.DUMMYFUNCTION("GOOGLETRANSLATE(A636, ""fr"", ""en"")"),"At the RM request: HS.at3 mesh door lock not equipped to intervene a locksmith.")</f>
        <v>At the RM request: HS.at3 mesh door lock not equipped to intervene a locksmith.</v>
      </c>
    </row>
    <row r="637">
      <c r="A637" s="19" t="s">
        <v>721</v>
      </c>
      <c r="B637" s="20" t="str">
        <f>IFERROR(__xludf.DUMMYFUNCTION("GOOGLETRANSLATE(A637, ""fr"", ""en"")"),"Endomage swinging door")</f>
        <v>Endomage swinging door</v>
      </c>
    </row>
    <row r="638">
      <c r="A638" s="19" t="s">
        <v>722</v>
      </c>
      <c r="B638" s="20" t="str">
        <f>IFERROR(__xludf.DUMMYFUNCTION("GOOGLETRANSLATE(A638, ""fr"", ""en"")"),"Lack of wrist at the outdoor gate")</f>
        <v>Lack of wrist at the outdoor gate</v>
      </c>
    </row>
    <row r="639">
      <c r="A639" s="19" t="s">
        <v>723</v>
      </c>
      <c r="B639" s="20" t="str">
        <f>IFERROR(__xludf.DUMMYFUNCTION("GOOGLETRANSLATE(A639, ""fr"", ""en"")"),"Installation of a cylinder on the divisional box of the Schneider terminal .odm made by AT3")</f>
        <v>Installation of a cylinder on the divisional box of the Schneider terminal .odm made by AT3</v>
      </c>
    </row>
    <row r="640">
      <c r="A640" s="19" t="s">
        <v>724</v>
      </c>
      <c r="B640" s="20" t="str">
        <f>IFERROR(__xludf.DUMMYFUNCTION("GOOGLETRANSLATE(A640, ""fr"", ""en"")"),"Beating holder stamped on the amount of the joint and reverse the hinge .odm made by AT3.")</f>
        <v>Beating holder stamped on the amount of the joint and reverse the hinge .odm made by AT3.</v>
      </c>
    </row>
    <row r="641">
      <c r="A641" s="19" t="s">
        <v>725</v>
      </c>
      <c r="B641" s="20" t="str">
        <f>IFERROR(__xludf.DUMMYFUNCTION("GOOGLETRANSLATE(A641, ""fr"", ""en"")"),"force")</f>
        <v>force</v>
      </c>
    </row>
    <row r="642">
      <c r="A642" s="19" t="s">
        <v>726</v>
      </c>
      <c r="B642" s="20" t="str">
        <f>IFERROR(__xludf.DUMMYFUNCTION("GOOGLETRANSLATE(A642, ""fr"", ""en"")"),"Installation of the display information relating to video surveillance. On door of quay and conveyor door.odm made by AT3. Finished work.")</f>
        <v>Installation of the display information relating to video surveillance. On door of quay and conveyor door.odm made by AT3. Finished work.</v>
      </c>
    </row>
    <row r="643">
      <c r="A643" s="19" t="s">
        <v>727</v>
      </c>
      <c r="B643" s="20" t="str">
        <f>IFERROR(__xludf.DUMMYFUNCTION("GOOGLETRANSLATE(A643, ""fr"", ""en"")"),"The Porte is de la reserve is veiled")</f>
        <v>The Porte is de la reserve is veiled</v>
      </c>
    </row>
    <row r="644">
      <c r="A644" s="19" t="s">
        <v>728</v>
      </c>
      <c r="B644" s="20" t="str">
        <f>IFERROR(__xludf.DUMMYFUNCTION("GOOGLETRANSLATE(A644, ""fr"", ""en"")"),"AT Lack Cylinder Protection Porte Conveyor")</f>
        <v>AT Lack Cylinder Protection Porte Conveyor</v>
      </c>
    </row>
    <row r="645">
      <c r="A645" s="19" t="s">
        <v>729</v>
      </c>
      <c r="B645" s="20" t="str">
        <f>IFERROR(__xludf.DUMMYFUNCTION("GOOGLETRANSLATE(A645, ""fr"", ""en"")"),"Hello I can no longer open the rear doors of the store because if I remove the security bars the alarm s alarm because the door has taken a hit, it is pushing please launch an intervention quickly")</f>
        <v>Hello I can no longer open the rear doors of the store because if I remove the security bars the alarm s alarm because the door has taken a hit, it is pushing please launch an intervention quickly</v>
      </c>
    </row>
    <row r="646">
      <c r="A646" s="21"/>
      <c r="B646" s="20" t="str">
        <f>IFERROR(__xludf.DUMMYFUNCTION("GOOGLETRANSLATE(A646, ""fr"", ""en"")"),"#VALUE!")</f>
        <v>#VALUE!</v>
      </c>
    </row>
    <row r="647">
      <c r="A647" s="19" t="s">
        <v>730</v>
      </c>
      <c r="B647" s="20" t="str">
        <f>IFERROR(__xludf.DUMMYFUNCTION("GOOGLETRANSLATE(A647, ""fr"", ""en"")"),"At the request of the DR02: Refixing of the door handle of the premises maintenance of the reserve .odm made by AT3. Finished work")</f>
        <v>At the request of the DR02: Refixing of the door handle of the premises maintenance of the reserve .odm made by AT3. Finished work</v>
      </c>
    </row>
    <row r="648">
      <c r="A648" s="19" t="s">
        <v>731</v>
      </c>
      <c r="B648" s="20" t="str">
        <f>IFERROR(__xludf.DUMMYFUNCTION("GOOGLETRANSLATE(A648, ""fr"", ""en"")"),"The door of the platform has been stamped - it is currently functional but almost HS + door handle slightly folded")</f>
        <v>The door of the platform has been stamped - it is currently functional but almost HS + door handle slightly folded</v>
      </c>
    </row>
    <row r="649">
      <c r="A649" s="19" t="s">
        <v>732</v>
      </c>
      <c r="B649" s="20" t="str">
        <f>IFERROR(__xludf.DUMMYFUNCTION("GOOGLETRANSLATE(A649, ""fr"", ""en"")"),"broken platform door handle - To replace")</f>
        <v>broken platform door handle - To replace</v>
      </c>
    </row>
    <row r="650">
      <c r="A650" s="19" t="s">
        <v>733</v>
      </c>
      <c r="B650" s="20" t="str">
        <f>IFERROR(__xludf.DUMMYFUNCTION("GOOGLETRANSLATE(A650, ""fr"", ""en"")"),"At the request of the FM: replacement of the cylinder of the electrical cabinet of the recharging terminals .odm made by AT3.")</f>
        <v>At the request of the FM: replacement of the cylinder of the electrical cabinet of the recharging terminals .odm made by AT3.</v>
      </c>
    </row>
    <row r="651">
      <c r="A651" s="19" t="s">
        <v>734</v>
      </c>
      <c r="B651" s="20" t="str">
        <f>IFERROR(__xludf.DUMMYFUNCTION("GOOGLETRANSLATE(A651, ""fr"", ""en"")"),"Need an intervention
 broken handle of the door of the quay")</f>
        <v>Need an intervention
 broken handle of the door of the quay</v>
      </c>
    </row>
    <row r="652">
      <c r="A652" s="19" t="s">
        <v>735</v>
      </c>
      <c r="B652" s="20" t="str">
        <f>IFERROR(__xludf.DUMMYFUNCTION("GOOGLETRANSLATE(A652, ""fr"", ""en"")"),"Mauvaiqe grass which enters the SPM")</f>
        <v>Mauvaiqe grass which enters the SPM</v>
      </c>
    </row>
    <row r="653">
      <c r="A653" s="19" t="s">
        <v>736</v>
      </c>
      <c r="B653" s="20" t="str">
        <f>IFERROR(__xludf.DUMMYFUNCTION("GOOGLETRANSLATE(A653, ""fr"", ""en"")"),"HOL HS HS PORTE SOCIAL-BUREAU")</f>
        <v>HOL HS HS PORTE SOCIAL-BUREAU</v>
      </c>
    </row>
    <row r="654">
      <c r="A654" s="19" t="s">
        <v>737</v>
      </c>
      <c r="B654" s="20" t="str">
        <f>IFERROR(__xludf.DUMMYFUNCTION("GOOGLETRANSLATE(A654, ""fr"", ""en"")"),"Fresh broken door see photo, right handle.")</f>
        <v>Fresh broken door see photo, right handle.</v>
      </c>
    </row>
    <row r="655">
      <c r="A655" s="19" t="s">
        <v>738</v>
      </c>
      <c r="B655" s="20" t="str">
        <f>IFERROR(__xludf.DUMMYFUNCTION("GOOGLETRANSLATE(A655, ""fr"", ""en"")"),"Pause of protection on the dock door to prevent the lock from being broken by TKT. ODM made by AT3. Finished work")</f>
        <v>Pause of protection on the dock door to prevent the lock from being broken by TKT. ODM made by AT3. Finished work</v>
      </c>
    </row>
    <row r="656">
      <c r="A656" s="19" t="s">
        <v>739</v>
      </c>
      <c r="B656" s="20" t="str">
        <f>IFERROR(__xludf.DUMMYFUNCTION("GOOGLETRANSLATE(A656, ""fr"", ""en"")"),"Laying new vacuum displays on the dock door and conveyor .odm made by AT3. Finished work.")</f>
        <v>Laying new vacuum displays on the dock door and conveyor .odm made by AT3. Finished work.</v>
      </c>
    </row>
    <row r="657">
      <c r="A657" s="19" t="s">
        <v>740</v>
      </c>
      <c r="B657" s="20" t="str">
        <f>IFERROR(__xludf.DUMMYFUNCTION("GOOGLETRANSLATE(A657, ""fr"", ""en"")"),"The office wrist no longer works. If the door closes we will no longer be able to open the door.")</f>
        <v>The office wrist no longer works. If the door closes we will no longer be able to open the door.</v>
      </c>
    </row>
    <row r="658">
      <c r="A658" s="19" t="s">
        <v>741</v>
      </c>
      <c r="B658" s="20" t="str">
        <f>IFERROR(__xludf.DUMMYFUNCTION("GOOGLETRANSLATE(A658, ""fr"", ""en"")"),"The door of the local reserve touches by closing the CFP.ODM made by AT3. Finished work.")</f>
        <v>The door of the local reserve touches by closing the CFP.ODM made by AT3. Finished work.</v>
      </c>
    </row>
    <row r="659">
      <c r="A659" s="19" t="s">
        <v>742</v>
      </c>
      <c r="B659" s="20" t="str">
        <f>IFERROR(__xludf.DUMMYFUNCTION("GOOGLETRANSLATE(A659, ""fr"", ""en"")"),"Installation of the display information relating to remote monitoring on the door of quay and conveyor.odm made by AT3. Finished work.")</f>
        <v>Installation of the display information relating to remote monitoring on the door of quay and conveyor.odm made by AT3. Finished work.</v>
      </c>
    </row>
    <row r="660">
      <c r="A660" s="21"/>
      <c r="B660" s="20" t="str">
        <f>IFERROR(__xludf.DUMMYFUNCTION("GOOGLETRANSLATE(A660, ""fr"", ""en"")"),"#VALUE!")</f>
        <v>#VALUE!</v>
      </c>
    </row>
    <row r="661">
      <c r="A661" s="19" t="s">
        <v>743</v>
      </c>
      <c r="B661" s="20" t="str">
        <f>IFERROR(__xludf.DUMMYFUNCTION("GOOGLETRANSLATE(A661, ""fr"", ""en"")"),"At the request of the FM: Open the drawing valves on the Split and DRV.ODM made by AT3.")</f>
        <v>At the request of the FM: Open the drawing valves on the Split and DRV.ODM made by AT3.</v>
      </c>
    </row>
    <row r="662">
      <c r="A662" s="19" t="s">
        <v>744</v>
      </c>
      <c r="B662" s="20" t="str">
        <f>IFERROR(__xludf.DUMMYFUNCTION("GOOGLETRANSLATE(A662, ""fr"", ""en"")"),"At the request of the FM: recover the CVC power of a SPM.ODM made by AT3.")</f>
        <v>At the request of the FM: recover the CVC power of a SPM.ODM made by AT3.</v>
      </c>
    </row>
    <row r="663">
      <c r="A663" s="19" t="s">
        <v>745</v>
      </c>
      <c r="B663" s="20" t="str">
        <f>IFERROR(__xludf.DUMMYFUNCTION("GOOGLETRANSLATE(A663, ""fr"", ""en"")"),"no watering")</f>
        <v>no watering</v>
      </c>
    </row>
    <row r="664">
      <c r="A664" s="19" t="s">
        <v>746</v>
      </c>
      <c r="B664" s="20" t="str">
        <f>IFERROR(__xludf.DUMMYFUNCTION("GOOGLETRANSLATE(A664, ""fr"", ""en"")"),"hello it is more than 27 ° in the store very complicated")</f>
        <v>hello it is more than 27 ° in the store very complicated</v>
      </c>
    </row>
    <row r="665">
      <c r="A665" s="19" t="s">
        <v>747</v>
      </c>
      <c r="B665" s="20" t="str">
        <f>IFERROR(__xludf.DUMMYFUNCTION("GOOGLETRANSLATE(A665, ""fr"", ""en"")"),"Can you lower the heating of some degrees in stores and in the office
 The fruit and vegetable zone is affected by heating")</f>
        <v>Can you lower the heating of some degrees in stores and in the office
 The fruit and vegetable zone is affected by heating</v>
      </c>
    </row>
    <row r="666">
      <c r="A666" s="19" t="s">
        <v>748</v>
      </c>
      <c r="B666" s="20" t="str">
        <f>IFERROR(__xludf.DUMMYFUNCTION("GOOGLETRANSLATE(A666, ""fr"", ""en"")"),"Recovery of NOK.ODM exterior air conditioning groups made by AT3. Finished work.")</f>
        <v>Recovery of NOK.ODM exterior air conditioning groups made by AT3. Finished work.</v>
      </c>
    </row>
    <row r="667">
      <c r="A667" s="19" t="s">
        <v>749</v>
      </c>
      <c r="B667" s="20" t="str">
        <f>IFERROR(__xludf.DUMMYFUNCTION("GOOGLETRANSLATE(A667, ""fr"", ""en"")"),"DEFAUL NOTE FOR SOCIAL AND SUPER SUPER")</f>
        <v>DEFAUL NOTE FOR SOCIAL AND SUPER SUPER</v>
      </c>
    </row>
    <row r="668">
      <c r="A668" s="19" t="s">
        <v>750</v>
      </c>
      <c r="B668" s="20" t="str">
        <f>IFERROR(__xludf.DUMMYFUNCTION("GOOGLETRANSLATE(A668, ""fr"", ""en"")"),"The Boxes of the Store and Socials is in default code 2502")</f>
        <v>The Boxes of the Store and Socials is in default code 2502</v>
      </c>
    </row>
    <row r="669">
      <c r="A669" s="19" t="s">
        <v>751</v>
      </c>
      <c r="B669" s="20" t="str">
        <f>IFERROR(__xludf.DUMMYFUNCTION("GOOGLETRANSLATE(A669, ""fr"", ""en"")"),"Too strong air conditioning customers complain that is too cold in the mag")</f>
        <v>Too strong air conditioning customers complain that is too cold in the mag</v>
      </c>
    </row>
    <row r="670">
      <c r="A670" s="19" t="s">
        <v>752</v>
      </c>
      <c r="B670" s="20" t="str">
        <f>IFERROR(__xludf.DUMMYFUNCTION("GOOGLETRANSLATE(A670, ""fr"", ""en"")"),"At the request of the RM: low temperature in the premises. 12 ° in checkout. Reflating of all the remote controls at 19 ° .odm made by AT3. Finished work.")</f>
        <v>At the request of the RM: low temperature in the premises. 12 ° in checkout. Reflating of all the remote controls at 19 ° .odm made by AT3. Finished work.</v>
      </c>
    </row>
    <row r="671">
      <c r="A671" s="19" t="s">
        <v>753</v>
      </c>
      <c r="B671" s="20" t="str">
        <f>IFERROR(__xludf.DUMMYFUNCTION("GOOGLETRANSLATE(A671, ""fr"", ""en"")"),"Purge drawing taps for winter .odm made by AT3. Finished work.")</f>
        <v>Purge drawing taps for winter .odm made by AT3. Finished work.</v>
      </c>
    </row>
    <row r="672">
      <c r="A672" s="19" t="s">
        <v>754</v>
      </c>
      <c r="B672" s="20" t="str">
        <f>IFERROR(__xludf.DUMMYFUNCTION("GOOGLETRANSLATE(A672, ""fr"", ""en"")"),"The air conditioning block lealed in the break")</f>
        <v>The air conditioning block lealed in the break</v>
      </c>
    </row>
    <row r="673">
      <c r="A673" s="19" t="s">
        <v>755</v>
      </c>
      <c r="B673" s="20" t="str">
        <f>IFERROR(__xludf.DUMMYFUNCTION("GOOGLETRANSLATE(A673, ""fr"", ""en"")"),"Cold breath heating
 urgent")</f>
        <v>Cold breath heating
 urgent</v>
      </c>
    </row>
    <row r="674">
      <c r="A674" s="21"/>
      <c r="B674" s="20" t="str">
        <f>IFERROR(__xludf.DUMMYFUNCTION("GOOGLETRANSLATE(A674, ""fr"", ""en"")"),"#VALUE!")</f>
        <v>#VALUE!</v>
      </c>
    </row>
    <row r="675">
      <c r="A675" s="19" t="s">
        <v>756</v>
      </c>
      <c r="B675" s="20" t="str">
        <f>IFERROR(__xludf.DUMMYFUNCTION("GOOGLETRANSLATE(A675, ""fr"", ""en"")"),"At the request of the FM: Open the drawing valves on the DRV and the Split.odm made by AT3.")</f>
        <v>At the request of the FM: Open the drawing valves on the DRV and the Split.odm made by AT3.</v>
      </c>
    </row>
    <row r="676">
      <c r="A676" s="19" t="s">
        <v>757</v>
      </c>
      <c r="B676" s="20" t="str">
        <f>IFERROR(__xludf.DUMMYFUNCTION("GOOGLETRANSLATE(A676, ""fr"", ""en"")"),"At the request of the FM: recover the CVC power of a SPM.ODM made by AT3.")</f>
        <v>At the request of the FM: recover the CVC power of a SPM.ODM made by AT3.</v>
      </c>
    </row>
    <row r="677">
      <c r="A677" s="19" t="s">
        <v>758</v>
      </c>
      <c r="B677" s="20" t="str">
        <f>IFERROR(__xludf.DUMMYFUNCTION("GOOGLETRANSLATE(A677, ""fr"", ""en"")"),"Purge of two drawing valves for winter. Odm made by AT3. Finished work")</f>
        <v>Purge of two drawing valves for winter. Odm made by AT3. Finished work</v>
      </c>
    </row>
    <row r="678">
      <c r="A678" s="19" t="s">
        <v>759</v>
      </c>
      <c r="B678" s="20" t="str">
        <f>IFERROR(__xludf.DUMMYFUNCTION("GOOGLETRANSLATE(A678, ""fr"", ""en"")"),"FYI: Social air conditioning and MAG HS. After restarting outdoor cold group, a problem still present.")</f>
        <v>FYI: Social air conditioning and MAG HS. After restarting outdoor cold group, a problem still present.</v>
      </c>
    </row>
    <row r="679">
      <c r="A679" s="19" t="s">
        <v>760</v>
      </c>
      <c r="B679" s="20" t="str">
        <f>IFERROR(__xludf.DUMMYFUNCTION("GOOGLETRANSLATE(A679, ""fr"", ""en"")"),"HS store heating")</f>
        <v>HS store heating</v>
      </c>
    </row>
    <row r="680">
      <c r="A680" s="19" t="s">
        <v>761</v>
      </c>
      <c r="B680" s="20" t="str">
        <f>IFERROR(__xludf.DUMMYFUNCTION("GOOGLETRANSLATE(A680, ""fr"", ""en"")"),"too cold")</f>
        <v>too cold</v>
      </c>
    </row>
    <row r="681">
      <c r="A681" s="21"/>
      <c r="B681" s="20" t="str">
        <f>IFERROR(__xludf.DUMMYFUNCTION("GOOGLETRANSLATE(A681, ""fr"", ""en"")"),"#VALUE!")</f>
        <v>#VALUE!</v>
      </c>
    </row>
    <row r="682">
      <c r="A682" s="19" t="s">
        <v>762</v>
      </c>
      <c r="B682" s="20" t="str">
        <f>IFERROR(__xludf.DUMMYFUNCTION("GOOGLETRANSLATE(A682, ""fr"", ""en"")"),"At the request of the RVS and the RM: heating out of service in the building. Odm done by AT3. Finished work.")</f>
        <v>At the request of the RVS and the RM: heating out of service in the building. Odm done by AT3. Finished work.</v>
      </c>
    </row>
    <row r="683">
      <c r="A683" s="19" t="s">
        <v>763</v>
      </c>
      <c r="B683" s="20" t="str">
        <f>IFERROR(__xludf.DUMMYFUNCTION("GOOGLETRANSLATE(A683, ""fr"", ""en"")"),"Bacim and social air conditioning leak, store conditioning does not work (request already made for the store)")</f>
        <v>Bacim and social air conditioning leak, store conditioning does not work (request already made for the store)</v>
      </c>
    </row>
    <row r="684">
      <c r="A684" s="19" t="s">
        <v>764</v>
      </c>
      <c r="B684" s="20" t="str">
        <f>IFERROR(__xludf.DUMMYFUNCTION("GOOGLETRANSLATE(A684, ""fr"", ""en"")"),"Air conditioning problem in store, stifling heat, and box level in the cabins, 30 ° C")</f>
        <v>Air conditioning problem in store, stifling heat, and box level in the cabins, 30 ° C</v>
      </c>
    </row>
    <row r="685">
      <c r="A685" s="19" t="s">
        <v>765</v>
      </c>
      <c r="B685" s="20" t="str">
        <f>IFERROR(__xludf.DUMMYFUNCTION("GOOGLETRANSLATE(A685, ""fr"", ""en"")"),"A leak appeared on the system outside the building during high exterior temperatures")</f>
        <v>A leak appeared on the system outside the building during high exterior temperatures</v>
      </c>
    </row>
    <row r="686">
      <c r="A686" s="19" t="s">
        <v>766</v>
      </c>
      <c r="B686" s="20" t="str">
        <f>IFERROR(__xludf.DUMMYFUNCTION("GOOGLETRANSLATE(A686, ""fr"", ""en"")"),"temperature at 28 ° C at the boxes / 26 ° C at the input of the reserve")</f>
        <v>temperature at 28 ° C at the boxes / 26 ° C at the input of the reserve</v>
      </c>
    </row>
    <row r="687">
      <c r="A687" s="19" t="s">
        <v>767</v>
      </c>
      <c r="B687" s="20" t="str">
        <f>IFERROR(__xludf.DUMMYFUNCTION("GOOGLETRANSLATE(A687, ""fr"", ""en"")"),"Non -functioning of air conditioning in store.
 (No photo pb mde)")</f>
        <v>Non -functioning of air conditioning in store.
 (No photo pb mde)</v>
      </c>
    </row>
    <row r="688">
      <c r="A688" s="19" t="s">
        <v>768</v>
      </c>
      <c r="B688" s="20" t="str">
        <f>IFERROR(__xludf.DUMMYFUNCTION("GOOGLETRANSLATE(A688, ""fr"", ""en"")"),"At the request of the FM: recover the CVC power of a SPM.")</f>
        <v>At the request of the FM: recover the CVC power of a SPM.</v>
      </c>
    </row>
    <row r="689">
      <c r="A689" s="19" t="s">
        <v>769</v>
      </c>
      <c r="B689" s="20" t="str">
        <f>IFERROR(__xludf.DUMMYFUNCTION("GOOGLETRANSLATE(A689, ""fr"", ""en"")"),"Return to drawing taps for cold groups. Fuite on pipeline.odm made by AT3.")</f>
        <v>Return to drawing taps for cold groups. Fuite on pipeline.odm made by AT3.</v>
      </c>
    </row>
    <row r="690">
      <c r="A690" s="19" t="s">
        <v>770</v>
      </c>
      <c r="B690" s="20" t="str">
        <f>IFERROR(__xludf.DUMMYFUNCTION("GOOGLETRANSLATE(A690, ""fr"", ""en"")"),"Purge of the water pipe of the cold group.odm made by AT3. Finished work.")</f>
        <v>Purge of the water pipe of the cold group.odm made by AT3. Finished work.</v>
      </c>
    </row>
    <row r="691">
      <c r="A691" s="19" t="s">
        <v>771</v>
      </c>
      <c r="B691" s="20" t="str">
        <f>IFERROR(__xludf.DUMMYFUNCTION("GOOGLETRANSLATE(A691, ""fr"", ""en"")"),"too high store temperature")</f>
        <v>too high store temperature</v>
      </c>
    </row>
    <row r="692">
      <c r="A692" s="19" t="s">
        <v>772</v>
      </c>
      <c r="B692" s="20" t="str">
        <f>IFERROR(__xludf.DUMMYFUNCTION("GOOGLETRANSLATE(A692, ""fr"", ""en"")"),"The office air conditioning box loses water. The company that takes care of CA has come to maintain the last week.")</f>
        <v>The office air conditioning box loses water. The company that takes care of CA has come to maintain the last week.</v>
      </c>
    </row>
    <row r="693">
      <c r="A693" s="19" t="s">
        <v>773</v>
      </c>
      <c r="B693" s="20" t="str">
        <f>IFERROR(__xludf.DUMMYFUNCTION("GOOGLETRANSLATE(A693, ""fr"", ""en"")"),"The air conditioning box of the leaky break room (1 bucket of water/day)")</f>
        <v>The air conditioning box of the leaky break room (1 bucket of water/day)</v>
      </c>
    </row>
    <row r="694">
      <c r="A694" s="19" t="s">
        <v>774</v>
      </c>
      <c r="B694" s="20" t="str">
        <f>IFERROR(__xludf.DUMMYFUNCTION("GOOGLETRANSLATE(A694, ""fr"", ""en"")"),"At the request of the FM: put the temperature of the air conditioning in the MAG at 25 ° as recommended by the siege of Lidl.odm made by AT3. Finished work.")</f>
        <v>At the request of the FM: put the temperature of the air conditioning in the MAG at 25 ° as recommended by the siege of Lidl.odm made by AT3. Finished work.</v>
      </c>
    </row>
    <row r="695">
      <c r="A695" s="19" t="s">
        <v>775</v>
      </c>
      <c r="B695" s="20" t="str">
        <f>IFERROR(__xludf.DUMMYFUNCTION("GOOGLETRANSLATE(A695, ""fr"", ""en"")"),"At the request of the CM: Air conditioning problem in the Mag. 25 ° in the SV and 28.5 ° in the reserve .odm made by AT3. Finished work")</f>
        <v>At the request of the CM: Air conditioning problem in the Mag. 25 ° in the SV and 28.5 ° in the reserve .odm made by AT3. Finished work</v>
      </c>
    </row>
    <row r="696">
      <c r="A696" s="19" t="s">
        <v>776</v>
      </c>
      <c r="B696" s="20" t="str">
        <f>IFERROR(__xludf.DUMMYFUNCTION("GOOGLETRANSLATE(A696, ""fr"", ""en"")"),"Good morning
 3 spots H.S TG FL
 THANKS")</f>
        <v>Good morning
 3 spots H.S TG FL
 THANKS</v>
      </c>
    </row>
    <row r="697">
      <c r="A697" s="19" t="s">
        <v>777</v>
      </c>
      <c r="B697" s="20" t="str">
        <f>IFERROR(__xludf.DUMMYFUNCTION("GOOGLETRANSLATE(A697, ""fr"", ""en"")"),"LED lighting under the FL HS.ODM structure made by AT3. Finished work.")</f>
        <v>LED lighting under the FL HS.ODM structure made by AT3. Finished work.</v>
      </c>
    </row>
    <row r="698">
      <c r="A698" s="19" t="s">
        <v>778</v>
      </c>
      <c r="B698" s="20" t="str">
        <f>IFERROR(__xludf.DUMMYFUNCTION("GOOGLETRANSLATE(A698, ""fr"", ""en"")"),"* Move the organic spot that is in front of the flowers thank you")</f>
        <v>* Move the organic spot that is in front of the flowers thank you</v>
      </c>
    </row>
    <row r="699">
      <c r="A699" s="19" t="s">
        <v>779</v>
      </c>
      <c r="B699" s="20" t="str">
        <f>IFERROR(__xludf.DUMMYFUNCTION("GOOGLETRANSLATE(A699, ""fr"", ""en"")"),"HS Fresh Furniture Lighting")</f>
        <v>HS Fresh Furniture Lighting</v>
      </c>
    </row>
    <row r="700">
      <c r="A700" s="19" t="s">
        <v>780</v>
      </c>
      <c r="B700" s="20" t="str">
        <f>IFERROR(__xludf.DUMMYFUNCTION("GOOGLETRANSLATE(A700, ""fr"", ""en"")"),"Replacement of 7 neon tubes with LED tubes in social social. Oodm made by AT3. Finished work")</f>
        <v>Replacement of 7 neon tubes with LED tubes in social social. Oodm made by AT3. Finished work</v>
      </c>
    </row>
    <row r="701">
      <c r="A701" s="19" t="s">
        <v>781</v>
      </c>
      <c r="B701" s="20" t="str">
        <f>IFERROR(__xludf.DUMMYFUNCTION("GOOGLETRANSLATE(A701, ""fr"", ""en"")"),"move the organic spot")</f>
        <v>move the organic spot</v>
      </c>
    </row>
    <row r="702">
      <c r="A702" s="21"/>
      <c r="B702" s="20" t="str">
        <f>IFERROR(__xludf.DUMMYFUNCTION("GOOGLETRANSLATE(A702, ""fr"", ""en"")"),"#VALUE!")</f>
        <v>#VALUE!</v>
      </c>
    </row>
    <row r="703">
      <c r="A703" s="19" t="s">
        <v>782</v>
      </c>
      <c r="B703" s="20" t="str">
        <f>IFERROR(__xludf.DUMMYFUNCTION("GOOGLETRANSLATE(A703, ""fr"", ""en"")"),"neon trunk H.S")</f>
        <v>neon trunk H.S</v>
      </c>
    </row>
    <row r="704">
      <c r="A704" s="19" t="s">
        <v>783</v>
      </c>
      <c r="B704" s="20" t="str">
        <f>IFERROR(__xludf.DUMMYFUNCTION("GOOGLETRANSLATE(A704, ""fr"", ""en"")"),"The men and woman changing rooms are not in automatic lighting.
 thank you")</f>
        <v>The men and woman changing rooms are not in automatic lighting.
 thank you</v>
      </c>
    </row>
    <row r="705">
      <c r="A705" s="19" t="s">
        <v>784</v>
      </c>
      <c r="B705" s="20" t="str">
        <f>IFERROR(__xludf.DUMMYFUNCTION("GOOGLETRANSLATE(A705, ""fr"", ""en"")"),"neon break in fresh furniture")</f>
        <v>neon break in fresh furniture</v>
      </c>
    </row>
    <row r="706">
      <c r="A706" s="19" t="s">
        <v>785</v>
      </c>
      <c r="B706" s="20" t="str">
        <f>IFERROR(__xludf.DUMMYFUNCTION("GOOGLETRANSLATE(A706, ""fr"", ""en"")"),"Light HS Allée DHP and Fresh axis")</f>
        <v>Light HS Allée DHP and Fresh axis</v>
      </c>
    </row>
    <row r="707">
      <c r="A707" s="19" t="s">
        <v>786</v>
      </c>
      <c r="B707" s="20" t="str">
        <f>IFERROR(__xludf.DUMMYFUNCTION("GOOGLETRANSLATE(A707, ""fr"", ""en"")"),"TG Surg HS Bac Lighting
 Replacement of the rear")</f>
        <v>TG Surg HS Bac Lighting
 Replacement of the rear</v>
      </c>
    </row>
    <row r="708">
      <c r="A708" s="19" t="s">
        <v>787</v>
      </c>
      <c r="B708" s="20" t="str">
        <f>IFERROR(__xludf.DUMMYFUNCTION("GOOGLETRANSLATE(A708, ""fr"", ""en"")"),"2 LED change tubes in the SDP.ODM made by AT3. Finished work")</f>
        <v>2 LED change tubes in the SDP.ODM made by AT3. Finished work</v>
      </c>
    </row>
    <row r="709">
      <c r="A709" s="19" t="s">
        <v>788</v>
      </c>
      <c r="B709" s="20" t="str">
        <f>IFERROR(__xludf.DUMMYFUNCTION("GOOGLETRANSLATE(A709, ""fr"", ""en"")"),"At. LUM Box + Water + Spot HS. Disj hs")</f>
        <v>At. LUM Box + Water + Spot HS. Disj hs</v>
      </c>
    </row>
    <row r="710">
      <c r="A710" s="19" t="s">
        <v>789</v>
      </c>
      <c r="B710" s="20" t="str">
        <f>IFERROR(__xludf.DUMMYFUNCTION("GOOGLETRANSLATE(A710, ""fr"", ""en"")"),"At Lum HS Caisses + Water")</f>
        <v>At Lum HS Caisses + Water</v>
      </c>
    </row>
    <row r="711">
      <c r="A711" s="19" t="s">
        <v>790</v>
      </c>
      <c r="B711" s="20" t="str">
        <f>IFERROR(__xludf.DUMMYFUNCTION("GOOGLETRANSLATE(A711, ""fr"", ""en"")"),"hello I have neons in the FL which no longer work thank you for launching an intervention")</f>
        <v>hello I have neons in the FL which no longer work thank you for launching an intervention</v>
      </c>
    </row>
    <row r="712">
      <c r="A712" s="19" t="s">
        <v>791</v>
      </c>
      <c r="B712" s="20" t="str">
        <f>IFERROR(__xludf.DUMMYFUNCTION("GOOGLETRANSLATE(A712, ""fr"", ""en"")"),"We no longer have light in aisle 5, in aisle 2 and the case.
 The camera only takes black photos.")</f>
        <v>We no longer have light in aisle 5, in aisle 2 and the case.
 The camera only takes black photos.</v>
      </c>
    </row>
    <row r="713">
      <c r="A713" s="19" t="s">
        <v>792</v>
      </c>
      <c r="B713" s="20" t="str">
        <f>IFERROR(__xludf.DUMMYFUNCTION("GOOGLETRANSLATE(A713, ""fr"", ""en"")"),"Replacement of 10 neon tubes with LED tubes. Restful 6 replaced tubes.")</f>
        <v>Replacement of 10 neon tubes with LED tubes. Restful 6 replaced tubes.</v>
      </c>
    </row>
    <row r="714">
      <c r="A714" s="19" t="s">
        <v>793</v>
      </c>
      <c r="B714" s="20" t="str">
        <f>IFERROR(__xludf.DUMMYFUNCTION("GOOGLETRANSLATE(A714, ""fr"", ""en"")"),"We have 4 lights on the fruit and vegetable furniture that does not work.
 2 In terms of potatoes
 2 In terms of tomatoes")</f>
        <v>We have 4 lights on the fruit and vegetable furniture that does not work.
 2 In terms of potatoes
 2 In terms of tomatoes</v>
      </c>
    </row>
    <row r="715">
      <c r="A715" s="19" t="s">
        <v>794</v>
      </c>
      <c r="B715" s="20" t="str">
        <f>IFERROR(__xludf.DUMMYFUNCTION("GOOGLETRANSLATE(A715, ""fr"", ""en"")"),"The store light no longer goes out at night.")</f>
        <v>The store light no longer goes out at night.</v>
      </c>
    </row>
    <row r="716">
      <c r="A716" s="19" t="s">
        <v>795</v>
      </c>
      <c r="B716" s="20" t="str">
        <f>IFERROR(__xludf.DUMMYFUNCTION("GOOGLETRANSLATE(A716, ""fr"", ""en"")"),"HS furniture neon")</f>
        <v>HS furniture neon</v>
      </c>
    </row>
    <row r="717">
      <c r="A717" s="19" t="s">
        <v>796</v>
      </c>
      <c r="B717" s="20" t="str">
        <f>IFERROR(__xludf.DUMMYFUNCTION("GOOGLETRANSLATE(A717, ""fr"", ""en"")"),"Photo Salle Break for Sale 2814")</f>
        <v>Photo Salle Break for Sale 2814</v>
      </c>
    </row>
    <row r="718">
      <c r="A718" s="19" t="s">
        <v>797</v>
      </c>
      <c r="B718" s="20" t="str">
        <f>IFERROR(__xludf.DUMMYFUNCTION("GOOGLETRANSLATE(A718, ""fr"", ""en"")"),"2 mice overlapped in the store")</f>
        <v>2 mice overlapped in the store</v>
      </c>
    </row>
    <row r="719">
      <c r="A719" s="21"/>
      <c r="B719" s="20" t="str">
        <f>IFERROR(__xludf.DUMMYFUNCTION("GOOGLETRANSLATE(A719, ""fr"", ""en"")"),"#VALUE!")</f>
        <v>#VALUE!</v>
      </c>
    </row>
    <row r="720">
      <c r="A720" s="19" t="s">
        <v>798</v>
      </c>
      <c r="B720" s="20" t="str">
        <f>IFERROR(__xludf.DUMMYFUNCTION("GOOGLETRANSLATE(A720, ""fr"", ""en"")"),"Mouse APPECURS IN THE ABOUND + STORE")</f>
        <v>Mouse APPECURS IN THE ABOUND + STORE</v>
      </c>
    </row>
    <row r="721">
      <c r="A721" s="19" t="s">
        <v>799</v>
      </c>
      <c r="B721" s="20" t="str">
        <f>IFERROR(__xludf.DUMMYFUNCTION("GOOGLETRANSLATE(A721, ""fr"", ""en"")"),"mouse concentration at the bottom of the reserve")</f>
        <v>mouse concentration at the bottom of the reserve</v>
      </c>
    </row>
    <row r="722">
      <c r="A722" s="19" t="s">
        <v>800</v>
      </c>
      <c r="B722" s="20" t="str">
        <f>IFERROR(__xludf.DUMMYFUNCTION("GOOGLETRANSLATE(A722, ""fr"", ""en"")"),"a lot")</f>
        <v>a lot</v>
      </c>
    </row>
    <row r="723">
      <c r="A723" s="21"/>
      <c r="B723" s="20" t="str">
        <f>IFERROR(__xludf.DUMMYFUNCTION("GOOGLETRANSLATE(A723, ""fr"", ""en"")"),"#VALUE!")</f>
        <v>#VALUE!</v>
      </c>
    </row>
    <row r="724">
      <c r="A724" s="19" t="s">
        <v>801</v>
      </c>
      <c r="B724" s="20" t="str">
        <f>IFERROR(__xludf.DUMMYFUNCTION("GOOGLETRANSLATE(A724, ""fr"", ""en"")"),"rat in the Mag bread zone and")</f>
        <v>rat in the Mag bread zone and</v>
      </c>
    </row>
    <row r="725">
      <c r="A725" s="19" t="s">
        <v>802</v>
      </c>
      <c r="B725" s="20" t="str">
        <f>IFERROR(__xludf.DUMMYFUNCTION("GOOGLETRANSLATE(A725, ""fr"", ""en"")"),"mouse stuck in the wine soclz")</f>
        <v>mouse stuck in the wine soclz</v>
      </c>
    </row>
    <row r="726">
      <c r="A726" s="19" t="s">
        <v>803</v>
      </c>
      <c r="B726" s="20" t="str">
        <f>IFERROR(__xludf.DUMMYFUNCTION("GOOGLETRANSLATE(A726, ""fr"", ""en"")"),"harmful in the trace of poop and gnaw")</f>
        <v>harmful in the trace of poop and gnaw</v>
      </c>
    </row>
    <row r="727">
      <c r="A727" s="19" t="s">
        <v>804</v>
      </c>
      <c r="B727" s="20" t="str">
        <f>IFERROR(__xludf.DUMMYFUNCTION("GOOGLETRANSLATE(A727, ""fr"", ""en"")"),"Surgery mouse sale")</f>
        <v>Surgery mouse sale</v>
      </c>
    </row>
    <row r="728">
      <c r="A728" s="21"/>
      <c r="B728" s="20" t="str">
        <f>IFERROR(__xludf.DUMMYFUNCTION("GOOGLETRANSLATE(A728, ""fr"", ""en"")"),"#VALUE!")</f>
        <v>#VALUE!</v>
      </c>
    </row>
    <row r="729">
      <c r="A729" s="19" t="s">
        <v>805</v>
      </c>
      <c r="B729" s="20" t="str">
        <f>IFERROR(__xludf.DUMMYFUNCTION("GOOGLETRANSLATE(A729, ""fr"", ""en"")"),"Mouse in the store side fl.")</f>
        <v>Mouse in the store side fl.</v>
      </c>
    </row>
    <row r="730">
      <c r="A730" s="19" t="s">
        <v>806</v>
      </c>
      <c r="B730" s="20" t="str">
        <f>IFERROR(__xludf.DUMMYFUNCTION("GOOGLETRANSLATE(A730, ""fr"", ""en"")"),"AT DESTROS MAINTENANCE")</f>
        <v>AT DESTROS MAINTENANCE</v>
      </c>
    </row>
    <row r="731">
      <c r="A731" s="19" t="s">
        <v>807</v>
      </c>
      <c r="B731" s="20" t="str">
        <f>IFERROR(__xludf.DUMMYFUNCTION("GOOGLETRANSLATE(A731, ""fr"", ""en"")"),"Harmful box to rearm/empty")</f>
        <v>Harmful box to rearm/empty</v>
      </c>
    </row>
    <row r="732">
      <c r="A732" s="19" t="s">
        <v>808</v>
      </c>
      <c r="B732" s="20" t="str">
        <f>IFERROR(__xludf.DUMMYFUNCTION("GOOGLETRANSLATE(A732, ""fr"", ""en"")"),"We have a lot of rats in the parking lot and at the store door. For the moment we have not seen anything inside.")</f>
        <v>We have a lot of rats in the parking lot and at the store door. For the moment we have not seen anything inside.</v>
      </c>
    </row>
    <row r="733">
      <c r="A733" s="19" t="s">
        <v>809</v>
      </c>
      <c r="B733" s="20" t="str">
        <f>IFERROR(__xludf.DUMMYFUNCTION("GOOGLETRANSLATE(A733, ""fr"", ""en"")"),"We have found mouse excrement in stores.")</f>
        <v>We have found mouse excrement in stores.</v>
      </c>
    </row>
    <row r="734">
      <c r="A734" s="19" t="s">
        <v>810</v>
      </c>
      <c r="B734" s="20" t="str">
        <f>IFERROR(__xludf.DUMMYFUNCTION("GOOGLETRANSLATE(A734, ""fr"", ""en"")"),"FP tiles moved by the wind in the entrance airlock .odm made by AT3. Finished work.")</f>
        <v>FP tiles moved by the wind in the entrance airlock .odm made by AT3. Finished work.</v>
      </c>
    </row>
    <row r="735">
      <c r="A735" s="19" t="s">
        <v>811</v>
      </c>
      <c r="B735" s="20" t="str">
        <f>IFERROR(__xludf.DUMMYFUNCTION("GOOGLETRANSLATE(A735, ""fr"", ""en"")"),"At the request of the RM: FP leak in the labois bread. Infiltration by the roof.Remplacement slab but the leak is always present. Intervene a roofer.")</f>
        <v>At the request of the RM: FP leak in the labois bread. Infiltration by the roof.Remplacement slab but the leak is always present. Intervene a roofer.</v>
      </c>
    </row>
    <row r="736">
      <c r="A736" s="19" t="s">
        <v>812</v>
      </c>
      <c r="B736" s="20" t="str">
        <f>IFERROR(__xludf.DUMMYFUNCTION("GOOGLETRANSLATE(A736, ""fr"", ""en"")"),"At the RM request: wet FP panel in Labe Pain.odm made by AT3. Finished work.")</f>
        <v>At the RM request: wet FP panel in Labe Pain.odm made by AT3. Finished work.</v>
      </c>
    </row>
    <row r="737">
      <c r="A737" s="19" t="s">
        <v>813</v>
      </c>
      <c r="B737" s="20" t="str">
        <f>IFERROR(__xludf.DUMMYFUNCTION("GOOGLETRANSLATE(A737, ""fr"", ""en"")"),"Wet tiles in SV. Displayed 3 times this year. Oodm done by AT3.")</f>
        <v>Wet tiles in SV. Displayed 3 times this year. Oodm done by AT3.</v>
      </c>
    </row>
    <row r="738">
      <c r="A738" s="19" t="s">
        <v>814</v>
      </c>
      <c r="B738" s="20" t="str">
        <f>IFERROR(__xludf.DUMMYFUNCTION("GOOGLETRANSLATE(A738, ""fr"", ""en"")"),"2 wet FP slabs of the bakery in the aperitif cookie stall.")</f>
        <v>2 wet FP slabs of the bakery in the aperitif cookie stall.</v>
      </c>
    </row>
    <row r="739">
      <c r="A739" s="19" t="s">
        <v>815</v>
      </c>
      <c r="B739" s="20" t="str">
        <f>IFERROR(__xludf.DUMMYFUNCTION("GOOGLETRANSLATE(A739, ""fr"", ""en"")"),"Damps of wet FP in SV.odm made by AT3.")</f>
        <v>Damps of wet FP in SV.odm made by AT3.</v>
      </c>
    </row>
    <row r="740">
      <c r="A740" s="19" t="s">
        <v>816</v>
      </c>
      <c r="B740" s="20" t="str">
        <f>IFERROR(__xludf.DUMMYFUNCTION("GOOGLETRANSLATE(A740, ""fr"", ""en"")"),"Pourie bread and ceiling chips")</f>
        <v>Pourie bread and ceiling chips</v>
      </c>
    </row>
    <row r="741">
      <c r="A741" s="19" t="s">
        <v>817</v>
      </c>
      <c r="B741" s="20" t="str">
        <f>IFERROR(__xludf.DUMMYFUNCTION("GOOGLETRANSLATE(A741, ""fr"", ""en"")"),"Collapsed slab following a leak")</f>
        <v>Collapsed slab following a leak</v>
      </c>
    </row>
    <row r="742">
      <c r="A742" s="19" t="s">
        <v>818</v>
      </c>
      <c r="B742" s="20" t="str">
        <f>IFERROR(__xludf.DUMMYFUNCTION("GOOGLETRANSLATE(A742, ""fr"", ""en"")"),"Wet FP tiles.odm made by AT3. Finished work")</f>
        <v>Wet FP tiles.odm made by AT3. Finished work</v>
      </c>
    </row>
    <row r="743">
      <c r="A743" s="19" t="s">
        <v>819</v>
      </c>
      <c r="B743" s="20" t="str">
        <f>IFERROR(__xludf.DUMMYFUNCTION("GOOGLETRANSLATE(A743, ""fr"", ""en"")"),"Several tasks on slabs of the false ceiling")</f>
        <v>Several tasks on slabs of the false ceiling</v>
      </c>
    </row>
    <row r="744">
      <c r="A744" s="19" t="s">
        <v>820</v>
      </c>
      <c r="B744" s="20" t="str">
        <f>IFERROR(__xludf.DUMMYFUNCTION("GOOGLETRANSLATE(A744, ""fr"", ""en"")"),"Leak at the ceiling in front of the bread area")</f>
        <v>Leak at the ceiling in front of the bread area</v>
      </c>
    </row>
    <row r="745">
      <c r="A745" s="19" t="s">
        <v>821</v>
      </c>
      <c r="B745" s="20" t="str">
        <f>IFERROR(__xludf.DUMMYFUNCTION("GOOGLETRANSLATE(A745, ""fr"", ""en"")"),"Damaged slab in terms of bread")</f>
        <v>Damaged slab in terms of bread</v>
      </c>
    </row>
    <row r="746">
      <c r="A746" s="19" t="s">
        <v>822</v>
      </c>
      <c r="B746" s="20" t="str">
        <f>IFERROR(__xludf.DUMMYFUNCTION("GOOGLETRANSLATE(A746, ""fr"", ""en"")"),"Again leaks again of the slabs to change
 Above the bakery in the fresh corner and in the break room")</f>
        <v>Again leaks again of the slabs to change
 Above the bakery in the fresh corner and in the break room</v>
      </c>
    </row>
    <row r="747">
      <c r="A747" s="19" t="s">
        <v>823</v>
      </c>
      <c r="B747" s="20" t="str">
        <f>IFERROR(__xludf.DUMMYFUNCTION("GOOGLETRANSLATE(A747, ""fr"", ""en"")"),"Wet slab broken.")</f>
        <v>Wet slab broken.</v>
      </c>
    </row>
    <row r="748">
      <c r="A748" s="19" t="s">
        <v>824</v>
      </c>
      <c r="B748" s="20" t="str">
        <f>IFERROR(__xludf.DUMMYFUNCTION("GOOGLETRANSLATE(A748, ""fr"", ""en"")"),"Always the same problem
 We change the slabs, they are again wet")</f>
        <v>Always the same problem
 We change the slabs, they are again wet</v>
      </c>
    </row>
    <row r="749">
      <c r="A749" s="19" t="s">
        <v>825</v>
      </c>
      <c r="B749" s="20" t="str">
        <f>IFERROR(__xludf.DUMMYFUNCTION("GOOGLETRANSLATE(A749, ""fr"", ""en"")"),"Following the last rains, several leaks were noted in store, one or the false ceiling fell")</f>
        <v>Following the last rains, several leaks were noted in store, one or the false ceiling fell</v>
      </c>
    </row>
    <row r="750">
      <c r="A750" s="19" t="s">
        <v>826</v>
      </c>
      <c r="B750" s="20" t="str">
        <f>IFERROR(__xludf.DUMMYFUNCTION("GOOGLETRANSLATE(A750, ""fr"", ""en"")"),"tiles to change")</f>
        <v>tiles to change</v>
      </c>
    </row>
    <row r="751">
      <c r="A751" s="19" t="s">
        <v>827</v>
      </c>
      <c r="B751" s="20" t="str">
        <f>IFERROR(__xludf.DUMMYFUNCTION("GOOGLETRANSLATE(A751, ""fr"", ""en"")"),"At Tasks FP Bureau + Social")</f>
        <v>At Tasks FP Bureau + Social</v>
      </c>
    </row>
    <row r="752">
      <c r="A752" s="19" t="s">
        <v>828</v>
      </c>
      <c r="B752" s="20" t="str">
        <f>IFERROR(__xludf.DUMMYFUNCTION("GOOGLETRANSLATE(A752, ""fr"", ""en"")"),"Wet FP tiles above the bread and pastries shelving .odm made by AT3. Finished work.")</f>
        <v>Wet FP tiles above the bread and pastries shelving .odm made by AT3. Finished work.</v>
      </c>
    </row>
    <row r="753">
      <c r="A753" s="19" t="s">
        <v>829</v>
      </c>
      <c r="B753" s="20" t="str">
        <f>IFERROR(__xludf.DUMMYFUNCTION("GOOGLETRANSLATE(A753, ""fr"", ""en"")"),"Water leak in the store at the bread department")</f>
        <v>Water leak in the store at the bread department</v>
      </c>
    </row>
    <row r="754">
      <c r="A754" s="19" t="s">
        <v>830</v>
      </c>
      <c r="B754" s="20" t="str">
        <f>IFERROR(__xludf.DUMMYFUNCTION("GOOGLETRANSLATE(A754, ""fr"", ""en"")"),"Location: along the outdoor wall in store above the bread furniture
 A ceiling slab fell on the bread furniture and is soaked with water a second next side seems soaked")</f>
        <v>Location: along the outdoor wall in store above the bread furniture
 A ceiling slab fell on the bread furniture and is soaked with water a second next side seems soaked</v>
      </c>
    </row>
    <row r="755">
      <c r="A755" s="19" t="s">
        <v>831</v>
      </c>
      <c r="B755" s="20" t="str">
        <f>IFERROR(__xludf.DUMMYFUNCTION("GOOGLETRANSLATE(A755, ""fr"", ""en"")"),"Missing FP slab above the electric cabinet. Odm made by AT3. Finished work")</f>
        <v>Missing FP slab above the electric cabinet. Odm made by AT3. Finished work</v>
      </c>
    </row>
    <row r="756">
      <c r="A756" s="19" t="s">
        <v>832</v>
      </c>
      <c r="B756" s="20" t="str">
        <f>IFERROR(__xludf.DUMMYFUNCTION("GOOGLETRANSLATE(A756, ""fr"", ""en"")"),"Water leak in the false ceiling in the bakery in store. The false ceiling is damaged and causes leaks on the movable and on the ground.")</f>
        <v>Water leak in the false ceiling in the bakery in store. The false ceiling is damaged and causes leaks on the movable and on the ground.</v>
      </c>
    </row>
    <row r="757">
      <c r="A757" s="19" t="s">
        <v>833</v>
      </c>
      <c r="B757" s="20" t="str">
        <f>IFERROR(__xludf.DUMMYFUNCTION("GOOGLETRANSLATE(A757, ""fr"", ""en"")"),"At the request of the FM following the audit. Recoller the tiles in the alley of cosmetics .odm made by AT3. Finished work.")</f>
        <v>At the request of the FM following the audit. Recoller the tiles in the alley of cosmetics .odm made by AT3. Finished work.</v>
      </c>
    </row>
    <row r="758">
      <c r="A758" s="19" t="s">
        <v>834</v>
      </c>
      <c r="B758" s="20" t="str">
        <f>IFERROR(__xludf.DUMMYFUNCTION("GOOGLETRANSLATE(A758, ""fr"", ""en"")"),"broken tiles at the dry action")</f>
        <v>broken tiles at the dry action</v>
      </c>
    </row>
    <row r="759">
      <c r="A759" s="19" t="s">
        <v>835</v>
      </c>
      <c r="B759" s="20" t="str">
        <f>IFERROR(__xludf.DUMMYFUNCTION("GOOGLETRANSLATE(A759, ""fr"", ""en"")"),"Stikers covid to remove on the ground at the boxes")</f>
        <v>Stikers covid to remove on the ground at the boxes</v>
      </c>
    </row>
    <row r="760">
      <c r="A760" s="19" t="s">
        <v>836</v>
      </c>
      <c r="B760" s="20" t="str">
        <f>IFERROR(__xludf.DUMMYFUNCTION("GOOGLETRANSLATE(A760, ""fr"", ""en"")"),"a tiling to change
 Passage non -food TG")</f>
        <v>a tiling to change
 Passage non -food TG</v>
      </c>
    </row>
    <row r="761">
      <c r="A761" s="19" t="s">
        <v>837</v>
      </c>
      <c r="B761" s="20" t="str">
        <f>IFERROR(__xludf.DUMMYFUNCTION("GOOGLETRANSLATE(A761, ""fr"", ""en"")"),"A tiling tile is broken in front of the resort of STAUR at the boxes.")</f>
        <v>A tiling tile is broken in front of the resort of STAUR at the boxes.</v>
      </c>
    </row>
    <row r="762">
      <c r="A762" s="19" t="s">
        <v>838</v>
      </c>
      <c r="B762" s="20" t="str">
        <f>IFERROR(__xludf.DUMMYFUNCTION("GOOGLETRANSLATE(A762, ""fr"", ""en"")"),"SAS WATERS DEBOITED WATERS")</f>
        <v>SAS WATERS DEBOITED WATERS</v>
      </c>
    </row>
    <row r="763">
      <c r="A763" s="19" t="s">
        <v>839</v>
      </c>
      <c r="B763" s="20" t="str">
        <f>IFERROR(__xludf.DUMMYFUNCTION("GOOGLETRANSLATE(A763, ""fr"", ""en"")"),"At the request of the RM, replace 3 broken tiles in reserve .odm made by AT3.")</f>
        <v>At the request of the RM, replace 3 broken tiles in reserve .odm made by AT3.</v>
      </c>
    </row>
    <row r="764">
      <c r="A764" s="19" t="s">
        <v>840</v>
      </c>
      <c r="B764" s="20" t="str">
        <f>IFERROR(__xludf.DUMMYFUNCTION("GOOGLETRANSLATE(A764, ""fr"", ""en"")"),"Abime tiles")</f>
        <v>Abime tiles</v>
      </c>
    </row>
    <row r="765">
      <c r="A765" s="21"/>
      <c r="B765" s="20" t="str">
        <f>IFERROR(__xludf.DUMMYFUNCTION("GOOGLETRANSLATE(A765, ""fr"", ""en"")"),"#VALUE!")</f>
        <v>#VALUE!</v>
      </c>
    </row>
    <row r="766">
      <c r="A766" s="19" t="s">
        <v>841</v>
      </c>
      <c r="B766" s="20" t="str">
        <f>IFERROR(__xludf.DUMMYFUNCTION("GOOGLETRANSLATE(A766, ""fr"", ""en"")"),"Podium Snap straight with closure and a medium")</f>
        <v>Podium Snap straight with closure and a medium</v>
      </c>
    </row>
    <row r="767">
      <c r="A767" s="19" t="s">
        <v>842</v>
      </c>
      <c r="B767" s="20" t="str">
        <f>IFERROR(__xludf.DUMMYFUNCTION("GOOGLETRANSLATE(A767, ""fr"", ""en"")"),"Rebouchy holes in the reserve wall on the quay side. Odm made by AT3. Finished work")</f>
        <v>Rebouchy holes in the reserve wall on the quay side. Odm made by AT3. Finished work</v>
      </c>
    </row>
    <row r="768">
      <c r="A768" s="19" t="s">
        <v>843</v>
      </c>
      <c r="B768" s="20" t="str">
        <f>IFERROR(__xludf.DUMMYFUNCTION("GOOGLETRANSLATE(A768, ""fr"", ""en"")"),"*Redo Painting at the Ria")</f>
        <v>*Redo Painting at the Ria</v>
      </c>
    </row>
    <row r="769">
      <c r="A769" s="19" t="s">
        <v>844</v>
      </c>
      <c r="B769" s="20" t="str">
        <f>IFERROR(__xludf.DUMMYFUNCTION("GOOGLETRANSLATE(A769, ""fr"", ""en"")"),"Need a layer of paint, apparent defects")</f>
        <v>Need a layer of paint, apparent defects</v>
      </c>
    </row>
    <row r="770">
      <c r="A770" s="19" t="s">
        <v>845</v>
      </c>
      <c r="B770" s="20" t="str">
        <f>IFERROR(__xludf.DUMMYFUNCTION("GOOGLETRANSLATE(A770, ""fr"", ""en"")"),"Holes in the social wall. Reach by AT3 .treouche Painting at the next Passage de AT3.")</f>
        <v>Holes in the social wall. Reach by AT3 .treouche Painting at the next Passage de AT3.</v>
      </c>
    </row>
    <row r="771">
      <c r="A771" s="19" t="s">
        <v>846</v>
      </c>
      <c r="B771" s="20" t="str">
        <f>IFERROR(__xludf.DUMMYFUNCTION("GOOGLETRANSLATE(A771, ""fr"", ""en"")"),"The cold chain panel must be re -filled")</f>
        <v>The cold chain panel must be re -filled</v>
      </c>
    </row>
    <row r="772">
      <c r="A772" s="19" t="s">
        <v>847</v>
      </c>
      <c r="B772" s="20" t="str">
        <f>IFERROR(__xludf.DUMMYFUNCTION("GOOGLETRANSLATE(A772, ""fr"", ""en"")"),"Milthical water infiltration
 In the corner of the fresh furniture near the is")</f>
        <v>Milthical water infiltration
 In the corner of the fresh furniture near the is</v>
      </c>
    </row>
    <row r="773">
      <c r="A773" s="19" t="s">
        <v>847</v>
      </c>
      <c r="B773" s="20" t="str">
        <f>IFERROR(__xludf.DUMMYFUNCTION("GOOGLETRANSLATE(A773, ""fr"", ""en"")"),"Milthical water infiltration
 In the corner of the fresh furniture near the is")</f>
        <v>Milthical water infiltration
 In the corner of the fresh furniture near the is</v>
      </c>
    </row>
    <row r="774">
      <c r="A774" s="19" t="s">
        <v>848</v>
      </c>
      <c r="B774" s="20" t="str">
        <f>IFERROR(__xludf.DUMMYFUNCTION("GOOGLETRANSLATE(A774, ""fr"", ""en"")"),"Install a breeze support in reserve")</f>
        <v>Install a breeze support in reserve</v>
      </c>
    </row>
    <row r="775">
      <c r="A775" s="19" t="s">
        <v>848</v>
      </c>
      <c r="B775" s="20" t="str">
        <f>IFERROR(__xludf.DUMMYFUNCTION("GOOGLETRANSLATE(A775, ""fr"", ""en"")"),"Install a breeze support in reserve")</f>
        <v>Install a breeze support in reserve</v>
      </c>
    </row>
    <row r="776">
      <c r="A776" s="19" t="s">
        <v>849</v>
      </c>
      <c r="B776" s="20" t="str">
        <f>IFERROR(__xludf.DUMMYFUNCTION("GOOGLETRANSLATE(A776, ""fr"", ""en"")"),"Wall protection to be refixed")</f>
        <v>Wall protection to be refixed</v>
      </c>
    </row>
    <row r="777">
      <c r="A777" s="19" t="s">
        <v>850</v>
      </c>
      <c r="B777" s="20" t="str">
        <f>IFERROR(__xludf.DUMMYFUNCTION("GOOGLETRANSLATE(A777, ""fr"", ""en"")"),"Damaged paint in the airlock between boxes and social rooms + break room")</f>
        <v>Damaged paint in the airlock between boxes and social rooms + break room</v>
      </c>
    </row>
    <row r="778">
      <c r="A778" s="19" t="s">
        <v>851</v>
      </c>
      <c r="B778" s="20" t="str">
        <f>IFERROR(__xludf.DUMMYFUNCTION("GOOGLETRANSLATE(A778, ""fr"", ""en"")"),"wall tears off")</f>
        <v>wall tears off</v>
      </c>
    </row>
    <row r="779">
      <c r="A779" s="19" t="s">
        <v>852</v>
      </c>
      <c r="B779" s="20" t="str">
        <f>IFERROR(__xludf.DUMMYFUNCTION("GOOGLETRANSLATE(A779, ""fr"", ""en"")"),"Paint the walls on old lettering.odm made by AT3. Finished work")</f>
        <v>Paint the walls on old lettering.odm made by AT3. Finished work</v>
      </c>
    </row>
    <row r="780">
      <c r="A780" s="19" t="s">
        <v>853</v>
      </c>
      <c r="B780" s="20" t="str">
        <f>IFERROR(__xludf.DUMMYFUNCTION("GOOGLETRANSLATE(A780, ""fr"", ""en"")"),"Putting white painting in the wall on the quay side. Odm made by AT3. Work in progress.")</f>
        <v>Putting white painting in the wall on the quay side. Odm made by AT3. Work in progress.</v>
      </c>
    </row>
    <row r="781">
      <c r="A781" s="19" t="s">
        <v>854</v>
      </c>
      <c r="B781" s="20" t="str">
        <f>IFERROR(__xludf.DUMMYFUNCTION("GOOGLETRANSLATE(A781, ""fr"", ""en"")"),"Painting on wall on the reserve side part two repainted by AT3 .odm made by AT3. Finished work.")</f>
        <v>Painting on wall on the reserve side part two repainted by AT3 .odm made by AT3. Finished work.</v>
      </c>
    </row>
    <row r="782">
      <c r="A782" s="19" t="s">
        <v>855</v>
      </c>
      <c r="B782" s="20" t="str">
        <f>IFERROR(__xludf.DUMMYFUNCTION("GOOGLETRANSLATE(A782, ""fr"", ""en"")"),"Change the podium fl Deplace and add a floor I couldn't find it for that")</f>
        <v>Change the podium fl Deplace and add a floor I couldn't find it for that</v>
      </c>
    </row>
    <row r="783">
      <c r="A783" s="19" t="s">
        <v>856</v>
      </c>
      <c r="B783" s="20" t="str">
        <f>IFERROR(__xludf.DUMMYFUNCTION("GOOGLETRANSLATE(A783, ""fr"", ""en"")"),"Can we have a new brief table as well as a new week please.
 Those currently in place are broken.")</f>
        <v>Can we have a new brief table as well as a new week please.
 Those currently in place are broken.</v>
      </c>
    </row>
    <row r="784">
      <c r="A784" s="19" t="s">
        <v>857</v>
      </c>
      <c r="B784" s="20" t="str">
        <f>IFERROR(__xludf.DUMMYFUNCTION("GOOGLETRANSLATE(A784, ""fr"", ""en"")"),"We would need cleaning the reserve ceilings which are too high for us.")</f>
        <v>We would need cleaning the reserve ceilings which are too high for us.</v>
      </c>
    </row>
    <row r="785">
      <c r="A785" s="19" t="s">
        <v>858</v>
      </c>
      <c r="B785" s="20" t="str">
        <f>IFERROR(__xludf.DUMMYFUNCTION("GOOGLETRANSLATE(A785, ""fr"", ""en"")"),"Repaint the lettering on the wall side Fresh furniture. ODM done by AT3. Finished work.")</f>
        <v>Repaint the lettering on the wall side Fresh furniture. ODM done by AT3. Finished work.</v>
      </c>
    </row>
    <row r="786">
      <c r="A786" s="19" t="s">
        <v>859</v>
      </c>
      <c r="B786" s="20" t="str">
        <f>IFERROR(__xludf.DUMMYFUNCTION("GOOGLETRANSLATE(A786, ""fr"", ""en"")"),"Sale cleaning of parking lots on Monday August 21, 2023")</f>
        <v>Sale cleaning of parking lots on Monday August 21, 2023</v>
      </c>
    </row>
    <row r="787">
      <c r="A787" s="19" t="s">
        <v>860</v>
      </c>
      <c r="B787" s="20" t="str">
        <f>IFERROR(__xludf.DUMMYFUNCTION("GOOGLETRANSLATE(A787, ""fr"", ""en"")"),"Sale cleaning of parking lots on Monday July 24, 2023")</f>
        <v>Sale cleaning of parking lots on Monday July 24, 2023</v>
      </c>
    </row>
    <row r="788">
      <c r="A788" s="19" t="s">
        <v>861</v>
      </c>
      <c r="B788" s="20" t="str">
        <f>IFERROR(__xludf.DUMMYFUNCTION("GOOGLETRANSLATE(A788, ""fr"", ""en"")"),"Sale cleaning of parking lots Wednesday July 19, 2023")</f>
        <v>Sale cleaning of parking lots Wednesday July 19, 2023</v>
      </c>
    </row>
    <row r="789">
      <c r="A789" s="19" t="s">
        <v>862</v>
      </c>
      <c r="B789" s="20" t="str">
        <f>IFERROR(__xludf.DUMMYFUNCTION("GOOGLETRANSLATE(A789, ""fr"", ""en"")"),"AT3 TRIMETRAL CHECK 2806.odm made by AT3.")</f>
        <v>AT3 TRIMETRAL CHECK 2806.odm made by AT3.</v>
      </c>
    </row>
    <row r="790">
      <c r="A790" s="19" t="s">
        <v>863</v>
      </c>
      <c r="B790" s="20" t="str">
        <f>IFERROR(__xludf.DUMMYFUNCTION("GOOGLETRANSLATE(A790, ""fr"", ""en"")"),"Sale cleaning parking lots of Wednesday August 16, 2023")</f>
        <v>Sale cleaning parking lots of Wednesday August 16, 2023</v>
      </c>
    </row>
    <row r="791">
      <c r="A791" s="19" t="s">
        <v>864</v>
      </c>
      <c r="B791" s="20" t="str">
        <f>IFERROR(__xludf.DUMMYFUNCTION("GOOGLETRANSLATE(A791, ""fr"", ""en"")"),"Sale cleaning of parking lots on Monday July 17, 2023")</f>
        <v>Sale cleaning of parking lots on Monday July 17, 2023</v>
      </c>
    </row>
    <row r="792">
      <c r="A792" s="19" t="s">
        <v>865</v>
      </c>
      <c r="B792" s="20" t="str">
        <f>IFERROR(__xludf.DUMMYFUNCTION("GOOGLETRANSLATE(A792, ""fr"", ""en"")"),"Sale cleaning of the parking lot Friday July 21, 2023")</f>
        <v>Sale cleaning of the parking lot Friday July 21, 2023</v>
      </c>
    </row>
    <row r="793">
      <c r="A793" s="19" t="s">
        <v>866</v>
      </c>
      <c r="B793" s="20" t="str">
        <f>IFERROR(__xludf.DUMMYFUNCTION("GOOGLETRANSLATE(A793, ""fr"", ""en"")"),"Sale cleaning parking lots on Friday August 18, 2023")</f>
        <v>Sale cleaning parking lots on Friday August 18, 2023</v>
      </c>
    </row>
    <row r="794">
      <c r="A794" s="19" t="s">
        <v>867</v>
      </c>
      <c r="B794" s="20" t="str">
        <f>IFERROR(__xludf.DUMMYFUNCTION("GOOGLETRANSLATE(A794, ""fr"", ""en"")"),"Sale cleaning of parking lots Wednesday July 12, 2023")</f>
        <v>Sale cleaning of parking lots Wednesday July 12, 2023</v>
      </c>
    </row>
    <row r="795">
      <c r="A795" s="19" t="s">
        <v>868</v>
      </c>
      <c r="B795" s="20" t="str">
        <f>IFERROR(__xludf.DUMMYFUNCTION("GOOGLETRANSLATE(A795, ""fr"", ""en"")"),"Sale cleaning parking lots on Monday May 16, 2022")</f>
        <v>Sale cleaning parking lots on Monday May 16, 2022</v>
      </c>
    </row>
    <row r="796">
      <c r="A796" s="19" t="s">
        <v>869</v>
      </c>
      <c r="B796" s="20" t="str">
        <f>IFERROR(__xludf.DUMMYFUNCTION("GOOGLETRANSLATE(A796, ""fr"", ""en"")"),"Sale cleaning parking lots on Monday April 4, 2022")</f>
        <v>Sale cleaning parking lots on Monday April 4, 2022</v>
      </c>
    </row>
    <row r="797">
      <c r="A797" s="19" t="s">
        <v>870</v>
      </c>
      <c r="B797" s="20" t="str">
        <f>IFERROR(__xludf.DUMMYFUNCTION("GOOGLETRANSLATE(A797, ""fr"", ""en"")"),"Sale cleaning parking lots of Wednesday May 18, 2022")</f>
        <v>Sale cleaning parking lots of Wednesday May 18, 2022</v>
      </c>
    </row>
    <row r="798">
      <c r="A798" s="19" t="s">
        <v>871</v>
      </c>
      <c r="B798" s="20" t="str">
        <f>IFERROR(__xludf.DUMMYFUNCTION("GOOGLETRANSLATE(A798, ""fr"", ""en"")"),"Return NF 23
 6 Europes + 2 Dussel package together")</f>
        <v>Return NF 23
 6 Europes + 2 Dussel package together</v>
      </c>
    </row>
    <row r="799">
      <c r="A799" s="19" t="s">
        <v>872</v>
      </c>
      <c r="B799" s="20" t="str">
        <f>IFERROR(__xludf.DUMMYFUNCTION("GOOGLETRANSLATE(A799, ""fr"", ""en"")"),"Sale cleaning of parking lots on Friday, May 6, 2022")</f>
        <v>Sale cleaning of parking lots on Friday, May 6, 2022</v>
      </c>
    </row>
    <row r="800">
      <c r="A800" s="19" t="s">
        <v>873</v>
      </c>
      <c r="B800" s="20" t="str">
        <f>IFERROR(__xludf.DUMMYFUNCTION("GOOGLETRANSLATE(A800, ""fr"", ""en"")"),"Sale cleaning parking lots of Wednesday April 20, 2022")</f>
        <v>Sale cleaning parking lots of Wednesday April 20, 2022</v>
      </c>
    </row>
    <row r="801">
      <c r="A801" s="19" t="s">
        <v>874</v>
      </c>
      <c r="B801" s="20" t="str">
        <f>IFERROR(__xludf.DUMMYFUNCTION("GOOGLETRANSLATE(A801, ""fr"", ""en"")"),"Sale cleaning parking lots on Monday, May 23, 2022")</f>
        <v>Sale cleaning parking lots on Monday, May 23, 2022</v>
      </c>
    </row>
    <row r="802">
      <c r="A802" s="19" t="s">
        <v>875</v>
      </c>
      <c r="B802" s="20" t="str">
        <f>IFERROR(__xludf.DUMMYFUNCTION("GOOGLETRANSLATE(A802, ""fr"", ""en"")"),"Sale cleaning parking lots on Monday May 2, 2022")</f>
        <v>Sale cleaning parking lots on Monday May 2, 2022</v>
      </c>
    </row>
    <row r="803">
      <c r="A803" s="19" t="s">
        <v>876</v>
      </c>
      <c r="B803" s="20" t="str">
        <f>IFERROR(__xludf.DUMMYFUNCTION("GOOGLETRANSLATE(A803, ""fr"", ""en"")"),"Sale cleaning parking lots on Wednesday April 13, 2022")</f>
        <v>Sale cleaning parking lots on Wednesday April 13, 2022</v>
      </c>
    </row>
    <row r="804">
      <c r="A804" s="19" t="s">
        <v>877</v>
      </c>
      <c r="B804" s="20" t="str">
        <f>IFERROR(__xludf.DUMMYFUNCTION("GOOGLETRANSLATE(A804, ""fr"", ""en"")"),"Sale cleaning parking lots on Monday May 9, 2022")</f>
        <v>Sale cleaning parking lots on Monday May 9, 2022</v>
      </c>
    </row>
    <row r="805">
      <c r="A805" s="19" t="s">
        <v>878</v>
      </c>
      <c r="B805" s="20" t="str">
        <f>IFERROR(__xludf.DUMMYFUNCTION("GOOGLETRANSLATE(A805, ""fr"", ""en"")"),"Sale cleaning of parking lots on Friday May 20, 2022")</f>
        <v>Sale cleaning of parking lots on Friday May 20, 2022</v>
      </c>
    </row>
    <row r="806">
      <c r="A806" s="19" t="s">
        <v>879</v>
      </c>
      <c r="B806" s="20" t="str">
        <f>IFERROR(__xludf.DUMMYFUNCTION("GOOGLETRANSLATE(A806, ""fr"", ""en"")"),"Sale cleaning of parking lots on Monday April 25, 2022")</f>
        <v>Sale cleaning of parking lots on Monday April 25, 2022</v>
      </c>
    </row>
    <row r="807">
      <c r="A807" s="19" t="s">
        <v>880</v>
      </c>
      <c r="B807" s="20" t="str">
        <f>IFERROR(__xludf.DUMMYFUNCTION("GOOGLETRANSLATE(A807, ""fr"", ""en"")"),"Sale cleaning parking lots on Friday April 1, 2022")</f>
        <v>Sale cleaning parking lots on Friday April 1, 2022</v>
      </c>
    </row>
    <row r="808">
      <c r="A808" s="19" t="s">
        <v>881</v>
      </c>
      <c r="B808" s="20" t="str">
        <f>IFERROR(__xludf.DUMMYFUNCTION("GOOGLETRANSLATE(A808, ""fr"", ""en"")"),"Sale cleaning parking lots on Wednesday April 6, 2022")</f>
        <v>Sale cleaning parking lots on Wednesday April 6, 2022</v>
      </c>
    </row>
    <row r="809">
      <c r="A809" s="19" t="s">
        <v>882</v>
      </c>
      <c r="B809" s="20" t="str">
        <f>IFERROR(__xludf.DUMMYFUNCTION("GOOGLETRANSLATE(A809, ""fr"", ""en"")"),"Sale cleaning parking lots of Wednesday, May 4, 2022")</f>
        <v>Sale cleaning parking lots of Wednesday, May 4, 2022</v>
      </c>
    </row>
    <row r="810">
      <c r="A810" s="19" t="s">
        <v>883</v>
      </c>
      <c r="B810" s="20" t="str">
        <f>IFERROR(__xludf.DUMMYFUNCTION("GOOGLETRANSLATE(A810, ""fr"", ""en"")"),"Sale cleaning parking lots of Wednesday, May 11, 2022")</f>
        <v>Sale cleaning parking lots of Wednesday, May 11, 2022</v>
      </c>
    </row>
    <row r="811">
      <c r="A811" s="19" t="s">
        <v>884</v>
      </c>
      <c r="B811" s="20" t="str">
        <f>IFERROR(__xludf.DUMMYFUNCTION("GOOGLETRANSLATE(A811, ""fr"", ""en"")"),"Sale before Friday June 3, 2022
 For :
 - In the CF- de la V2, put 5 axes on the left and 5 axes on the right (see plan)
 - Put two shelves by axes in 60 cm
 For information :
 - It takes 4 axes in all with the existing
 - Put the axes towards the"&amp;" bottom of the CF -
 - Take all the material at the Consomag cell,
 - No podiums to set up
 - Double spacers to set up
 - The SPM is informed
 - No melamine to set up
 - Put strips of banks in place")</f>
        <v>Sale before Friday June 3, 2022
 For :
 - In the CF- de la V2, put 5 axes on the left and 5 axes on the right (see plan)
 - Put two shelves by axes in 60 cm
 For information :
 - It takes 4 axes in all with the existing
 - Put the axes towards the bottom of the CF -
 - Take all the material at the Consomag cell,
 - No podiums to set up
 - Double spacers to set up
 - The SPM is informed
 - No melamine to set up
 - Put strips of banks in place</v>
      </c>
    </row>
    <row r="812">
      <c r="A812" s="19" t="s">
        <v>885</v>
      </c>
      <c r="B812" s="20" t="str">
        <f>IFERROR(__xludf.DUMMYFUNCTION("GOOGLETRANSLATE(A812, ""fr"", ""en"")"),"Sale cleaning parking lots on Monday May 30, 2022")</f>
        <v>Sale cleaning parking lots on Monday May 30, 2022</v>
      </c>
    </row>
    <row r="813">
      <c r="A813" s="19" t="s">
        <v>886</v>
      </c>
      <c r="B813" s="20" t="str">
        <f>IFERROR(__xludf.DUMMYFUNCTION("GOOGLETRANSLATE(A813, ""fr"", ""en"")"),"Sale cleaning of parking lots Wednesday, April 27, 2022")</f>
        <v>Sale cleaning of parking lots Wednesday, April 27, 2022</v>
      </c>
    </row>
    <row r="814">
      <c r="A814" s="19" t="s">
        <v>887</v>
      </c>
      <c r="B814" s="20" t="str">
        <f>IFERROR(__xludf.DUMMYFUNCTION("GOOGLETRANSLATE(A814, ""fr"", ""en"")"),"Sale cleaning of parking lots on Friday April 29, 2022")</f>
        <v>Sale cleaning of parking lots on Friday April 29, 2022</v>
      </c>
    </row>
    <row r="815">
      <c r="A815" s="19" t="s">
        <v>888</v>
      </c>
      <c r="B815" s="20" t="str">
        <f>IFERROR(__xludf.DUMMYFUNCTION("GOOGLETRANSLATE(A815, ""fr"", ""en"")"),"Sale cleaning of parking lots on Friday April 22, 2022")</f>
        <v>Sale cleaning of parking lots on Friday April 22, 2022</v>
      </c>
    </row>
    <row r="816">
      <c r="A816" s="19" t="s">
        <v>889</v>
      </c>
      <c r="B816" s="20" t="str">
        <f>IFERROR(__xludf.DUMMYFUNCTION("GOOGLETRANSLATE(A816, ""fr"", ""en"")"),"Sale cleaning parking lots on Friday May 27, 2022")</f>
        <v>Sale cleaning parking lots on Friday May 27, 2022</v>
      </c>
    </row>
    <row r="817">
      <c r="A817" s="19" t="s">
        <v>890</v>
      </c>
      <c r="B817" s="20" t="str">
        <f>IFERROR(__xludf.DUMMYFUNCTION("GOOGLETRANSLATE(A817, ""fr"", ""en"")"),"Sale cleaning parking lots on Friday May 13, 2022")</f>
        <v>Sale cleaning parking lots on Friday May 13, 2022</v>
      </c>
    </row>
    <row r="818">
      <c r="A818" s="19" t="s">
        <v>891</v>
      </c>
      <c r="B818" s="20" t="str">
        <f>IFERROR(__xludf.DUMMYFUNCTION("GOOGLETRANSLATE(A818, ""fr"", ""en"")"),"Sale cleaning parking lots on Friday April 8, 2022")</f>
        <v>Sale cleaning parking lots on Friday April 8, 2022</v>
      </c>
    </row>
    <row r="819">
      <c r="A819" s="19" t="s">
        <v>892</v>
      </c>
      <c r="B819" s="20" t="str">
        <f>IFERROR(__xludf.DUMMYFUNCTION("GOOGLETRANSLATE(A819, ""fr"", ""en"")"),"Sale cleaning parking lots of Wednesday May 25, 2022")</f>
        <v>Sale cleaning parking lots of Wednesday May 25, 2022</v>
      </c>
    </row>
    <row r="820">
      <c r="A820" s="19" t="s">
        <v>893</v>
      </c>
      <c r="B820" s="20" t="str">
        <f>IFERROR(__xludf.DUMMYFUNCTION("GOOGLETRANSLATE(A820, ""fr"", ""en"")"),"Back NFU week 22")</f>
        <v>Back NFU week 22</v>
      </c>
    </row>
    <row r="821">
      <c r="A821" s="19" t="s">
        <v>894</v>
      </c>
      <c r="B821" s="20" t="str">
        <f>IFERROR(__xludf.DUMMYFUNCTION("GOOGLETRANSLATE(A821, ""fr"", ""en"")"),"At3 checklist 2806")</f>
        <v>At3 checklist 2806</v>
      </c>
    </row>
    <row r="822">
      <c r="A822" s="19" t="s">
        <v>895</v>
      </c>
      <c r="B822" s="20" t="str">
        <f>IFERROR(__xludf.DUMMYFUNCTION("GOOGLETRANSLATE(A822, ""fr"", ""en"")"),"SPM sale with DS Smith panels, to be released S17
 For :
 - Recover the new BBQ panels, for DS Smith
 - Remove and destroy the DS Smith panel (Caddies rack) that in place.
 - Put the new panel in place BBQ fan side
 For information :
 - panels ava"&amp;"ilable to the Consomag cell")</f>
        <v>SPM sale with DS Smith panels, to be released S17
 For :
 - Recover the new BBQ panels, for DS Smith
 - Remove and destroy the DS Smith panel (Caddies rack) that in place.
 - Put the new panel in place BBQ fan side
 For information :
 - panels available to the Consomag cell</v>
      </c>
    </row>
    <row r="823">
      <c r="A823" s="19" t="s">
        <v>896</v>
      </c>
      <c r="B823" s="20" t="str">
        <f>IFERROR(__xludf.DUMMYFUNCTION("GOOGLETRANSLATE(A823, ""fr"", ""en"")"),"AT3 quarterly checklist 2806")</f>
        <v>AT3 quarterly checklist 2806</v>
      </c>
    </row>
    <row r="824">
      <c r="A824" s="19" t="s">
        <v>897</v>
      </c>
      <c r="B824" s="20" t="str">
        <f>IFERROR(__xludf.DUMMYFUNCTION("GOOGLETRANSLATE(A824, ""fr"", ""en"")"),"Sale - Cleaning of car parks on Friday September 30, 2022")</f>
        <v>Sale - Cleaning of car parks on Friday September 30, 2022</v>
      </c>
    </row>
    <row r="825">
      <c r="A825" s="19" t="s">
        <v>560</v>
      </c>
      <c r="B825" s="20" t="str">
        <f>IFERROR(__xludf.DUMMYFUNCTION("GOOGLETRANSLATE(A825, ""fr"", ""en"")"),"AT3 CHECK LIST quarterly 2806")</f>
        <v>AT3 CHECK LIST quarterly 2806</v>
      </c>
    </row>
    <row r="826">
      <c r="A826" s="19" t="s">
        <v>898</v>
      </c>
      <c r="B826" s="20" t="str">
        <f>IFERROR(__xludf.DUMMYFUNCTION("GOOGLETRANSLATE(A826, ""fr"", ""en"")"),"Sale cleaning of parking lots on Wednesday October 7, 2022")</f>
        <v>Sale cleaning of parking lots on Wednesday October 7, 2022</v>
      </c>
    </row>
    <row r="827">
      <c r="A827" s="19" t="s">
        <v>899</v>
      </c>
      <c r="B827" s="20" t="str">
        <f>IFERROR(__xludf.DUMMYFUNCTION("GOOGLETRANSLATE(A827, ""fr"", ""en"")"),"Sale cleaning of parking lots Wednesday, November 2, 2022")</f>
        <v>Sale cleaning of parking lots Wednesday, November 2, 2022</v>
      </c>
    </row>
    <row r="828">
      <c r="A828" s="19" t="s">
        <v>900</v>
      </c>
      <c r="B828" s="20" t="str">
        <f>IFERROR(__xludf.DUMMYFUNCTION("GOOGLETRANSLATE(A828, ""fr"", ""en"")"),"Sale cleaning parking lots of Wednesday August 31, 2022")</f>
        <v>Sale cleaning parking lots of Wednesday August 31, 2022</v>
      </c>
    </row>
    <row r="829">
      <c r="A829" s="19" t="s">
        <v>901</v>
      </c>
      <c r="B829" s="20" t="str">
        <f>IFERROR(__xludf.DUMMYFUNCTION("GOOGLETRANSLATE(A829, ""fr"", ""en"")"),"Sale cleaning of parking lots on Friday September 2, 2022")</f>
        <v>Sale cleaning of parking lots on Friday September 2, 2022</v>
      </c>
    </row>
    <row r="830">
      <c r="A830" s="19" t="s">
        <v>902</v>
      </c>
      <c r="B830" s="20" t="str">
        <f>IFERROR(__xludf.DUMMYFUNCTION("GOOGLETRANSLATE(A830, ""fr"", ""en"")"),"Sale cleaning of parking lots on Friday March 25, 2022")</f>
        <v>Sale cleaning of parking lots on Friday March 25, 2022</v>
      </c>
    </row>
    <row r="831">
      <c r="A831" s="19" t="s">
        <v>903</v>
      </c>
      <c r="B831" s="20" t="str">
        <f>IFERROR(__xludf.DUMMYFUNCTION("GOOGLETRANSLATE(A831, ""fr"", ""en"")"),"Sale cleaning parking lots of Wednesday March 23, 2022")</f>
        <v>Sale cleaning parking lots of Wednesday March 23, 2022</v>
      </c>
    </row>
    <row r="832">
      <c r="A832" s="19" t="s">
        <v>904</v>
      </c>
      <c r="B832" s="20" t="str">
        <f>IFERROR(__xludf.DUMMYFUNCTION("GOOGLETRANSLATE(A832, ""fr"", ""en"")"),"Sale cleaning parking lots on Monday March 28, 2022")</f>
        <v>Sale cleaning parking lots on Monday March 28, 2022</v>
      </c>
    </row>
    <row r="833">
      <c r="A833" s="19" t="s">
        <v>905</v>
      </c>
      <c r="B833" s="20" t="str">
        <f>IFERROR(__xludf.DUMMYFUNCTION("GOOGLETRANSLATE(A833, ""fr"", ""en"")"),"Sale cleaning parking lots of Wednesday March 30, 2022")</f>
        <v>Sale cleaning parking lots of Wednesday March 30, 2022</v>
      </c>
    </row>
    <row r="834">
      <c r="A834" s="19" t="s">
        <v>906</v>
      </c>
      <c r="B834" s="20" t="str">
        <f>IFERROR(__xludf.DUMMYFUNCTION("GOOGLETRANSLATE(A834, ""fr"", ""en"")"),"Return NF week 44 of 02/11
 3 Europes + 1 DD")</f>
        <v>Return NF week 44 of 02/11
 3 Europes + 1 DD</v>
      </c>
    </row>
    <row r="835">
      <c r="A835" s="19" t="s">
        <v>907</v>
      </c>
      <c r="B835" s="20" t="str">
        <f>IFERROR(__xludf.DUMMYFUNCTION("GOOGLETRANSLATE(A835, ""fr"", ""en"")"),"Sale - Recover new panels from the Consomag cell
 - Remove the Visual Fair from the wines in place and destroy it
 - Set up the visual ""She is her 2nd life"" (and not Lidl recruits)
 For information :
 - keep me informed of the day of intervention")</f>
        <v>Sale - Recover new panels from the Consomag cell
 - Remove the Visual Fair from the wines in place and destroy it
 - Set up the visual "She is her 2nd life" (and not Lidl recruits)
 For information :
 - keep me informed of the day of intervention</v>
      </c>
    </row>
    <row r="836">
      <c r="A836" s="21"/>
      <c r="B836" s="20" t="str">
        <f>IFERROR(__xludf.DUMMYFUNCTION("GOOGLETRANSLATE(A836, ""fr"", ""en"")"),"#VALUE!")</f>
        <v>#VALUE!</v>
      </c>
    </row>
    <row r="837">
      <c r="A837" s="19" t="s">
        <v>908</v>
      </c>
      <c r="B837" s="20" t="str">
        <f>IFERROR(__xludf.DUMMYFUNCTION("GOOGLETRANSLATE(A837, ""fr"", ""en"")"),"Return Piano Week 16")</f>
        <v>Return Piano Week 16</v>
      </c>
    </row>
    <row r="838">
      <c r="A838" s="19" t="s">
        <v>909</v>
      </c>
      <c r="B838" s="20" t="str">
        <f>IFERROR(__xludf.DUMMYFUNCTION("GOOGLETRANSLATE(A838, ""fr"", ""en"")"),"Back NFU week 16")</f>
        <v>Back NFU week 16</v>
      </c>
    </row>
    <row r="839">
      <c r="A839" s="19" t="s">
        <v>910</v>
      </c>
      <c r="B839" s="20" t="str">
        <f>IFERROR(__xludf.DUMMYFUNCTION("GOOGLETRANSLATE(A839, ""fr"", ""en"")"),"Back NFU week 14")</f>
        <v>Back NFU week 14</v>
      </c>
    </row>
    <row r="840">
      <c r="A840" s="19" t="s">
        <v>911</v>
      </c>
      <c r="B840" s="20" t="str">
        <f>IFERROR(__xludf.DUMMYFUNCTION("GOOGLETRANSLATE(A840, ""fr"", ""en"")"),"Fund tables photos")</f>
        <v>Fund tables photos</v>
      </c>
    </row>
    <row r="841">
      <c r="A841" s="19" t="s">
        <v>912</v>
      </c>
      <c r="B841" s="20" t="str">
        <f>IFERROR(__xludf.DUMMYFUNCTION("GOOGLETRANSLATE(A841, ""fr"", ""en"")"),"Fund tables photos")</f>
        <v>Fund tables photos</v>
      </c>
    </row>
    <row r="842">
      <c r="A842" s="19" t="s">
        <v>913</v>
      </c>
      <c r="B842" s="20" t="str">
        <f>IFERROR(__xludf.DUMMYFUNCTION("GOOGLETRANSLATE(A842, ""fr"", ""en"")"),"Could we have stickers for the floor for the SCO thank you")</f>
        <v>Could we have stickers for the floor for the SCO thank you</v>
      </c>
    </row>
    <row r="843">
      <c r="A843" s="19" t="s">
        <v>914</v>
      </c>
      <c r="B843" s="20" t="str">
        <f>IFERROR(__xludf.DUMMYFUNCTION("GOOGLETRANSLATE(A843, ""fr"", ""en"")"),"Sale cleaning of parking lots on Friday June 24, 2022")</f>
        <v>Sale cleaning of parking lots on Friday June 24, 2022</v>
      </c>
    </row>
    <row r="844">
      <c r="A844" s="19" t="s">
        <v>915</v>
      </c>
      <c r="B844" s="20" t="str">
        <f>IFERROR(__xludf.DUMMYFUNCTION("GOOGLETRANSLATE(A844, ""fr"", ""en"")"),"Sale cleaning of parking lots Wednesday July 6, 2022")</f>
        <v>Sale cleaning of parking lots Wednesday July 6, 2022</v>
      </c>
    </row>
    <row r="845">
      <c r="A845" s="21"/>
      <c r="B845" s="20" t="str">
        <f>IFERROR(__xludf.DUMMYFUNCTION("GOOGLETRANSLATE(A845, ""fr"", ""en"")"),"#VALUE!")</f>
        <v>#VALUE!</v>
      </c>
    </row>
    <row r="846">
      <c r="A846" s="19" t="s">
        <v>916</v>
      </c>
      <c r="B846" s="20" t="str">
        <f>IFERROR(__xludf.DUMMYFUNCTION("GOOGLETRANSLATE(A846, ""fr"", ""en"")"),"Return NF Week 42: 3 Europes + 1 Dussel")</f>
        <v>Return NF Week 42: 3 Europes + 1 Dussel</v>
      </c>
    </row>
    <row r="847">
      <c r="A847" s="19" t="s">
        <v>917</v>
      </c>
      <c r="B847" s="20" t="str">
        <f>IFERROR(__xludf.DUMMYFUNCTION("GOOGLETRANSLATE(A847, ""fr"", ""en"")"),"AT Verif+ Entree Mail FM measurement")</f>
        <v>AT Verif+ Entree Mail FM measurement</v>
      </c>
    </row>
    <row r="848">
      <c r="A848" s="19" t="s">
        <v>918</v>
      </c>
      <c r="B848" s="20" t="str">
        <f>IFERROR(__xludf.DUMMYFUNCTION("GOOGLETRANSLATE(A848, ""fr"", ""en"")"),"Back NFU week 13")</f>
        <v>Back NFU week 13</v>
      </c>
    </row>
    <row r="849">
      <c r="A849" s="19" t="s">
        <v>894</v>
      </c>
      <c r="B849" s="20" t="str">
        <f>IFERROR(__xludf.DUMMYFUNCTION("GOOGLETRANSLATE(A849, ""fr"", ""en"")"),"At3 checklist 2806")</f>
        <v>At3 checklist 2806</v>
      </c>
    </row>
    <row r="850">
      <c r="A850" s="19" t="s">
        <v>894</v>
      </c>
      <c r="B850" s="20" t="str">
        <f>IFERROR(__xludf.DUMMYFUNCTION("GOOGLETRANSLATE(A850, ""fr"", ""en"")"),"At3 checklist 2806")</f>
        <v>At3 checklist 2806</v>
      </c>
    </row>
    <row r="851">
      <c r="A851" s="19" t="s">
        <v>919</v>
      </c>
      <c r="B851" s="20" t="str">
        <f>IFERROR(__xludf.DUMMYFUNCTION("GOOGLETRANSLATE(A851, ""fr"", ""en"")"),"Sale for:
 - move the DD of PDT to the back of the FL
 - Check the wires of LEDs FL (if default, replace)
 - Carry out red marking on the ground in the reserve
 For info: you take the material at the consomag cell")</f>
        <v>Sale for:
 - move the DD of PDT to the back of the FL
 - Check the wires of LEDs FL (if default, replace)
 - Carry out red marking on the ground in the reserve
 For info: you take the material at the consomag cell</v>
      </c>
    </row>
    <row r="852">
      <c r="A852" s="21"/>
      <c r="B852" s="20" t="str">
        <f>IFERROR(__xludf.DUMMYFUNCTION("GOOGLETRANSLATE(A852, ""fr"", ""en"")"),"#VALUE!")</f>
        <v>#VALUE!</v>
      </c>
    </row>
    <row r="853">
      <c r="A853" s="21"/>
      <c r="B853" s="20" t="str">
        <f>IFERROR(__xludf.DUMMYFUNCTION("GOOGLETRANSLATE(A853, ""fr"", ""en"")"),"#VALUE!")</f>
        <v>#VALUE!</v>
      </c>
    </row>
    <row r="854">
      <c r="A854" s="19" t="s">
        <v>920</v>
      </c>
      <c r="B854" s="20" t="str">
        <f>IFERROR(__xludf.DUMMYFUNCTION("GOOGLETRANSLATE(A854, ""fr"", ""en"")"),"Sale cleaning parking lots of Wednesday March 9, 2022")</f>
        <v>Sale cleaning parking lots of Wednesday March 9, 2022</v>
      </c>
    </row>
    <row r="855">
      <c r="A855" s="19" t="s">
        <v>921</v>
      </c>
      <c r="B855" s="20" t="str">
        <f>IFERROR(__xludf.DUMMYFUNCTION("GOOGLETRANSLATE(A855, ""fr"", ""en"")"),"SPM sale with DS Smith panels (urgent)
 For :
 - Remove and destroy the posters in place
 - Put the new posters in place, on the ""favorin"" side only.
 For information :
 - posters available to the consomag cell
 - keep me informed of the impleme"&amp;"ntation dates")</f>
        <v>SPM sale with DS Smith panels (urgent)
 For :
 - Remove and destroy the posters in place
 - Put the new posters in place, on the "favorin" side only.
 For information :
 - posters available to the consomag cell
 - keep me informed of the implementation dates</v>
      </c>
    </row>
    <row r="856">
      <c r="A856" s="19" t="s">
        <v>922</v>
      </c>
      <c r="B856" s="20" t="str">
        <f>IFERROR(__xludf.DUMMYFUNCTION("GOOGLETRANSLATE(A856, ""fr"", ""en"")"),"Sale cleaning parking lots on Friday February 4, 2022")</f>
        <v>Sale cleaning parking lots on Friday February 4, 2022</v>
      </c>
    </row>
    <row r="857">
      <c r="A857" s="19" t="s">
        <v>923</v>
      </c>
      <c r="B857" s="20" t="str">
        <f>IFERROR(__xludf.DUMMYFUNCTION("GOOGLETRANSLATE(A857, ""fr"", ""en"")"),"Sale cleaning parking lots on Monday March 7, 2022")</f>
        <v>Sale cleaning parking lots on Monday March 7, 2022</v>
      </c>
    </row>
    <row r="858">
      <c r="A858" s="19" t="s">
        <v>924</v>
      </c>
      <c r="B858" s="20" t="str">
        <f>IFERROR(__xludf.DUMMYFUNCTION("GOOGLETRANSLATE(A858, ""fr"", ""en"")"),"Sale cleaning parking lots on Friday March 18, 2022")</f>
        <v>Sale cleaning parking lots on Friday March 18, 2022</v>
      </c>
    </row>
    <row r="859">
      <c r="A859" s="19" t="s">
        <v>925</v>
      </c>
      <c r="B859" s="20" t="str">
        <f>IFERROR(__xludf.DUMMYFUNCTION("GOOGLETRANSLATE(A859, ""fr"", ""en"")"),"Sale cleaning parking lots on Friday March 4, 2022")</f>
        <v>Sale cleaning parking lots on Friday March 4, 2022</v>
      </c>
    </row>
    <row r="860">
      <c r="A860" s="19" t="s">
        <v>926</v>
      </c>
      <c r="B860" s="20" t="str">
        <f>IFERROR(__xludf.DUMMYFUNCTION("GOOGLETRANSLATE(A860, ""fr"", ""en"")"),"Sale cleaning parking lots of Wednesday March 16, 2022")</f>
        <v>Sale cleaning parking lots of Wednesday March 16, 2022</v>
      </c>
    </row>
    <row r="861">
      <c r="A861" s="19" t="s">
        <v>927</v>
      </c>
      <c r="B861" s="20" t="str">
        <f>IFERROR(__xludf.DUMMYFUNCTION("GOOGLETRANSLATE(A861, ""fr"", ""en"")"),"Sale on Thursday or Friday of the week indicated, (CFs are replaced on Monday, Tuesday and Wednesday)
 For :
 - Implementation of VVP and fresh, vertical panels on the doors. "" costs ""
 - Implementation of VVP and vertical freshly ""fresh"" panels
 -"&amp;" Installation of vertical fl.
 - Installation of vertical panels inside ""fl""
 - Paste the ""Removing sale"" panel in the CF ""Fresh"" (if this panel is not present in another place)
 - Paste a CF panel on one of the two doors (visual below)
 For info"&amp;"rmation :
 - You collect the panels with the consomag cell
 - You collect the adhesives from the Consomag cell")</f>
        <v>Sale on Thursday or Friday of the week indicated, (CFs are replaced on Monday, Tuesday and Wednesday)
 For :
 - Implementation of VVP and fresh, vertical panels on the doors. " costs "
 - Implementation of VVP and vertical freshly "fresh" panels
 - Installation of vertical fl.
 - Installation of vertical panels inside "fl"
 - Paste the "Removing sale" panel in the CF "Fresh" (if this panel is not present in another place)
 - Paste a CF panel on one of the two doors (visual below)
 For information :
 - You collect the panels with the consomag cell
 - You collect the adhesives from the Consomag cell</v>
      </c>
    </row>
    <row r="862">
      <c r="A862" s="19" t="s">
        <v>928</v>
      </c>
      <c r="B862" s="20" t="str">
        <f>IFERROR(__xludf.DUMMYFUNCTION("GOOGLETRANSLATE(A862, ""fr"", ""en"")"),"Sale cleaning parking lots on Monday March 21, 2022")</f>
        <v>Sale cleaning parking lots on Monday March 21, 2022</v>
      </c>
    </row>
    <row r="863">
      <c r="A863" s="19" t="s">
        <v>929</v>
      </c>
      <c r="B863" s="20" t="str">
        <f>IFERROR(__xludf.DUMMYFUNCTION("GOOGLETRANSLATE(A863, ""fr"", ""en"")"),"Sale cleaning of parking lots on Monday March 14, 2022")</f>
        <v>Sale cleaning of parking lots on Monday March 14, 2022</v>
      </c>
    </row>
    <row r="864">
      <c r="A864" s="19" t="s">
        <v>930</v>
      </c>
      <c r="B864" s="20" t="str">
        <f>IFERROR(__xludf.DUMMYFUNCTION("GOOGLETRANSLATE(A864, ""fr"", ""en"")"),"Sale cleaning of parking lots on Wednesday April 12, 2023")</f>
        <v>Sale cleaning of parking lots on Wednesday April 12, 2023</v>
      </c>
    </row>
    <row r="865">
      <c r="A865" s="19" t="s">
        <v>931</v>
      </c>
      <c r="B865" s="20" t="str">
        <f>IFERROR(__xludf.DUMMYFUNCTION("GOOGLETRANSLATE(A865, ""fr"", ""en"")"),"Sale cleaning of parking lots on Friday March 11, 2022")</f>
        <v>Sale cleaning of parking lots on Friday March 11, 2022</v>
      </c>
    </row>
    <row r="866">
      <c r="A866" s="19" t="s">
        <v>932</v>
      </c>
      <c r="B866" s="20" t="str">
        <f>IFERROR(__xludf.DUMMYFUNCTION("GOOGLETRANSLATE(A866, ""fr"", ""en"")"),"Sale cleaning parking lots of Wednesday March 2, 2022")</f>
        <v>Sale cleaning parking lots of Wednesday March 2, 2022</v>
      </c>
    </row>
    <row r="867">
      <c r="A867" s="19" t="s">
        <v>933</v>
      </c>
      <c r="B867" s="20" t="str">
        <f>IFERROR(__xludf.DUMMYFUNCTION("GOOGLETRANSLATE(A867, ""fr"", ""en"")"),"MCM 2022 tour sale")</f>
        <v>MCM 2022 tour sale</v>
      </c>
    </row>
    <row r="868">
      <c r="A868" s="19" t="s">
        <v>934</v>
      </c>
      <c r="B868" s="20" t="str">
        <f>IFERROR(__xludf.DUMMYFUNCTION("GOOGLETRANSLATE(A868, ""fr"", ""en"")"),"Sale cleaning parking lots on Friday February 11, 2022")</f>
        <v>Sale cleaning parking lots on Friday February 11, 2022</v>
      </c>
    </row>
    <row r="869">
      <c r="A869" s="19" t="s">
        <v>935</v>
      </c>
      <c r="B869" s="20" t="str">
        <f>IFERROR(__xludf.DUMMYFUNCTION("GOOGLETRANSLATE(A869, ""fr"", ""en"")"),"MAJ SALE CONCEPT CO")</f>
        <v>MAJ SALE CONCEPT CO</v>
      </c>
    </row>
    <row r="870">
      <c r="A870" s="19" t="s">
        <v>936</v>
      </c>
      <c r="B870" s="20" t="str">
        <f>IFERROR(__xludf.DUMMYFUNCTION("GOOGLETRANSLATE(A870, ""fr"", ""en"")"),"Sale cleaning of parking lots on Monday, February 14, 2022")</f>
        <v>Sale cleaning of parking lots on Monday, February 14, 2022</v>
      </c>
    </row>
    <row r="871">
      <c r="A871" s="19" t="s">
        <v>937</v>
      </c>
      <c r="B871" s="20" t="str">
        <f>IFERROR(__xludf.DUMMYFUNCTION("GOOGLETRANSLATE(A871, ""fr"", ""en"")"),"Sale cleaning of parking lots Wednesday, February 16, 2022")</f>
        <v>Sale cleaning of parking lots Wednesday, February 16, 2022</v>
      </c>
    </row>
    <row r="872">
      <c r="A872" s="19" t="s">
        <v>938</v>
      </c>
      <c r="B872" s="20" t="str">
        <f>IFERROR(__xludf.DUMMYFUNCTION("GOOGLETRANSLATE(A872, ""fr"", ""en"")"),"Sale cleaning of parking lots Wednesday, February 23, 2022")</f>
        <v>Sale cleaning of parking lots Wednesday, February 23, 2022</v>
      </c>
    </row>
    <row r="873">
      <c r="A873" s="19" t="s">
        <v>939</v>
      </c>
      <c r="B873" s="20" t="str">
        <f>IFERROR(__xludf.DUMMYFUNCTION("GOOGLETRANSLATE(A873, ""fr"", ""en"")"),"Sale cleaning of car parks on Friday February 18. Attention visit planned on the SPM 234, 2820, 3862 and 4046, prioritize these 4 SPMs, please present to you on the first at 6 a.m., the SPM 234 will have to be done after the other 3.")</f>
        <v>Sale cleaning of car parks on Friday February 18. Attention visit planned on the SPM 234, 2820, 3862 and 4046, prioritize these 4 SPMs, please present to you on the first at 6 a.m., the SPM 234 will have to be done after the other 3.</v>
      </c>
    </row>
    <row r="874">
      <c r="A874" s="19" t="s">
        <v>940</v>
      </c>
      <c r="B874" s="20" t="str">
        <f>IFERROR(__xludf.DUMMYFUNCTION("GOOGLETRANSLATE(A874, ""fr"", ""en"")"),"Sale cleaning parking lots on Friday February 25, 2022")</f>
        <v>Sale cleaning parking lots on Friday February 25, 2022</v>
      </c>
    </row>
    <row r="875">
      <c r="A875" s="19" t="s">
        <v>941</v>
      </c>
      <c r="B875" s="20" t="str">
        <f>IFERROR(__xludf.DUMMYFUNCTION("GOOGLETRANSLATE(A875, ""fr"", ""en"")"),"Sale cleaning of parking lots on Monday, February 21, 2022")</f>
        <v>Sale cleaning of parking lots on Monday, February 21, 2022</v>
      </c>
    </row>
    <row r="876">
      <c r="A876" s="19" t="s">
        <v>942</v>
      </c>
      <c r="B876" s="20" t="str">
        <f>IFERROR(__xludf.DUMMYFUNCTION("GOOGLETRANSLATE(A876, ""fr"", ""en"")"),"Sale cleaning of parking lots on Wednesday, February 9, 2022")</f>
        <v>Sale cleaning of parking lots on Wednesday, February 9, 2022</v>
      </c>
    </row>
    <row r="877">
      <c r="A877" s="19" t="s">
        <v>943</v>
      </c>
      <c r="B877" s="20" t="str">
        <f>IFERROR(__xludf.DUMMYFUNCTION("GOOGLETRANSLATE(A877, ""fr"", ""en"")"),"Sale cleaning of parking lots on Monday, February 28, 2022")</f>
        <v>Sale cleaning of parking lots on Monday, February 28, 2022</v>
      </c>
    </row>
    <row r="878">
      <c r="A878" s="19" t="s">
        <v>944</v>
      </c>
      <c r="B878" s="20" t="str">
        <f>IFERROR(__xludf.DUMMYFUNCTION("GOOGLETRANSLATE(A878, ""fr"", ""en"")"),"Sale cleaning parking lots of Wednesday September 7, 2022")</f>
        <v>Sale cleaning parking lots of Wednesday September 7, 2022</v>
      </c>
    </row>
    <row r="879">
      <c r="A879" s="19" t="s">
        <v>945</v>
      </c>
      <c r="B879" s="20" t="str">
        <f>IFERROR(__xludf.DUMMYFUNCTION("GOOGLETRANSLATE(A879, ""fr"", ""en"")"),"Sale cleaning of parking lots on Monday September 19, 2022")</f>
        <v>Sale cleaning of parking lots on Monday September 19, 2022</v>
      </c>
    </row>
    <row r="880">
      <c r="A880" s="19" t="s">
        <v>946</v>
      </c>
      <c r="B880" s="20" t="str">
        <f>IFERROR(__xludf.DUMMYFUNCTION("GOOGLETRANSLATE(A880, ""fr"", ""en"")"),"Sale cleaning parking lots of Wednesday March 29, 2023")</f>
        <v>Sale cleaning parking lots of Wednesday March 29, 2023</v>
      </c>
    </row>
    <row r="881">
      <c r="A881" s="19" t="s">
        <v>947</v>
      </c>
      <c r="B881" s="20" t="str">
        <f>IFERROR(__xludf.DUMMYFUNCTION("GOOGLETRANSLATE(A881, ""fr"", ""en"")"),"NF return")</f>
        <v>NF return</v>
      </c>
    </row>
    <row r="882">
      <c r="A882" s="19" t="s">
        <v>948</v>
      </c>
      <c r="B882" s="20" t="str">
        <f>IFERROR(__xludf.DUMMYFUNCTION("GOOGLETRANSLATE(A882, ""fr"", ""en"")"),"Return NF 1 Europe + 1 Dussel")</f>
        <v>Return NF 1 Europe + 1 Dussel</v>
      </c>
    </row>
    <row r="883">
      <c r="A883" s="19" t="s">
        <v>949</v>
      </c>
      <c r="B883" s="20" t="str">
        <f>IFERROR(__xludf.DUMMYFUNCTION("GOOGLETRANSLATE(A883, ""fr"", ""en"")"),"NF return
 1 Europe palette and half")</f>
        <v>NF return
 1 Europe palette and half</v>
      </c>
    </row>
    <row r="884">
      <c r="A884" s="19" t="s">
        <v>950</v>
      </c>
      <c r="B884" s="20" t="str">
        <f>IFERROR(__xludf.DUMMYFUNCTION("GOOGLETRANSLATE(A884, ""fr"", ""en"")"),"SPM sale with DS Smith panels (Caddie Rack), S35 midfielder,
 For :
 - Remove and destroy the visual in place
 - Set up the new visual (wine fair)
 For info: visual wine fair available at the consomag cell")</f>
        <v>SPM sale with DS Smith panels (Caddie Rack), S35 midfielder,
 For :
 - Remove and destroy the visual in place
 - Set up the new visual (wine fair)
 For info: visual wine fair available at the consomag cell</v>
      </c>
    </row>
    <row r="885">
      <c r="A885" s="19" t="s">
        <v>951</v>
      </c>
      <c r="B885" s="20" t="str">
        <f>IFERROR(__xludf.DUMMYFUNCTION("GOOGLETRANSLATE(A885, ""fr"", ""en"")"),"Sale cleaning of parking lots on Monday August 29, 2022")</f>
        <v>Sale cleaning of parking lots on Monday August 29, 2022</v>
      </c>
    </row>
    <row r="886">
      <c r="A886" s="19" t="s">
        <v>952</v>
      </c>
      <c r="B886" s="20" t="str">
        <f>IFERROR(__xludf.DUMMYFUNCTION("GOOGLETRANSLATE(A886, ""fr"", ""en"")"),"Sale cleaning of parking lots on Friday August 26, 2022")</f>
        <v>Sale cleaning of parking lots on Friday August 26, 2022</v>
      </c>
    </row>
    <row r="887">
      <c r="A887" s="19" t="s">
        <v>894</v>
      </c>
      <c r="B887" s="20" t="str">
        <f>IFERROR(__xludf.DUMMYFUNCTION("GOOGLETRANSLATE(A887, ""fr"", ""en"")"),"At3 checklist 2806")</f>
        <v>At3 checklist 2806</v>
      </c>
    </row>
    <row r="888">
      <c r="A888" s="19" t="s">
        <v>896</v>
      </c>
      <c r="B888" s="20" t="str">
        <f>IFERROR(__xludf.DUMMYFUNCTION("GOOGLETRANSLATE(A888, ""fr"", ""en"")"),"AT3 quarterly checklist 2806")</f>
        <v>AT3 quarterly checklist 2806</v>
      </c>
    </row>
    <row r="889">
      <c r="A889" s="19" t="s">
        <v>953</v>
      </c>
      <c r="B889" s="20" t="str">
        <f>IFERROR(__xludf.DUMMYFUNCTION("GOOGLETRANSLATE(A889, ""fr"", ""en"")"),"Sale cleaning of parking lots on Monday, February 7, 2022")</f>
        <v>Sale cleaning of parking lots on Monday, February 7, 2022</v>
      </c>
    </row>
    <row r="890">
      <c r="A890" s="19" t="s">
        <v>954</v>
      </c>
      <c r="B890" s="20" t="str">
        <f>IFERROR(__xludf.DUMMYFUNCTION("GOOGLETRANSLATE(A890, ""fr"", ""en"")"),"Sale cleaning parking lots on Monday January 31, 2022")</f>
        <v>Sale cleaning parking lots on Monday January 31, 2022</v>
      </c>
    </row>
    <row r="891">
      <c r="A891" s="19" t="s">
        <v>955</v>
      </c>
      <c r="B891" s="20" t="str">
        <f>IFERROR(__xludf.DUMMYFUNCTION("GOOGLETRANSLATE(A891, ""fr"", ""en"")"),"Sale cleaning parking lots of Wednesday, January 26, 2022")</f>
        <v>Sale cleaning parking lots of Wednesday, January 26, 2022</v>
      </c>
    </row>
    <row r="892">
      <c r="A892" s="19" t="s">
        <v>956</v>
      </c>
      <c r="B892" s="20" t="str">
        <f>IFERROR(__xludf.DUMMYFUNCTION("GOOGLETRANSLATE(A892, ""fr"", ""en"")"),"Sale cleaning of parking lots on Monday January 10, 2022")</f>
        <v>Sale cleaning of parking lots on Monday January 10, 2022</v>
      </c>
    </row>
    <row r="893">
      <c r="A893" s="19" t="s">
        <v>957</v>
      </c>
      <c r="B893" s="20" t="str">
        <f>IFERROR(__xludf.DUMMYFUNCTION("GOOGLETRANSLATE(A893, ""fr"", ""en"")"),"Sale cleaning of parking lots on Monday, January 24, 2022")</f>
        <v>Sale cleaning of parking lots on Monday, January 24, 2022</v>
      </c>
    </row>
    <row r="894">
      <c r="A894" s="19" t="s">
        <v>958</v>
      </c>
      <c r="B894" s="20" t="str">
        <f>IFERROR(__xludf.DUMMYFUNCTION("GOOGLETRANSLATE(A894, ""fr"", ""en"")"),"Sale cleaning parking lots on Wednesday February 2, 2022")</f>
        <v>Sale cleaning parking lots on Wednesday February 2, 2022</v>
      </c>
    </row>
    <row r="895">
      <c r="A895" s="19" t="s">
        <v>959</v>
      </c>
      <c r="B895" s="20" t="str">
        <f>IFERROR(__xludf.DUMMYFUNCTION("GOOGLETRANSLATE(A895, ""fr"", ""en"")"),"Sale cleaning of parking lots Wednesday January 12, 2022")</f>
        <v>Sale cleaning of parking lots Wednesday January 12, 2022</v>
      </c>
    </row>
    <row r="896">
      <c r="A896" s="19" t="s">
        <v>960</v>
      </c>
      <c r="B896" s="20" t="str">
        <f>IFERROR(__xludf.DUMMYFUNCTION("GOOGLETRANSLATE(A896, ""fr"", ""en"")"),"Sale cleaning parking lots on Monday January 17, 2022")</f>
        <v>Sale cleaning parking lots on Monday January 17, 2022</v>
      </c>
    </row>
    <row r="897">
      <c r="A897" s="19" t="s">
        <v>961</v>
      </c>
      <c r="B897" s="20" t="str">
        <f>IFERROR(__xludf.DUMMYFUNCTION("GOOGLETRANSLATE(A897, ""fr"", ""en"")"),"Back NFU week 6")</f>
        <v>Back NFU week 6</v>
      </c>
    </row>
    <row r="898">
      <c r="A898" s="19" t="s">
        <v>962</v>
      </c>
      <c r="B898" s="20" t="str">
        <f>IFERROR(__xludf.DUMMYFUNCTION("GOOGLETRANSLATE(A898, ""fr"", ""en"")"),"Sale cleaning parking lots on Friday August 12, 2022")</f>
        <v>Sale cleaning parking lots on Friday August 12, 2022</v>
      </c>
    </row>
    <row r="899">
      <c r="A899" s="19" t="s">
        <v>963</v>
      </c>
      <c r="B899" s="20" t="str">
        <f>IFERROR(__xludf.DUMMYFUNCTION("GOOGLETRANSLATE(A899, ""fr"", ""en"")"),"Sale cleaning of the Verdredi parking lots August 19, 2022")</f>
        <v>Sale cleaning of the Verdredi parking lots August 19, 2022</v>
      </c>
    </row>
    <row r="900">
      <c r="A900" s="19" t="s">
        <v>964</v>
      </c>
      <c r="B900" s="20" t="str">
        <f>IFERROR(__xludf.DUMMYFUNCTION("GOOGLETRANSLATE(A900, ""fr"", ""en"")"),"Sale cleaning of parking lots on Monday August 22, 2022")</f>
        <v>Sale cleaning of parking lots on Monday August 22, 2022</v>
      </c>
    </row>
    <row r="901">
      <c r="A901" s="19" t="s">
        <v>965</v>
      </c>
      <c r="B901" s="20" t="str">
        <f>IFERROR(__xludf.DUMMYFUNCTION("GOOGLETRANSLATE(A901, ""fr"", ""en"")"),"Sale cleaning parking lots on Wednesday August 24, 2022")</f>
        <v>Sale cleaning parking lots on Wednesday August 24, 2022</v>
      </c>
    </row>
    <row r="902">
      <c r="A902" s="19" t="s">
        <v>966</v>
      </c>
      <c r="B902" s="20" t="str">
        <f>IFERROR(__xludf.DUMMYFUNCTION("GOOGLETRANSLATE(A902, ""fr"", ""en"")"),"Sale cleaning of parking lots Wednesday, August 10, 2022")</f>
        <v>Sale cleaning of parking lots Wednesday, August 10, 2022</v>
      </c>
    </row>
    <row r="903">
      <c r="A903" s="19" t="s">
        <v>967</v>
      </c>
      <c r="B903" s="20" t="str">
        <f>IFERROR(__xludf.DUMMYFUNCTION("GOOGLETRANSLATE(A903, ""fr"", ""en"")"),"Sale cleaning parking lots of Wednesday August 17, 2022")</f>
        <v>Sale cleaning parking lots of Wednesday August 17, 2022</v>
      </c>
    </row>
    <row r="904">
      <c r="A904" s="19" t="s">
        <v>968</v>
      </c>
      <c r="B904" s="20" t="str">
        <f>IFERROR(__xludf.DUMMYFUNCTION("GOOGLETRANSLATE(A904, ""fr"", ""en"")"),"Tournate sale
 For :
 - Make SPM turned before 19/08.
 For information :
 - Take all the material at the Consomag cell from 07/22
 - The equipment necessary for frozen as well as fresh adhesives will be delivered later. An email will be sent to you "&amp;"from the moment it is available at Conomag.
 - The list of SPMs and points to be performed are in PJ")</f>
        <v>Tournate sale
 For :
 - Make SPM turned before 19/08.
 For information :
 - Take all the material at the Consomag cell from 07/22
 - The equipment necessary for frozen as well as fresh adhesives will be delivered later. An email will be sent to you from the moment it is available at Conomag.
 - The list of SPMs and points to be performed are in PJ</v>
      </c>
    </row>
    <row r="905">
      <c r="A905" s="21"/>
      <c r="B905" s="20" t="str">
        <f>IFERROR(__xludf.DUMMYFUNCTION("GOOGLETRANSLATE(A905, ""fr"", ""en"")"),"#VALUE!")</f>
        <v>#VALUE!</v>
      </c>
    </row>
    <row r="906">
      <c r="A906" s="19" t="s">
        <v>969</v>
      </c>
      <c r="B906" s="20" t="str">
        <f>IFERROR(__xludf.DUMMYFUNCTION("GOOGLETRANSLATE(A906, ""fr"", ""en"")"),"Sale cleaning parking lots on Friday January 7, 2022")</f>
        <v>Sale cleaning parking lots on Friday January 7, 2022</v>
      </c>
    </row>
    <row r="907">
      <c r="A907" s="19" t="s">
        <v>970</v>
      </c>
      <c r="B907" s="20" t="str">
        <f>IFERROR(__xludf.DUMMYFUNCTION("GOOGLETRANSLATE(A907, ""fr"", ""en"")"),"Sale cleaning of parking lots of Wednesday January 19, 2022")</f>
        <v>Sale cleaning of parking lots of Wednesday January 19, 2022</v>
      </c>
    </row>
    <row r="908">
      <c r="A908" s="19" t="s">
        <v>971</v>
      </c>
      <c r="B908" s="20" t="str">
        <f>IFERROR(__xludf.DUMMYFUNCTION("GOOGLETRANSLATE(A908, ""fr"", ""en"")"),"Sale cleaning of parking lots Wednesday, January 5, 2022")</f>
        <v>Sale cleaning of parking lots Wednesday, January 5, 2022</v>
      </c>
    </row>
    <row r="909">
      <c r="A909" s="19" t="s">
        <v>972</v>
      </c>
      <c r="B909" s="20" t="str">
        <f>IFERROR(__xludf.DUMMYFUNCTION("GOOGLETRANSLATE(A909, ""fr"", ""en"")"),"SPM sale with DS Smith, to be done before Thursday, February 03, 2022,
 For :
 • Remove and throw the Lidl Plus visual
 • Put the new visual (Lidl supports producers)
 For information :
 • panels available to the Consomag cell
 • Be careful no"&amp;"t to display ""Lidl recruits""")</f>
        <v>SPM sale with DS Smith, to be done before Thursday, February 03, 2022,
 For :
 • Remove and throw the Lidl Plus visual
 • Put the new visual (Lidl supports producers)
 For information :
 • panels available to the Consomag cell
 • Be careful not to display "Lidl recruits"</v>
      </c>
    </row>
    <row r="910">
      <c r="A910" s="19" t="s">
        <v>973</v>
      </c>
      <c r="B910" s="20" t="str">
        <f>IFERROR(__xludf.DUMMYFUNCTION("GOOGLETRANSLATE(A910, ""fr"", ""en"")"),"Sale cleaning parking lots on Friday January 21, 2022")</f>
        <v>Sale cleaning parking lots on Friday January 21, 2022</v>
      </c>
    </row>
    <row r="911">
      <c r="A911" s="19" t="s">
        <v>974</v>
      </c>
      <c r="B911" s="20" t="str">
        <f>IFERROR(__xludf.DUMMYFUNCTION("GOOGLETRANSLATE(A911, ""fr"", ""en"")"),"Sale cleaning parking lots on Friday January 14, 2022")</f>
        <v>Sale cleaning parking lots on Friday January 14, 2022</v>
      </c>
    </row>
    <row r="912">
      <c r="A912" s="19" t="s">
        <v>975</v>
      </c>
      <c r="B912" s="20" t="str">
        <f>IFERROR(__xludf.DUMMYFUNCTION("GOOGLETRANSLATE(A912, ""fr"", ""en"")"),"Sale cleaning parking lots on Friday January 28, 2022")</f>
        <v>Sale cleaning parking lots on Friday January 28, 2022</v>
      </c>
    </row>
    <row r="913">
      <c r="A913" s="19" t="s">
        <v>947</v>
      </c>
      <c r="B913" s="20" t="str">
        <f>IFERROR(__xludf.DUMMYFUNCTION("GOOGLETRANSLATE(A913, ""fr"", ""en"")"),"NF return")</f>
        <v>NF return</v>
      </c>
    </row>
    <row r="914">
      <c r="A914" s="19" t="s">
        <v>976</v>
      </c>
      <c r="B914" s="20" t="str">
        <f>IFERROR(__xludf.DUMMYFUNCTION("GOOGLETRANSLATE(A914, ""fr"", ""en"")"),"Sale cleaning of parking lots Wednesday, June 14, 2023")</f>
        <v>Sale cleaning of parking lots Wednesday, June 14, 2023</v>
      </c>
    </row>
    <row r="915">
      <c r="A915" s="19" t="s">
        <v>977</v>
      </c>
      <c r="B915" s="20" t="str">
        <f>IFERROR(__xludf.DUMMYFUNCTION("GOOGLETRANSLATE(A915, ""fr"", ""en"")"),"Various RMR sale Monday June 19, after 3:00 p.m.
 For :
 -Recoucare the B5/B10 station that Wiesheu will have disconnected from the V2 (not the news you have brought on Friday, the other 😉)
 -Recuperate station B5/B5
 -Recuperate all Rolls B5/B5
 -Dispre"&amp;"ss all this material to the Consomag cell")</f>
        <v>Various RMR sale Monday June 19, after 3:00 p.m.
 For :
 -Recoucare the B5/B10 station that Wiesheu will have disconnected from the V2 (not the news you have brought on Friday, the other 😉)
 -Recuperate station B5/B5
 -Recuperate all Rolls B5/B5
 -Dispress all this material to the Consomag cell</v>
      </c>
    </row>
    <row r="916">
      <c r="A916" s="19" t="s">
        <v>978</v>
      </c>
      <c r="B916" s="20" t="str">
        <f>IFERROR(__xludf.DUMMYFUNCTION("GOOGLETRANSLATE(A916, ""fr"", ""en"")"),"Sale cleaning of parking lots on Monday May 22, 2023")</f>
        <v>Sale cleaning of parking lots on Monday May 22, 2023</v>
      </c>
    </row>
    <row r="917">
      <c r="A917" s="19" t="s">
        <v>979</v>
      </c>
      <c r="B917" s="20" t="str">
        <f>IFERROR(__xludf.DUMMYFUNCTION("GOOGLETRANSLATE(A917, ""fr"", ""en"")"),"Back NFU Week 4")</f>
        <v>Back NFU Week 4</v>
      </c>
    </row>
    <row r="918">
      <c r="A918" s="19" t="s">
        <v>980</v>
      </c>
      <c r="B918" s="20" t="str">
        <f>IFERROR(__xludf.DUMMYFUNCTION("GOOGLETRANSLATE(A918, ""fr"", ""en"")"),"Sale cleaning of parking lots Wednesday July 20, 2022")</f>
        <v>Sale cleaning of parking lots Wednesday July 20, 2022</v>
      </c>
    </row>
    <row r="919">
      <c r="A919" s="19" t="s">
        <v>981</v>
      </c>
      <c r="B919" s="20" t="str">
        <f>IFERROR(__xludf.DUMMYFUNCTION("GOOGLETRANSLATE(A919, ""fr"", ""en"")"),"Sale cleaning of car parks on Friday June 17, 2022")</f>
        <v>Sale cleaning of car parks on Friday June 17, 2022</v>
      </c>
    </row>
    <row r="920">
      <c r="A920" s="19" t="s">
        <v>982</v>
      </c>
      <c r="B920" s="20" t="str">
        <f>IFERROR(__xludf.DUMMYFUNCTION("GOOGLETRANSLATE(A920, ""fr"", ""en"")"),"Sale cleaning of parking lots on Friday August 5, 2022")</f>
        <v>Sale cleaning of parking lots on Friday August 5, 2022</v>
      </c>
    </row>
    <row r="921">
      <c r="A921" s="19" t="s">
        <v>983</v>
      </c>
      <c r="B921" s="20" t="str">
        <f>IFERROR(__xludf.DUMMYFUNCTION("GOOGLETRANSLATE(A921, ""fr"", ""en"")"),"Sale cleaning parking lots on Friday July 22, 2022")</f>
        <v>Sale cleaning parking lots on Friday July 22, 2022</v>
      </c>
    </row>
    <row r="922">
      <c r="A922" s="19" t="s">
        <v>984</v>
      </c>
      <c r="B922" s="20" t="str">
        <f>IFERROR(__xludf.DUMMYFUNCTION("GOOGLETRANSLATE(A922, ""fr"", ""en"")"),"Sale cleaning of parking lots on Monday August 01, 2022")</f>
        <v>Sale cleaning of parking lots on Monday August 01, 2022</v>
      </c>
    </row>
    <row r="923">
      <c r="A923" s="19" t="s">
        <v>894</v>
      </c>
      <c r="B923" s="20" t="str">
        <f>IFERROR(__xludf.DUMMYFUNCTION("GOOGLETRANSLATE(A923, ""fr"", ""en"")"),"At3 checklist 2806")</f>
        <v>At3 checklist 2806</v>
      </c>
    </row>
    <row r="924">
      <c r="A924" s="19" t="s">
        <v>985</v>
      </c>
      <c r="B924" s="20" t="str">
        <f>IFERROR(__xludf.DUMMYFUNCTION("GOOGLETRANSLATE(A924, ""fr"", ""en"")"),"Sale cleaning parking lots of Wednesday June 22, 2022")</f>
        <v>Sale cleaning parking lots of Wednesday June 22, 2022</v>
      </c>
    </row>
    <row r="925">
      <c r="A925" s="19" t="s">
        <v>986</v>
      </c>
      <c r="B925" s="20" t="str">
        <f>IFERROR(__xludf.DUMMYFUNCTION("GOOGLETRANSLATE(A925, ""fr"", ""en"")"),"Sale cleaning of parking lots Monday, June 20, 2022")</f>
        <v>Sale cleaning of parking lots Monday, June 20, 2022</v>
      </c>
    </row>
    <row r="926">
      <c r="A926" s="19" t="s">
        <v>987</v>
      </c>
      <c r="B926" s="20" t="str">
        <f>IFERROR(__xludf.DUMMYFUNCTION("GOOGLETRANSLATE(A926, ""fr"", ""en"")"),"Sale cleaning of parking lots on Monday August 8, 2022")</f>
        <v>Sale cleaning of parking lots on Monday August 8, 2022</v>
      </c>
    </row>
    <row r="927">
      <c r="A927" s="19" t="s">
        <v>988</v>
      </c>
      <c r="B927" s="20" t="str">
        <f>IFERROR(__xludf.DUMMYFUNCTION("GOOGLETRANSLATE(A927, ""fr"", ""en"")"),"Sale cleaning parking lots of Wednesday July 27, 2022")</f>
        <v>Sale cleaning parking lots of Wednesday July 27, 2022</v>
      </c>
    </row>
    <row r="928">
      <c r="A928" s="19" t="s">
        <v>989</v>
      </c>
      <c r="B928" s="20" t="str">
        <f>IFERROR(__xludf.DUMMYFUNCTION("GOOGLETRANSLATE(A928, ""fr"", ""en"")"),"Sale cleaning parking lots on Friday July 1, 2022")</f>
        <v>Sale cleaning parking lots on Friday July 1, 2022</v>
      </c>
    </row>
    <row r="929">
      <c r="A929" s="19" t="s">
        <v>990</v>
      </c>
      <c r="B929" s="20" t="str">
        <f>IFERROR(__xludf.DUMMYFUNCTION("GOOGLETRANSLATE(A929, ""fr"", ""en"")"),"Sale as soon as possible
 For :
 - Recover the SMITH DS panels from the Consomag cell
 - on the SPM concerned withdrawn the old visuals and destroy them (so that they are no longer replaced)
 - Put the new visual ""ice cream"" in place (on all these SP"&amp;"Ms)
 For info: the panels are available to the consomag cell")</f>
        <v>Sale as soon as possible
 For :
 - Recover the SMITH DS panels from the Consomag cell
 - on the SPM concerned withdrawn the old visuals and destroy them (so that they are no longer replaced)
 - Put the new visual "ice cream" in place (on all these SPMs)
 For info: the panels are available to the consomag cell</v>
      </c>
    </row>
    <row r="930">
      <c r="A930" s="19" t="s">
        <v>991</v>
      </c>
      <c r="B930" s="20" t="str">
        <f>IFERROR(__xludf.DUMMYFUNCTION("GOOGLETRANSLATE(A930, ""fr"", ""en"")"),"Sale of as possible
 To: set up organic lettering
 For information :
 - Delivery of lettering this week (S25)
 - You collect lettering from the Cosnomag cell")</f>
        <v>Sale of as possible
 To: set up organic lettering
 For information :
 - Delivery of lettering this week (S25)
 - You collect lettering from the Cosnomag cell</v>
      </c>
    </row>
    <row r="931">
      <c r="A931" s="19" t="s">
        <v>992</v>
      </c>
      <c r="B931" s="20" t="str">
        <f>IFERROR(__xludf.DUMMYFUNCTION("GOOGLETRANSLATE(A931, ""fr"", ""en"")"),"Sale cleaning parking lots of Wednesday July 13, 2022")</f>
        <v>Sale cleaning parking lots of Wednesday July 13, 2022</v>
      </c>
    </row>
    <row r="932">
      <c r="A932" s="19" t="s">
        <v>993</v>
      </c>
      <c r="B932" s="20" t="str">
        <f>IFERROR(__xludf.DUMMYFUNCTION("GOOGLETRANSLATE(A932, ""fr"", ""en"")"),"Sale cleaning parking lots on Friday July 29, 2022")</f>
        <v>Sale cleaning parking lots on Friday July 29, 2022</v>
      </c>
    </row>
    <row r="933">
      <c r="A933" s="19" t="s">
        <v>994</v>
      </c>
      <c r="B933" s="20" t="str">
        <f>IFERROR(__xludf.DUMMYFUNCTION("GOOGLETRANSLATE(A933, ""fr"", ""en"")"),"Sale cleaning of parking lots on Monday July 11, 2022")</f>
        <v>Sale cleaning of parking lots on Monday July 11, 2022</v>
      </c>
    </row>
    <row r="934">
      <c r="A934" s="19" t="s">
        <v>995</v>
      </c>
      <c r="B934" s="20" t="str">
        <f>IFERROR(__xludf.DUMMYFUNCTION("GOOGLETRANSLATE(A934, ""fr"", ""en"")"),"Sale cleaning parking lots on Friday July 15, 2022")</f>
        <v>Sale cleaning parking lots on Friday July 15, 2022</v>
      </c>
    </row>
    <row r="935">
      <c r="A935" s="19" t="s">
        <v>996</v>
      </c>
      <c r="B935" s="20" t="str">
        <f>IFERROR(__xludf.DUMMYFUNCTION("GOOGLETRANSLATE(A935, ""fr"", ""en"")"),"Sale cleaning of parking lots Wednesday, June 29, 2022")</f>
        <v>Sale cleaning of parking lots Wednesday, June 29, 2022</v>
      </c>
    </row>
    <row r="936">
      <c r="A936" s="19" t="s">
        <v>997</v>
      </c>
      <c r="B936" s="20" t="str">
        <f>IFERROR(__xludf.DUMMYFUNCTION("GOOGLETRANSLATE(A936, ""fr"", ""en"")"),"Sale cleaning of parking lots on Monday July 18, 2022")</f>
        <v>Sale cleaning of parking lots on Monday July 18, 2022</v>
      </c>
    </row>
    <row r="937">
      <c r="A937" s="19" t="s">
        <v>998</v>
      </c>
      <c r="B937" s="20" t="str">
        <f>IFERROR(__xludf.DUMMYFUNCTION("GOOGLETRANSLATE(A937, ""fr"", ""en"")"),"Sale cleaning parking lots on Monday, June 27, 2022")</f>
        <v>Sale cleaning parking lots on Monday, June 27, 2022</v>
      </c>
    </row>
    <row r="938">
      <c r="A938" s="19" t="s">
        <v>999</v>
      </c>
      <c r="B938" s="20" t="str">
        <f>IFERROR(__xludf.DUMMYFUNCTION("GOOGLETRANSLATE(A938, ""fr"", ""en"")"),"Sale cleaning parking lots on Monday July 4, 2022")</f>
        <v>Sale cleaning parking lots on Monday July 4, 2022</v>
      </c>
    </row>
    <row r="939">
      <c r="A939" s="19" t="s">
        <v>1000</v>
      </c>
      <c r="B939" s="20" t="str">
        <f>IFERROR(__xludf.DUMMYFUNCTION("GOOGLETRANSLATE(A939, ""fr"", ""en"")"),"Sale cleaning of parking lots on Monday July 25, 2022")</f>
        <v>Sale cleaning of parking lots on Monday July 25, 2022</v>
      </c>
    </row>
    <row r="940">
      <c r="A940" s="19" t="s">
        <v>1001</v>
      </c>
      <c r="B940" s="20" t="str">
        <f>IFERROR(__xludf.DUMMYFUNCTION("GOOGLETRANSLATE(A940, ""fr"", ""en"")"),"Sale cleaning parking lots on Friday July 8, 2022")</f>
        <v>Sale cleaning parking lots on Friday July 8, 2022</v>
      </c>
    </row>
    <row r="941">
      <c r="A941" s="19" t="s">
        <v>1002</v>
      </c>
      <c r="B941" s="20" t="str">
        <f>IFERROR(__xludf.DUMMYFUNCTION("GOOGLETRANSLATE(A941, ""fr"", ""en"")"),"Sale cleaning of parking lots on Wednesday August 3, 2022")</f>
        <v>Sale cleaning of parking lots on Wednesday August 3, 2022</v>
      </c>
    </row>
    <row r="942">
      <c r="A942" s="19" t="s">
        <v>1003</v>
      </c>
      <c r="B942" s="20" t="str">
        <f>IFERROR(__xludf.DUMMYFUNCTION("GOOGLETRANSLATE(A942, ""fr"", ""en"")"),"Return Piano Week 3")</f>
        <v>Return Piano Week 3</v>
      </c>
    </row>
    <row r="943">
      <c r="A943" s="19" t="s">
        <v>1004</v>
      </c>
      <c r="B943" s="20" t="str">
        <f>IFERROR(__xludf.DUMMYFUNCTION("GOOGLETRANSLATE(A943, ""fr"", ""en"")"),"return
 week3")</f>
        <v>return
 week3</v>
      </c>
    </row>
    <row r="944">
      <c r="A944" s="19" t="s">
        <v>1005</v>
      </c>
      <c r="B944" s="20" t="str">
        <f>IFERROR(__xludf.DUMMYFUNCTION("GOOGLETRANSLATE(A944, ""fr"", ""en"")"),"Return NF 4 Pilettes")</f>
        <v>Return NF 4 Pilettes</v>
      </c>
    </row>
    <row r="945">
      <c r="A945" s="21"/>
      <c r="B945" s="20" t="str">
        <f>IFERROR(__xludf.DUMMYFUNCTION("GOOGLETRANSLATE(A945, ""fr"", ""en"")"),"#VALUE!")</f>
        <v>#VALUE!</v>
      </c>
    </row>
    <row r="946">
      <c r="A946" s="19" t="s">
        <v>1006</v>
      </c>
      <c r="B946" s="20" t="str">
        <f>IFERROR(__xludf.DUMMYFUNCTION("GOOGLETRANSLATE(A946, ""fr"", ""en"")"),"Back NFU week 30")</f>
        <v>Back NFU week 30</v>
      </c>
    </row>
    <row r="947">
      <c r="A947" s="19" t="s">
        <v>1007</v>
      </c>
      <c r="B947" s="20" t="str">
        <f>IFERROR(__xludf.DUMMYFUNCTION("GOOGLETRANSLATE(A947, ""fr"", ""en"")"),"Back NFU week 1")</f>
        <v>Back NFU week 1</v>
      </c>
    </row>
    <row r="948">
      <c r="A948" s="19" t="s">
        <v>1008</v>
      </c>
      <c r="B948" s="20" t="str">
        <f>IFERROR(__xludf.DUMMYFUNCTION("GOOGLETRANSLATE(A948, ""fr"", ""en"")"),"Back NFU Week 2")</f>
        <v>Back NFU Week 2</v>
      </c>
    </row>
    <row r="949">
      <c r="A949" s="21"/>
      <c r="B949" s="20" t="str">
        <f>IFERROR(__xludf.DUMMYFUNCTION("GOOGLETRANSLATE(A949, ""fr"", ""en"")"),"#VALUE!")</f>
        <v>#VALUE!</v>
      </c>
    </row>
    <row r="950">
      <c r="A950" s="19" t="s">
        <v>1009</v>
      </c>
      <c r="B950" s="20" t="str">
        <f>IFERROR(__xludf.DUMMYFUNCTION("GOOGLETRANSLATE(A950, ""fr"", ""en"")"),"Back NFU Week 28")</f>
        <v>Back NFU Week 28</v>
      </c>
    </row>
    <row r="951">
      <c r="A951" s="19" t="s">
        <v>1010</v>
      </c>
      <c r="B951" s="20" t="str">
        <f>IFERROR(__xludf.DUMMYFUNCTION("GOOGLETRANSLATE(A951, ""fr"", ""en"")"),"Sale cleaning parking lots of Wednesday December 14, 2022")</f>
        <v>Sale cleaning parking lots of Wednesday December 14, 2022</v>
      </c>
    </row>
    <row r="952">
      <c r="A952" s="19" t="s">
        <v>1011</v>
      </c>
      <c r="B952" s="20" t="str">
        <f>IFERROR(__xludf.DUMMYFUNCTION("GOOGLETRANSLATE(A952, ""fr"", ""en"")"),"Sale cleaning of parking lots of Wednesday, November 23, 2022")</f>
        <v>Sale cleaning of parking lots of Wednesday, November 23, 2022</v>
      </c>
    </row>
    <row r="953">
      <c r="A953" s="19" t="s">
        <v>1012</v>
      </c>
      <c r="B953" s="20" t="str">
        <f>IFERROR(__xludf.DUMMYFUNCTION("GOOGLETRANSLATE(A953, ""fr"", ""en"")"),"Sale cleaning of parking lots Wednesday, October 5, 2022")</f>
        <v>Sale cleaning of parking lots Wednesday, October 5, 2022</v>
      </c>
    </row>
    <row r="954">
      <c r="A954" s="19" t="s">
        <v>1013</v>
      </c>
      <c r="B954" s="20" t="str">
        <f>IFERROR(__xludf.DUMMYFUNCTION("GOOGLETRANSLATE(A954, ""fr"", ""en"")"),"Sale cleaning of parking lots Wednesday, September 28, 2022")</f>
        <v>Sale cleaning of parking lots Wednesday, September 28, 2022</v>
      </c>
    </row>
    <row r="955">
      <c r="A955" s="19" t="s">
        <v>1014</v>
      </c>
      <c r="B955" s="20" t="str">
        <f>IFERROR(__xludf.DUMMYFUNCTION("GOOGLETRANSLATE(A955, ""fr"", ""en"")"),"* Ceiling cleaning above caddy
 under the caddies
 PLV light")</f>
        <v>* Ceiling cleaning above caddy
 under the caddies
 PLV light</v>
      </c>
    </row>
    <row r="956">
      <c r="A956" s="19" t="s">
        <v>1015</v>
      </c>
      <c r="B956" s="20" t="str">
        <f>IFERROR(__xludf.DUMMYFUNCTION("GOOGLETRANSLATE(A956, ""fr"", ""en"")"),"Back NF week 26
 '4 Europes")</f>
        <v>Back NF week 26
 '4 Europes</v>
      </c>
    </row>
    <row r="957">
      <c r="A957" s="19" t="s">
        <v>1016</v>
      </c>
      <c r="B957" s="20" t="str">
        <f>IFERROR(__xludf.DUMMYFUNCTION("GOOGLETRANSLATE(A957, ""fr"", ""en"")"),"Sale of seasonal implantation")</f>
        <v>Sale of seasonal implantation</v>
      </c>
    </row>
    <row r="958">
      <c r="A958" s="19" t="s">
        <v>1017</v>
      </c>
      <c r="B958" s="20" t="str">
        <f>IFERROR(__xludf.DUMMYFUNCTION("GOOGLETRANSLATE(A958, ""fr"", ""en"")"),"Return NF week 27: 7 Europes + 1 Dussel")</f>
        <v>Return NF week 27: 7 Europes + 1 Dussel</v>
      </c>
    </row>
    <row r="959">
      <c r="A959" s="19" t="s">
        <v>1018</v>
      </c>
      <c r="B959" s="20" t="str">
        <f>IFERROR(__xludf.DUMMYFUNCTION("GOOGLETRANSLATE(A959, ""fr"", ""en"")"),"Sale cleaning of parking lots on Monday June 13, 2022")</f>
        <v>Sale cleaning of parking lots on Monday June 13, 2022</v>
      </c>
    </row>
    <row r="960">
      <c r="A960" s="19" t="s">
        <v>1019</v>
      </c>
      <c r="B960" s="20" t="str">
        <f>IFERROR(__xludf.DUMMYFUNCTION("GOOGLETRANSLATE(A960, ""fr"", ""en"")"),"Sale cleaning parking lots of Wednesday June 8, 2022")</f>
        <v>Sale cleaning parking lots of Wednesday June 8, 2022</v>
      </c>
    </row>
    <row r="961">
      <c r="A961" s="19" t="s">
        <v>1020</v>
      </c>
      <c r="B961" s="20" t="str">
        <f>IFERROR(__xludf.DUMMYFUNCTION("GOOGLETRANSLATE(A961, ""fr"", ""en"")"),"Sale cleaning parking lots on Friday June 3, 2022")</f>
        <v>Sale cleaning parking lots on Friday June 3, 2022</v>
      </c>
    </row>
    <row r="962">
      <c r="A962" s="19" t="s">
        <v>1021</v>
      </c>
      <c r="B962" s="20" t="str">
        <f>IFERROR(__xludf.DUMMYFUNCTION("GOOGLETRANSLATE(A962, ""fr"", ""en"")"),"Sale cleaning of parking lots Wednesday, June 15, 2022")</f>
        <v>Sale cleaning of parking lots Wednesday, June 15, 2022</v>
      </c>
    </row>
    <row r="963">
      <c r="A963" s="19" t="s">
        <v>1022</v>
      </c>
      <c r="B963" s="20" t="str">
        <f>IFERROR(__xludf.DUMMYFUNCTION("GOOGLETRANSLATE(A963, ""fr"", ""en"")"),"Sale cleaning of parking lots on Friday June 10, 2022")</f>
        <v>Sale cleaning of parking lots on Friday June 10, 2022</v>
      </c>
    </row>
    <row r="964">
      <c r="A964" s="19" t="s">
        <v>1023</v>
      </c>
      <c r="B964" s="20" t="str">
        <f>IFERROR(__xludf.DUMMYFUNCTION("GOOGLETRANSLATE(A964, ""fr"", ""en"")"),"Sale cleaning of parking lots Wednesday, June 1, 2022")</f>
        <v>Sale cleaning of parking lots Wednesday, June 1, 2022</v>
      </c>
    </row>
    <row r="965">
      <c r="A965" s="19" t="s">
        <v>894</v>
      </c>
      <c r="B965" s="20" t="str">
        <f>IFERROR(__xludf.DUMMYFUNCTION("GOOGLETRANSLATE(A965, ""fr"", ""en"")"),"At3 checklist 2806")</f>
        <v>At3 checklist 2806</v>
      </c>
    </row>
    <row r="966">
      <c r="A966" s="19" t="s">
        <v>1024</v>
      </c>
      <c r="B966" s="20" t="str">
        <f>IFERROR(__xludf.DUMMYFUNCTION("GOOGLETRANSLATE(A966, ""fr"", ""en"")"),"NF return
 4 Europe and 1 Düssel")</f>
        <v>NF return
 4 Europe and 1 Düssel</v>
      </c>
    </row>
    <row r="967">
      <c r="A967" s="19" t="s">
        <v>1025</v>
      </c>
      <c r="B967" s="20" t="str">
        <f>IFERROR(__xludf.DUMMYFUNCTION("GOOGLETRANSLATE(A967, ""fr"", ""en"")"),"Kinder Maxi sales withdrawal")</f>
        <v>Kinder Maxi sales withdrawal</v>
      </c>
    </row>
    <row r="968">
      <c r="A968" s="19" t="s">
        <v>1026</v>
      </c>
      <c r="B968" s="20" t="str">
        <f>IFERROR(__xludf.DUMMYFUNCTION("GOOGLETRANSLATE(A968, ""fr"", ""en"")"),"Back NFU Week 24")</f>
        <v>Back NFU Week 24</v>
      </c>
    </row>
    <row r="969">
      <c r="A969" s="19" t="s">
        <v>1027</v>
      </c>
      <c r="B969" s="20" t="str">
        <f>IFERROR(__xludf.DUMMYFUNCTION("GOOGLETRANSLATE(A969, ""fr"", ""en"")"),"Return seed and seed")</f>
        <v>Return seed and seed</v>
      </c>
    </row>
    <row r="970">
      <c r="A970" s="19" t="s">
        <v>1028</v>
      </c>
      <c r="B970" s="20" t="str">
        <f>IFERROR(__xludf.DUMMYFUNCTION("GOOGLETRANSLATE(A970, ""fr"", ""en"")"),"‘DS Smith’, to make the start of week 01 2023
 For :
 -Recuperate to the Consomag cell the new panels
 -In SPM, remove and destroy the visual in place.
 -Ment the visual ‘for 13 years…’ ’
 For information :
 -Visual Noteau Available Consomag Cell")</f>
        <v>‘DS Smith’, to make the start of week 01 2023
 For :
 -Recuperate to the Consomag cell the new panels
 -In SPM, remove and destroy the visual in place.
 -Ment the visual ‘for 13 years…’ ’
 For information :
 -Visual Noteau Available Consomag Cell</v>
      </c>
    </row>
    <row r="971">
      <c r="A971" s="19" t="s">
        <v>1029</v>
      </c>
      <c r="B971" s="20" t="str">
        <f>IFERROR(__xludf.DUMMYFUNCTION("GOOGLETRANSLATE(A971, ""fr"", ""en"")"),"Sale cleaning parking lots on Friday September 16, 2022")</f>
        <v>Sale cleaning parking lots on Friday September 16, 2022</v>
      </c>
    </row>
    <row r="972">
      <c r="A972" s="19" t="s">
        <v>1030</v>
      </c>
      <c r="B972" s="20" t="str">
        <f>IFERROR(__xludf.DUMMYFUNCTION("GOOGLETRANSLATE(A972, ""fr"", ""en"")"),"Price bands no longer hold it all you have to change
 THANKS")</f>
        <v>Price bands no longer hold it all you have to change
 THANKS</v>
      </c>
    </row>
    <row r="973">
      <c r="A973" s="19" t="s">
        <v>1031</v>
      </c>
      <c r="B973" s="20" t="str">
        <f>IFERROR(__xludf.DUMMYFUNCTION("GOOGLETRANSLATE(A973, ""fr"", ""en"")"),"Installation of the Erratum binder at the entrance")</f>
        <v>Installation of the Erratum binder at the entrance</v>
      </c>
    </row>
    <row r="974">
      <c r="A974" s="19" t="s">
        <v>560</v>
      </c>
      <c r="B974" s="20" t="str">
        <f>IFERROR(__xludf.DUMMYFUNCTION("GOOGLETRANSLATE(A974, ""fr"", ""en"")"),"AT3 CHECK LIST quarterly 2806")</f>
        <v>AT3 CHECK LIST quarterly 2806</v>
      </c>
    </row>
    <row r="975">
      <c r="A975" s="21"/>
      <c r="B975" s="20" t="str">
        <f>IFERROR(__xludf.DUMMYFUNCTION("GOOGLETRANSLATE(A975, ""fr"", ""en"")"),"#VALUE!")</f>
        <v>#VALUE!</v>
      </c>
    </row>
    <row r="976">
      <c r="A976" s="19" t="s">
        <v>1032</v>
      </c>
      <c r="B976" s="20" t="str">
        <f>IFERROR(__xludf.DUMMYFUNCTION("GOOGLETRANSLATE(A976, ""fr"", ""en"")"),"Various RMR sale Friday June 16, 2023, during the day
 For :
 -Recuperate at the Consomag cell 1 station B5/B10 (a new)
 -Dispress the station in the V2 of the BOURTZWILLER 2806 SPM
 For information :
 -The station B5/B10 is available at the Consomag cell"&amp;", it is a new station identified 2806, it is stored at the entrance to the Consomag cell.")</f>
        <v>Various RMR sale Friday June 16, 2023, during the day
 For :
 -Recuperate at the Consomag cell 1 station B5/B10 (a new)
 -Dispress the station in the V2 of the BOURTZWILLER 2806 SPM
 For information :
 -The station B5/B10 is available at the Consomag cell, it is a new station identified 2806, it is stored at the entrance to the Consomag cell.</v>
      </c>
    </row>
    <row r="977">
      <c r="A977" s="19" t="s">
        <v>977</v>
      </c>
      <c r="B977" s="20" t="str">
        <f>IFERROR(__xludf.DUMMYFUNCTION("GOOGLETRANSLATE(A977, ""fr"", ""en"")"),"Various RMR sale Monday June 19, after 3:00 p.m.
 For :
 -Recoucare the B5/B10 station that Wiesheu will have disconnected from the V2 (not the news you have brought on Friday, the other 😉)
 -Recuperate station B5/B5
 -Recuperate all Rolls B5/B5
 -Dispre"&amp;"ss all this material to the Consomag cell")</f>
        <v>Various RMR sale Monday June 19, after 3:00 p.m.
 For :
 -Recoucare the B5/B10 station that Wiesheu will have disconnected from the V2 (not the news you have brought on Friday, the other 😉)
 -Recuperate station B5/B5
 -Recuperate all Rolls B5/B5
 -Dispress all this material to the Consomag cell</v>
      </c>
    </row>
    <row r="978">
      <c r="A978" s="19" t="s">
        <v>977</v>
      </c>
      <c r="B978" s="20" t="str">
        <f>IFERROR(__xludf.DUMMYFUNCTION("GOOGLETRANSLATE(A978, ""fr"", ""en"")"),"Various RMR sale Monday June 19, after 3:00 p.m.
 For :
 -Recoucare the B5/B10 station that Wiesheu will have disconnected from the V2 (not the news you have brought on Friday, the other 😉)
 -Recuperate station B5/B5
 -Recuperate all Rolls B5/B5
 -Dispre"&amp;"ss all this material to the Consomag cell")</f>
        <v>Various RMR sale Monday June 19, after 3:00 p.m.
 For :
 -Recoucare the B5/B10 station that Wiesheu will have disconnected from the V2 (not the news you have brought on Friday, the other 😉)
 -Recuperate station B5/B5
 -Recuperate all Rolls B5/B5
 -Dispress all this material to the Consomag cell</v>
      </c>
    </row>
    <row r="979">
      <c r="A979" s="19" t="s">
        <v>1033</v>
      </c>
      <c r="B979" s="20" t="str">
        <f>IFERROR(__xludf.DUMMYFUNCTION("GOOGLETRANSLATE(A979, ""fr"", ""en"")"),"Update of the safety register in tab 40 with the accessibility document. ODM made by AT3. Finished work")</f>
        <v>Update of the safety register in tab 40 with the accessibility document. ODM made by AT3. Finished work</v>
      </c>
    </row>
    <row r="980">
      <c r="A980" s="19" t="s">
        <v>304</v>
      </c>
      <c r="B980" s="20" t="str">
        <f>IFERROR(__xludf.DUMMYFUNCTION("GOOGLETRANSLATE(A980, ""fr"", ""en"")"),"(Urgent) for:
 -Recuperate visuals (best channels) DS Smith panels at the Consomag cell
 -Re attract and destroy the visual currently in place in the DS Smith panels.
 -Remplace by the visual ‘Best SPM channels’
 For information :
 -Visual Noteau availabl"&amp;"e to the Consomag cell")</f>
        <v>(Urgent) for:
 -Recuperate visuals (best channels) DS Smith panels at the Consomag cell
 -Re attract and destroy the visual currently in place in the DS Smith panels.
 -Remplace by the visual ‘Best SPM channels’
 For information :
 -Visual Noteau available to the Consomag cell</v>
      </c>
    </row>
    <row r="981">
      <c r="A981" s="19" t="s">
        <v>1034</v>
      </c>
      <c r="B981" s="20" t="str">
        <f>IFERROR(__xludf.DUMMYFUNCTION("GOOGLETRANSLATE(A981, ""fr"", ""en"")"),"Sale cleaning parking lots of sale December 2, 2022")</f>
        <v>Sale cleaning parking lots of sale December 2, 2022</v>
      </c>
    </row>
    <row r="982">
      <c r="A982" s="19" t="s">
        <v>1035</v>
      </c>
      <c r="B982" s="20" t="str">
        <f>IFERROR(__xludf.DUMMYFUNCTION("GOOGLETRANSLATE(A982, ""fr"", ""en"")"),"Sale cleaning of parking lots on Monday May 15, 2023")</f>
        <v>Sale cleaning of parking lots on Monday May 15, 2023</v>
      </c>
    </row>
    <row r="983">
      <c r="A983" s="19" t="s">
        <v>1036</v>
      </c>
      <c r="B983" s="20" t="str">
        <f>IFERROR(__xludf.DUMMYFUNCTION("GOOGLETRANSLATE(A983, ""fr"", ""en"")"),"Sale cleaning of parking lots Wednesday March 8, 2023")</f>
        <v>Sale cleaning of parking lots Wednesday March 8, 2023</v>
      </c>
    </row>
    <row r="984">
      <c r="A984" s="19" t="s">
        <v>1037</v>
      </c>
      <c r="B984" s="20" t="str">
        <f>IFERROR(__xludf.DUMMYFUNCTION("GOOGLETRANSLATE(A984, ""fr"", ""en"")"),"Sale cleaning parking lots of Wednesday September 21, 2022")</f>
        <v>Sale cleaning parking lots of Wednesday September 21, 2022</v>
      </c>
    </row>
    <row r="985">
      <c r="A985" s="19" t="s">
        <v>1038</v>
      </c>
      <c r="B985" s="20" t="str">
        <f>IFERROR(__xludf.DUMMYFUNCTION("GOOGLETRANSLATE(A985, ""fr"", ""en"")"),"Sale of as possible
 For :
 - Recover new visuals from the Consomag cell
 - Remove the visuals in place and destroy them
 - Set up the new ones, Visible Visible Competition (car)
 For information
 - New visuals available to the Consomag cell")</f>
        <v>Sale of as possible
 For :
 - Recover new visuals from the Consomag cell
 - Remove the visuals in place and destroy them
 - Set up the new ones, Visible Visible Competition (car)
 For information
 - New visuals available to the Consomag cell</v>
      </c>
    </row>
    <row r="986">
      <c r="A986" s="19" t="s">
        <v>1039</v>
      </c>
      <c r="B986" s="20" t="str">
        <f>IFERROR(__xludf.DUMMYFUNCTION("GOOGLETRANSLATE(A986, ""fr"", ""en"")"),"Sale cleaning of parking lots on Monday September 5, 2022")</f>
        <v>Sale cleaning of parking lots on Monday September 5, 2022</v>
      </c>
    </row>
    <row r="987">
      <c r="A987" s="19" t="s">
        <v>1040</v>
      </c>
      <c r="B987" s="20" t="str">
        <f>IFERROR(__xludf.DUMMYFUNCTION("GOOGLETRANSLATE(A987, ""fr"", ""en"")"),"Sale cleaning of parking lots Wednesday, September 14, 2022")</f>
        <v>Sale cleaning of parking lots Wednesday, September 14, 2022</v>
      </c>
    </row>
    <row r="988">
      <c r="A988" s="19" t="s">
        <v>1041</v>
      </c>
      <c r="B988" s="20" t="str">
        <f>IFERROR(__xludf.DUMMYFUNCTION("GOOGLETRANSLATE(A988, ""fr"", ""en"")"),"Sale cleaning parking lots on Monday October 10, 2022")</f>
        <v>Sale cleaning parking lots on Monday October 10, 2022</v>
      </c>
    </row>
    <row r="989">
      <c r="A989" s="19" t="s">
        <v>1042</v>
      </c>
      <c r="B989" s="20" t="str">
        <f>IFERROR(__xludf.DUMMYFUNCTION("GOOGLETRANSLATE(A989, ""fr"", ""en"")"),"Sale cleaning parking lots on Monday October 3, 2022")</f>
        <v>Sale cleaning parking lots on Monday October 3, 2022</v>
      </c>
    </row>
    <row r="990">
      <c r="A990" s="19" t="s">
        <v>1043</v>
      </c>
      <c r="B990" s="20" t="str">
        <f>IFERROR(__xludf.DUMMYFUNCTION("GOOGLETRANSLATE(A990, ""fr"", ""en"")"),"Sale cleaning parking lots on Friday 23 September 2022")</f>
        <v>Sale cleaning parking lots on Friday 23 September 2022</v>
      </c>
    </row>
    <row r="991">
      <c r="A991" s="19" t="s">
        <v>1044</v>
      </c>
      <c r="B991" s="20" t="str">
        <f>IFERROR(__xludf.DUMMYFUNCTION("GOOGLETRANSLATE(A991, ""fr"", ""en"")"),"Sale cleaning of parking lots on Monday September 12, 2022")</f>
        <v>Sale cleaning of parking lots on Monday September 12, 2022</v>
      </c>
    </row>
    <row r="992">
      <c r="A992" s="19" t="s">
        <v>1045</v>
      </c>
      <c r="B992" s="20" t="str">
        <f>IFERROR(__xludf.DUMMYFUNCTION("GOOGLETRANSLATE(A992, ""fr"", ""en"")"),"Sale 8 SPM (in blue, below) before this evening
 For :
 - Replace the visuals in place with that of the wine fair
 - Throw the ""Recruitment"" sign
 For info: panel available quai n ° 70")</f>
        <v>Sale 8 SPM (in blue, below) before this evening
 For :
 - Replace the visuals in place with that of the wine fair
 - Throw the "Recruitment" sign
 For info: panel available quai n ° 70</v>
      </c>
    </row>
    <row r="993">
      <c r="A993" s="19" t="s">
        <v>1046</v>
      </c>
      <c r="B993" s="20" t="str">
        <f>IFERROR(__xludf.DUMMYFUNCTION("GOOGLETRANSLATE(A993, ""fr"", ""en"")"),"Sale cleaning parking lots of Wednesday, November 30, 2022")</f>
        <v>Sale cleaning parking lots of Wednesday, November 30, 2022</v>
      </c>
    </row>
    <row r="994">
      <c r="A994" s="19" t="s">
        <v>1047</v>
      </c>
      <c r="B994" s="20" t="str">
        <f>IFERROR(__xludf.DUMMYFUNCTION("GOOGLETRANSLATE(A994, ""fr"", ""en"")"),"We need new time panel support")</f>
        <v>We need new time panel support</v>
      </c>
    </row>
    <row r="995">
      <c r="A995" s="19" t="s">
        <v>560</v>
      </c>
      <c r="B995" s="20" t="str">
        <f>IFERROR(__xludf.DUMMYFUNCTION("GOOGLETRANSLATE(A995, ""fr"", ""en"")"),"AT3 CHECK LIST quarterly 2806")</f>
        <v>AT3 CHECK LIST quarterly 2806</v>
      </c>
    </row>
    <row r="996">
      <c r="A996" s="19" t="s">
        <v>859</v>
      </c>
      <c r="B996" s="20" t="str">
        <f>IFERROR(__xludf.DUMMYFUNCTION("GOOGLETRANSLATE(A996, ""fr"", ""en"")"),"Sale cleaning of parking lots on Monday August 21, 2023")</f>
        <v>Sale cleaning of parking lots on Monday August 21, 2023</v>
      </c>
    </row>
    <row r="997">
      <c r="A997" s="19" t="s">
        <v>860</v>
      </c>
      <c r="B997" s="20" t="str">
        <f>IFERROR(__xludf.DUMMYFUNCTION("GOOGLETRANSLATE(A997, ""fr"", ""en"")"),"Sale cleaning of parking lots on Monday July 24, 2023")</f>
        <v>Sale cleaning of parking lots on Monday July 24, 2023</v>
      </c>
    </row>
    <row r="998">
      <c r="A998" s="19" t="s">
        <v>861</v>
      </c>
      <c r="B998" s="20" t="str">
        <f>IFERROR(__xludf.DUMMYFUNCTION("GOOGLETRANSLATE(A998, ""fr"", ""en"")"),"Sale cleaning of parking lots Wednesday July 19, 2023")</f>
        <v>Sale cleaning of parking lots Wednesday July 19, 2023</v>
      </c>
    </row>
    <row r="999">
      <c r="A999" s="19" t="s">
        <v>863</v>
      </c>
      <c r="B999" s="20" t="str">
        <f>IFERROR(__xludf.DUMMYFUNCTION("GOOGLETRANSLATE(A999, ""fr"", ""en"")"),"Sale cleaning parking lots of Wednesday August 16, 2023")</f>
        <v>Sale cleaning parking lots of Wednesday August 16, 2023</v>
      </c>
    </row>
    <row r="1000">
      <c r="A1000" s="19" t="s">
        <v>1048</v>
      </c>
      <c r="B1000" s="20" t="str">
        <f>IFERROR(__xludf.DUMMYFUNCTION("GOOGLETRANSLATE(A1000, ""fr"", ""en"")"),"AT3 CHECK LIST quarterly 2807")</f>
        <v>AT3 CHECK LIST quarterly 2807</v>
      </c>
    </row>
    <row r="1001">
      <c r="A1001" s="19" t="s">
        <v>864</v>
      </c>
      <c r="B1001" s="20" t="str">
        <f>IFERROR(__xludf.DUMMYFUNCTION("GOOGLETRANSLATE(A1001, ""fr"", ""en"")"),"Sale cleaning of parking lots on Monday July 17, 2023")</f>
        <v>Sale cleaning of parking lots on Monday July 17, 2023</v>
      </c>
    </row>
    <row r="1002">
      <c r="A1002" s="19" t="s">
        <v>865</v>
      </c>
      <c r="B1002" s="20" t="str">
        <f>IFERROR(__xludf.DUMMYFUNCTION("GOOGLETRANSLATE(A1002, ""fr"", ""en"")"),"Sale cleaning of the parking lot Friday July 21, 2023")</f>
        <v>Sale cleaning of the parking lot Friday July 21, 2023</v>
      </c>
    </row>
    <row r="1003">
      <c r="A1003" s="19" t="s">
        <v>1048</v>
      </c>
      <c r="B1003" s="20" t="str">
        <f>IFERROR(__xludf.DUMMYFUNCTION("GOOGLETRANSLATE(A1003, ""fr"", ""en"")"),"AT3 CHECK LIST quarterly 2807")</f>
        <v>AT3 CHECK LIST quarterly 2807</v>
      </c>
    </row>
    <row r="1004">
      <c r="A1004" s="19" t="s">
        <v>866</v>
      </c>
      <c r="B1004" s="20" t="str">
        <f>IFERROR(__xludf.DUMMYFUNCTION("GOOGLETRANSLATE(A1004, ""fr"", ""en"")"),"Sale cleaning parking lots on Friday August 18, 2023")</f>
        <v>Sale cleaning parking lots on Friday August 18, 2023</v>
      </c>
    </row>
    <row r="1005">
      <c r="A1005" s="19" t="s">
        <v>867</v>
      </c>
      <c r="B1005" s="20" t="str">
        <f>IFERROR(__xludf.DUMMYFUNCTION("GOOGLETRANSLATE(A1005, ""fr"", ""en"")"),"Sale cleaning of parking lots Wednesday July 12, 2023")</f>
        <v>Sale cleaning of parking lots Wednesday July 12, 2023</v>
      </c>
    </row>
    <row r="1006">
      <c r="A1006" s="19" t="s">
        <v>869</v>
      </c>
      <c r="B1006" s="20" t="str">
        <f>IFERROR(__xludf.DUMMYFUNCTION("GOOGLETRANSLATE(A1006, ""fr"", ""en"")"),"Sale cleaning parking lots on Monday April 4, 2022")</f>
        <v>Sale cleaning parking lots on Monday April 4, 2022</v>
      </c>
    </row>
    <row r="1007">
      <c r="A1007" s="19" t="s">
        <v>870</v>
      </c>
      <c r="B1007" s="20" t="str">
        <f>IFERROR(__xludf.DUMMYFUNCTION("GOOGLETRANSLATE(A1007, ""fr"", ""en"")"),"Sale cleaning parking lots of Wednesday May 18, 2022")</f>
        <v>Sale cleaning parking lots of Wednesday May 18, 2022</v>
      </c>
    </row>
    <row r="1008">
      <c r="A1008" s="19" t="s">
        <v>872</v>
      </c>
      <c r="B1008" s="20" t="str">
        <f>IFERROR(__xludf.DUMMYFUNCTION("GOOGLETRANSLATE(A1008, ""fr"", ""en"")"),"Sale cleaning of parking lots on Friday, May 6, 2022")</f>
        <v>Sale cleaning of parking lots on Friday, May 6, 2022</v>
      </c>
    </row>
    <row r="1009">
      <c r="A1009" s="19" t="s">
        <v>873</v>
      </c>
      <c r="B1009" s="20" t="str">
        <f>IFERROR(__xludf.DUMMYFUNCTION("GOOGLETRANSLATE(A1009, ""fr"", ""en"")"),"Sale cleaning parking lots of Wednesday April 20, 2022")</f>
        <v>Sale cleaning parking lots of Wednesday April 20, 2022</v>
      </c>
    </row>
    <row r="1010">
      <c r="A1010" s="19" t="s">
        <v>874</v>
      </c>
      <c r="B1010" s="20" t="str">
        <f>IFERROR(__xludf.DUMMYFUNCTION("GOOGLETRANSLATE(A1010, ""fr"", ""en"")"),"Sale cleaning parking lots on Monday, May 23, 2022")</f>
        <v>Sale cleaning parking lots on Monday, May 23, 2022</v>
      </c>
    </row>
    <row r="1011">
      <c r="A1011" s="19" t="s">
        <v>877</v>
      </c>
      <c r="B1011" s="20" t="str">
        <f>IFERROR(__xludf.DUMMYFUNCTION("GOOGLETRANSLATE(A1011, ""fr"", ""en"")"),"Sale cleaning parking lots on Monday May 9, 2022")</f>
        <v>Sale cleaning parking lots on Monday May 9, 2022</v>
      </c>
    </row>
    <row r="1012">
      <c r="A1012" s="19" t="s">
        <v>875</v>
      </c>
      <c r="B1012" s="20" t="str">
        <f>IFERROR(__xludf.DUMMYFUNCTION("GOOGLETRANSLATE(A1012, ""fr"", ""en"")"),"Sale cleaning parking lots on Monday May 2, 2022")</f>
        <v>Sale cleaning parking lots on Monday May 2, 2022</v>
      </c>
    </row>
    <row r="1013">
      <c r="A1013" s="19" t="s">
        <v>876</v>
      </c>
      <c r="B1013" s="20" t="str">
        <f>IFERROR(__xludf.DUMMYFUNCTION("GOOGLETRANSLATE(A1013, ""fr"", ""en"")"),"Sale cleaning parking lots on Wednesday April 13, 2022")</f>
        <v>Sale cleaning parking lots on Wednesday April 13, 2022</v>
      </c>
    </row>
    <row r="1014">
      <c r="A1014" s="19" t="s">
        <v>878</v>
      </c>
      <c r="B1014" s="20" t="str">
        <f>IFERROR(__xludf.DUMMYFUNCTION("GOOGLETRANSLATE(A1014, ""fr"", ""en"")"),"Sale cleaning of parking lots on Friday May 20, 2022")</f>
        <v>Sale cleaning of parking lots on Friday May 20, 2022</v>
      </c>
    </row>
    <row r="1015">
      <c r="A1015" s="19" t="s">
        <v>879</v>
      </c>
      <c r="B1015" s="20" t="str">
        <f>IFERROR(__xludf.DUMMYFUNCTION("GOOGLETRANSLATE(A1015, ""fr"", ""en"")"),"Sale cleaning of parking lots on Monday April 25, 2022")</f>
        <v>Sale cleaning of parking lots on Monday April 25, 2022</v>
      </c>
    </row>
    <row r="1016">
      <c r="A1016" s="19" t="s">
        <v>881</v>
      </c>
      <c r="B1016" s="20" t="str">
        <f>IFERROR(__xludf.DUMMYFUNCTION("GOOGLETRANSLATE(A1016, ""fr"", ""en"")"),"Sale cleaning parking lots on Wednesday April 6, 2022")</f>
        <v>Sale cleaning parking lots on Wednesday April 6, 2022</v>
      </c>
    </row>
    <row r="1017">
      <c r="A1017" s="19" t="s">
        <v>882</v>
      </c>
      <c r="B1017" s="20" t="str">
        <f>IFERROR(__xludf.DUMMYFUNCTION("GOOGLETRANSLATE(A1017, ""fr"", ""en"")"),"Sale cleaning parking lots of Wednesday, May 4, 2022")</f>
        <v>Sale cleaning parking lots of Wednesday, May 4, 2022</v>
      </c>
    </row>
    <row r="1018">
      <c r="A1018" s="19" t="s">
        <v>880</v>
      </c>
      <c r="B1018" s="20" t="str">
        <f>IFERROR(__xludf.DUMMYFUNCTION("GOOGLETRANSLATE(A1018, ""fr"", ""en"")"),"Sale cleaning parking lots on Friday April 1, 2022")</f>
        <v>Sale cleaning parking lots on Friday April 1, 2022</v>
      </c>
    </row>
    <row r="1019">
      <c r="A1019" s="19" t="s">
        <v>883</v>
      </c>
      <c r="B1019" s="20" t="str">
        <f>IFERROR(__xludf.DUMMYFUNCTION("GOOGLETRANSLATE(A1019, ""fr"", ""en"")"),"Sale cleaning parking lots of Wednesday, May 11, 2022")</f>
        <v>Sale cleaning parking lots of Wednesday, May 11, 2022</v>
      </c>
    </row>
    <row r="1020">
      <c r="A1020" s="19" t="s">
        <v>885</v>
      </c>
      <c r="B1020" s="20" t="str">
        <f>IFERROR(__xludf.DUMMYFUNCTION("GOOGLETRANSLATE(A1020, ""fr"", ""en"")"),"Sale cleaning parking lots on Monday May 30, 2022")</f>
        <v>Sale cleaning parking lots on Monday May 30, 2022</v>
      </c>
    </row>
    <row r="1021">
      <c r="A1021" s="19" t="s">
        <v>886</v>
      </c>
      <c r="B1021" s="20" t="str">
        <f>IFERROR(__xludf.DUMMYFUNCTION("GOOGLETRANSLATE(A1021, ""fr"", ""en"")"),"Sale cleaning of parking lots Wednesday, April 27, 2022")</f>
        <v>Sale cleaning of parking lots Wednesday, April 27, 2022</v>
      </c>
    </row>
    <row r="1022">
      <c r="A1022" s="19" t="s">
        <v>887</v>
      </c>
      <c r="B1022" s="20" t="str">
        <f>IFERROR(__xludf.DUMMYFUNCTION("GOOGLETRANSLATE(A1022, ""fr"", ""en"")"),"Sale cleaning of parking lots on Friday April 29, 2022")</f>
        <v>Sale cleaning of parking lots on Friday April 29, 2022</v>
      </c>
    </row>
    <row r="1023">
      <c r="A1023" s="19" t="s">
        <v>891</v>
      </c>
      <c r="B1023" s="20" t="str">
        <f>IFERROR(__xludf.DUMMYFUNCTION("GOOGLETRANSLATE(A1023, ""fr"", ""en"")"),"Sale cleaning parking lots on Friday April 8, 2022")</f>
        <v>Sale cleaning parking lots on Friday April 8, 2022</v>
      </c>
    </row>
    <row r="1024">
      <c r="A1024" s="19" t="s">
        <v>888</v>
      </c>
      <c r="B1024" s="20" t="str">
        <f>IFERROR(__xludf.DUMMYFUNCTION("GOOGLETRANSLATE(A1024, ""fr"", ""en"")"),"Sale cleaning of parking lots on Friday April 22, 2022")</f>
        <v>Sale cleaning of parking lots on Friday April 22, 2022</v>
      </c>
    </row>
    <row r="1025">
      <c r="A1025" s="19" t="s">
        <v>889</v>
      </c>
      <c r="B1025" s="20" t="str">
        <f>IFERROR(__xludf.DUMMYFUNCTION("GOOGLETRANSLATE(A1025, ""fr"", ""en"")"),"Sale cleaning parking lots on Friday May 27, 2022")</f>
        <v>Sale cleaning parking lots on Friday May 27, 2022</v>
      </c>
    </row>
    <row r="1026">
      <c r="A1026" s="19" t="s">
        <v>890</v>
      </c>
      <c r="B1026" s="20" t="str">
        <f>IFERROR(__xludf.DUMMYFUNCTION("GOOGLETRANSLATE(A1026, ""fr"", ""en"")"),"Sale cleaning parking lots on Friday May 13, 2022")</f>
        <v>Sale cleaning parking lots on Friday May 13, 2022</v>
      </c>
    </row>
    <row r="1027">
      <c r="A1027" s="19" t="s">
        <v>868</v>
      </c>
      <c r="B1027" s="20" t="str">
        <f>IFERROR(__xludf.DUMMYFUNCTION("GOOGLETRANSLATE(A1027, ""fr"", ""en"")"),"Sale cleaning parking lots on Monday May 16, 2022")</f>
        <v>Sale cleaning parking lots on Monday May 16, 2022</v>
      </c>
    </row>
    <row r="1028">
      <c r="A1028" s="19" t="s">
        <v>892</v>
      </c>
      <c r="B1028" s="20" t="str">
        <f>IFERROR(__xludf.DUMMYFUNCTION("GOOGLETRANSLATE(A1028, ""fr"", ""en"")"),"Sale cleaning parking lots of Wednesday May 25, 2022")</f>
        <v>Sale cleaning parking lots of Wednesday May 25, 2022</v>
      </c>
    </row>
    <row r="1029">
      <c r="A1029" s="21"/>
      <c r="B1029" s="20" t="str">
        <f>IFERROR(__xludf.DUMMYFUNCTION("GOOGLETRANSLATE(A1029, ""fr"", ""en"")"),"#VALUE!")</f>
        <v>#VALUE!</v>
      </c>
    </row>
    <row r="1030">
      <c r="A1030" s="19" t="s">
        <v>1049</v>
      </c>
      <c r="B1030" s="20" t="str">
        <f>IFERROR(__xludf.DUMMYFUNCTION("GOOGLETRANSLATE(A1030, ""fr"", ""en"")"),"At3 checklist 2807")</f>
        <v>At3 checklist 2807</v>
      </c>
    </row>
    <row r="1031">
      <c r="A1031" s="19" t="s">
        <v>895</v>
      </c>
      <c r="B1031" s="20" t="str">
        <f>IFERROR(__xludf.DUMMYFUNCTION("GOOGLETRANSLATE(A1031, ""fr"", ""en"")"),"SPM sale with DS Smith panels, to be released S17
 For :
 - Recover the new BBQ panels, for DS Smith
 - Remove and destroy the DS Smith panel (Caddies rack) that in place.
 - Put the new panel in place BBQ fan side
 For information :
 - panels ava"&amp;"ilable to the Consomag cell")</f>
        <v>SPM sale with DS Smith panels, to be released S17
 For :
 - Recover the new BBQ panels, for DS Smith
 - Remove and destroy the DS Smith panel (Caddies rack) that in place.
 - Put the new panel in place BBQ fan side
 For information :
 - panels available to the Consomag cell</v>
      </c>
    </row>
    <row r="1032">
      <c r="A1032" s="19" t="s">
        <v>1050</v>
      </c>
      <c r="B1032" s="20" t="str">
        <f>IFERROR(__xludf.DUMMYFUNCTION("GOOGLETRANSLATE(A1032, ""fr"", ""en"")"),"AT3 quarterly checklist 2807")</f>
        <v>AT3 quarterly checklist 2807</v>
      </c>
    </row>
    <row r="1033">
      <c r="A1033" s="19" t="s">
        <v>1051</v>
      </c>
      <c r="B1033" s="20" t="str">
        <f>IFERROR(__xludf.DUMMYFUNCTION("GOOGLETRANSLATE(A1033, ""fr"", ""en"")"),"Complete store cleaning")</f>
        <v>Complete store cleaning</v>
      </c>
    </row>
    <row r="1034">
      <c r="A1034" s="19" t="s">
        <v>897</v>
      </c>
      <c r="B1034" s="20" t="str">
        <f>IFERROR(__xludf.DUMMYFUNCTION("GOOGLETRANSLATE(A1034, ""fr"", ""en"")"),"Sale - Cleaning of car parks on Friday September 30, 2022")</f>
        <v>Sale - Cleaning of car parks on Friday September 30, 2022</v>
      </c>
    </row>
    <row r="1035">
      <c r="A1035" s="21"/>
      <c r="B1035" s="20" t="str">
        <f>IFERROR(__xludf.DUMMYFUNCTION("GOOGLETRANSLATE(A1035, ""fr"", ""en"")"),"#VALUE!")</f>
        <v>#VALUE!</v>
      </c>
    </row>
    <row r="1036">
      <c r="A1036" s="19" t="s">
        <v>1052</v>
      </c>
      <c r="B1036" s="20" t="str">
        <f>IFERROR(__xludf.DUMMYFUNCTION("GOOGLETRANSLATE(A1036, ""fr"", ""en"")"),"Sale Illzach 2807 - Sierentz 2235, Friday August 26, 2022 (date to be observed)
 For :
 - Recover on the SPM of Illzach 2807, 1 Station B5/B10 left and 4 Rolls
 - Reduce this material in the V2 of the Sierentz 2235 SPM
 For info: To be done on 08/26")</f>
        <v>Sale Illzach 2807 - Sierentz 2235, Friday August 26, 2022 (date to be observed)
 For :
 - Recover on the SPM of Illzach 2807, 1 Station B5/B10 left and 4 Rolls
 - Reduce this material in the V2 of the Sierentz 2235 SPM
 For info: To be done on 08/26</v>
      </c>
    </row>
    <row r="1037">
      <c r="A1037" s="19" t="s">
        <v>898</v>
      </c>
      <c r="B1037" s="20" t="str">
        <f>IFERROR(__xludf.DUMMYFUNCTION("GOOGLETRANSLATE(A1037, ""fr"", ""en"")"),"Sale cleaning of parking lots on Wednesday October 7, 2022")</f>
        <v>Sale cleaning of parking lots on Wednesday October 7, 2022</v>
      </c>
    </row>
    <row r="1038">
      <c r="A1038" s="19" t="s">
        <v>899</v>
      </c>
      <c r="B1038" s="20" t="str">
        <f>IFERROR(__xludf.DUMMYFUNCTION("GOOGLETRANSLATE(A1038, ""fr"", ""en"")"),"Sale cleaning of parking lots Wednesday, November 2, 2022")</f>
        <v>Sale cleaning of parking lots Wednesday, November 2, 2022</v>
      </c>
    </row>
    <row r="1039">
      <c r="A1039" s="19" t="s">
        <v>900</v>
      </c>
      <c r="B1039" s="20" t="str">
        <f>IFERROR(__xludf.DUMMYFUNCTION("GOOGLETRANSLATE(A1039, ""fr"", ""en"")"),"Sale cleaning parking lots of Wednesday August 31, 2022")</f>
        <v>Sale cleaning parking lots of Wednesday August 31, 2022</v>
      </c>
    </row>
    <row r="1040">
      <c r="A1040" s="19" t="s">
        <v>901</v>
      </c>
      <c r="B1040" s="20" t="str">
        <f>IFERROR(__xludf.DUMMYFUNCTION("GOOGLETRANSLATE(A1040, ""fr"", ""en"")"),"Sale cleaning of parking lots on Friday September 2, 2022")</f>
        <v>Sale cleaning of parking lots on Friday September 2, 2022</v>
      </c>
    </row>
    <row r="1041">
      <c r="A1041" s="19" t="s">
        <v>902</v>
      </c>
      <c r="B1041" s="20" t="str">
        <f>IFERROR(__xludf.DUMMYFUNCTION("GOOGLETRANSLATE(A1041, ""fr"", ""en"")"),"Sale cleaning of parking lots on Friday March 25, 2022")</f>
        <v>Sale cleaning of parking lots on Friday March 25, 2022</v>
      </c>
    </row>
    <row r="1042">
      <c r="A1042" s="21"/>
      <c r="B1042" s="20" t="str">
        <f>IFERROR(__xludf.DUMMYFUNCTION("GOOGLETRANSLATE(A1042, ""fr"", ""en"")"),"#VALUE!")</f>
        <v>#VALUE!</v>
      </c>
    </row>
    <row r="1043">
      <c r="A1043" s="19" t="s">
        <v>1053</v>
      </c>
      <c r="B1043" s="20" t="str">
        <f>IFERROR(__xludf.DUMMYFUNCTION("GOOGLETRANSLATE(A1043, ""fr"", ""en"")"),"Sale Monday March 28, 2022, from 7:30 p.m.
 For :
 - Disassemble and condition on palette the cash table n ° 1
 - Raise axes instead and set up the alcohol family
 - Implement the block or has been removed the alcohol
 For information :
 - The equip"&amp;"ment will be in reserve
 - The implanters will be present
 - The plans will follow by email")</f>
        <v>Sale Monday March 28, 2022, from 7:30 p.m.
 For :
 - Disassemble and condition on palette the cash table n ° 1
 - Raise axes instead and set up the alcohol family
 - Implement the block or has been removed the alcohol
 For information :
 - The equipment will be in reserve
 - The implanters will be present
 - The plans will follow by email</v>
      </c>
    </row>
    <row r="1044">
      <c r="A1044" s="19" t="s">
        <v>903</v>
      </c>
      <c r="B1044" s="20" t="str">
        <f>IFERROR(__xludf.DUMMYFUNCTION("GOOGLETRANSLATE(A1044, ""fr"", ""en"")"),"Sale cleaning parking lots of Wednesday March 23, 2022")</f>
        <v>Sale cleaning parking lots of Wednesday March 23, 2022</v>
      </c>
    </row>
    <row r="1045">
      <c r="A1045" s="19" t="s">
        <v>904</v>
      </c>
      <c r="B1045" s="20" t="str">
        <f>IFERROR(__xludf.DUMMYFUNCTION("GOOGLETRANSLATE(A1045, ""fr"", ""en"")"),"Sale cleaning parking lots on Monday March 28, 2022")</f>
        <v>Sale cleaning parking lots on Monday March 28, 2022</v>
      </c>
    </row>
    <row r="1046">
      <c r="A1046" s="19" t="s">
        <v>905</v>
      </c>
      <c r="B1046" s="20" t="str">
        <f>IFERROR(__xludf.DUMMYFUNCTION("GOOGLETRANSLATE(A1046, ""fr"", ""en"")"),"Sale cleaning parking lots of Wednesday March 30, 2022")</f>
        <v>Sale cleaning parking lots of Wednesday March 30, 2022</v>
      </c>
    </row>
    <row r="1047">
      <c r="A1047" s="19" t="s">
        <v>1054</v>
      </c>
      <c r="B1047" s="20" t="str">
        <f>IFERROR(__xludf.DUMMYFUNCTION("GOOGLETRANSLATE(A1047, ""fr"", ""en"")"),"SALE SPM E ILLZACH, Thursday April 14, 2022
 For :
 - Put panels on the CF+ Fresh")</f>
        <v>SALE SPM E ILLZACH, Thursday April 14, 2022
 For :
 - Put panels on the CF+ Fresh</v>
      </c>
    </row>
    <row r="1048">
      <c r="A1048" s="19" t="s">
        <v>927</v>
      </c>
      <c r="B1048" s="20" t="str">
        <f>IFERROR(__xludf.DUMMYFUNCTION("GOOGLETRANSLATE(A1048, ""fr"", ""en"")"),"Sale on Thursday or Friday of the week indicated, (CFs are replaced on Monday, Tuesday and Wednesday)
 For :
 - Implementation of VVP and fresh, vertical panels on the doors. "" costs ""
 - Implementation of VVP and vertical freshly ""fresh"" panels
 -"&amp;" Installation of vertical fl.
 - Installation of vertical panels inside ""fl""
 - Paste the ""Removing sale"" panel in the CF ""Fresh"" (if this panel is not present in another place)
 - Paste a CF panel on one of the two doors (visual below)
 For info"&amp;"rmation :
 - You collect the panels with the consomag cell
 - You collect the adhesives from the Consomag cell")</f>
        <v>Sale on Thursday or Friday of the week indicated, (CFs are replaced on Monday, Tuesday and Wednesday)
 For :
 - Implementation of VVP and fresh, vertical panels on the doors. " costs "
 - Implementation of VVP and vertical freshly "fresh" panels
 - Installation of vertical fl.
 - Installation of vertical panels inside "fl"
 - Paste the "Removing sale" panel in the CF "Fresh" (if this panel is not present in another place)
 - Paste a CF panel on one of the two doors (visual below)
 For information :
 - You collect the panels with the consomag cell
 - You collect the adhesives from the Consomag cell</v>
      </c>
    </row>
    <row r="1049">
      <c r="A1049" s="21"/>
      <c r="B1049" s="20" t="str">
        <f>IFERROR(__xludf.DUMMYFUNCTION("GOOGLETRANSLATE(A1049, ""fr"", ""en"")"),"#VALUE!")</f>
        <v>#VALUE!</v>
      </c>
    </row>
    <row r="1050">
      <c r="A1050" s="21"/>
      <c r="B1050" s="20" t="str">
        <f>IFERROR(__xludf.DUMMYFUNCTION("GOOGLETRANSLATE(A1050, ""fr"", ""en"")"),"#VALUE!")</f>
        <v>#VALUE!</v>
      </c>
    </row>
    <row r="1051">
      <c r="A1051" s="21"/>
      <c r="B1051" s="20" t="str">
        <f>IFERROR(__xludf.DUMMYFUNCTION("GOOGLETRANSLATE(A1051, ""fr"", ""en"")"),"#VALUE!")</f>
        <v>#VALUE!</v>
      </c>
    </row>
    <row r="1052">
      <c r="A1052" s="19" t="s">
        <v>907</v>
      </c>
      <c r="B1052" s="20" t="str">
        <f>IFERROR(__xludf.DUMMYFUNCTION("GOOGLETRANSLATE(A1052, ""fr"", ""en"")"),"Sale - Recover new panels from the Consomag cell
 - Remove the Visual Fair from the wines in place and destroy it
 - Set up the visual ""She is her 2nd life"" (and not Lidl recruits)
 For information :
 - keep me informed of the day of intervention")</f>
        <v>Sale - Recover new panels from the Consomag cell
 - Remove the Visual Fair from the wines in place and destroy it
 - Set up the visual "She is her 2nd life" (and not Lidl recruits)
 For information :
 - keep me informed of the day of intervention</v>
      </c>
    </row>
    <row r="1053">
      <c r="A1053" s="21"/>
      <c r="B1053" s="20" t="str">
        <f>IFERROR(__xludf.DUMMYFUNCTION("GOOGLETRANSLATE(A1053, ""fr"", ""en"")"),"#VALUE!")</f>
        <v>#VALUE!</v>
      </c>
    </row>
    <row r="1054">
      <c r="A1054" s="21"/>
      <c r="B1054" s="20" t="str">
        <f>IFERROR(__xludf.DUMMYFUNCTION("GOOGLETRANSLATE(A1054, ""fr"", ""en"")"),"#VALUE!")</f>
        <v>#VALUE!</v>
      </c>
    </row>
    <row r="1055">
      <c r="A1055" s="19" t="s">
        <v>914</v>
      </c>
      <c r="B1055" s="20" t="str">
        <f>IFERROR(__xludf.DUMMYFUNCTION("GOOGLETRANSLATE(A1055, ""fr"", ""en"")"),"Sale cleaning of parking lots on Friday June 24, 2022")</f>
        <v>Sale cleaning of parking lots on Friday June 24, 2022</v>
      </c>
    </row>
    <row r="1056">
      <c r="A1056" s="19" t="s">
        <v>915</v>
      </c>
      <c r="B1056" s="20" t="str">
        <f>IFERROR(__xludf.DUMMYFUNCTION("GOOGLETRANSLATE(A1056, ""fr"", ""en"")"),"Sale cleaning of parking lots Wednesday July 6, 2022")</f>
        <v>Sale cleaning of parking lots Wednesday July 6, 2022</v>
      </c>
    </row>
    <row r="1057">
      <c r="A1057" s="19" t="s">
        <v>1055</v>
      </c>
      <c r="B1057" s="20" t="str">
        <f>IFERROR(__xludf.DUMMYFUNCTION("GOOGLETRANSLATE(A1057, ""fr"", ""en"")"),"Sale Nuits surveillance from August 04, 2022. Storeserver migration")</f>
        <v>Sale Nuits surveillance from August 04, 2022. Storeserver migration</v>
      </c>
    </row>
    <row r="1058">
      <c r="A1058" s="19" t="s">
        <v>1049</v>
      </c>
      <c r="B1058" s="20" t="str">
        <f>IFERROR(__xludf.DUMMYFUNCTION("GOOGLETRANSLATE(A1058, ""fr"", ""en"")"),"At3 checklist 2807")</f>
        <v>At3 checklist 2807</v>
      </c>
    </row>
    <row r="1059">
      <c r="A1059" s="19" t="s">
        <v>1049</v>
      </c>
      <c r="B1059" s="20" t="str">
        <f>IFERROR(__xludf.DUMMYFUNCTION("GOOGLETRANSLATE(A1059, ""fr"", ""en"")"),"At3 checklist 2807")</f>
        <v>At3 checklist 2807</v>
      </c>
    </row>
    <row r="1060">
      <c r="A1060" s="19" t="s">
        <v>919</v>
      </c>
      <c r="B1060" s="20" t="str">
        <f>IFERROR(__xludf.DUMMYFUNCTION("GOOGLETRANSLATE(A1060, ""fr"", ""en"")"),"Sale for:
 - move the DD of PDT to the back of the FL
 - Check the wires of LEDs FL (if default, replace)
 - Carry out red marking on the ground in the reserve
 For info: you take the material at the consomag cell")</f>
        <v>Sale for:
 - move the DD of PDT to the back of the FL
 - Check the wires of LEDs FL (if default, replace)
 - Carry out red marking on the ground in the reserve
 For info: you take the material at the consomag cell</v>
      </c>
    </row>
    <row r="1061">
      <c r="A1061" s="19" t="s">
        <v>929</v>
      </c>
      <c r="B1061" s="20" t="str">
        <f>IFERROR(__xludf.DUMMYFUNCTION("GOOGLETRANSLATE(A1061, ""fr"", ""en"")"),"Sale cleaning of parking lots on Monday March 14, 2022")</f>
        <v>Sale cleaning of parking lots on Monday March 14, 2022</v>
      </c>
    </row>
    <row r="1062">
      <c r="A1062" s="19" t="s">
        <v>921</v>
      </c>
      <c r="B1062" s="20" t="str">
        <f>IFERROR(__xludf.DUMMYFUNCTION("GOOGLETRANSLATE(A1062, ""fr"", ""en"")"),"SPM sale with DS Smith panels (urgent)
 For :
 - Remove and destroy the posters in place
 - Put the new posters in place, on the ""favorin"" side only.
 For information :
 - posters available to the consomag cell
 - keep me informed of the impleme"&amp;"ntation dates")</f>
        <v>SPM sale with DS Smith panels (urgent)
 For :
 - Remove and destroy the posters in place
 - Put the new posters in place, on the "favorin" side only.
 For information :
 - posters available to the consomag cell
 - keep me informed of the implementation dates</v>
      </c>
    </row>
    <row r="1063">
      <c r="A1063" s="19" t="s">
        <v>922</v>
      </c>
      <c r="B1063" s="20" t="str">
        <f>IFERROR(__xludf.DUMMYFUNCTION("GOOGLETRANSLATE(A1063, ""fr"", ""en"")"),"Sale cleaning parking lots on Friday February 4, 2022")</f>
        <v>Sale cleaning parking lots on Friday February 4, 2022</v>
      </c>
    </row>
    <row r="1064">
      <c r="A1064" s="19" t="s">
        <v>923</v>
      </c>
      <c r="B1064" s="20" t="str">
        <f>IFERROR(__xludf.DUMMYFUNCTION("GOOGLETRANSLATE(A1064, ""fr"", ""en"")"),"Sale cleaning parking lots on Monday March 7, 2022")</f>
        <v>Sale cleaning parking lots on Monday March 7, 2022</v>
      </c>
    </row>
    <row r="1065">
      <c r="A1065" s="19" t="s">
        <v>924</v>
      </c>
      <c r="B1065" s="20" t="str">
        <f>IFERROR(__xludf.DUMMYFUNCTION("GOOGLETRANSLATE(A1065, ""fr"", ""en"")"),"Sale cleaning parking lots on Friday March 18, 2022")</f>
        <v>Sale cleaning parking lots on Friday March 18, 2022</v>
      </c>
    </row>
    <row r="1066">
      <c r="A1066" s="19" t="s">
        <v>925</v>
      </c>
      <c r="B1066" s="20" t="str">
        <f>IFERROR(__xludf.DUMMYFUNCTION("GOOGLETRANSLATE(A1066, ""fr"", ""en"")"),"Sale cleaning parking lots on Friday March 4, 2022")</f>
        <v>Sale cleaning parking lots on Friday March 4, 2022</v>
      </c>
    </row>
    <row r="1067">
      <c r="A1067" s="19" t="s">
        <v>926</v>
      </c>
      <c r="B1067" s="20" t="str">
        <f>IFERROR(__xludf.DUMMYFUNCTION("GOOGLETRANSLATE(A1067, ""fr"", ""en"")"),"Sale cleaning parking lots of Wednesday March 16, 2022")</f>
        <v>Sale cleaning parking lots of Wednesday March 16, 2022</v>
      </c>
    </row>
    <row r="1068">
      <c r="A1068" s="19" t="s">
        <v>928</v>
      </c>
      <c r="B1068" s="20" t="str">
        <f>IFERROR(__xludf.DUMMYFUNCTION("GOOGLETRANSLATE(A1068, ""fr"", ""en"")"),"Sale cleaning parking lots on Monday March 21, 2022")</f>
        <v>Sale cleaning parking lots on Monday March 21, 2022</v>
      </c>
    </row>
    <row r="1069">
      <c r="A1069" s="19" t="s">
        <v>920</v>
      </c>
      <c r="B1069" s="20" t="str">
        <f>IFERROR(__xludf.DUMMYFUNCTION("GOOGLETRANSLATE(A1069, ""fr"", ""en"")"),"Sale cleaning parking lots of Wednesday March 9, 2022")</f>
        <v>Sale cleaning parking lots of Wednesday March 9, 2022</v>
      </c>
    </row>
    <row r="1070">
      <c r="A1070" s="19" t="s">
        <v>930</v>
      </c>
      <c r="B1070" s="20" t="str">
        <f>IFERROR(__xludf.DUMMYFUNCTION("GOOGLETRANSLATE(A1070, ""fr"", ""en"")"),"Sale cleaning of parking lots on Wednesday April 12, 2023")</f>
        <v>Sale cleaning of parking lots on Wednesday April 12, 2023</v>
      </c>
    </row>
    <row r="1071">
      <c r="A1071" s="19" t="s">
        <v>931</v>
      </c>
      <c r="B1071" s="20" t="str">
        <f>IFERROR(__xludf.DUMMYFUNCTION("GOOGLETRANSLATE(A1071, ""fr"", ""en"")"),"Sale cleaning of parking lots on Friday March 11, 2022")</f>
        <v>Sale cleaning of parking lots on Friday March 11, 2022</v>
      </c>
    </row>
    <row r="1072">
      <c r="A1072" s="19" t="s">
        <v>932</v>
      </c>
      <c r="B1072" s="20" t="str">
        <f>IFERROR(__xludf.DUMMYFUNCTION("GOOGLETRANSLATE(A1072, ""fr"", ""en"")"),"Sale cleaning parking lots of Wednesday March 2, 2022")</f>
        <v>Sale cleaning parking lots of Wednesday March 2, 2022</v>
      </c>
    </row>
    <row r="1073">
      <c r="A1073" s="19" t="s">
        <v>1056</v>
      </c>
      <c r="B1073" s="20" t="str">
        <f>IFERROR(__xludf.DUMMYFUNCTION("GOOGLETRANSLATE(A1073, ""fr"", ""en"")"),"Sale to be made Wednesday March 16 from 6 a.m. Please clean areas: reserve, cash and fresh windows and fresh borders / grids")</f>
        <v>Sale to be made Wednesday March 16 from 6 a.m. Please clean areas: reserve, cash and fresh windows and fresh borders / grids</v>
      </c>
    </row>
    <row r="1074">
      <c r="A1074" s="19" t="s">
        <v>933</v>
      </c>
      <c r="B1074" s="20" t="str">
        <f>IFERROR(__xludf.DUMMYFUNCTION("GOOGLETRANSLATE(A1074, ""fr"", ""en"")"),"MCM 2022 tour sale")</f>
        <v>MCM 2022 tour sale</v>
      </c>
    </row>
    <row r="1075">
      <c r="A1075" s="19" t="s">
        <v>934</v>
      </c>
      <c r="B1075" s="20" t="str">
        <f>IFERROR(__xludf.DUMMYFUNCTION("GOOGLETRANSLATE(A1075, ""fr"", ""en"")"),"Sale cleaning parking lots on Friday February 11, 2022")</f>
        <v>Sale cleaning parking lots on Friday February 11, 2022</v>
      </c>
    </row>
    <row r="1076">
      <c r="A1076" s="19" t="s">
        <v>936</v>
      </c>
      <c r="B1076" s="20" t="str">
        <f>IFERROR(__xludf.DUMMYFUNCTION("GOOGLETRANSLATE(A1076, ""fr"", ""en"")"),"Sale cleaning of parking lots on Monday, February 14, 2022")</f>
        <v>Sale cleaning of parking lots on Monday, February 14, 2022</v>
      </c>
    </row>
    <row r="1077">
      <c r="A1077" s="19" t="s">
        <v>937</v>
      </c>
      <c r="B1077" s="20" t="str">
        <f>IFERROR(__xludf.DUMMYFUNCTION("GOOGLETRANSLATE(A1077, ""fr"", ""en"")"),"Sale cleaning of parking lots Wednesday, February 16, 2022")</f>
        <v>Sale cleaning of parking lots Wednesday, February 16, 2022</v>
      </c>
    </row>
    <row r="1078">
      <c r="A1078" s="19" t="s">
        <v>938</v>
      </c>
      <c r="B1078" s="20" t="str">
        <f>IFERROR(__xludf.DUMMYFUNCTION("GOOGLETRANSLATE(A1078, ""fr"", ""en"")"),"Sale cleaning of parking lots Wednesday, February 23, 2022")</f>
        <v>Sale cleaning of parking lots Wednesday, February 23, 2022</v>
      </c>
    </row>
    <row r="1079">
      <c r="A1079" s="19" t="s">
        <v>939</v>
      </c>
      <c r="B1079" s="20" t="str">
        <f>IFERROR(__xludf.DUMMYFUNCTION("GOOGLETRANSLATE(A1079, ""fr"", ""en"")"),"Sale cleaning of car parks on Friday February 18. Attention visit planned on the SPM 234, 2820, 3862 and 4046, prioritize these 4 SPMs, please present to you on the first at 6 a.m., the SPM 234 will have to be done after the other 3.")</f>
        <v>Sale cleaning of car parks on Friday February 18. Attention visit planned on the SPM 234, 2820, 3862 and 4046, prioritize these 4 SPMs, please present to you on the first at 6 a.m., the SPM 234 will have to be done after the other 3.</v>
      </c>
    </row>
    <row r="1080">
      <c r="A1080" s="19" t="s">
        <v>940</v>
      </c>
      <c r="B1080" s="20" t="str">
        <f>IFERROR(__xludf.DUMMYFUNCTION("GOOGLETRANSLATE(A1080, ""fr"", ""en"")"),"Sale cleaning parking lots on Friday February 25, 2022")</f>
        <v>Sale cleaning parking lots on Friday February 25, 2022</v>
      </c>
    </row>
    <row r="1081">
      <c r="A1081" s="19" t="s">
        <v>941</v>
      </c>
      <c r="B1081" s="20" t="str">
        <f>IFERROR(__xludf.DUMMYFUNCTION("GOOGLETRANSLATE(A1081, ""fr"", ""en"")"),"Sale cleaning of parking lots on Monday, February 21, 2022")</f>
        <v>Sale cleaning of parking lots on Monday, February 21, 2022</v>
      </c>
    </row>
    <row r="1082">
      <c r="A1082" s="19" t="s">
        <v>1057</v>
      </c>
      <c r="B1082" s="20" t="str">
        <f>IFERROR(__xludf.DUMMYFUNCTION("GOOGLETRANSLATE(A1082, ""fr"", ""en"")"),"Sale for:
 - Implementation of dry axes in the CF-
 - Put 1 level of shelves 62 cm per axis (with price strip)
 For information :
 - You take the material at the Consomag cell
 - No melamine to set up
 - No podiums to put
 - Request validation of the l"&amp;"ocation from the manager of the present SPM.
 - You have received the detail by email")</f>
        <v>Sale for:
 - Implementation of dry axes in the CF-
 - Put 1 level of shelves 62 cm per axis (with price strip)
 For information :
 - You take the material at the Consomag cell
 - No melamine to set up
 - No podiums to put
 - Request validation of the location from the manager of the present SPM.
 - You have received the detail by email</v>
      </c>
    </row>
    <row r="1083">
      <c r="A1083" s="19" t="s">
        <v>935</v>
      </c>
      <c r="B1083" s="20" t="str">
        <f>IFERROR(__xludf.DUMMYFUNCTION("GOOGLETRANSLATE(A1083, ""fr"", ""en"")"),"MAJ SALE CONCEPT CO")</f>
        <v>MAJ SALE CONCEPT CO</v>
      </c>
    </row>
    <row r="1084">
      <c r="A1084" s="19" t="s">
        <v>942</v>
      </c>
      <c r="B1084" s="20" t="str">
        <f>IFERROR(__xludf.DUMMYFUNCTION("GOOGLETRANSLATE(A1084, ""fr"", ""en"")"),"Sale cleaning of parking lots on Wednesday, February 9, 2022")</f>
        <v>Sale cleaning of parking lots on Wednesday, February 9, 2022</v>
      </c>
    </row>
    <row r="1085">
      <c r="A1085" s="19" t="s">
        <v>943</v>
      </c>
      <c r="B1085" s="20" t="str">
        <f>IFERROR(__xludf.DUMMYFUNCTION("GOOGLETRANSLATE(A1085, ""fr"", ""en"")"),"Sale cleaning of parking lots on Monday, February 28, 2022")</f>
        <v>Sale cleaning of parking lots on Monday, February 28, 2022</v>
      </c>
    </row>
    <row r="1086">
      <c r="A1086" s="19" t="s">
        <v>944</v>
      </c>
      <c r="B1086" s="20" t="str">
        <f>IFERROR(__xludf.DUMMYFUNCTION("GOOGLETRANSLATE(A1086, ""fr"", ""en"")"),"Sale cleaning parking lots of Wednesday September 7, 2022")</f>
        <v>Sale cleaning parking lots of Wednesday September 7, 2022</v>
      </c>
    </row>
    <row r="1087">
      <c r="A1087" s="19" t="s">
        <v>1058</v>
      </c>
      <c r="B1087" s="20" t="str">
        <f>IFERROR(__xludf.DUMMYFUNCTION("GOOGLETRANSLATE(A1087, ""fr"", ""en"")"),"At3 check list 2807")</f>
        <v>At3 check list 2807</v>
      </c>
    </row>
    <row r="1088">
      <c r="A1088" s="19" t="s">
        <v>945</v>
      </c>
      <c r="B1088" s="20" t="str">
        <f>IFERROR(__xludf.DUMMYFUNCTION("GOOGLETRANSLATE(A1088, ""fr"", ""en"")"),"Sale cleaning of parking lots on Monday September 19, 2022")</f>
        <v>Sale cleaning of parking lots on Monday September 19, 2022</v>
      </c>
    </row>
    <row r="1089">
      <c r="A1089" s="19" t="s">
        <v>1048</v>
      </c>
      <c r="B1089" s="20" t="str">
        <f>IFERROR(__xludf.DUMMYFUNCTION("GOOGLETRANSLATE(A1089, ""fr"", ""en"")"),"AT3 CHECK LIST quarterly 2807")</f>
        <v>AT3 CHECK LIST quarterly 2807</v>
      </c>
    </row>
    <row r="1090">
      <c r="A1090" s="19" t="s">
        <v>946</v>
      </c>
      <c r="B1090" s="20" t="str">
        <f>IFERROR(__xludf.DUMMYFUNCTION("GOOGLETRANSLATE(A1090, ""fr"", ""en"")"),"Sale cleaning parking lots of Wednesday March 29, 2023")</f>
        <v>Sale cleaning parking lots of Wednesday March 29, 2023</v>
      </c>
    </row>
    <row r="1091">
      <c r="A1091" s="19" t="s">
        <v>950</v>
      </c>
      <c r="B1091" s="20" t="str">
        <f>IFERROR(__xludf.DUMMYFUNCTION("GOOGLETRANSLATE(A1091, ""fr"", ""en"")"),"SPM sale with DS Smith panels (Caddie Rack), S35 midfielder,
 For :
 - Remove and destroy the visual in place
 - Set up the new visual (wine fair)
 For info: visual wine fair available at the consomag cell")</f>
        <v>SPM sale with DS Smith panels (Caddie Rack), S35 midfielder,
 For :
 - Remove and destroy the visual in place
 - Set up the new visual (wine fair)
 For info: visual wine fair available at the consomag cell</v>
      </c>
    </row>
    <row r="1092">
      <c r="A1092" s="19" t="s">
        <v>951</v>
      </c>
      <c r="B1092" s="20" t="str">
        <f>IFERROR(__xludf.DUMMYFUNCTION("GOOGLETRANSLATE(A1092, ""fr"", ""en"")"),"Sale cleaning of parking lots on Monday August 29, 2022")</f>
        <v>Sale cleaning of parking lots on Monday August 29, 2022</v>
      </c>
    </row>
    <row r="1093">
      <c r="A1093" s="19" t="s">
        <v>952</v>
      </c>
      <c r="B1093" s="20" t="str">
        <f>IFERROR(__xludf.DUMMYFUNCTION("GOOGLETRANSLATE(A1093, ""fr"", ""en"")"),"Sale cleaning of parking lots on Friday August 26, 2022")</f>
        <v>Sale cleaning of parking lots on Friday August 26, 2022</v>
      </c>
    </row>
    <row r="1094">
      <c r="A1094" s="19" t="s">
        <v>1059</v>
      </c>
      <c r="B1094" s="20" t="str">
        <f>IFERROR(__xludf.DUMMYFUNCTION("GOOGLETRANSLATE(A1094, ""fr"", ""en"")"),"HS HS input pump, to change")</f>
        <v>HS HS input pump, to change</v>
      </c>
    </row>
    <row r="1095">
      <c r="A1095" s="19" t="s">
        <v>1060</v>
      </c>
      <c r="B1095" s="20" t="str">
        <f>IFERROR(__xludf.DUMMYFUNCTION("GOOGLETRANSLATE(A1095, ""fr"", ""en"")"),"Various Sale Service RMR Taken Monday 20/03/2023
 Mount 4 axes for material storage in the V2 in the continuity of the existing. Equipment already on site")</f>
        <v>Various Sale Service RMR Taken Monday 20/03/2023
 Mount 4 axes for material storage in the V2 in the continuity of the existing. Equipment already on site</v>
      </c>
    </row>
    <row r="1096">
      <c r="A1096" s="21"/>
      <c r="B1096" s="20" t="str">
        <f>IFERROR(__xludf.DUMMYFUNCTION("GOOGLETRANSLATE(A1096, ""fr"", ""en"")"),"#VALUE!")</f>
        <v>#VALUE!</v>
      </c>
    </row>
    <row r="1097">
      <c r="A1097" s="19" t="s">
        <v>1049</v>
      </c>
      <c r="B1097" s="20" t="str">
        <f>IFERROR(__xludf.DUMMYFUNCTION("GOOGLETRANSLATE(A1097, ""fr"", ""en"")"),"At3 checklist 2807")</f>
        <v>At3 checklist 2807</v>
      </c>
    </row>
    <row r="1098">
      <c r="A1098" s="19" t="s">
        <v>1050</v>
      </c>
      <c r="B1098" s="20" t="str">
        <f>IFERROR(__xludf.DUMMYFUNCTION("GOOGLETRANSLATE(A1098, ""fr"", ""en"")"),"AT3 quarterly checklist 2807")</f>
        <v>AT3 quarterly checklist 2807</v>
      </c>
    </row>
    <row r="1099">
      <c r="A1099" s="19" t="s">
        <v>953</v>
      </c>
      <c r="B1099" s="20" t="str">
        <f>IFERROR(__xludf.DUMMYFUNCTION("GOOGLETRANSLATE(A1099, ""fr"", ""en"")"),"Sale cleaning of parking lots on Monday, February 7, 2022")</f>
        <v>Sale cleaning of parking lots on Monday, February 7, 2022</v>
      </c>
    </row>
    <row r="1100">
      <c r="A1100" s="19" t="s">
        <v>954</v>
      </c>
      <c r="B1100" s="20" t="str">
        <f>IFERROR(__xludf.DUMMYFUNCTION("GOOGLETRANSLATE(A1100, ""fr"", ""en"")"),"Sale cleaning parking lots on Monday January 31, 2022")</f>
        <v>Sale cleaning parking lots on Monday January 31, 2022</v>
      </c>
    </row>
    <row r="1101">
      <c r="A1101" s="19" t="s">
        <v>955</v>
      </c>
      <c r="B1101" s="20" t="str">
        <f>IFERROR(__xludf.DUMMYFUNCTION("GOOGLETRANSLATE(A1101, ""fr"", ""en"")"),"Sale cleaning parking lots of Wednesday, January 26, 2022")</f>
        <v>Sale cleaning parking lots of Wednesday, January 26, 2022</v>
      </c>
    </row>
    <row r="1102">
      <c r="A1102" s="19" t="s">
        <v>956</v>
      </c>
      <c r="B1102" s="20" t="str">
        <f>IFERROR(__xludf.DUMMYFUNCTION("GOOGLETRANSLATE(A1102, ""fr"", ""en"")"),"Sale cleaning of parking lots on Monday January 10, 2022")</f>
        <v>Sale cleaning of parking lots on Monday January 10, 2022</v>
      </c>
    </row>
    <row r="1103">
      <c r="A1103" s="19" t="s">
        <v>957</v>
      </c>
      <c r="B1103" s="20" t="str">
        <f>IFERROR(__xludf.DUMMYFUNCTION("GOOGLETRANSLATE(A1103, ""fr"", ""en"")"),"Sale cleaning of parking lots on Monday, January 24, 2022")</f>
        <v>Sale cleaning of parking lots on Monday, January 24, 2022</v>
      </c>
    </row>
    <row r="1104">
      <c r="A1104" s="19" t="s">
        <v>958</v>
      </c>
      <c r="B1104" s="20" t="str">
        <f>IFERROR(__xludf.DUMMYFUNCTION("GOOGLETRANSLATE(A1104, ""fr"", ""en"")"),"Sale cleaning parking lots on Wednesday February 2, 2022")</f>
        <v>Sale cleaning parking lots on Wednesday February 2, 2022</v>
      </c>
    </row>
    <row r="1105">
      <c r="A1105" s="19" t="s">
        <v>959</v>
      </c>
      <c r="B1105" s="20" t="str">
        <f>IFERROR(__xludf.DUMMYFUNCTION("GOOGLETRANSLATE(A1105, ""fr"", ""en"")"),"Sale cleaning of parking lots Wednesday January 12, 2022")</f>
        <v>Sale cleaning of parking lots Wednesday January 12, 2022</v>
      </c>
    </row>
    <row r="1106">
      <c r="A1106" s="19" t="s">
        <v>960</v>
      </c>
      <c r="B1106" s="20" t="str">
        <f>IFERROR(__xludf.DUMMYFUNCTION("GOOGLETRANSLATE(A1106, ""fr"", ""en"")"),"Sale cleaning parking lots on Monday January 17, 2022")</f>
        <v>Sale cleaning parking lots on Monday January 17, 2022</v>
      </c>
    </row>
    <row r="1107">
      <c r="A1107" s="19" t="s">
        <v>962</v>
      </c>
      <c r="B1107" s="20" t="str">
        <f>IFERROR(__xludf.DUMMYFUNCTION("GOOGLETRANSLATE(A1107, ""fr"", ""en"")"),"Sale cleaning parking lots on Friday August 12, 2022")</f>
        <v>Sale cleaning parking lots on Friday August 12, 2022</v>
      </c>
    </row>
    <row r="1108">
      <c r="A1108" s="19" t="s">
        <v>968</v>
      </c>
      <c r="B1108" s="20" t="str">
        <f>IFERROR(__xludf.DUMMYFUNCTION("GOOGLETRANSLATE(A1108, ""fr"", ""en"")"),"Tournate sale
 For :
 - Make SPM turned before 19/08.
 For information :
 - Take all the material at the Consomag cell from 07/22
 - The equipment necessary for frozen as well as fresh adhesives will be delivered later. An email will be sent to you "&amp;"from the moment it is available at Conomag.
 - The list of SPMs and points to be performed are in PJ")</f>
        <v>Tournate sale
 For :
 - Make SPM turned before 19/08.
 For information :
 - Take all the material at the Consomag cell from 07/22
 - The equipment necessary for frozen as well as fresh adhesives will be delivered later. An email will be sent to you from the moment it is available at Conomag.
 - The list of SPMs and points to be performed are in PJ</v>
      </c>
    </row>
    <row r="1109">
      <c r="A1109" s="19" t="s">
        <v>963</v>
      </c>
      <c r="B1109" s="20" t="str">
        <f>IFERROR(__xludf.DUMMYFUNCTION("GOOGLETRANSLATE(A1109, ""fr"", ""en"")"),"Sale cleaning of the Verdredi parking lots August 19, 2022")</f>
        <v>Sale cleaning of the Verdredi parking lots August 19, 2022</v>
      </c>
    </row>
    <row r="1110">
      <c r="A1110" s="19" t="s">
        <v>964</v>
      </c>
      <c r="B1110" s="20" t="str">
        <f>IFERROR(__xludf.DUMMYFUNCTION("GOOGLETRANSLATE(A1110, ""fr"", ""en"")"),"Sale cleaning of parking lots on Monday August 22, 2022")</f>
        <v>Sale cleaning of parking lots on Monday August 22, 2022</v>
      </c>
    </row>
    <row r="1111">
      <c r="A1111" s="19" t="s">
        <v>966</v>
      </c>
      <c r="B1111" s="20" t="str">
        <f>IFERROR(__xludf.DUMMYFUNCTION("GOOGLETRANSLATE(A1111, ""fr"", ""en"")"),"Sale cleaning of parking lots Wednesday, August 10, 2022")</f>
        <v>Sale cleaning of parking lots Wednesday, August 10, 2022</v>
      </c>
    </row>
    <row r="1112">
      <c r="A1112" s="19" t="s">
        <v>965</v>
      </c>
      <c r="B1112" s="20" t="str">
        <f>IFERROR(__xludf.DUMMYFUNCTION("GOOGLETRANSLATE(A1112, ""fr"", ""en"")"),"Sale cleaning parking lots on Wednesday August 24, 2022")</f>
        <v>Sale cleaning parking lots on Wednesday August 24, 2022</v>
      </c>
    </row>
    <row r="1113">
      <c r="A1113" s="19" t="s">
        <v>967</v>
      </c>
      <c r="B1113" s="20" t="str">
        <f>IFERROR(__xludf.DUMMYFUNCTION("GOOGLETRANSLATE(A1113, ""fr"", ""en"")"),"Sale cleaning parking lots of Wednesday August 17, 2022")</f>
        <v>Sale cleaning parking lots of Wednesday August 17, 2022</v>
      </c>
    </row>
    <row r="1114">
      <c r="A1114" s="19" t="s">
        <v>971</v>
      </c>
      <c r="B1114" s="20" t="str">
        <f>IFERROR(__xludf.DUMMYFUNCTION("GOOGLETRANSLATE(A1114, ""fr"", ""en"")"),"Sale cleaning of parking lots Wednesday, January 5, 2022")</f>
        <v>Sale cleaning of parking lots Wednesday, January 5, 2022</v>
      </c>
    </row>
    <row r="1115">
      <c r="A1115" s="19" t="s">
        <v>970</v>
      </c>
      <c r="B1115" s="20" t="str">
        <f>IFERROR(__xludf.DUMMYFUNCTION("GOOGLETRANSLATE(A1115, ""fr"", ""en"")"),"Sale cleaning of parking lots of Wednesday January 19, 2022")</f>
        <v>Sale cleaning of parking lots of Wednesday January 19, 2022</v>
      </c>
    </row>
    <row r="1116">
      <c r="A1116" s="19" t="s">
        <v>969</v>
      </c>
      <c r="B1116" s="20" t="str">
        <f>IFERROR(__xludf.DUMMYFUNCTION("GOOGLETRANSLATE(A1116, ""fr"", ""en"")"),"Sale cleaning parking lots on Friday January 7, 2022")</f>
        <v>Sale cleaning parking lots on Friday January 7, 2022</v>
      </c>
    </row>
    <row r="1117">
      <c r="A1117" s="19" t="s">
        <v>972</v>
      </c>
      <c r="B1117" s="20" t="str">
        <f>IFERROR(__xludf.DUMMYFUNCTION("GOOGLETRANSLATE(A1117, ""fr"", ""en"")"),"SPM sale with DS Smith, to be done before Thursday, February 03, 2022,
 For :
 • Remove and throw the Lidl Plus visual
 • Put the new visual (Lidl supports producers)
 For information :
 • panels available to the Consomag cell
 • Be careful no"&amp;"t to display ""Lidl recruits""")</f>
        <v>SPM sale with DS Smith, to be done before Thursday, February 03, 2022,
 For :
 • Remove and throw the Lidl Plus visual
 • Put the new visual (Lidl supports producers)
 For information :
 • panels available to the Consomag cell
 • Be careful not to display "Lidl recruits"</v>
      </c>
    </row>
    <row r="1118">
      <c r="A1118" s="19" t="s">
        <v>973</v>
      </c>
      <c r="B1118" s="20" t="str">
        <f>IFERROR(__xludf.DUMMYFUNCTION("GOOGLETRANSLATE(A1118, ""fr"", ""en"")"),"Sale cleaning parking lots on Friday January 21, 2022")</f>
        <v>Sale cleaning parking lots on Friday January 21, 2022</v>
      </c>
    </row>
    <row r="1119">
      <c r="A1119" s="19" t="s">
        <v>974</v>
      </c>
      <c r="B1119" s="20" t="str">
        <f>IFERROR(__xludf.DUMMYFUNCTION("GOOGLETRANSLATE(A1119, ""fr"", ""en"")"),"Sale cleaning parking lots on Friday January 14, 2022")</f>
        <v>Sale cleaning parking lots on Friday January 14, 2022</v>
      </c>
    </row>
    <row r="1120">
      <c r="A1120" s="19" t="s">
        <v>975</v>
      </c>
      <c r="B1120" s="20" t="str">
        <f>IFERROR(__xludf.DUMMYFUNCTION("GOOGLETRANSLATE(A1120, ""fr"", ""en"")"),"Sale cleaning parking lots on Friday January 28, 2022")</f>
        <v>Sale cleaning parking lots on Friday January 28, 2022</v>
      </c>
    </row>
    <row r="1121">
      <c r="A1121" s="19" t="s">
        <v>976</v>
      </c>
      <c r="B1121" s="20" t="str">
        <f>IFERROR(__xludf.DUMMYFUNCTION("GOOGLETRANSLATE(A1121, ""fr"", ""en"")"),"Sale cleaning of parking lots Wednesday, June 14, 2023")</f>
        <v>Sale cleaning of parking lots Wednesday, June 14, 2023</v>
      </c>
    </row>
    <row r="1122">
      <c r="A1122" s="19" t="s">
        <v>978</v>
      </c>
      <c r="B1122" s="20" t="str">
        <f>IFERROR(__xludf.DUMMYFUNCTION("GOOGLETRANSLATE(A1122, ""fr"", ""en"")"),"Sale cleaning of parking lots on Monday May 22, 2023")</f>
        <v>Sale cleaning of parking lots on Monday May 22, 2023</v>
      </c>
    </row>
    <row r="1123">
      <c r="A1123" s="19" t="s">
        <v>980</v>
      </c>
      <c r="B1123" s="20" t="str">
        <f>IFERROR(__xludf.DUMMYFUNCTION("GOOGLETRANSLATE(A1123, ""fr"", ""en"")"),"Sale cleaning of parking lots Wednesday July 20, 2022")</f>
        <v>Sale cleaning of parking lots Wednesday July 20, 2022</v>
      </c>
    </row>
    <row r="1124">
      <c r="A1124" s="19" t="s">
        <v>981</v>
      </c>
      <c r="B1124" s="20" t="str">
        <f>IFERROR(__xludf.DUMMYFUNCTION("GOOGLETRANSLATE(A1124, ""fr"", ""en"")"),"Sale cleaning of car parks on Friday June 17, 2022")</f>
        <v>Sale cleaning of car parks on Friday June 17, 2022</v>
      </c>
    </row>
    <row r="1125">
      <c r="A1125" s="19" t="s">
        <v>982</v>
      </c>
      <c r="B1125" s="20" t="str">
        <f>IFERROR(__xludf.DUMMYFUNCTION("GOOGLETRANSLATE(A1125, ""fr"", ""en"")"),"Sale cleaning of parking lots on Friday August 5, 2022")</f>
        <v>Sale cleaning of parking lots on Friday August 5, 2022</v>
      </c>
    </row>
    <row r="1126">
      <c r="A1126" s="19" t="s">
        <v>983</v>
      </c>
      <c r="B1126" s="20" t="str">
        <f>IFERROR(__xludf.DUMMYFUNCTION("GOOGLETRANSLATE(A1126, ""fr"", ""en"")"),"Sale cleaning parking lots on Friday July 22, 2022")</f>
        <v>Sale cleaning parking lots on Friday July 22, 2022</v>
      </c>
    </row>
    <row r="1127">
      <c r="A1127" s="19" t="s">
        <v>984</v>
      </c>
      <c r="B1127" s="20" t="str">
        <f>IFERROR(__xludf.DUMMYFUNCTION("GOOGLETRANSLATE(A1127, ""fr"", ""en"")"),"Sale cleaning of parking lots on Monday August 01, 2022")</f>
        <v>Sale cleaning of parking lots on Monday August 01, 2022</v>
      </c>
    </row>
    <row r="1128">
      <c r="A1128" s="19" t="s">
        <v>985</v>
      </c>
      <c r="B1128" s="20" t="str">
        <f>IFERROR(__xludf.DUMMYFUNCTION("GOOGLETRANSLATE(A1128, ""fr"", ""en"")"),"Sale cleaning parking lots of Wednesday June 22, 2022")</f>
        <v>Sale cleaning parking lots of Wednesday June 22, 2022</v>
      </c>
    </row>
    <row r="1129">
      <c r="A1129" s="19" t="s">
        <v>986</v>
      </c>
      <c r="B1129" s="20" t="str">
        <f>IFERROR(__xludf.DUMMYFUNCTION("GOOGLETRANSLATE(A1129, ""fr"", ""en"")"),"Sale cleaning of parking lots Monday, June 20, 2022")</f>
        <v>Sale cleaning of parking lots Monday, June 20, 2022</v>
      </c>
    </row>
    <row r="1130">
      <c r="A1130" s="19" t="s">
        <v>987</v>
      </c>
      <c r="B1130" s="20" t="str">
        <f>IFERROR(__xludf.DUMMYFUNCTION("GOOGLETRANSLATE(A1130, ""fr"", ""en"")"),"Sale cleaning of parking lots on Monday August 8, 2022")</f>
        <v>Sale cleaning of parking lots on Monday August 8, 2022</v>
      </c>
    </row>
    <row r="1131">
      <c r="A1131" s="19" t="s">
        <v>1048</v>
      </c>
      <c r="B1131" s="20" t="str">
        <f>IFERROR(__xludf.DUMMYFUNCTION("GOOGLETRANSLATE(A1131, ""fr"", ""en"")"),"AT3 CHECK LIST quarterly 2807")</f>
        <v>AT3 CHECK LIST quarterly 2807</v>
      </c>
    </row>
    <row r="1132">
      <c r="A1132" s="19" t="s">
        <v>988</v>
      </c>
      <c r="B1132" s="20" t="str">
        <f>IFERROR(__xludf.DUMMYFUNCTION("GOOGLETRANSLATE(A1132, ""fr"", ""en"")"),"Sale cleaning parking lots of Wednesday July 27, 2022")</f>
        <v>Sale cleaning parking lots of Wednesday July 27, 2022</v>
      </c>
    </row>
    <row r="1133">
      <c r="A1133" s="19" t="s">
        <v>1049</v>
      </c>
      <c r="B1133" s="20" t="str">
        <f>IFERROR(__xludf.DUMMYFUNCTION("GOOGLETRANSLATE(A1133, ""fr"", ""en"")"),"At3 checklist 2807")</f>
        <v>At3 checklist 2807</v>
      </c>
    </row>
    <row r="1134">
      <c r="A1134" s="19" t="s">
        <v>989</v>
      </c>
      <c r="B1134" s="20" t="str">
        <f>IFERROR(__xludf.DUMMYFUNCTION("GOOGLETRANSLATE(A1134, ""fr"", ""en"")"),"Sale cleaning parking lots on Friday July 1, 2022")</f>
        <v>Sale cleaning parking lots on Friday July 1, 2022</v>
      </c>
    </row>
    <row r="1135">
      <c r="A1135" s="19" t="s">
        <v>990</v>
      </c>
      <c r="B1135" s="20" t="str">
        <f>IFERROR(__xludf.DUMMYFUNCTION("GOOGLETRANSLATE(A1135, ""fr"", ""en"")"),"Sale as soon as possible
 For :
 - Recover the SMITH DS panels from the Consomag cell
 - on the SPM concerned withdrawn the old visuals and destroy them (so that they are no longer replaced)
 - Put the new visual ""ice cream"" in place (on all these SP"&amp;"Ms)
 For info: the panels are available to the consomag cell")</f>
        <v>Sale as soon as possible
 For :
 - Recover the SMITH DS panels from the Consomag cell
 - on the SPM concerned withdrawn the old visuals and destroy them (so that they are no longer replaced)
 - Put the new visual "ice cream" in place (on all these SPMs)
 For info: the panels are available to the consomag cell</v>
      </c>
    </row>
    <row r="1136">
      <c r="A1136" s="19" t="s">
        <v>1002</v>
      </c>
      <c r="B1136" s="20" t="str">
        <f>IFERROR(__xludf.DUMMYFUNCTION("GOOGLETRANSLATE(A1136, ""fr"", ""en"")"),"Sale cleaning of parking lots on Wednesday August 3, 2022")</f>
        <v>Sale cleaning of parking lots on Wednesday August 3, 2022</v>
      </c>
    </row>
    <row r="1137">
      <c r="A1137" s="19" t="s">
        <v>994</v>
      </c>
      <c r="B1137" s="20" t="str">
        <f>IFERROR(__xludf.DUMMYFUNCTION("GOOGLETRANSLATE(A1137, ""fr"", ""en"")"),"Sale cleaning of parking lots on Monday July 11, 2022")</f>
        <v>Sale cleaning of parking lots on Monday July 11, 2022</v>
      </c>
    </row>
    <row r="1138">
      <c r="A1138" s="19" t="s">
        <v>993</v>
      </c>
      <c r="B1138" s="20" t="str">
        <f>IFERROR(__xludf.DUMMYFUNCTION("GOOGLETRANSLATE(A1138, ""fr"", ""en"")"),"Sale cleaning parking lots on Friday July 29, 2022")</f>
        <v>Sale cleaning parking lots on Friday July 29, 2022</v>
      </c>
    </row>
    <row r="1139">
      <c r="A1139" s="19" t="s">
        <v>992</v>
      </c>
      <c r="B1139" s="20" t="str">
        <f>IFERROR(__xludf.DUMMYFUNCTION("GOOGLETRANSLATE(A1139, ""fr"", ""en"")"),"Sale cleaning parking lots of Wednesday July 13, 2022")</f>
        <v>Sale cleaning parking lots of Wednesday July 13, 2022</v>
      </c>
    </row>
    <row r="1140">
      <c r="A1140" s="19" t="s">
        <v>995</v>
      </c>
      <c r="B1140" s="20" t="str">
        <f>IFERROR(__xludf.DUMMYFUNCTION("GOOGLETRANSLATE(A1140, ""fr"", ""en"")"),"Sale cleaning parking lots on Friday July 15, 2022")</f>
        <v>Sale cleaning parking lots on Friday July 15, 2022</v>
      </c>
    </row>
    <row r="1141">
      <c r="A1141" s="19" t="s">
        <v>996</v>
      </c>
      <c r="B1141" s="20" t="str">
        <f>IFERROR(__xludf.DUMMYFUNCTION("GOOGLETRANSLATE(A1141, ""fr"", ""en"")"),"Sale cleaning of parking lots Wednesday, June 29, 2022")</f>
        <v>Sale cleaning of parking lots Wednesday, June 29, 2022</v>
      </c>
    </row>
    <row r="1142">
      <c r="A1142" s="19" t="s">
        <v>998</v>
      </c>
      <c r="B1142" s="20" t="str">
        <f>IFERROR(__xludf.DUMMYFUNCTION("GOOGLETRANSLATE(A1142, ""fr"", ""en"")"),"Sale cleaning parking lots on Monday, June 27, 2022")</f>
        <v>Sale cleaning parking lots on Monday, June 27, 2022</v>
      </c>
    </row>
    <row r="1143">
      <c r="A1143" s="19" t="s">
        <v>997</v>
      </c>
      <c r="B1143" s="20" t="str">
        <f>IFERROR(__xludf.DUMMYFUNCTION("GOOGLETRANSLATE(A1143, ""fr"", ""en"")"),"Sale cleaning of parking lots on Monday July 18, 2022")</f>
        <v>Sale cleaning of parking lots on Monday July 18, 2022</v>
      </c>
    </row>
    <row r="1144">
      <c r="A1144" s="19" t="s">
        <v>999</v>
      </c>
      <c r="B1144" s="20" t="str">
        <f>IFERROR(__xludf.DUMMYFUNCTION("GOOGLETRANSLATE(A1144, ""fr"", ""en"")"),"Sale cleaning parking lots on Monday July 4, 2022")</f>
        <v>Sale cleaning parking lots on Monday July 4, 2022</v>
      </c>
    </row>
    <row r="1145">
      <c r="A1145" s="19" t="s">
        <v>1000</v>
      </c>
      <c r="B1145" s="20" t="str">
        <f>IFERROR(__xludf.DUMMYFUNCTION("GOOGLETRANSLATE(A1145, ""fr"", ""en"")"),"Sale cleaning of parking lots on Monday July 25, 2022")</f>
        <v>Sale cleaning of parking lots on Monday July 25, 2022</v>
      </c>
    </row>
    <row r="1146">
      <c r="A1146" s="19" t="s">
        <v>1001</v>
      </c>
      <c r="B1146" s="20" t="str">
        <f>IFERROR(__xludf.DUMMYFUNCTION("GOOGLETRANSLATE(A1146, ""fr"", ""en"")"),"Sale cleaning parking lots on Friday July 8, 2022")</f>
        <v>Sale cleaning parking lots on Friday July 8, 2022</v>
      </c>
    </row>
    <row r="1147">
      <c r="A1147" s="19" t="s">
        <v>1010</v>
      </c>
      <c r="B1147" s="20" t="str">
        <f>IFERROR(__xludf.DUMMYFUNCTION("GOOGLETRANSLATE(A1147, ""fr"", ""en"")"),"Sale cleaning parking lots of Wednesday December 14, 2022")</f>
        <v>Sale cleaning parking lots of Wednesday December 14, 2022</v>
      </c>
    </row>
    <row r="1148">
      <c r="A1148" s="19" t="s">
        <v>1011</v>
      </c>
      <c r="B1148" s="20" t="str">
        <f>IFERROR(__xludf.DUMMYFUNCTION("GOOGLETRANSLATE(A1148, ""fr"", ""en"")"),"Sale cleaning of parking lots of Wednesday, November 23, 2022")</f>
        <v>Sale cleaning of parking lots of Wednesday, November 23, 2022</v>
      </c>
    </row>
    <row r="1149">
      <c r="A1149" s="19" t="s">
        <v>1012</v>
      </c>
      <c r="B1149" s="20" t="str">
        <f>IFERROR(__xludf.DUMMYFUNCTION("GOOGLETRANSLATE(A1149, ""fr"", ""en"")"),"Sale cleaning of parking lots Wednesday, October 5, 2022")</f>
        <v>Sale cleaning of parking lots Wednesday, October 5, 2022</v>
      </c>
    </row>
    <row r="1150">
      <c r="A1150" s="19" t="s">
        <v>1013</v>
      </c>
      <c r="B1150" s="20" t="str">
        <f>IFERROR(__xludf.DUMMYFUNCTION("GOOGLETRANSLATE(A1150, ""fr"", ""en"")"),"Sale cleaning of parking lots Wednesday, September 28, 2022")</f>
        <v>Sale cleaning of parking lots Wednesday, September 28, 2022</v>
      </c>
    </row>
    <row r="1151">
      <c r="A1151" s="19" t="s">
        <v>1016</v>
      </c>
      <c r="B1151" s="20" t="str">
        <f>IFERROR(__xludf.DUMMYFUNCTION("GOOGLETRANSLATE(A1151, ""fr"", ""en"")"),"Sale of seasonal implantation")</f>
        <v>Sale of seasonal implantation</v>
      </c>
    </row>
    <row r="1152">
      <c r="A1152" s="19" t="s">
        <v>1019</v>
      </c>
      <c r="B1152" s="20" t="str">
        <f>IFERROR(__xludf.DUMMYFUNCTION("GOOGLETRANSLATE(A1152, ""fr"", ""en"")"),"Sale cleaning parking lots of Wednesday June 8, 2022")</f>
        <v>Sale cleaning parking lots of Wednesday June 8, 2022</v>
      </c>
    </row>
    <row r="1153">
      <c r="A1153" s="19" t="s">
        <v>1020</v>
      </c>
      <c r="B1153" s="20" t="str">
        <f>IFERROR(__xludf.DUMMYFUNCTION("GOOGLETRANSLATE(A1153, ""fr"", ""en"")"),"Sale cleaning parking lots on Friday June 3, 2022")</f>
        <v>Sale cleaning parking lots on Friday June 3, 2022</v>
      </c>
    </row>
    <row r="1154">
      <c r="A1154" s="19" t="s">
        <v>1021</v>
      </c>
      <c r="B1154" s="20" t="str">
        <f>IFERROR(__xludf.DUMMYFUNCTION("GOOGLETRANSLATE(A1154, ""fr"", ""en"")"),"Sale cleaning of parking lots Wednesday, June 15, 2022")</f>
        <v>Sale cleaning of parking lots Wednesday, June 15, 2022</v>
      </c>
    </row>
    <row r="1155">
      <c r="A1155" s="19" t="s">
        <v>1022</v>
      </c>
      <c r="B1155" s="20" t="str">
        <f>IFERROR(__xludf.DUMMYFUNCTION("GOOGLETRANSLATE(A1155, ""fr"", ""en"")"),"Sale cleaning of parking lots on Friday June 10, 2022")</f>
        <v>Sale cleaning of parking lots on Friday June 10, 2022</v>
      </c>
    </row>
    <row r="1156">
      <c r="A1156" s="19" t="s">
        <v>1023</v>
      </c>
      <c r="B1156" s="20" t="str">
        <f>IFERROR(__xludf.DUMMYFUNCTION("GOOGLETRANSLATE(A1156, ""fr"", ""en"")"),"Sale cleaning of parking lots Wednesday, June 1, 2022")</f>
        <v>Sale cleaning of parking lots Wednesday, June 1, 2022</v>
      </c>
    </row>
    <row r="1157">
      <c r="A1157" s="19" t="s">
        <v>1018</v>
      </c>
      <c r="B1157" s="20" t="str">
        <f>IFERROR(__xludf.DUMMYFUNCTION("GOOGLETRANSLATE(A1157, ""fr"", ""en"")"),"Sale cleaning of parking lots on Monday June 13, 2022")</f>
        <v>Sale cleaning of parking lots on Monday June 13, 2022</v>
      </c>
    </row>
    <row r="1158">
      <c r="A1158" s="19" t="s">
        <v>1049</v>
      </c>
      <c r="B1158" s="20" t="str">
        <f>IFERROR(__xludf.DUMMYFUNCTION("GOOGLETRANSLATE(A1158, ""fr"", ""en"")"),"At3 checklist 2807")</f>
        <v>At3 checklist 2807</v>
      </c>
    </row>
    <row r="1159">
      <c r="A1159" s="19" t="s">
        <v>1028</v>
      </c>
      <c r="B1159" s="20" t="str">
        <f>IFERROR(__xludf.DUMMYFUNCTION("GOOGLETRANSLATE(A1159, ""fr"", ""en"")"),"‘DS Smith’, to make the start of week 01 2023
 For :
 -Recuperate to the Consomag cell the new panels
 -In SPM, remove and destroy the visual in place.
 -Ment the visual ‘for 13 years…’ ’
 For information :
 -Visual Noteau Available Consomag Cell")</f>
        <v>‘DS Smith’, to make the start of week 01 2023
 For :
 -Recuperate to the Consomag cell the new panels
 -In SPM, remove and destroy the visual in place.
 -Ment the visual ‘for 13 years…’ ’
 For information :
 -Visual Noteau Available Consomag Cell</v>
      </c>
    </row>
    <row r="1160">
      <c r="A1160" s="19" t="s">
        <v>1029</v>
      </c>
      <c r="B1160" s="20" t="str">
        <f>IFERROR(__xludf.DUMMYFUNCTION("GOOGLETRANSLATE(A1160, ""fr"", ""en"")"),"Sale cleaning parking lots on Friday September 16, 2022")</f>
        <v>Sale cleaning parking lots on Friday September 16, 2022</v>
      </c>
    </row>
    <row r="1161">
      <c r="A1161" s="19" t="s">
        <v>1048</v>
      </c>
      <c r="B1161" s="20" t="str">
        <f>IFERROR(__xludf.DUMMYFUNCTION("GOOGLETRANSLATE(A1161, ""fr"", ""en"")"),"AT3 CHECK LIST quarterly 2807")</f>
        <v>AT3 CHECK LIST quarterly 2807</v>
      </c>
    </row>
    <row r="1162">
      <c r="A1162" s="19" t="s">
        <v>1061</v>
      </c>
      <c r="B1162" s="20" t="str">
        <f>IFERROR(__xludf.DUMMYFUNCTION("GOOGLETRANSLATE(A1162, ""fr"", ""en"")"),"Confirmation of the installation of the video surveillance frame in the break room")</f>
        <v>Confirmation of the installation of the video surveillance frame in the break room</v>
      </c>
    </row>
    <row r="1163">
      <c r="A1163" s="19" t="s">
        <v>1062</v>
      </c>
      <c r="B1163" s="20" t="str">
        <f>IFERROR(__xludf.DUMMYFUNCTION("GOOGLETRANSLATE(A1163, ""fr"", ""en"")"),"Non food return")</f>
        <v>Non food return</v>
      </c>
    </row>
    <row r="1164">
      <c r="A1164" s="21"/>
      <c r="B1164" s="20" t="str">
        <f>IFERROR(__xludf.DUMMYFUNCTION("GOOGLETRANSLATE(A1164, ""fr"", ""en"")"),"#VALUE!")</f>
        <v>#VALUE!</v>
      </c>
    </row>
    <row r="1165">
      <c r="A1165" s="19" t="s">
        <v>1063</v>
      </c>
      <c r="B1165" s="20" t="str">
        <f>IFERROR(__xludf.DUMMYFUNCTION("GOOGLETRANSLATE(A1165, ""fr"", ""en"")"),"Sale to be made on 11/10/2022. Seasonal reimplantation.")</f>
        <v>Sale to be made on 11/10/2022. Seasonal reimplantation.</v>
      </c>
    </row>
    <row r="1166">
      <c r="A1166" s="19" t="s">
        <v>1064</v>
      </c>
      <c r="B1166" s="20" t="str">
        <f>IFERROR(__xludf.DUMMYFUNCTION("GOOGLETRANSLATE(A1166, ""fr"", ""en"")"),"Update of the safety register in tab 40 with the accessibility document. ODM made by AT3. Finished work")</f>
        <v>Update of the safety register in tab 40 with the accessibility document. ODM made by AT3. Finished work</v>
      </c>
    </row>
    <row r="1167">
      <c r="A1167" s="19" t="s">
        <v>304</v>
      </c>
      <c r="B1167" s="20" t="str">
        <f>IFERROR(__xludf.DUMMYFUNCTION("GOOGLETRANSLATE(A1167, ""fr"", ""en"")"),"(Urgent) for:
 -Recuperate visuals (best channels) DS Smith panels at the Consomag cell
 -Re attract and destroy the visual currently in place in the DS Smith panels.
 -Remplace by the visual ‘Best SPM channels’
 For information :
 -Visual Noteau availabl"&amp;"e to the Consomag cell")</f>
        <v>(Urgent) for:
 -Recuperate visuals (best channels) DS Smith panels at the Consomag cell
 -Re attract and destroy the visual currently in place in the DS Smith panels.
 -Remplace by the visual ‘Best SPM channels’
 For information :
 -Visual Noteau available to the Consomag cell</v>
      </c>
    </row>
    <row r="1168">
      <c r="A1168" s="19" t="s">
        <v>1034</v>
      </c>
      <c r="B1168" s="20" t="str">
        <f>IFERROR(__xludf.DUMMYFUNCTION("GOOGLETRANSLATE(A1168, ""fr"", ""en"")"),"Sale cleaning parking lots of sale December 2, 2022")</f>
        <v>Sale cleaning parking lots of sale December 2, 2022</v>
      </c>
    </row>
    <row r="1169">
      <c r="A1169" s="19" t="s">
        <v>1035</v>
      </c>
      <c r="B1169" s="20" t="str">
        <f>IFERROR(__xludf.DUMMYFUNCTION("GOOGLETRANSLATE(A1169, ""fr"", ""en"")"),"Sale cleaning of parking lots on Monday May 15, 2023")</f>
        <v>Sale cleaning of parking lots on Monday May 15, 2023</v>
      </c>
    </row>
    <row r="1170">
      <c r="A1170" s="19" t="s">
        <v>1036</v>
      </c>
      <c r="B1170" s="20" t="str">
        <f>IFERROR(__xludf.DUMMYFUNCTION("GOOGLETRANSLATE(A1170, ""fr"", ""en"")"),"Sale cleaning of parking lots Wednesday March 8, 2023")</f>
        <v>Sale cleaning of parking lots Wednesday March 8, 2023</v>
      </c>
    </row>
    <row r="1171">
      <c r="A1171" s="19" t="s">
        <v>1037</v>
      </c>
      <c r="B1171" s="20" t="str">
        <f>IFERROR(__xludf.DUMMYFUNCTION("GOOGLETRANSLATE(A1171, ""fr"", ""en"")"),"Sale cleaning parking lots of Wednesday September 21, 2022")</f>
        <v>Sale cleaning parking lots of Wednesday September 21, 2022</v>
      </c>
    </row>
    <row r="1172">
      <c r="A1172" s="19" t="s">
        <v>1038</v>
      </c>
      <c r="B1172" s="20" t="str">
        <f>IFERROR(__xludf.DUMMYFUNCTION("GOOGLETRANSLATE(A1172, ""fr"", ""en"")"),"Sale of as possible
 For :
 - Recover new visuals from the Consomag cell
 - Remove the visuals in place and destroy them
 - Set up the new ones, Visible Visible Competition (car)
 For information
 - New visuals available to the Consomag cell")</f>
        <v>Sale of as possible
 For :
 - Recover new visuals from the Consomag cell
 - Remove the visuals in place and destroy them
 - Set up the new ones, Visible Visible Competition (car)
 For information
 - New visuals available to the Consomag cell</v>
      </c>
    </row>
    <row r="1173">
      <c r="A1173" s="19" t="s">
        <v>1039</v>
      </c>
      <c r="B1173" s="20" t="str">
        <f>IFERROR(__xludf.DUMMYFUNCTION("GOOGLETRANSLATE(A1173, ""fr"", ""en"")"),"Sale cleaning of parking lots on Monday September 5, 2022")</f>
        <v>Sale cleaning of parking lots on Monday September 5, 2022</v>
      </c>
    </row>
    <row r="1174">
      <c r="A1174" s="19" t="s">
        <v>1040</v>
      </c>
      <c r="B1174" s="20" t="str">
        <f>IFERROR(__xludf.DUMMYFUNCTION("GOOGLETRANSLATE(A1174, ""fr"", ""en"")"),"Sale cleaning of parking lots Wednesday, September 14, 2022")</f>
        <v>Sale cleaning of parking lots Wednesday, September 14, 2022</v>
      </c>
    </row>
    <row r="1175">
      <c r="A1175" s="19" t="s">
        <v>1041</v>
      </c>
      <c r="B1175" s="20" t="str">
        <f>IFERROR(__xludf.DUMMYFUNCTION("GOOGLETRANSLATE(A1175, ""fr"", ""en"")"),"Sale cleaning parking lots on Monday October 10, 2022")</f>
        <v>Sale cleaning parking lots on Monday October 10, 2022</v>
      </c>
    </row>
    <row r="1176">
      <c r="A1176" s="19" t="s">
        <v>1042</v>
      </c>
      <c r="B1176" s="20" t="str">
        <f>IFERROR(__xludf.DUMMYFUNCTION("GOOGLETRANSLATE(A1176, ""fr"", ""en"")"),"Sale cleaning parking lots on Monday October 3, 2022")</f>
        <v>Sale cleaning parking lots on Monday October 3, 2022</v>
      </c>
    </row>
    <row r="1177">
      <c r="A1177" s="19" t="s">
        <v>1043</v>
      </c>
      <c r="B1177" s="20" t="str">
        <f>IFERROR(__xludf.DUMMYFUNCTION("GOOGLETRANSLATE(A1177, ""fr"", ""en"")"),"Sale cleaning parking lots on Friday 23 September 2022")</f>
        <v>Sale cleaning parking lots on Friday 23 September 2022</v>
      </c>
    </row>
    <row r="1178">
      <c r="A1178" s="19" t="s">
        <v>1044</v>
      </c>
      <c r="B1178" s="20" t="str">
        <f>IFERROR(__xludf.DUMMYFUNCTION("GOOGLETRANSLATE(A1178, ""fr"", ""en"")"),"Sale cleaning of parking lots on Monday September 12, 2022")</f>
        <v>Sale cleaning of parking lots on Monday September 12, 2022</v>
      </c>
    </row>
    <row r="1179">
      <c r="A1179" s="19" t="s">
        <v>1045</v>
      </c>
      <c r="B1179" s="20" t="str">
        <f>IFERROR(__xludf.DUMMYFUNCTION("GOOGLETRANSLATE(A1179, ""fr"", ""en"")"),"Sale 8 SPM (in blue, below) before this evening
 For :
 - Replace the visuals in place with that of the wine fair
 - Throw the ""Recruitment"" sign
 For info: panel available quai n ° 70")</f>
        <v>Sale 8 SPM (in blue, below) before this evening
 For :
 - Replace the visuals in place with that of the wine fair
 - Throw the "Recruitment" sign
 For info: panel available quai n ° 70</v>
      </c>
    </row>
    <row r="1180">
      <c r="A1180" s="19" t="s">
        <v>1046</v>
      </c>
      <c r="B1180" s="20" t="str">
        <f>IFERROR(__xludf.DUMMYFUNCTION("GOOGLETRANSLATE(A1180, ""fr"", ""en"")"),"Sale cleaning parking lots of Wednesday, November 30, 2022")</f>
        <v>Sale cleaning parking lots of Wednesday, November 30, 2022</v>
      </c>
    </row>
    <row r="1181">
      <c r="A1181" s="21"/>
      <c r="B1181" s="20" t="str">
        <f>IFERROR(__xludf.DUMMYFUNCTION("GOOGLETRANSLATE(A1181, ""fr"", ""en"")"),"#VALUE!")</f>
        <v>#VALUE!</v>
      </c>
    </row>
    <row r="1182">
      <c r="A1182" s="19" t="s">
        <v>861</v>
      </c>
      <c r="B1182" s="20" t="str">
        <f>IFERROR(__xludf.DUMMYFUNCTION("GOOGLETRANSLATE(A1182, ""fr"", ""en"")"),"Sale cleaning of parking lots Wednesday July 19, 2023")</f>
        <v>Sale cleaning of parking lots Wednesday July 19, 2023</v>
      </c>
    </row>
    <row r="1183">
      <c r="A1183" s="19" t="s">
        <v>863</v>
      </c>
      <c r="B1183" s="20" t="str">
        <f>IFERROR(__xludf.DUMMYFUNCTION("GOOGLETRANSLATE(A1183, ""fr"", ""en"")"),"Sale cleaning parking lots of Wednesday August 16, 2023")</f>
        <v>Sale cleaning parking lots of Wednesday August 16, 2023</v>
      </c>
    </row>
    <row r="1184">
      <c r="A1184" s="19" t="s">
        <v>1065</v>
      </c>
      <c r="B1184" s="20" t="str">
        <f>IFERROR(__xludf.DUMMYFUNCTION("GOOGLETRANSLATE(A1184, ""fr"", ""en"")"),"Patking cleaning for Wednesday 08/09/2023")</f>
        <v>Patking cleaning for Wednesday 08/09/2023</v>
      </c>
    </row>
    <row r="1185">
      <c r="A1185" s="19" t="s">
        <v>1066</v>
      </c>
      <c r="B1185" s="20" t="str">
        <f>IFERROR(__xludf.DUMMYFUNCTION("GOOGLETRANSLATE(A1185, ""fr"", ""en"")"),"NF return")</f>
        <v>NF return</v>
      </c>
    </row>
    <row r="1186">
      <c r="A1186" s="19" t="s">
        <v>1067</v>
      </c>
      <c r="B1186" s="20" t="str">
        <f>IFERROR(__xludf.DUMMYFUNCTION("GOOGLETRANSLATE(A1186, ""fr"", ""en"")"),"At Checklist Tri")</f>
        <v>At Checklist Tri</v>
      </c>
    </row>
    <row r="1187">
      <c r="A1187" s="19" t="s">
        <v>867</v>
      </c>
      <c r="B1187" s="20" t="str">
        <f>IFERROR(__xludf.DUMMYFUNCTION("GOOGLETRANSLATE(A1187, ""fr"", ""en"")"),"Sale cleaning of parking lots Wednesday July 12, 2023")</f>
        <v>Sale cleaning of parking lots Wednesday July 12, 2023</v>
      </c>
    </row>
    <row r="1188">
      <c r="A1188" s="19" t="s">
        <v>1068</v>
      </c>
      <c r="B1188" s="20" t="str">
        <f>IFERROR(__xludf.DUMMYFUNCTION("GOOGLETRANSLATE(A1188, ""fr"", ""en"")"),"Return NF - 10 bargens but 2 pallets are stacked -&gt; 8 euro pallets on the ground")</f>
        <v>Return NF - 10 bargens but 2 pallets are stacked -&gt; 8 euro pallets on the ground</v>
      </c>
    </row>
    <row r="1189">
      <c r="A1189" s="19" t="s">
        <v>870</v>
      </c>
      <c r="B1189" s="20" t="str">
        <f>IFERROR(__xludf.DUMMYFUNCTION("GOOGLETRANSLATE(A1189, ""fr"", ""en"")"),"Sale cleaning parking lots of Wednesday May 18, 2022")</f>
        <v>Sale cleaning parking lots of Wednesday May 18, 2022</v>
      </c>
    </row>
    <row r="1190">
      <c r="A1190" s="19" t="s">
        <v>873</v>
      </c>
      <c r="B1190" s="20" t="str">
        <f>IFERROR(__xludf.DUMMYFUNCTION("GOOGLETRANSLATE(A1190, ""fr"", ""en"")"),"Sale cleaning parking lots of Wednesday April 20, 2022")</f>
        <v>Sale cleaning parking lots of Wednesday April 20, 2022</v>
      </c>
    </row>
    <row r="1191">
      <c r="A1191" s="19" t="s">
        <v>876</v>
      </c>
      <c r="B1191" s="20" t="str">
        <f>IFERROR(__xludf.DUMMYFUNCTION("GOOGLETRANSLATE(A1191, ""fr"", ""en"")"),"Sale cleaning parking lots on Wednesday April 13, 2022")</f>
        <v>Sale cleaning parking lots on Wednesday April 13, 2022</v>
      </c>
    </row>
    <row r="1192">
      <c r="A1192" s="19" t="s">
        <v>881</v>
      </c>
      <c r="B1192" s="20" t="str">
        <f>IFERROR(__xludf.DUMMYFUNCTION("GOOGLETRANSLATE(A1192, ""fr"", ""en"")"),"Sale cleaning parking lots on Wednesday April 6, 2022")</f>
        <v>Sale cleaning parking lots on Wednesday April 6, 2022</v>
      </c>
    </row>
    <row r="1193">
      <c r="A1193" s="19" t="s">
        <v>882</v>
      </c>
      <c r="B1193" s="20" t="str">
        <f>IFERROR(__xludf.DUMMYFUNCTION("GOOGLETRANSLATE(A1193, ""fr"", ""en"")"),"Sale cleaning parking lots of Wednesday, May 4, 2022")</f>
        <v>Sale cleaning parking lots of Wednesday, May 4, 2022</v>
      </c>
    </row>
    <row r="1194">
      <c r="A1194" s="19" t="s">
        <v>883</v>
      </c>
      <c r="B1194" s="20" t="str">
        <f>IFERROR(__xludf.DUMMYFUNCTION("GOOGLETRANSLATE(A1194, ""fr"", ""en"")"),"Sale cleaning parking lots of Wednesday, May 11, 2022")</f>
        <v>Sale cleaning parking lots of Wednesday, May 11, 2022</v>
      </c>
    </row>
    <row r="1195">
      <c r="A1195" s="19" t="s">
        <v>886</v>
      </c>
      <c r="B1195" s="20" t="str">
        <f>IFERROR(__xludf.DUMMYFUNCTION("GOOGLETRANSLATE(A1195, ""fr"", ""en"")"),"Sale cleaning of parking lots Wednesday, April 27, 2022")</f>
        <v>Sale cleaning of parking lots Wednesday, April 27, 2022</v>
      </c>
    </row>
    <row r="1196">
      <c r="A1196" s="19" t="s">
        <v>892</v>
      </c>
      <c r="B1196" s="20" t="str">
        <f>IFERROR(__xludf.DUMMYFUNCTION("GOOGLETRANSLATE(A1196, ""fr"", ""en"")"),"Sale cleaning parking lots of Wednesday May 25, 2022")</f>
        <v>Sale cleaning parking lots of Wednesday May 25, 2022</v>
      </c>
    </row>
    <row r="1197">
      <c r="A1197" s="21"/>
      <c r="B1197" s="20" t="str">
        <f>IFERROR(__xludf.DUMMYFUNCTION("GOOGLETRANSLATE(A1197, ""fr"", ""en"")"),"#VALUE!")</f>
        <v>#VALUE!</v>
      </c>
    </row>
    <row r="1198">
      <c r="A1198" s="19" t="s">
        <v>1069</v>
      </c>
      <c r="B1198" s="20" t="str">
        <f>IFERROR(__xludf.DUMMYFUNCTION("GOOGLETRANSLATE(A1198, ""fr"", ""en"")"),"Return NF of 25/05")</f>
        <v>Return NF of 25/05</v>
      </c>
    </row>
    <row r="1199">
      <c r="A1199" s="19" t="s">
        <v>1070</v>
      </c>
      <c r="B1199" s="20" t="str">
        <f>IFERROR(__xludf.DUMMYFUNCTION("GOOGLETRANSLATE(A1199, ""fr"", ""en"")"),"Sale between 05/09/2022 and 13/05/2022
 For :
 - Climb 2 axes in RT 2 for equipment in the V2
 For information :
 - Material to recover at the cell from 06/05
 - the SPM is informed and will indicate the location where the axes (preferably close t"&amp;"o the ovens)
 - Remove the equipment from the nf wired table
 - 2 shelves per 60cm axis
 - Podiums to set up
 - amounts and feet to set up
 - Double spacers to set up
 - Gray background to be set up
 - melamine to set up
 - Put strips of banks in place
 -"&amp;" Place the wired nf table near the quay for a return return
 - Arrange the equipment on the axes once mounted (follow the PLO of the PJ)
 Please send a photo of the intervention completed by email to laura.jung@lidl.fr")</f>
        <v>Sale between 05/09/2022 and 13/05/2022
 For :
 - Climb 2 axes in RT 2 for equipment in the V2
 For information :
 - Material to recover at the cell from 06/05
 - the SPM is informed and will indicate the location where the axes (preferably close to the ovens)
 - Remove the equipment from the nf wired table
 - 2 shelves per 60cm axis
 - Podiums to set up
 - amounts and feet to set up
 - Double spacers to set up
 - Gray background to be set up
 - melamine to set up
 - Put strips of banks in place
 - Place the wired nf table near the quay for a return return
 - Arrange the equipment on the axes once mounted (follow the PLO of the PJ)
 Please send a photo of the intervention completed by email to laura.jung@lidl.fr</v>
      </c>
    </row>
    <row r="1200">
      <c r="A1200" s="19" t="s">
        <v>1071</v>
      </c>
      <c r="B1200" s="20" t="str">
        <f>IFERROR(__xludf.DUMMYFUNCTION("GOOGLETRANSLATE(A1200, ""fr"", ""en"")"),"At Checklist")</f>
        <v>At Checklist</v>
      </c>
    </row>
    <row r="1201">
      <c r="A1201" s="19" t="s">
        <v>895</v>
      </c>
      <c r="B1201" s="20" t="str">
        <f>IFERROR(__xludf.DUMMYFUNCTION("GOOGLETRANSLATE(A1201, ""fr"", ""en"")"),"SPM sale with DS Smith panels, to be released S17
 For :
 - Recover the new BBQ panels, for DS Smith
 - Remove and destroy the DS Smith panel (Caddies rack) that in place.
 - Put the new panel in place BBQ fan side
 For information :
 - panels ava"&amp;"ilable to the Consomag cell")</f>
        <v>SPM sale with DS Smith panels, to be released S17
 For :
 - Recover the new BBQ panels, for DS Smith
 - Remove and destroy the DS Smith panel (Caddies rack) that in place.
 - Put the new panel in place BBQ fan side
 For information :
 - panels available to the Consomag cell</v>
      </c>
    </row>
    <row r="1202">
      <c r="A1202" s="21"/>
      <c r="B1202" s="20" t="str">
        <f>IFERROR(__xludf.DUMMYFUNCTION("GOOGLETRANSLATE(A1202, ""fr"", ""en"")"),"#VALUE!")</f>
        <v>#VALUE!</v>
      </c>
    </row>
    <row r="1203">
      <c r="A1203" s="21"/>
      <c r="B1203" s="20" t="str">
        <f>IFERROR(__xludf.DUMMYFUNCTION("GOOGLETRANSLATE(A1203, ""fr"", ""en"")"),"#VALUE!")</f>
        <v>#VALUE!</v>
      </c>
    </row>
    <row r="1204">
      <c r="A1204" s="19" t="s">
        <v>899</v>
      </c>
      <c r="B1204" s="20" t="str">
        <f>IFERROR(__xludf.DUMMYFUNCTION("GOOGLETRANSLATE(A1204, ""fr"", ""en"")"),"Sale cleaning of parking lots Wednesday, November 2, 2022")</f>
        <v>Sale cleaning of parking lots Wednesday, November 2, 2022</v>
      </c>
    </row>
    <row r="1205">
      <c r="A1205" s="19" t="s">
        <v>900</v>
      </c>
      <c r="B1205" s="20" t="str">
        <f>IFERROR(__xludf.DUMMYFUNCTION("GOOGLETRANSLATE(A1205, ""fr"", ""en"")"),"Sale cleaning parking lots of Wednesday August 31, 2022")</f>
        <v>Sale cleaning parking lots of Wednesday August 31, 2022</v>
      </c>
    </row>
    <row r="1206">
      <c r="A1206" s="19" t="s">
        <v>1072</v>
      </c>
      <c r="B1206" s="20" t="str">
        <f>IFERROR(__xludf.DUMMYFUNCTION("GOOGLETRANSLATE(A1206, ""fr"", ""en"")"),"Negative room holder, out of his rail. No more possibility of opening it or the farm.")</f>
        <v>Negative room holder, out of his rail. No more possibility of opening it or the farm.</v>
      </c>
    </row>
    <row r="1207">
      <c r="A1207" s="19" t="s">
        <v>1066</v>
      </c>
      <c r="B1207" s="20" t="str">
        <f>IFERROR(__xludf.DUMMYFUNCTION("GOOGLETRANSLATE(A1207, ""fr"", ""en"")"),"NF return")</f>
        <v>NF return</v>
      </c>
    </row>
    <row r="1208">
      <c r="A1208" s="19" t="s">
        <v>903</v>
      </c>
      <c r="B1208" s="20" t="str">
        <f>IFERROR(__xludf.DUMMYFUNCTION("GOOGLETRANSLATE(A1208, ""fr"", ""en"")"),"Sale cleaning parking lots of Wednesday March 23, 2022")</f>
        <v>Sale cleaning parking lots of Wednesday March 23, 2022</v>
      </c>
    </row>
    <row r="1209">
      <c r="A1209" s="19" t="s">
        <v>905</v>
      </c>
      <c r="B1209" s="20" t="str">
        <f>IFERROR(__xludf.DUMMYFUNCTION("GOOGLETRANSLATE(A1209, ""fr"", ""en"")"),"Sale cleaning parking lots of Wednesday March 30, 2022")</f>
        <v>Sale cleaning parking lots of Wednesday March 30, 2022</v>
      </c>
    </row>
    <row r="1210">
      <c r="A1210" s="19" t="s">
        <v>919</v>
      </c>
      <c r="B1210" s="20" t="str">
        <f>IFERROR(__xludf.DUMMYFUNCTION("GOOGLETRANSLATE(A1210, ""fr"", ""en"")"),"Sale for:
 - move the DD of PDT to the back of the FL
 - Check the wires of LEDs FL (if default, replace)
 - Carry out red marking on the ground in the reserve
 For info: you take the material at the consomag cell")</f>
        <v>Sale for:
 - move the DD of PDT to the back of the FL
 - Check the wires of LEDs FL (if default, replace)
 - Carry out red marking on the ground in the reserve
 For info: you take the material at the consomag cell</v>
      </c>
    </row>
    <row r="1211">
      <c r="A1211" s="19" t="s">
        <v>1073</v>
      </c>
      <c r="B1211" s="20" t="str">
        <f>IFERROR(__xludf.DUMMYFUNCTION("GOOGLETRANSLATE(A1211, ""fr"", ""en"")"),"Return NF 11/05")</f>
        <v>Return NF 11/05</v>
      </c>
    </row>
    <row r="1212">
      <c r="A1212" s="21"/>
      <c r="B1212" s="20" t="str">
        <f>IFERROR(__xludf.DUMMYFUNCTION("GOOGLETRANSLATE(A1212, ""fr"", ""en"")"),"#VALUE!")</f>
        <v>#VALUE!</v>
      </c>
    </row>
    <row r="1213">
      <c r="A1213" s="19" t="s">
        <v>1066</v>
      </c>
      <c r="B1213" s="20" t="str">
        <f>IFERROR(__xludf.DUMMYFUNCTION("GOOGLETRANSLATE(A1213, ""fr"", ""en"")"),"NF return")</f>
        <v>NF return</v>
      </c>
    </row>
    <row r="1214">
      <c r="A1214" s="21"/>
      <c r="B1214" s="20" t="str">
        <f>IFERROR(__xludf.DUMMYFUNCTION("GOOGLETRANSLATE(A1214, ""fr"", ""en"")"),"#VALUE!")</f>
        <v>#VALUE!</v>
      </c>
    </row>
    <row r="1215">
      <c r="A1215" s="21"/>
      <c r="B1215" s="20" t="str">
        <f>IFERROR(__xludf.DUMMYFUNCTION("GOOGLETRANSLATE(A1215, ""fr"", ""en"")"),"#VALUE!")</f>
        <v>#VALUE!</v>
      </c>
    </row>
    <row r="1216">
      <c r="A1216" s="19" t="s">
        <v>907</v>
      </c>
      <c r="B1216" s="20" t="str">
        <f>IFERROR(__xludf.DUMMYFUNCTION("GOOGLETRANSLATE(A1216, ""fr"", ""en"")"),"Sale - Recover new panels from the Consomag cell
 - Remove the Visual Fair from the wines in place and destroy it
 - Set up the visual ""She is her 2nd life"" (and not Lidl recruits)
 For information :
 - keep me informed of the day of intervention")</f>
        <v>Sale - Recover new panels from the Consomag cell
 - Remove the Visual Fair from the wines in place and destroy it
 - Set up the visual "She is her 2nd life" (and not Lidl recruits)
 For information :
 - keep me informed of the day of intervention</v>
      </c>
    </row>
    <row r="1217">
      <c r="A1217" s="19" t="s">
        <v>1067</v>
      </c>
      <c r="B1217" s="20" t="str">
        <f>IFERROR(__xludf.DUMMYFUNCTION("GOOGLETRANSLATE(A1217, ""fr"", ""en"")"),"At Checklist Tri")</f>
        <v>At Checklist Tri</v>
      </c>
    </row>
    <row r="1218">
      <c r="A1218" s="19" t="s">
        <v>1074</v>
      </c>
      <c r="B1218" s="20" t="str">
        <f>IFERROR(__xludf.DUMMYFUNCTION("GOOGLETRANSLATE(A1218, ""fr"", ""en"")"),"Return NF of 04/14/2022")</f>
        <v>Return NF of 04/14/2022</v>
      </c>
    </row>
    <row r="1219">
      <c r="A1219" s="19" t="s">
        <v>1075</v>
      </c>
      <c r="B1219" s="20" t="str">
        <f>IFERROR(__xludf.DUMMYFUNCTION("GOOGLETRANSLATE(A1219, ""fr"", ""en"")"),"Return NF of 20/04/22")</f>
        <v>Return NF of 20/04/22</v>
      </c>
    </row>
    <row r="1220">
      <c r="A1220" s="19" t="s">
        <v>1067</v>
      </c>
      <c r="B1220" s="20" t="str">
        <f>IFERROR(__xludf.DUMMYFUNCTION("GOOGLETRANSLATE(A1220, ""fr"", ""en"")"),"At Checklist Tri")</f>
        <v>At Checklist Tri</v>
      </c>
    </row>
    <row r="1221">
      <c r="A1221" s="19" t="s">
        <v>1076</v>
      </c>
      <c r="B1221" s="20" t="str">
        <f>IFERROR(__xludf.DUMMYFUNCTION("GOOGLETRANSLATE(A1221, ""fr"", ""en"")"),"Return NF 2808 of 04/06/2022")</f>
        <v>Return NF 2808 of 04/06/2022</v>
      </c>
    </row>
    <row r="1222">
      <c r="A1222" s="19" t="s">
        <v>915</v>
      </c>
      <c r="B1222" s="20" t="str">
        <f>IFERROR(__xludf.DUMMYFUNCTION("GOOGLETRANSLATE(A1222, ""fr"", ""en"")"),"Sale cleaning of parking lots Wednesday July 6, 2022")</f>
        <v>Sale cleaning of parking lots Wednesday July 6, 2022</v>
      </c>
    </row>
    <row r="1223">
      <c r="A1223" s="19" t="s">
        <v>1077</v>
      </c>
      <c r="B1223" s="20" t="str">
        <f>IFERROR(__xludf.DUMMYFUNCTION("GOOGLETRANSLATE(A1223, ""fr"", ""en"")"),"Return NF S42")</f>
        <v>Return NF S42</v>
      </c>
    </row>
    <row r="1224">
      <c r="A1224" s="19" t="s">
        <v>1071</v>
      </c>
      <c r="B1224" s="20" t="str">
        <f>IFERROR(__xludf.DUMMYFUNCTION("GOOGLETRANSLATE(A1224, ""fr"", ""en"")"),"At Checklist")</f>
        <v>At Checklist</v>
      </c>
    </row>
    <row r="1225">
      <c r="A1225" s="21"/>
      <c r="B1225" s="20" t="str">
        <f>IFERROR(__xludf.DUMMYFUNCTION("GOOGLETRANSLATE(A1225, ""fr"", ""en"")"),"#VALUE!")</f>
        <v>#VALUE!</v>
      </c>
    </row>
    <row r="1226">
      <c r="A1226" s="19" t="s">
        <v>1071</v>
      </c>
      <c r="B1226" s="20" t="str">
        <f>IFERROR(__xludf.DUMMYFUNCTION("GOOGLETRANSLATE(A1226, ""fr"", ""en"")"),"At Checklist")</f>
        <v>At Checklist</v>
      </c>
    </row>
    <row r="1227">
      <c r="A1227" s="21"/>
      <c r="B1227" s="20" t="str">
        <f>IFERROR(__xludf.DUMMYFUNCTION("GOOGLETRANSLATE(A1227, ""fr"", ""en"")"),"#VALUE!")</f>
        <v>#VALUE!</v>
      </c>
    </row>
    <row r="1228">
      <c r="A1228" s="21"/>
      <c r="B1228" s="20" t="str">
        <f>IFERROR(__xludf.DUMMYFUNCTION("GOOGLETRANSLATE(A1228, ""fr"", ""en"")"),"#VALUE!")</f>
        <v>#VALUE!</v>
      </c>
    </row>
    <row r="1229">
      <c r="A1229" s="19" t="s">
        <v>1071</v>
      </c>
      <c r="B1229" s="20" t="str">
        <f>IFERROR(__xludf.DUMMYFUNCTION("GOOGLETRANSLATE(A1229, ""fr"", ""en"")"),"At Checklist")</f>
        <v>At Checklist</v>
      </c>
    </row>
    <row r="1230">
      <c r="A1230" s="21"/>
      <c r="B1230" s="20" t="str">
        <f>IFERROR(__xludf.DUMMYFUNCTION("GOOGLETRANSLATE(A1230, ""fr"", ""en"")"),"#VALUE!")</f>
        <v>#VALUE!</v>
      </c>
    </row>
    <row r="1231">
      <c r="A1231" s="19" t="s">
        <v>920</v>
      </c>
      <c r="B1231" s="20" t="str">
        <f>IFERROR(__xludf.DUMMYFUNCTION("GOOGLETRANSLATE(A1231, ""fr"", ""en"")"),"Sale cleaning parking lots of Wednesday March 9, 2022")</f>
        <v>Sale cleaning parking lots of Wednesday March 9, 2022</v>
      </c>
    </row>
    <row r="1232">
      <c r="A1232" s="19" t="s">
        <v>921</v>
      </c>
      <c r="B1232" s="20" t="str">
        <f>IFERROR(__xludf.DUMMYFUNCTION("GOOGLETRANSLATE(A1232, ""fr"", ""en"")"),"SPM sale with DS Smith panels (urgent)
 For :
 - Remove and destroy the posters in place
 - Put the new posters in place, on the ""favorin"" side only.
 For information :
 - posters available to the consomag cell
 - keep me informed of the impleme"&amp;"ntation dates")</f>
        <v>SPM sale with DS Smith panels (urgent)
 For :
 - Remove and destroy the posters in place
 - Put the new posters in place, on the "favorin" side only.
 For information :
 - posters available to the consomag cell
 - keep me informed of the implementation dates</v>
      </c>
    </row>
    <row r="1233">
      <c r="A1233" s="19" t="s">
        <v>926</v>
      </c>
      <c r="B1233" s="20" t="str">
        <f>IFERROR(__xludf.DUMMYFUNCTION("GOOGLETRANSLATE(A1233, ""fr"", ""en"")"),"Sale cleaning parking lots of Wednesday March 16, 2022")</f>
        <v>Sale cleaning parking lots of Wednesday March 16, 2022</v>
      </c>
    </row>
    <row r="1234">
      <c r="A1234" s="19" t="s">
        <v>930</v>
      </c>
      <c r="B1234" s="20" t="str">
        <f>IFERROR(__xludf.DUMMYFUNCTION("GOOGLETRANSLATE(A1234, ""fr"", ""en"")"),"Sale cleaning of parking lots on Wednesday April 12, 2023")</f>
        <v>Sale cleaning of parking lots on Wednesday April 12, 2023</v>
      </c>
    </row>
    <row r="1235">
      <c r="A1235" s="19" t="s">
        <v>1078</v>
      </c>
      <c r="B1235" s="20" t="str">
        <f>IFERROR(__xludf.DUMMYFUNCTION("GOOGLETRANSLATE(A1235, ""fr"", ""en"")"),"AT3 quarterly check 2808")</f>
        <v>AT3 quarterly check 2808</v>
      </c>
    </row>
    <row r="1236">
      <c r="A1236" s="21"/>
      <c r="B1236" s="20" t="str">
        <f>IFERROR(__xludf.DUMMYFUNCTION("GOOGLETRANSLATE(A1236, ""fr"", ""en"")"),"#VALUE!")</f>
        <v>#VALUE!</v>
      </c>
    </row>
    <row r="1237">
      <c r="A1237" s="19" t="s">
        <v>932</v>
      </c>
      <c r="B1237" s="20" t="str">
        <f>IFERROR(__xludf.DUMMYFUNCTION("GOOGLETRANSLATE(A1237, ""fr"", ""en"")"),"Sale cleaning parking lots of Wednesday March 2, 2022")</f>
        <v>Sale cleaning parking lots of Wednesday March 2, 2022</v>
      </c>
    </row>
    <row r="1238">
      <c r="A1238" s="19" t="s">
        <v>933</v>
      </c>
      <c r="B1238" s="20" t="str">
        <f>IFERROR(__xludf.DUMMYFUNCTION("GOOGLETRANSLATE(A1238, ""fr"", ""en"")"),"MCM 2022 tour sale")</f>
        <v>MCM 2022 tour sale</v>
      </c>
    </row>
    <row r="1239">
      <c r="A1239" s="19" t="s">
        <v>937</v>
      </c>
      <c r="B1239" s="20" t="str">
        <f>IFERROR(__xludf.DUMMYFUNCTION("GOOGLETRANSLATE(A1239, ""fr"", ""en"")"),"Sale cleaning of parking lots Wednesday, February 16, 2022")</f>
        <v>Sale cleaning of parking lots Wednesday, February 16, 2022</v>
      </c>
    </row>
    <row r="1240">
      <c r="A1240" s="19" t="s">
        <v>938</v>
      </c>
      <c r="B1240" s="20" t="str">
        <f>IFERROR(__xludf.DUMMYFUNCTION("GOOGLETRANSLATE(A1240, ""fr"", ""en"")"),"Sale cleaning of parking lots Wednesday, February 23, 2022")</f>
        <v>Sale cleaning of parking lots Wednesday, February 23, 2022</v>
      </c>
    </row>
    <row r="1241">
      <c r="A1241" s="19" t="s">
        <v>935</v>
      </c>
      <c r="B1241" s="20" t="str">
        <f>IFERROR(__xludf.DUMMYFUNCTION("GOOGLETRANSLATE(A1241, ""fr"", ""en"")"),"MAJ SALE CONCEPT CO")</f>
        <v>MAJ SALE CONCEPT CO</v>
      </c>
    </row>
    <row r="1242">
      <c r="A1242" s="19" t="s">
        <v>942</v>
      </c>
      <c r="B1242" s="20" t="str">
        <f>IFERROR(__xludf.DUMMYFUNCTION("GOOGLETRANSLATE(A1242, ""fr"", ""en"")"),"Sale cleaning of parking lots on Wednesday, February 9, 2022")</f>
        <v>Sale cleaning of parking lots on Wednesday, February 9, 2022</v>
      </c>
    </row>
    <row r="1243">
      <c r="A1243" s="19" t="s">
        <v>944</v>
      </c>
      <c r="B1243" s="20" t="str">
        <f>IFERROR(__xludf.DUMMYFUNCTION("GOOGLETRANSLATE(A1243, ""fr"", ""en"")"),"Sale cleaning parking lots of Wednesday September 7, 2022")</f>
        <v>Sale cleaning parking lots of Wednesday September 7, 2022</v>
      </c>
    </row>
    <row r="1244">
      <c r="A1244" s="19" t="s">
        <v>1079</v>
      </c>
      <c r="B1244" s="20" t="str">
        <f>IFERROR(__xludf.DUMMYFUNCTION("GOOGLETRANSLATE(A1244, ""fr"", ""en"")"),"Sale to be made on 12/13/2022. Seasonal reimplantation.")</f>
        <v>Sale to be made on 12/13/2022. Seasonal reimplantation.</v>
      </c>
    </row>
    <row r="1245">
      <c r="A1245" s="19" t="s">
        <v>1080</v>
      </c>
      <c r="B1245" s="20" t="str">
        <f>IFERROR(__xludf.DUMMYFUNCTION("GOOGLETRANSLATE(A1245, ""fr"", ""en"")"),"Back NFU S40")</f>
        <v>Back NFU S40</v>
      </c>
    </row>
    <row r="1246">
      <c r="A1246" s="19" t="s">
        <v>1081</v>
      </c>
      <c r="B1246" s="20" t="str">
        <f>IFERROR(__xludf.DUMMYFUNCTION("GOOGLETRANSLATE(A1246, ""fr"", ""en"")"),"Return NF S39")</f>
        <v>Return NF S39</v>
      </c>
    </row>
    <row r="1247">
      <c r="A1247" s="19" t="s">
        <v>946</v>
      </c>
      <c r="B1247" s="20" t="str">
        <f>IFERROR(__xludf.DUMMYFUNCTION("GOOGLETRANSLATE(A1247, ""fr"", ""en"")"),"Sale cleaning parking lots of Wednesday March 29, 2023")</f>
        <v>Sale cleaning parking lots of Wednesday March 29, 2023</v>
      </c>
    </row>
    <row r="1248">
      <c r="A1248" s="19" t="s">
        <v>1082</v>
      </c>
      <c r="B1248" s="20" t="str">
        <f>IFERROR(__xludf.DUMMYFUNCTION("GOOGLETRANSLATE(A1248, ""fr"", ""en"")"),"NF return")</f>
        <v>NF return</v>
      </c>
    </row>
    <row r="1249">
      <c r="A1249" s="19" t="s">
        <v>1083</v>
      </c>
      <c r="B1249" s="20" t="str">
        <f>IFERROR(__xludf.DUMMYFUNCTION("GOOGLETRANSLATE(A1249, ""fr"", ""en"")"),"Return NF of 02/03/22 - 3 Europe pallets")</f>
        <v>Return NF of 02/03/22 - 3 Europe pallets</v>
      </c>
    </row>
    <row r="1250">
      <c r="A1250" s="19" t="s">
        <v>1084</v>
      </c>
      <c r="B1250" s="20" t="str">
        <f>IFERROR(__xludf.DUMMYFUNCTION("GOOGLETRANSLATE(A1250, ""fr"", ""en"")"),"Return NF Pub TV")</f>
        <v>Return NF Pub TV</v>
      </c>
    </row>
    <row r="1251">
      <c r="A1251" s="19" t="s">
        <v>1085</v>
      </c>
      <c r="B1251" s="20" t="str">
        <f>IFERROR(__xludf.DUMMYFUNCTION("GOOGLETRANSLATE(A1251, ""fr"", ""en"")"),"Return NF of 03/09/22")</f>
        <v>Return NF of 03/09/22</v>
      </c>
    </row>
    <row r="1252">
      <c r="A1252" s="21"/>
      <c r="B1252" s="20" t="str">
        <f>IFERROR(__xludf.DUMMYFUNCTION("GOOGLETRANSLATE(A1252, ""fr"", ""en"")"),"#VALUE!")</f>
        <v>#VALUE!</v>
      </c>
    </row>
    <row r="1253">
      <c r="A1253" s="21"/>
      <c r="B1253" s="20" t="str">
        <f>IFERROR(__xludf.DUMMYFUNCTION("GOOGLETRANSLATE(A1253, ""fr"", ""en"")"),"#VALUE!")</f>
        <v>#VALUE!</v>
      </c>
    </row>
    <row r="1254">
      <c r="A1254" s="21"/>
      <c r="B1254" s="20" t="str">
        <f>IFERROR(__xludf.DUMMYFUNCTION("GOOGLETRANSLATE(A1254, ""fr"", ""en"")"),"#VALUE!")</f>
        <v>#VALUE!</v>
      </c>
    </row>
    <row r="1255">
      <c r="A1255" s="19" t="s">
        <v>950</v>
      </c>
      <c r="B1255" s="20" t="str">
        <f>IFERROR(__xludf.DUMMYFUNCTION("GOOGLETRANSLATE(A1255, ""fr"", ""en"")"),"SPM sale with DS Smith panels (Caddie Rack), S35 midfielder,
 For :
 - Remove and destroy the visual in place
 - Set up the new visual (wine fair)
 For info: visual wine fair available at the consomag cell")</f>
        <v>SPM sale with DS Smith panels (Caddie Rack), S35 midfielder,
 For :
 - Remove and destroy the visual in place
 - Set up the new visual (wine fair)
 For info: visual wine fair available at the consomag cell</v>
      </c>
    </row>
    <row r="1256">
      <c r="A1256" s="21"/>
      <c r="B1256" s="20" t="str">
        <f>IFERROR(__xludf.DUMMYFUNCTION("GOOGLETRANSLATE(A1256, ""fr"", ""en"")"),"#VALUE!")</f>
        <v>#VALUE!</v>
      </c>
    </row>
    <row r="1257">
      <c r="A1257" s="21"/>
      <c r="B1257" s="20" t="str">
        <f>IFERROR(__xludf.DUMMYFUNCTION("GOOGLETRANSLATE(A1257, ""fr"", ""en"")"),"#VALUE!")</f>
        <v>#VALUE!</v>
      </c>
    </row>
    <row r="1258">
      <c r="A1258" s="19" t="s">
        <v>1086</v>
      </c>
      <c r="B1258" s="20" t="str">
        <f>IFERROR(__xludf.DUMMYFUNCTION("GOOGLETRANSLATE(A1258, ""fr"", ""en"")"),"Return NF S38")</f>
        <v>Return NF S38</v>
      </c>
    </row>
    <row r="1259">
      <c r="A1259" s="19" t="s">
        <v>1087</v>
      </c>
      <c r="B1259" s="20" t="str">
        <f>IFERROR(__xludf.DUMMYFUNCTION("GOOGLETRANSLATE(A1259, ""fr"", ""en"")"),"Return nfu s36")</f>
        <v>Return nfu s36</v>
      </c>
    </row>
    <row r="1260">
      <c r="A1260" s="19" t="s">
        <v>1088</v>
      </c>
      <c r="B1260" s="20" t="str">
        <f>IFERROR(__xludf.DUMMYFUNCTION("GOOGLETRANSLATE(A1260, ""fr"", ""en"")"),"Return NF S37")</f>
        <v>Return NF S37</v>
      </c>
    </row>
    <row r="1261">
      <c r="A1261" s="19" t="s">
        <v>1071</v>
      </c>
      <c r="B1261" s="20" t="str">
        <f>IFERROR(__xludf.DUMMYFUNCTION("GOOGLETRANSLATE(A1261, ""fr"", ""en"")"),"At Checklist")</f>
        <v>At Checklist</v>
      </c>
    </row>
    <row r="1262">
      <c r="A1262" s="19" t="s">
        <v>955</v>
      </c>
      <c r="B1262" s="20" t="str">
        <f>IFERROR(__xludf.DUMMYFUNCTION("GOOGLETRANSLATE(A1262, ""fr"", ""en"")"),"Sale cleaning parking lots of Wednesday, January 26, 2022")</f>
        <v>Sale cleaning parking lots of Wednesday, January 26, 2022</v>
      </c>
    </row>
    <row r="1263">
      <c r="A1263" s="19" t="s">
        <v>958</v>
      </c>
      <c r="B1263" s="20" t="str">
        <f>IFERROR(__xludf.DUMMYFUNCTION("GOOGLETRANSLATE(A1263, ""fr"", ""en"")"),"Sale cleaning parking lots on Wednesday February 2, 2022")</f>
        <v>Sale cleaning parking lots on Wednesday February 2, 2022</v>
      </c>
    </row>
    <row r="1264">
      <c r="A1264" s="19" t="s">
        <v>959</v>
      </c>
      <c r="B1264" s="20" t="str">
        <f>IFERROR(__xludf.DUMMYFUNCTION("GOOGLETRANSLATE(A1264, ""fr"", ""en"")"),"Sale cleaning of parking lots Wednesday January 12, 2022")</f>
        <v>Sale cleaning of parking lots Wednesday January 12, 2022</v>
      </c>
    </row>
    <row r="1265">
      <c r="A1265" s="21"/>
      <c r="B1265" s="20" t="str">
        <f>IFERROR(__xludf.DUMMYFUNCTION("GOOGLETRANSLATE(A1265, ""fr"", ""en"")"),"#VALUE!")</f>
        <v>#VALUE!</v>
      </c>
    </row>
    <row r="1266">
      <c r="A1266" s="19" t="s">
        <v>968</v>
      </c>
      <c r="B1266" s="20" t="str">
        <f>IFERROR(__xludf.DUMMYFUNCTION("GOOGLETRANSLATE(A1266, ""fr"", ""en"")"),"Tournate sale
 For :
 - Make SPM turned before 19/08.
 For information :
 - Take all the material at the Consomag cell from 07/22
 - The equipment necessary for frozen as well as fresh adhesives will be delivered later. An email will be sent to you "&amp;"from the moment it is available at Conomag.
 - The list of SPMs and points to be performed are in PJ")</f>
        <v>Tournate sale
 For :
 - Make SPM turned before 19/08.
 For information :
 - Take all the material at the Consomag cell from 07/22
 - The equipment necessary for frozen as well as fresh adhesives will be delivered later. An email will be sent to you from the moment it is available at Conomag.
 - The list of SPMs and points to be performed are in PJ</v>
      </c>
    </row>
    <row r="1267">
      <c r="A1267" s="19" t="s">
        <v>966</v>
      </c>
      <c r="B1267" s="20" t="str">
        <f>IFERROR(__xludf.DUMMYFUNCTION("GOOGLETRANSLATE(A1267, ""fr"", ""en"")"),"Sale cleaning of parking lots Wednesday, August 10, 2022")</f>
        <v>Sale cleaning of parking lots Wednesday, August 10, 2022</v>
      </c>
    </row>
    <row r="1268">
      <c r="A1268" s="19" t="s">
        <v>965</v>
      </c>
      <c r="B1268" s="20" t="str">
        <f>IFERROR(__xludf.DUMMYFUNCTION("GOOGLETRANSLATE(A1268, ""fr"", ""en"")"),"Sale cleaning parking lots on Wednesday August 24, 2022")</f>
        <v>Sale cleaning parking lots on Wednesday August 24, 2022</v>
      </c>
    </row>
    <row r="1269">
      <c r="A1269" s="19" t="s">
        <v>967</v>
      </c>
      <c r="B1269" s="20" t="str">
        <f>IFERROR(__xludf.DUMMYFUNCTION("GOOGLETRANSLATE(A1269, ""fr"", ""en"")"),"Sale cleaning parking lots of Wednesday August 17, 2022")</f>
        <v>Sale cleaning parking lots of Wednesday August 17, 2022</v>
      </c>
    </row>
    <row r="1270">
      <c r="A1270" s="19" t="s">
        <v>1071</v>
      </c>
      <c r="B1270" s="20" t="str">
        <f>IFERROR(__xludf.DUMMYFUNCTION("GOOGLETRANSLATE(A1270, ""fr"", ""en"")"),"At Checklist")</f>
        <v>At Checklist</v>
      </c>
    </row>
    <row r="1271">
      <c r="A1271" s="19" t="s">
        <v>1089</v>
      </c>
      <c r="B1271" s="20" t="str">
        <f>IFERROR(__xludf.DUMMYFUNCTION("GOOGLETRANSLATE(A1271, ""fr"", ""en"")"),"Return NF S35")</f>
        <v>Return NF S35</v>
      </c>
    </row>
    <row r="1272">
      <c r="A1272" s="21"/>
      <c r="B1272" s="20" t="str">
        <f>IFERROR(__xludf.DUMMYFUNCTION("GOOGLETRANSLATE(A1272, ""fr"", ""en"")"),"#VALUE!")</f>
        <v>#VALUE!</v>
      </c>
    </row>
    <row r="1273">
      <c r="A1273" s="19" t="s">
        <v>1090</v>
      </c>
      <c r="B1273" s="20" t="str">
        <f>IFERROR(__xludf.DUMMYFUNCTION("GOOGLETRANSLATE(A1273, ""fr"", ""en"")"),"Various RMR sale to have the office withdrawn before the")</f>
        <v>Various RMR sale to have the office withdrawn before the</v>
      </c>
    </row>
    <row r="1274">
      <c r="A1274" s="19" t="s">
        <v>971</v>
      </c>
      <c r="B1274" s="20" t="str">
        <f>IFERROR(__xludf.DUMMYFUNCTION("GOOGLETRANSLATE(A1274, ""fr"", ""en"")"),"Sale cleaning of parking lots Wednesday, January 5, 2022")</f>
        <v>Sale cleaning of parking lots Wednesday, January 5, 2022</v>
      </c>
    </row>
    <row r="1275">
      <c r="A1275" s="19" t="s">
        <v>970</v>
      </c>
      <c r="B1275" s="20" t="str">
        <f>IFERROR(__xludf.DUMMYFUNCTION("GOOGLETRANSLATE(A1275, ""fr"", ""en"")"),"Sale cleaning of parking lots of Wednesday January 19, 2022")</f>
        <v>Sale cleaning of parking lots of Wednesday January 19, 2022</v>
      </c>
    </row>
    <row r="1276">
      <c r="A1276" s="19" t="s">
        <v>972</v>
      </c>
      <c r="B1276" s="20" t="str">
        <f>IFERROR(__xludf.DUMMYFUNCTION("GOOGLETRANSLATE(A1276, ""fr"", ""en"")"),"SPM sale with DS Smith, to be done before Thursday, February 03, 2022,
 For :
 • Remove and throw the Lidl Plus visual
 • Put the new visual (Lidl supports producers)
 For information :
 • panels available to the Consomag cell
 • Be careful no"&amp;"t to display ""Lidl recruits""")</f>
        <v>SPM sale with DS Smith, to be done before Thursday, February 03, 2022,
 For :
 • Remove and throw the Lidl Plus visual
 • Put the new visual (Lidl supports producers)
 For information :
 • panels available to the Consomag cell
 • Be careful not to display "Lidl recruits"</v>
      </c>
    </row>
    <row r="1277">
      <c r="A1277" s="21"/>
      <c r="B1277" s="20" t="str">
        <f>IFERROR(__xludf.DUMMYFUNCTION("GOOGLETRANSLATE(A1277, ""fr"", ""en"")"),"#VALUE!")</f>
        <v>#VALUE!</v>
      </c>
    </row>
    <row r="1278">
      <c r="A1278" s="21"/>
      <c r="B1278" s="20" t="str">
        <f>IFERROR(__xludf.DUMMYFUNCTION("GOOGLETRANSLATE(A1278, ""fr"", ""en"")"),"#VALUE!")</f>
        <v>#VALUE!</v>
      </c>
    </row>
    <row r="1279">
      <c r="A1279" s="21"/>
      <c r="B1279" s="20" t="str">
        <f>IFERROR(__xludf.DUMMYFUNCTION("GOOGLETRANSLATE(A1279, ""fr"", ""en"")"),"#VALUE!")</f>
        <v>#VALUE!</v>
      </c>
    </row>
    <row r="1280">
      <c r="A1280" s="19" t="s">
        <v>976</v>
      </c>
      <c r="B1280" s="20" t="str">
        <f>IFERROR(__xludf.DUMMYFUNCTION("GOOGLETRANSLATE(A1280, ""fr"", ""en"")"),"Sale cleaning of parking lots Wednesday, June 14, 2023")</f>
        <v>Sale cleaning of parking lots Wednesday, June 14, 2023</v>
      </c>
    </row>
    <row r="1281">
      <c r="A1281" s="19" t="s">
        <v>980</v>
      </c>
      <c r="B1281" s="20" t="str">
        <f>IFERROR(__xludf.DUMMYFUNCTION("GOOGLETRANSLATE(A1281, ""fr"", ""en"")"),"Sale cleaning of parking lots Wednesday July 20, 2022")</f>
        <v>Sale cleaning of parking lots Wednesday July 20, 2022</v>
      </c>
    </row>
    <row r="1282">
      <c r="A1282" s="19" t="s">
        <v>1067</v>
      </c>
      <c r="B1282" s="20" t="str">
        <f>IFERROR(__xludf.DUMMYFUNCTION("GOOGLETRANSLATE(A1282, ""fr"", ""en"")"),"At Checklist Tri")</f>
        <v>At Checklist Tri</v>
      </c>
    </row>
    <row r="1283">
      <c r="A1283" s="19" t="s">
        <v>1091</v>
      </c>
      <c r="B1283" s="20" t="str">
        <f>IFERROR(__xludf.DUMMYFUNCTION("GOOGLETRANSLATE(A1283, ""fr"", ""en"")"),"Back Vat S33")</f>
        <v>Back Vat S33</v>
      </c>
    </row>
    <row r="1284">
      <c r="A1284" s="19" t="s">
        <v>1092</v>
      </c>
      <c r="B1284" s="20" t="str">
        <f>IFERROR(__xludf.DUMMYFUNCTION("GOOGLETRANSLATE(A1284, ""fr"", ""en"")"),"Return NF S33")</f>
        <v>Return NF S33</v>
      </c>
    </row>
    <row r="1285">
      <c r="A1285" s="19" t="s">
        <v>985</v>
      </c>
      <c r="B1285" s="20" t="str">
        <f>IFERROR(__xludf.DUMMYFUNCTION("GOOGLETRANSLATE(A1285, ""fr"", ""en"")"),"Sale cleaning parking lots of Wednesday June 22, 2022")</f>
        <v>Sale cleaning parking lots of Wednesday June 22, 2022</v>
      </c>
    </row>
    <row r="1286">
      <c r="A1286" s="19" t="s">
        <v>988</v>
      </c>
      <c r="B1286" s="20" t="str">
        <f>IFERROR(__xludf.DUMMYFUNCTION("GOOGLETRANSLATE(A1286, ""fr"", ""en"")"),"Sale cleaning parking lots of Wednesday July 27, 2022")</f>
        <v>Sale cleaning parking lots of Wednesday July 27, 2022</v>
      </c>
    </row>
    <row r="1287">
      <c r="A1287" s="19" t="s">
        <v>990</v>
      </c>
      <c r="B1287" s="20" t="str">
        <f>IFERROR(__xludf.DUMMYFUNCTION("GOOGLETRANSLATE(A1287, ""fr"", ""en"")"),"Sale as soon as possible
 For :
 - Recover the SMITH DS panels from the Consomag cell
 - on the SPM concerned withdrawn the old visuals and destroy them (so that they are no longer replaced)
 - Put the new visual ""ice cream"" in place (on all these SP"&amp;"Ms)
 For info: the panels are available to the consomag cell")</f>
        <v>Sale as soon as possible
 For :
 - Recover the SMITH DS panels from the Consomag cell
 - on the SPM concerned withdrawn the old visuals and destroy them (so that they are no longer replaced)
 - Put the new visual "ice cream" in place (on all these SPMs)
 For info: the panels are available to the consomag cell</v>
      </c>
    </row>
    <row r="1288">
      <c r="A1288" s="19" t="s">
        <v>1002</v>
      </c>
      <c r="B1288" s="20" t="str">
        <f>IFERROR(__xludf.DUMMYFUNCTION("GOOGLETRANSLATE(A1288, ""fr"", ""en"")"),"Sale cleaning of parking lots on Wednesday August 3, 2022")</f>
        <v>Sale cleaning of parking lots on Wednesday August 3, 2022</v>
      </c>
    </row>
    <row r="1289">
      <c r="A1289" s="19" t="s">
        <v>992</v>
      </c>
      <c r="B1289" s="20" t="str">
        <f>IFERROR(__xludf.DUMMYFUNCTION("GOOGLETRANSLATE(A1289, ""fr"", ""en"")"),"Sale cleaning parking lots of Wednesday July 13, 2022")</f>
        <v>Sale cleaning parking lots of Wednesday July 13, 2022</v>
      </c>
    </row>
    <row r="1290">
      <c r="A1290" s="19" t="s">
        <v>996</v>
      </c>
      <c r="B1290" s="20" t="str">
        <f>IFERROR(__xludf.DUMMYFUNCTION("GOOGLETRANSLATE(A1290, ""fr"", ""en"")"),"Sale cleaning of parking lots Wednesday, June 29, 2022")</f>
        <v>Sale cleaning of parking lots Wednesday, June 29, 2022</v>
      </c>
    </row>
    <row r="1291">
      <c r="A1291" s="19" t="s">
        <v>1093</v>
      </c>
      <c r="B1291" s="20" t="str">
        <f>IFERROR(__xludf.DUMMYFUNCTION("GOOGLETRANSLATE(A1291, ""fr"", ""en"")"),"Return NF S33
 CANCEL AND REPLACE")</f>
        <v>Return NF S33
 CANCEL AND REPLACE</v>
      </c>
    </row>
    <row r="1292">
      <c r="A1292" s="21"/>
      <c r="B1292" s="20" t="str">
        <f>IFERROR(__xludf.DUMMYFUNCTION("GOOGLETRANSLATE(A1292, ""fr"", ""en"")"),"#VALUE!")</f>
        <v>#VALUE!</v>
      </c>
    </row>
    <row r="1293">
      <c r="A1293" s="21"/>
      <c r="B1293" s="20" t="str">
        <f>IFERROR(__xludf.DUMMYFUNCTION("GOOGLETRANSLATE(A1293, ""fr"", ""en"")"),"#VALUE!")</f>
        <v>#VALUE!</v>
      </c>
    </row>
    <row r="1294">
      <c r="A1294" s="21"/>
      <c r="B1294" s="20" t="str">
        <f>IFERROR(__xludf.DUMMYFUNCTION("GOOGLETRANSLATE(A1294, ""fr"", ""en"")"),"#VALUE!")</f>
        <v>#VALUE!</v>
      </c>
    </row>
    <row r="1295">
      <c r="A1295" s="19" t="s">
        <v>1094</v>
      </c>
      <c r="B1295" s="20" t="str">
        <f>IFERROR(__xludf.DUMMYFUNCTION("GOOGLETRANSLATE(A1295, ""fr"", ""en"")"),"Return NF of 07/27/2022")</f>
        <v>Return NF of 07/27/2022</v>
      </c>
    </row>
    <row r="1296">
      <c r="A1296" s="19" t="s">
        <v>1095</v>
      </c>
      <c r="B1296" s="20" t="str">
        <f>IFERROR(__xludf.DUMMYFUNCTION("GOOGLETRANSLATE(A1296, ""fr"", ""en"")"),"Return NF of 08/03/22")</f>
        <v>Return NF of 08/03/22</v>
      </c>
    </row>
    <row r="1297">
      <c r="A1297" s="21"/>
      <c r="B1297" s="20" t="str">
        <f>IFERROR(__xludf.DUMMYFUNCTION("GOOGLETRANSLATE(A1297, ""fr"", ""en"")"),"#VALUE!")</f>
        <v>#VALUE!</v>
      </c>
    </row>
    <row r="1298">
      <c r="A1298" s="21"/>
      <c r="B1298" s="20" t="str">
        <f>IFERROR(__xludf.DUMMYFUNCTION("GOOGLETRANSLATE(A1298, ""fr"", ""en"")"),"#VALUE!")</f>
        <v>#VALUE!</v>
      </c>
    </row>
    <row r="1299">
      <c r="A1299" s="19" t="s">
        <v>1096</v>
      </c>
      <c r="B1299" s="20" t="str">
        <f>IFERROR(__xludf.DUMMYFUNCTION("GOOGLETRANSLATE(A1299, ""fr"", ""en"")"),"Return NF S28")</f>
        <v>Return NF S28</v>
      </c>
    </row>
    <row r="1300">
      <c r="A1300" s="19" t="s">
        <v>1097</v>
      </c>
      <c r="B1300" s="20" t="str">
        <f>IFERROR(__xludf.DUMMYFUNCTION("GOOGLETRANSLATE(A1300, ""fr"", ""en"")"),"Return NF of 07/20/222")</f>
        <v>Return NF of 07/20/222</v>
      </c>
    </row>
    <row r="1301">
      <c r="A1301" s="19" t="s">
        <v>1098</v>
      </c>
      <c r="B1301" s="20" t="str">
        <f>IFERROR(__xludf.DUMMYFUNCTION("GOOGLETRANSLATE(A1301, ""fr"", ""en"")"),"Blocked 3 checkout carpets")</f>
        <v>Blocked 3 checkout carpets</v>
      </c>
    </row>
    <row r="1302">
      <c r="A1302" s="19" t="s">
        <v>1010</v>
      </c>
      <c r="B1302" s="20" t="str">
        <f>IFERROR(__xludf.DUMMYFUNCTION("GOOGLETRANSLATE(A1302, ""fr"", ""en"")"),"Sale cleaning parking lots of Wednesday December 14, 2022")</f>
        <v>Sale cleaning parking lots of Wednesday December 14, 2022</v>
      </c>
    </row>
    <row r="1303">
      <c r="A1303" s="19" t="s">
        <v>1011</v>
      </c>
      <c r="B1303" s="20" t="str">
        <f>IFERROR(__xludf.DUMMYFUNCTION("GOOGLETRANSLATE(A1303, ""fr"", ""en"")"),"Sale cleaning of parking lots of Wednesday, November 23, 2022")</f>
        <v>Sale cleaning of parking lots of Wednesday, November 23, 2022</v>
      </c>
    </row>
    <row r="1304">
      <c r="A1304" s="19" t="s">
        <v>1012</v>
      </c>
      <c r="B1304" s="20" t="str">
        <f>IFERROR(__xludf.DUMMYFUNCTION("GOOGLETRANSLATE(A1304, ""fr"", ""en"")"),"Sale cleaning of parking lots Wednesday, October 5, 2022")</f>
        <v>Sale cleaning of parking lots Wednesday, October 5, 2022</v>
      </c>
    </row>
    <row r="1305">
      <c r="A1305" s="19" t="s">
        <v>1013</v>
      </c>
      <c r="B1305" s="20" t="str">
        <f>IFERROR(__xludf.DUMMYFUNCTION("GOOGLETRANSLATE(A1305, ""fr"", ""en"")"),"Sale cleaning of parking lots Wednesday, September 28, 2022")</f>
        <v>Sale cleaning of parking lots Wednesday, September 28, 2022</v>
      </c>
    </row>
    <row r="1306">
      <c r="A1306" s="19" t="s">
        <v>1016</v>
      </c>
      <c r="B1306" s="20" t="str">
        <f>IFERROR(__xludf.DUMMYFUNCTION("GOOGLETRANSLATE(A1306, ""fr"", ""en"")"),"Sale of seasonal implantation")</f>
        <v>Sale of seasonal implantation</v>
      </c>
    </row>
    <row r="1307">
      <c r="A1307" s="19" t="s">
        <v>1099</v>
      </c>
      <c r="B1307" s="20" t="str">
        <f>IFERROR(__xludf.DUMMYFUNCTION("GOOGLETRANSLATE(A1307, ""fr"", ""en"")"),"Return NF S25")</f>
        <v>Return NF S25</v>
      </c>
    </row>
    <row r="1308">
      <c r="A1308" s="19" t="s">
        <v>1100</v>
      </c>
      <c r="B1308" s="20" t="str">
        <f>IFERROR(__xludf.DUMMYFUNCTION("GOOGLETRANSLATE(A1308, ""fr"", ""en"")"),"Sale for:
 - Set up the magnetic supports for price strips in the Fresh
 - Clip the price strips on it
 - ""follow"" (move all prices in the fresh)
 - Take off the price bands located outside at the bottom of the fresh furniture
 - Remove the glues residu"&amp;"es if necessary
 For information :
 - The supports must be cut to the right length, because the defrost temperature and T ° must remain visible to customers
 - The equipment, will be placed at the quay in early S23")</f>
        <v>Sale for:
 - Set up the magnetic supports for price strips in the Fresh
 - Clip the price strips on it
 - "follow" (move all prices in the fresh)
 - Take off the price bands located outside at the bottom of the fresh furniture
 - Remove the glues residues if necessary
 For information :
 - The supports must be cut to the right length, because the defrost temperature and T ° must remain visible to customers
 - The equipment, will be placed at the quay in early S23</v>
      </c>
    </row>
    <row r="1309">
      <c r="A1309" s="19" t="s">
        <v>1019</v>
      </c>
      <c r="B1309" s="20" t="str">
        <f>IFERROR(__xludf.DUMMYFUNCTION("GOOGLETRANSLATE(A1309, ""fr"", ""en"")"),"Sale cleaning parking lots of Wednesday June 8, 2022")</f>
        <v>Sale cleaning parking lots of Wednesday June 8, 2022</v>
      </c>
    </row>
    <row r="1310">
      <c r="A1310" s="19" t="s">
        <v>1021</v>
      </c>
      <c r="B1310" s="20" t="str">
        <f>IFERROR(__xludf.DUMMYFUNCTION("GOOGLETRANSLATE(A1310, ""fr"", ""en"")"),"Sale cleaning of parking lots Wednesday, June 15, 2022")</f>
        <v>Sale cleaning of parking lots Wednesday, June 15, 2022</v>
      </c>
    </row>
    <row r="1311">
      <c r="A1311" s="19" t="s">
        <v>1023</v>
      </c>
      <c r="B1311" s="20" t="str">
        <f>IFERROR(__xludf.DUMMYFUNCTION("GOOGLETRANSLATE(A1311, ""fr"", ""en"")"),"Sale cleaning of parking lots Wednesday, June 1, 2022")</f>
        <v>Sale cleaning of parking lots Wednesday, June 1, 2022</v>
      </c>
    </row>
    <row r="1312">
      <c r="A1312" s="19" t="s">
        <v>1071</v>
      </c>
      <c r="B1312" s="20" t="str">
        <f>IFERROR(__xludf.DUMMYFUNCTION("GOOGLETRANSLATE(A1312, ""fr"", ""en"")"),"At Checklist")</f>
        <v>At Checklist</v>
      </c>
    </row>
    <row r="1313">
      <c r="A1313" s="19" t="s">
        <v>1101</v>
      </c>
      <c r="B1313" s="20" t="str">
        <f>IFERROR(__xludf.DUMMYFUNCTION("GOOGLETRANSLATE(A1313, ""fr"", ""en"")"),"To do as possible
 For :
 -Remplate a melamine support in L in the paper family
 -Abiller with Sonoma adhesive the 3 Ria boxes
 -Put of 1 cheek fresh adhesive
 Pu info:
 -Iess that the equipment is in SPM before intervention")</f>
        <v>To do as possible
 For :
 -Remplate a melamine support in L in the paper family
 -Abiller with Sonoma adhesive the 3 Ria boxes
 -Put of 1 cheek fresh adhesive
 Pu info:
 -Iess that the equipment is in SPM before intervention</v>
      </c>
    </row>
    <row r="1314">
      <c r="A1314" s="19" t="s">
        <v>1028</v>
      </c>
      <c r="B1314" s="20" t="str">
        <f>IFERROR(__xludf.DUMMYFUNCTION("GOOGLETRANSLATE(A1314, ""fr"", ""en"")"),"‘DS Smith’, to make the start of week 01 2023
 For :
 -Recuperate to the Consomag cell the new panels
 -In SPM, remove and destroy the visual in place.
 -Ment the visual ‘for 13 years…’ ’
 For information :
 -Visual Noteau Available Consomag Cell")</f>
        <v>‘DS Smith’, to make the start of week 01 2023
 For :
 -Recuperate to the Consomag cell the new panels
 -In SPM, remove and destroy the visual in place.
 -Ment the visual ‘for 13 years…’ ’
 For information :
 -Visual Noteau Available Consomag Cell</v>
      </c>
    </row>
    <row r="1315">
      <c r="A1315" s="19" t="s">
        <v>1078</v>
      </c>
      <c r="B1315" s="20" t="str">
        <f>IFERROR(__xludf.DUMMYFUNCTION("GOOGLETRANSLATE(A1315, ""fr"", ""en"")"),"AT3 quarterly check 2808")</f>
        <v>AT3 quarterly check 2808</v>
      </c>
    </row>
    <row r="1316">
      <c r="A1316" s="19" t="s">
        <v>1102</v>
      </c>
      <c r="B1316" s="20" t="str">
        <f>IFERROR(__xludf.DUMMYFUNCTION("GOOGLETRANSLATE(A1316, ""fr"", ""en"")"),"Camera connection problem")</f>
        <v>Camera connection problem</v>
      </c>
    </row>
    <row r="1317">
      <c r="A1317" s="21"/>
      <c r="B1317" s="20" t="str">
        <f>IFERROR(__xludf.DUMMYFUNCTION("GOOGLETRANSLATE(A1317, ""fr"", ""en"")"),"#VALUE!")</f>
        <v>#VALUE!</v>
      </c>
    </row>
    <row r="1318">
      <c r="A1318" s="19" t="s">
        <v>1103</v>
      </c>
      <c r="B1318" s="20" t="str">
        <f>IFERROR(__xludf.DUMMYFUNCTION("GOOGLETRANSLATE(A1318, ""fr"", ""en"")"),"NFU return")</f>
        <v>NFU return</v>
      </c>
    </row>
    <row r="1319">
      <c r="A1319" s="21"/>
      <c r="B1319" s="20" t="str">
        <f>IFERROR(__xludf.DUMMYFUNCTION("GOOGLETRANSLATE(A1319, ""fr"", ""en"")"),"#VALUE!")</f>
        <v>#VALUE!</v>
      </c>
    </row>
    <row r="1320">
      <c r="A1320" s="21"/>
      <c r="B1320" s="20" t="str">
        <f>IFERROR(__xludf.DUMMYFUNCTION("GOOGLETRANSLATE(A1320, ""fr"", ""en"")"),"#VALUE!")</f>
        <v>#VALUE!</v>
      </c>
    </row>
    <row r="1321">
      <c r="A1321" s="21"/>
      <c r="B1321" s="20" t="str">
        <f>IFERROR(__xludf.DUMMYFUNCTION("GOOGLETRANSLATE(A1321, ""fr"", ""en"")"),"#VALUE!")</f>
        <v>#VALUE!</v>
      </c>
    </row>
    <row r="1322">
      <c r="A1322" s="19" t="s">
        <v>304</v>
      </c>
      <c r="B1322" s="20" t="str">
        <f>IFERROR(__xludf.DUMMYFUNCTION("GOOGLETRANSLATE(A1322, ""fr"", ""en"")"),"(Urgent) for:
 -Recuperate visuals (best channels) DS Smith panels at the Consomag cell
 -Re attract and destroy the visual currently in place in the DS Smith panels.
 -Remplace by the visual ‘Best SPM channels’
 For information :
 -Visual Noteau availabl"&amp;"e to the Consomag cell")</f>
        <v>(Urgent) for:
 -Recuperate visuals (best channels) DS Smith panels at the Consomag cell
 -Re attract and destroy the visual currently in place in the DS Smith panels.
 -Remplace by the visual ‘Best SPM channels’
 For information :
 -Visual Noteau available to the Consomag cell</v>
      </c>
    </row>
    <row r="1323">
      <c r="A1323" s="19" t="s">
        <v>1036</v>
      </c>
      <c r="B1323" s="20" t="str">
        <f>IFERROR(__xludf.DUMMYFUNCTION("GOOGLETRANSLATE(A1323, ""fr"", ""en"")"),"Sale cleaning of parking lots Wednesday March 8, 2023")</f>
        <v>Sale cleaning of parking lots Wednesday March 8, 2023</v>
      </c>
    </row>
    <row r="1324">
      <c r="A1324" s="19" t="s">
        <v>1045</v>
      </c>
      <c r="B1324" s="20" t="str">
        <f>IFERROR(__xludf.DUMMYFUNCTION("GOOGLETRANSLATE(A1324, ""fr"", ""en"")"),"Sale 8 SPM (in blue, below) before this evening
 For :
 - Replace the visuals in place with that of the wine fair
 - Throw the ""Recruitment"" sign
 For info: panel available quai n ° 70")</f>
        <v>Sale 8 SPM (in blue, below) before this evening
 For :
 - Replace the visuals in place with that of the wine fair
 - Throw the "Recruitment" sign
 For info: panel available quai n ° 70</v>
      </c>
    </row>
    <row r="1325">
      <c r="A1325" s="19" t="s">
        <v>1038</v>
      </c>
      <c r="B1325" s="20" t="str">
        <f>IFERROR(__xludf.DUMMYFUNCTION("GOOGLETRANSLATE(A1325, ""fr"", ""en"")"),"Sale of as possible
 For :
 - Recover new visuals from the Consomag cell
 - Remove the visuals in place and destroy them
 - Set up the new ones, Visible Visible Competition (car)
 For information
 - New visuals available to the Consomag cell")</f>
        <v>Sale of as possible
 For :
 - Recover new visuals from the Consomag cell
 - Remove the visuals in place and destroy them
 - Set up the new ones, Visible Visible Competition (car)
 For information
 - New visuals available to the Consomag cell</v>
      </c>
    </row>
    <row r="1326">
      <c r="A1326" s="19" t="s">
        <v>1040</v>
      </c>
      <c r="B1326" s="20" t="str">
        <f>IFERROR(__xludf.DUMMYFUNCTION("GOOGLETRANSLATE(A1326, ""fr"", ""en"")"),"Sale cleaning of parking lots Wednesday, September 14, 2022")</f>
        <v>Sale cleaning of parking lots Wednesday, September 14, 2022</v>
      </c>
    </row>
    <row r="1327">
      <c r="A1327" s="19" t="s">
        <v>1104</v>
      </c>
      <c r="B1327" s="20" t="str">
        <f>IFERROR(__xludf.DUMMYFUNCTION("GOOGLETRANSLATE(A1327, ""fr"", ""en"")"),"At Tournee + Verit FM")</f>
        <v>At Tournee + Verit FM</v>
      </c>
    </row>
    <row r="1328">
      <c r="A1328" s="19" t="s">
        <v>1037</v>
      </c>
      <c r="B1328" s="20" t="str">
        <f>IFERROR(__xludf.DUMMYFUNCTION("GOOGLETRANSLATE(A1328, ""fr"", ""en"")"),"Sale cleaning parking lots of Wednesday September 21, 2022")</f>
        <v>Sale cleaning parking lots of Wednesday September 21, 2022</v>
      </c>
    </row>
    <row r="1329">
      <c r="A1329" s="21"/>
      <c r="B1329" s="20" t="str">
        <f>IFERROR(__xludf.DUMMYFUNCTION("GOOGLETRANSLATE(A1329, ""fr"", ""en"")"),"#VALUE!")</f>
        <v>#VALUE!</v>
      </c>
    </row>
    <row r="1330">
      <c r="A1330" s="19" t="s">
        <v>1046</v>
      </c>
      <c r="B1330" s="20" t="str">
        <f>IFERROR(__xludf.DUMMYFUNCTION("GOOGLETRANSLATE(A1330, ""fr"", ""en"")"),"Sale cleaning parking lots of Wednesday, November 30, 2022")</f>
        <v>Sale cleaning parking lots of Wednesday, November 30, 2022</v>
      </c>
    </row>
    <row r="1331">
      <c r="A1331" s="21"/>
      <c r="B1331" s="20" t="str">
        <f>IFERROR(__xludf.DUMMYFUNCTION("GOOGLETRANSLATE(A1331, ""fr"", ""en"")"),"#VALUE!")</f>
        <v>#VALUE!</v>
      </c>
    </row>
    <row r="1332">
      <c r="A1332" s="19" t="s">
        <v>1105</v>
      </c>
      <c r="B1332" s="20" t="str">
        <f>IFERROR(__xludf.DUMMYFUNCTION("GOOGLETRANSLATE(A1332, ""fr"", ""en"")"),"Sale code AVVP2023 from 7:30 p.m.
 For: (as part of the addition of two VVP windows)
 -implant the VVP windows (island of 10 windows)
 -Ment visuals up to date
 -To make room
 -Implant dry (according to AIP)
 -Effective the spots requested by the AIP
 For"&amp;" information :
 -Anquestrian will be present")</f>
        <v>Sale code AVVP2023 from 7:30 p.m.
 For: (as part of the addition of two VVP windows)
 -implant the VVP windows (island of 10 windows)
 -Ment visuals up to date
 -To make room
 -Implant dry (according to AIP)
 -Effective the spots requested by the AIP
 For information :
 -Anquestrian will be present</v>
      </c>
    </row>
    <row r="1333">
      <c r="A1333" s="19" t="s">
        <v>1106</v>
      </c>
      <c r="B1333" s="20" t="str">
        <f>IFERROR(__xludf.DUMMYFUNCTION("GOOGLETRANSLATE(A1333, ""fr"", ""en"")"),"Change the electrodes of the .odm defibrillator made by AT3.")</f>
        <v>Change the electrodes of the .odm defibrillator made by AT3.</v>
      </c>
    </row>
    <row r="1334">
      <c r="A1334" s="19" t="s">
        <v>1107</v>
      </c>
      <c r="B1334" s="20" t="str">
        <f>IFERROR(__xludf.DUMMYFUNCTION("GOOGLETRANSLATE(A1334, ""fr"", ""en"")"),"AT3 CHECK LIST quarterly 2814")</f>
        <v>AT3 CHECK LIST quarterly 2814</v>
      </c>
    </row>
    <row r="1335">
      <c r="A1335" s="21"/>
      <c r="B1335" s="20" t="str">
        <f>IFERROR(__xludf.DUMMYFUNCTION("GOOGLETRANSLATE(A1335, ""fr"", ""en"")"),"#VALUE!")</f>
        <v>#VALUE!</v>
      </c>
    </row>
    <row r="1336">
      <c r="A1336" s="19" t="s">
        <v>1108</v>
      </c>
      <c r="B1336" s="20" t="str">
        <f>IFERROR(__xludf.DUMMYFUNCTION("GOOGLETRANSLATE(A1336, ""fr"", ""en"")"),"Sale of as possible (a little urgent)
 To: move the recruitment cover and put it on the front facade of the SPM.")</f>
        <v>Sale of as possible (a little urgent)
 To: move the recruitment cover and put it on the front facade of the SPM.</v>
      </c>
    </row>
    <row r="1337">
      <c r="A1337" s="21"/>
      <c r="B1337" s="20" t="str">
        <f>IFERROR(__xludf.DUMMYFUNCTION("GOOGLETRANSLATE(A1337, ""fr"", ""en"")"),"#VALUE!")</f>
        <v>#VALUE!</v>
      </c>
    </row>
    <row r="1338">
      <c r="A1338" s="21"/>
      <c r="B1338" s="20" t="str">
        <f>IFERROR(__xludf.DUMMYFUNCTION("GOOGLETRANSLATE(A1338, ""fr"", ""en"")"),"#VALUE!")</f>
        <v>#VALUE!</v>
      </c>
    </row>
    <row r="1339">
      <c r="A1339" s="19" t="s">
        <v>1109</v>
      </c>
      <c r="B1339" s="20" t="str">
        <f>IFERROR(__xludf.DUMMYFUNCTION("GOOGLETRANSLATE(A1339, ""fr"", ""en"")"),"At3 checklist 2814")</f>
        <v>At3 checklist 2814</v>
      </c>
    </row>
    <row r="1340">
      <c r="A1340" s="19" t="s">
        <v>1110</v>
      </c>
      <c r="B1340" s="20" t="str">
        <f>IFERROR(__xludf.DUMMYFUNCTION("GOOGLETRANSLATE(A1340, ""fr"", ""en"")"),"SPM sale 2814 Hegenheim, before Friday, May 20, 2022
 For :
 - In the CF- of V2, put the axes in place as indicated on the PJ level
 - Put 1 shelf for 2 references, 2 shelves if 3 references, etc… by axes in 60 cm
 For information :
 - It takes 18"&amp;" axes in all with the existing
 - Put the axes towards the bottom of the CF -
 - Take all the material at the Consomag cell,
 - No podiums to set up
 - Double spacers to set up
 - The SPM is informed
 - No melamine to set up
 - Put strips of banks in plac"&amp;"e")</f>
        <v>SPM sale 2814 Hegenheim, before Friday, May 20, 2022
 For :
 - In the CF- of V2, put the axes in place as indicated on the PJ level
 - Put 1 shelf for 2 references, 2 shelves if 3 references, etc… by axes in 60 cm
 For information :
 - It takes 18 axes in all with the existing
 - Put the axes towards the bottom of the CF -
 - Take all the material at the Consomag cell,
 - No podiums to set up
 - Double spacers to set up
 - The SPM is informed
 - No melamine to set up
 - Put strips of banks in place</v>
      </c>
    </row>
    <row r="1341">
      <c r="A1341" s="21"/>
      <c r="B1341" s="20" t="str">
        <f>IFERROR(__xludf.DUMMYFUNCTION("GOOGLETRANSLATE(A1341, ""fr"", ""en"")"),"#VALUE!")</f>
        <v>#VALUE!</v>
      </c>
    </row>
    <row r="1342">
      <c r="A1342" s="19" t="s">
        <v>1111</v>
      </c>
      <c r="B1342" s="20" t="str">
        <f>IFERROR(__xludf.DUMMYFUNCTION("GOOGLETRANSLATE(A1342, ""fr"", ""en"")"),"Sale of as possible
 To: fix a “35h” recruitment tarpaulin on the facade of the SPM of Hegenheim 2814
 For info: you collect the tarpaulin from the consomag cell")</f>
        <v>Sale of as possible
 To: fix a “35h” recruitment tarpaulin on the facade of the SPM of Hegenheim 2814
 For info: you collect the tarpaulin from the consomag cell</v>
      </c>
    </row>
    <row r="1343">
      <c r="A1343" s="19" t="s">
        <v>1112</v>
      </c>
      <c r="B1343" s="20" t="str">
        <f>IFERROR(__xludf.DUMMYFUNCTION("GOOGLETRANSLATE(A1343, ""fr"", ""en"")"),"Sale for, before S17, put the DD of PDT on the fresh side.
 For info: you take the material at the consomag cell.")</f>
        <v>Sale for, before S17, put the DD of PDT on the fresh side.
 For info: you take the material at the consomag cell.</v>
      </c>
    </row>
    <row r="1344">
      <c r="A1344" s="19" t="s">
        <v>1113</v>
      </c>
      <c r="B1344" s="20" t="str">
        <f>IFERROR(__xludf.DUMMYFUNCTION("GOOGLETRANSLATE(A1344, ""fr"", ""en"")"),"AT3 quarterly checklist 2814")</f>
        <v>AT3 quarterly checklist 2814</v>
      </c>
    </row>
    <row r="1345">
      <c r="A1345" s="21"/>
      <c r="B1345" s="20" t="str">
        <f>IFERROR(__xludf.DUMMYFUNCTION("GOOGLETRANSLATE(A1345, ""fr"", ""en"")"),"#VALUE!")</f>
        <v>#VALUE!</v>
      </c>
    </row>
    <row r="1346">
      <c r="A1346" s="21"/>
      <c r="B1346" s="20" t="str">
        <f>IFERROR(__xludf.DUMMYFUNCTION("GOOGLETRANSLATE(A1346, ""fr"", ""en"")"),"#VALUE!")</f>
        <v>#VALUE!</v>
      </c>
    </row>
    <row r="1347">
      <c r="A1347" s="21"/>
      <c r="B1347" s="20" t="str">
        <f>IFERROR(__xludf.DUMMYFUNCTION("GOOGLETRANSLATE(A1347, ""fr"", ""en"")"),"#VALUE!")</f>
        <v>#VALUE!</v>
      </c>
    </row>
    <row r="1348">
      <c r="A1348" s="19" t="s">
        <v>1114</v>
      </c>
      <c r="B1348" s="20" t="str">
        <f>IFERROR(__xludf.DUMMYFUNCTION("GOOGLETRANSLATE(A1348, ""fr"", ""en"")"),"At3 check list 2814")</f>
        <v>At3 check list 2814</v>
      </c>
    </row>
    <row r="1349">
      <c r="A1349" s="19" t="s">
        <v>1107</v>
      </c>
      <c r="B1349" s="20" t="str">
        <f>IFERROR(__xludf.DUMMYFUNCTION("GOOGLETRANSLATE(A1349, ""fr"", ""en"")"),"AT3 CHECK LIST quarterly 2814")</f>
        <v>AT3 CHECK LIST quarterly 2814</v>
      </c>
    </row>
    <row r="1350">
      <c r="A1350" s="19" t="s">
        <v>1109</v>
      </c>
      <c r="B1350" s="20" t="str">
        <f>IFERROR(__xludf.DUMMYFUNCTION("GOOGLETRANSLATE(A1350, ""fr"", ""en"")"),"At3 checklist 2814")</f>
        <v>At3 checklist 2814</v>
      </c>
    </row>
    <row r="1351">
      <c r="A1351" s="19" t="s">
        <v>1109</v>
      </c>
      <c r="B1351" s="20" t="str">
        <f>IFERROR(__xludf.DUMMYFUNCTION("GOOGLETRANSLATE(A1351, ""fr"", ""en"")"),"At3 checklist 2814")</f>
        <v>At3 checklist 2814</v>
      </c>
    </row>
    <row r="1352">
      <c r="A1352" s="21"/>
      <c r="B1352" s="20" t="str">
        <f>IFERROR(__xludf.DUMMYFUNCTION("GOOGLETRANSLATE(A1352, ""fr"", ""en"")"),"#VALUE!")</f>
        <v>#VALUE!</v>
      </c>
    </row>
    <row r="1353">
      <c r="A1353" s="21"/>
      <c r="B1353" s="20" t="str">
        <f>IFERROR(__xludf.DUMMYFUNCTION("GOOGLETRANSLATE(A1353, ""fr"", ""en"")"),"#VALUE!")</f>
        <v>#VALUE!</v>
      </c>
    </row>
    <row r="1354">
      <c r="A1354" s="19" t="s">
        <v>1107</v>
      </c>
      <c r="B1354" s="20" t="str">
        <f>IFERROR(__xludf.DUMMYFUNCTION("GOOGLETRANSLATE(A1354, ""fr"", ""en"")"),"AT3 CHECK LIST quarterly 2814")</f>
        <v>AT3 CHECK LIST quarterly 2814</v>
      </c>
    </row>
    <row r="1355">
      <c r="A1355" s="19" t="s">
        <v>933</v>
      </c>
      <c r="B1355" s="20" t="str">
        <f>IFERROR(__xludf.DUMMYFUNCTION("GOOGLETRANSLATE(A1355, ""fr"", ""en"")"),"MCM 2022 tour sale")</f>
        <v>MCM 2022 tour sale</v>
      </c>
    </row>
    <row r="1356">
      <c r="A1356" s="19" t="s">
        <v>935</v>
      </c>
      <c r="B1356" s="20" t="str">
        <f>IFERROR(__xludf.DUMMYFUNCTION("GOOGLETRANSLATE(A1356, ""fr"", ""en"")"),"MAJ SALE CONCEPT CO")</f>
        <v>MAJ SALE CONCEPT CO</v>
      </c>
    </row>
    <row r="1357">
      <c r="A1357" s="21"/>
      <c r="B1357" s="20" t="str">
        <f>IFERROR(__xludf.DUMMYFUNCTION("GOOGLETRANSLATE(A1357, ""fr"", ""en"")"),"#VALUE!")</f>
        <v>#VALUE!</v>
      </c>
    </row>
    <row r="1358">
      <c r="A1358" s="19" t="s">
        <v>1115</v>
      </c>
      <c r="B1358" s="20" t="str">
        <f>IFERROR(__xludf.DUMMYFUNCTION("GOOGLETRANSLATE(A1358, ""fr"", ""en"")"),"Sale to be made on 09/28/2022. Seasonal reimplantation.")</f>
        <v>Sale to be made on 09/28/2022. Seasonal reimplantation.</v>
      </c>
    </row>
    <row r="1359">
      <c r="A1359" s="21"/>
      <c r="B1359" s="20" t="str">
        <f>IFERROR(__xludf.DUMMYFUNCTION("GOOGLETRANSLATE(A1359, ""fr"", ""en"")"),"#VALUE!")</f>
        <v>#VALUE!</v>
      </c>
    </row>
    <row r="1360">
      <c r="A1360" s="21"/>
      <c r="B1360" s="20" t="str">
        <f>IFERROR(__xludf.DUMMYFUNCTION("GOOGLETRANSLATE(A1360, ""fr"", ""en"")"),"#VALUE!")</f>
        <v>#VALUE!</v>
      </c>
    </row>
    <row r="1361">
      <c r="A1361" s="21"/>
      <c r="B1361" s="20" t="str">
        <f>IFERROR(__xludf.DUMMYFUNCTION("GOOGLETRANSLATE(A1361, ""fr"", ""en"")"),"#VALUE!")</f>
        <v>#VALUE!</v>
      </c>
    </row>
    <row r="1362">
      <c r="A1362" s="21"/>
      <c r="B1362" s="20" t="str">
        <f>IFERROR(__xludf.DUMMYFUNCTION("GOOGLETRANSLATE(A1362, ""fr"", ""en"")"),"#VALUE!")</f>
        <v>#VALUE!</v>
      </c>
    </row>
    <row r="1363">
      <c r="A1363" s="21"/>
      <c r="B1363" s="20" t="str">
        <f>IFERROR(__xludf.DUMMYFUNCTION("GOOGLETRANSLATE(A1363, ""fr"", ""en"")"),"#VALUE!")</f>
        <v>#VALUE!</v>
      </c>
    </row>
    <row r="1364">
      <c r="A1364" s="21"/>
      <c r="B1364" s="20" t="str">
        <f>IFERROR(__xludf.DUMMYFUNCTION("GOOGLETRANSLATE(A1364, ""fr"", ""en"")"),"#VALUE!")</f>
        <v>#VALUE!</v>
      </c>
    </row>
    <row r="1365">
      <c r="A1365" s="19" t="s">
        <v>1109</v>
      </c>
      <c r="B1365" s="20" t="str">
        <f>IFERROR(__xludf.DUMMYFUNCTION("GOOGLETRANSLATE(A1365, ""fr"", ""en"")"),"At3 checklist 2814")</f>
        <v>At3 checklist 2814</v>
      </c>
    </row>
    <row r="1366">
      <c r="A1366" s="19" t="s">
        <v>1113</v>
      </c>
      <c r="B1366" s="20" t="str">
        <f>IFERROR(__xludf.DUMMYFUNCTION("GOOGLETRANSLATE(A1366, ""fr"", ""en"")"),"AT3 quarterly checklist 2814")</f>
        <v>AT3 quarterly checklist 2814</v>
      </c>
    </row>
    <row r="1367">
      <c r="A1367" s="19" t="s">
        <v>968</v>
      </c>
      <c r="B1367" s="20" t="str">
        <f>IFERROR(__xludf.DUMMYFUNCTION("GOOGLETRANSLATE(A1367, ""fr"", ""en"")"),"Tournate sale
 For :
 - Make SPM turned before 19/08.
 For information :
 - Take all the material at the Consomag cell from 07/22
 - The equipment necessary for frozen as well as fresh adhesives will be delivered later. An email will be sent to you "&amp;"from the moment it is available at Conomag.
 - The list of SPMs and points to be performed are in PJ")</f>
        <v>Tournate sale
 For :
 - Make SPM turned before 19/08.
 For information :
 - Take all the material at the Consomag cell from 07/22
 - The equipment necessary for frozen as well as fresh adhesives will be delivered later. An email will be sent to you from the moment it is available at Conomag.
 - The list of SPMs and points to be performed are in PJ</v>
      </c>
    </row>
    <row r="1368">
      <c r="A1368" s="21"/>
      <c r="B1368" s="20" t="str">
        <f>IFERROR(__xludf.DUMMYFUNCTION("GOOGLETRANSLATE(A1368, ""fr"", ""en"")"),"#VALUE!")</f>
        <v>#VALUE!</v>
      </c>
    </row>
    <row r="1369">
      <c r="A1369" s="19" t="s">
        <v>1116</v>
      </c>
      <c r="B1369" s="20" t="str">
        <f>IFERROR(__xludf.DUMMYFUNCTION("GOOGLETRANSLATE(A1369, ""fr"", ""en"")"),"Sale AVVP Implementation 3 people
 3 people from 7:30 p.m. to 11:30 p.m.")</f>
        <v>Sale AVVP Implementation 3 people
 3 people from 7:30 p.m. to 11:30 p.m.</v>
      </c>
    </row>
    <row r="1370">
      <c r="A1370" s="19" t="s">
        <v>1117</v>
      </c>
      <c r="B1370" s="20" t="str">
        <f>IFERROR(__xludf.DUMMYFUNCTION("GOOGLETRANSLATE(A1370, ""fr"", ""en"")"),"AVVP sale Wednesday February 22, 2023, from 7:30 p.m.
 For :
 -Plano VVP (following Add or VVP)
 -Panneaux and visuals to update
 -Dative according to request from the establishment
 For information :
 -1 Establishment will be present")</f>
        <v>AVVP sale Wednesday February 22, 2023, from 7:30 p.m.
 For :
 -Plano VVP (following Add or VVP)
 -Panneaux and visuals to update
 -Dative according to request from the establishment
 For information :
 -1 Establishment will be present</v>
      </c>
    </row>
    <row r="1371">
      <c r="A1371" s="21"/>
      <c r="B1371" s="20" t="str">
        <f>IFERROR(__xludf.DUMMYFUNCTION("GOOGLETRANSLATE(A1371, ""fr"", ""en"")"),"#VALUE!")</f>
        <v>#VALUE!</v>
      </c>
    </row>
    <row r="1372">
      <c r="A1372" s="21"/>
      <c r="B1372" s="20" t="str">
        <f>IFERROR(__xludf.DUMMYFUNCTION("GOOGLETRANSLATE(A1372, ""fr"", ""en"")"),"#VALUE!")</f>
        <v>#VALUE!</v>
      </c>
    </row>
    <row r="1373">
      <c r="A1373" s="19" t="s">
        <v>1118</v>
      </c>
      <c r="B1373" s="20" t="str">
        <f>IFERROR(__xludf.DUMMYFUNCTION("GOOGLETRANSLATE(A1373, ""fr"", ""en"")"),"come and install Bac Surge")</f>
        <v>come and install Bac Surge</v>
      </c>
    </row>
    <row r="1374">
      <c r="A1374" s="21"/>
      <c r="B1374" s="20" t="str">
        <f>IFERROR(__xludf.DUMMYFUNCTION("GOOGLETRANSLATE(A1374, ""fr"", ""en"")"),"#VALUE!")</f>
        <v>#VALUE!</v>
      </c>
    </row>
    <row r="1375">
      <c r="A1375" s="19" t="s">
        <v>1119</v>
      </c>
      <c r="B1375" s="20" t="str">
        <f>IFERROR(__xludf.DUMMYFUNCTION("GOOGLETRANSLATE(A1375, ""fr"", ""en"")"),"AT3 Check- List 2814")</f>
        <v>AT3 Check- List 2814</v>
      </c>
    </row>
    <row r="1376">
      <c r="A1376" s="19" t="s">
        <v>1107</v>
      </c>
      <c r="B1376" s="20" t="str">
        <f>IFERROR(__xludf.DUMMYFUNCTION("GOOGLETRANSLATE(A1376, ""fr"", ""en"")"),"AT3 CHECK LIST quarterly 2814")</f>
        <v>AT3 CHECK LIST quarterly 2814</v>
      </c>
    </row>
    <row r="1377">
      <c r="A1377" s="19" t="s">
        <v>1120</v>
      </c>
      <c r="B1377" s="20" t="str">
        <f>IFERROR(__xludf.DUMMYFUNCTION("GOOGLETRANSLATE(A1377, ""fr"", ""en"")"),"Sale, as soon as possible
 For :
 - Remove the ""milk"" lettering in place
 - Put in place the milk lettering at the right size
 - plan to paint white, because the lettering is delivered in gray
 - Provide retouching gray wall paint
 For info: Deliv"&amp;"ery of lettering planned this week")</f>
        <v>Sale, as soon as possible
 For :
 - Remove the "milk" lettering in place
 - Put in place the milk lettering at the right size
 - plan to paint white, because the lettering is delivered in gray
 - Provide retouching gray wall paint
 For info: Delivery of lettering planned this week</v>
      </c>
    </row>
    <row r="1378">
      <c r="A1378" s="19" t="s">
        <v>1121</v>
      </c>
      <c r="B1378" s="20" t="str">
        <f>IFERROR(__xludf.DUMMYFUNCTION("GOOGLETRANSLATE(A1378, ""fr"", ""en"")"),"Non food piano return")</f>
        <v>Non food piano return</v>
      </c>
    </row>
    <row r="1379">
      <c r="A1379" s="19" t="s">
        <v>1122</v>
      </c>
      <c r="B1379" s="20" t="str">
        <f>IFERROR(__xludf.DUMMYFUNCTION("GOOGLETRANSLATE(A1379, ""fr"", ""en"")"),"Vigil from 02/22/23 at 7:30 p.m. until 23/02/23 at 06:00")</f>
        <v>Vigil from 02/22/23 at 7:30 p.m. until 23/02/23 at 06:00</v>
      </c>
    </row>
    <row r="1380">
      <c r="A1380" s="21"/>
      <c r="B1380" s="20" t="str">
        <f>IFERROR(__xludf.DUMMYFUNCTION("GOOGLETRANSLATE(A1380, ""fr"", ""en"")"),"#VALUE!")</f>
        <v>#VALUE!</v>
      </c>
    </row>
    <row r="1381">
      <c r="A1381" s="21"/>
      <c r="B1381" s="20" t="str">
        <f>IFERROR(__xludf.DUMMYFUNCTION("GOOGLETRANSLATE(A1381, ""fr"", ""en"")"),"#VALUE!")</f>
        <v>#VALUE!</v>
      </c>
    </row>
    <row r="1382">
      <c r="A1382" s="21"/>
      <c r="B1382" s="20" t="str">
        <f>IFERROR(__xludf.DUMMYFUNCTION("GOOGLETRANSLATE(A1382, ""fr"", ""en"")"),"#VALUE!")</f>
        <v>#VALUE!</v>
      </c>
    </row>
    <row r="1383">
      <c r="A1383" s="19" t="s">
        <v>1123</v>
      </c>
      <c r="B1383" s="20" t="str">
        <f>IFERROR(__xludf.DUMMYFUNCTION("GOOGLETRANSLATE(A1383, ""fr"", ""en"")"),"Urgent need of troubleshooting
 Emergency from the box of box lines
 The key turns into a vacuum, which means that in the event of a door opening you cannot deactivate the alarm.")</f>
        <v>Urgent need of troubleshooting
 Emergency from the box of box lines
 The key turns into a vacuum, which means that in the event of a door opening you cannot deactivate the alarm.</v>
      </c>
    </row>
    <row r="1384">
      <c r="A1384" s="19" t="s">
        <v>1124</v>
      </c>
      <c r="B1384" s="20" t="str">
        <f>IFERROR(__xludf.DUMMYFUNCTION("GOOGLETRANSLATE(A1384, ""fr"", ""en"")"),"Sale for:
 -Sur the Cf de Quai currently FL, Remove the green adhesives FL on the door and the Green FL panel inside
 -Place in the place of fresh blue adhesives and a large fresh blue panel
 For information :
 -You collect the large fresh blue vertical p"&amp;"anel and the adhesives with the consomag cell
 -Axima will intervene before December 1.
 -Pop is to modify the adhesives because this same CF passed from FL at fresh
 Cdlt")</f>
        <v>Sale for:
 -Sur the Cf de Quai currently FL, Remove the green adhesives FL on the door and the Green FL panel inside
 -Place in the place of fresh blue adhesives and a large fresh blue panel
 For information :
 -You collect the large fresh blue vertical panel and the adhesives with the consomag cell
 -Axima will intervene before December 1.
 -Pop is to modify the adhesives because this same CF passed from FL at fresh
 Cdlt</v>
      </c>
    </row>
    <row r="1385">
      <c r="A1385" s="19" t="s">
        <v>1016</v>
      </c>
      <c r="B1385" s="20" t="str">
        <f>IFERROR(__xludf.DUMMYFUNCTION("GOOGLETRANSLATE(A1385, ""fr"", ""en"")"),"Sale of seasonal implantation")</f>
        <v>Sale of seasonal implantation</v>
      </c>
    </row>
    <row r="1386">
      <c r="A1386" s="21"/>
      <c r="B1386" s="20" t="str">
        <f>IFERROR(__xludf.DUMMYFUNCTION("GOOGLETRANSLATE(A1386, ""fr"", ""en"")"),"#VALUE!")</f>
        <v>#VALUE!</v>
      </c>
    </row>
    <row r="1387">
      <c r="A1387" s="21"/>
      <c r="B1387" s="20" t="str">
        <f>IFERROR(__xludf.DUMMYFUNCTION("GOOGLETRANSLATE(A1387, ""fr"", ""en"")"),"#VALUE!")</f>
        <v>#VALUE!</v>
      </c>
    </row>
    <row r="1388">
      <c r="A1388" s="21"/>
      <c r="B1388" s="20" t="str">
        <f>IFERROR(__xludf.DUMMYFUNCTION("GOOGLETRANSLATE(A1388, ""fr"", ""en"")"),"#VALUE!")</f>
        <v>#VALUE!</v>
      </c>
    </row>
    <row r="1389">
      <c r="A1389" s="19" t="s">
        <v>1109</v>
      </c>
      <c r="B1389" s="20" t="str">
        <f>IFERROR(__xludf.DUMMYFUNCTION("GOOGLETRANSLATE(A1389, ""fr"", ""en"")"),"At3 checklist 2814")</f>
        <v>At3 checklist 2814</v>
      </c>
    </row>
    <row r="1390">
      <c r="A1390" s="19" t="s">
        <v>1107</v>
      </c>
      <c r="B1390" s="20" t="str">
        <f>IFERROR(__xludf.DUMMYFUNCTION("GOOGLETRANSLATE(A1390, ""fr"", ""en"")"),"AT3 CHECK LIST quarterly 2814")</f>
        <v>AT3 CHECK LIST quarterly 2814</v>
      </c>
    </row>
    <row r="1391">
      <c r="A1391" s="19" t="s">
        <v>1125</v>
      </c>
      <c r="B1391" s="20" t="str">
        <f>IFERROR(__xludf.DUMMYFUNCTION("GOOGLETRANSLATE(A1391, ""fr"", ""en"")"),"Various RMR sale, 2 people, from 07:30, Wednesday June 7, 2023
 For :
 -Mounting 4 axes drinks in the airlock
 -Passe the alcohol in checkout n ° 7 (with axis mounting and withdrawal table table)
 -Mplonger fl of 1 axis
 -Implantation of families (moved, "&amp;"etc.)
 For information :
 -Mehmet B., will be present for the explanations and start of the work")</f>
        <v>Various RMR sale, 2 people, from 07:30, Wednesday June 7, 2023
 For :
 -Mounting 4 axes drinks in the airlock
 -Passe the alcohol in checkout n ° 7 (with axis mounting and withdrawal table table)
 -Mplonger fl of 1 axis
 -Implantation of families (moved, etc.)
 For information :
 -Mehmet B., will be present for the explanations and start of the work</v>
      </c>
    </row>
    <row r="1392">
      <c r="A1392" s="19" t="s">
        <v>1126</v>
      </c>
      <c r="B1392" s="20" t="str">
        <f>IFERROR(__xludf.DUMMYFUNCTION("GOOGLETRANSLATE(A1392, ""fr"", ""en"")"),"Update of the safety register in tab 40 with the accessibility.odm document made by AT3. Finished work.")</f>
        <v>Update of the safety register in tab 40 with the accessibility.odm document made by AT3. Finished work.</v>
      </c>
    </row>
    <row r="1393">
      <c r="A1393" s="19" t="s">
        <v>1127</v>
      </c>
      <c r="B1393" s="20" t="str">
        <f>IFERROR(__xludf.DUMMYFUNCTION("GOOGLETRANSLATE(A1393, ""fr"", ""en"")"),"Urgent sale to be made Tuesday, November 29, 2022. Recover 2 bins 210 - Miami. Place them in reserve.")</f>
        <v>Urgent sale to be made Tuesday, November 29, 2022. Recover 2 bins 210 - Miami. Place them in reserve.</v>
      </c>
    </row>
    <row r="1394">
      <c r="A1394" s="21"/>
      <c r="B1394" s="20" t="str">
        <f>IFERROR(__xludf.DUMMYFUNCTION("GOOGLETRANSLATE(A1394, ""fr"", ""en"")"),"#VALUE!")</f>
        <v>#VALUE!</v>
      </c>
    </row>
    <row r="1395">
      <c r="A1395" s="19" t="s">
        <v>1128</v>
      </c>
      <c r="B1395" s="20" t="str">
        <f>IFERROR(__xludf.DUMMYFUNCTION("GOOGLETRANSLATE(A1395, ""fr"", ""en"")"),"can't make a request with the new mobi
 The BAC SURG NUMERO 10044474226 which has just been changed on Friday 12/08 does not work
 urgent")</f>
        <v>can't make a request with the new mobi
 The BAC SURG NUMERO 10044474226 which has just been changed on Friday 12/08 does not work
 urgent</v>
      </c>
    </row>
    <row r="1396">
      <c r="A1396" s="19" t="s">
        <v>1129</v>
      </c>
      <c r="B1396" s="20" t="str">
        <f>IFERROR(__xludf.DUMMYFUNCTION("GOOGLETRANSLATE(A1396, ""fr"", ""en"")"),"Lighting no longer works please do an intervention")</f>
        <v>Lighting no longer works please do an intervention</v>
      </c>
    </row>
    <row r="1397">
      <c r="A1397" s="19" t="s">
        <v>1130</v>
      </c>
      <c r="B1397" s="20" t="str">
        <f>IFERROR(__xludf.DUMMYFUNCTION("GOOGLETRANSLATE(A1397, ""fr"", ""en"")"),"Lighting no longer works")</f>
        <v>Lighting no longer works</v>
      </c>
    </row>
    <row r="1398">
      <c r="A1398" s="19" t="s">
        <v>1130</v>
      </c>
      <c r="B1398" s="20" t="str">
        <f>IFERROR(__xludf.DUMMYFUNCTION("GOOGLETRANSLATE(A1398, ""fr"", ""en"")"),"Lighting no longer works")</f>
        <v>Lighting no longer works</v>
      </c>
    </row>
    <row r="1399">
      <c r="A1399" s="19" t="s">
        <v>1131</v>
      </c>
      <c r="B1399" s="20" t="str">
        <f>IFERROR(__xludf.DUMMYFUNCTION("GOOGLETRANSLATE(A1399, ""fr"", ""en"")"),"Interior light of the weak fringe tray")</f>
        <v>Interior light of the weak fringe tray</v>
      </c>
    </row>
    <row r="1400">
      <c r="A1400" s="19" t="s">
        <v>1132</v>
      </c>
      <c r="B1400" s="20" t="str">
        <f>IFERROR(__xludf.DUMMYFUNCTION("GOOGLETRANSLATE(A1400, ""fr"", ""en"")"),"Defective lighting")</f>
        <v>Defective lighting</v>
      </c>
    </row>
    <row r="1401">
      <c r="A1401" s="19" t="s">
        <v>1132</v>
      </c>
      <c r="B1401" s="20" t="str">
        <f>IFERROR(__xludf.DUMMYFUNCTION("GOOGLETRANSLATE(A1401, ""fr"", ""en"")"),"Defective lighting")</f>
        <v>Defective lighting</v>
      </c>
    </row>
    <row r="1402">
      <c r="A1402" s="19" t="s">
        <v>1133</v>
      </c>
      <c r="B1402" s="20" t="str">
        <f>IFERROR(__xludf.DUMMYFUNCTION("GOOGLETRANSLATE(A1402, ""fr"", ""en"")"),"Sounds and temperature decreases")</f>
        <v>Sounds and temperature decreases</v>
      </c>
    </row>
    <row r="1403">
      <c r="A1403" s="19" t="s">
        <v>1134</v>
      </c>
      <c r="B1403" s="20" t="str">
        <f>IFERROR(__xludf.DUMMYFUNCTION("GOOGLETRANSLATE(A1403, ""fr"", ""en"")"),"Bac that rings -15c")</f>
        <v>Bac that rings -15c</v>
      </c>
    </row>
    <row r="1404">
      <c r="A1404" s="19" t="s">
        <v>1135</v>
      </c>
      <c r="B1404" s="20" t="str">
        <f>IFERROR(__xludf.DUMMYFUNCTION("GOOGLETRANSLATE(A1404, ""fr"", ""en"")"),"Makes a ""bizzare"" and temp a -10 noise")</f>
        <v>Makes a "bizzare" and temp a -10 noise</v>
      </c>
    </row>
    <row r="1405">
      <c r="A1405" s="19" t="s">
        <v>1136</v>
      </c>
      <c r="B1405" s="20" t="str">
        <f>IFERROR(__xludf.DUMMYFUNCTION("GOOGLETRANSLATE(A1405, ""fr"", ""en"")"),"The Noeon of the Surg Ice Bac is broken")</f>
        <v>The Noeon of the Surg Ice Bac is broken</v>
      </c>
    </row>
    <row r="1406">
      <c r="A1406" s="19" t="s">
        <v>1137</v>
      </c>
      <c r="B1406" s="20" t="str">
        <f>IFERROR(__xludf.DUMMYFUNCTION("GOOGLETRANSLATE(A1406, ""fr"", ""en"")"),"Glass window frozen without joint, the window this lifting.
 TG BAC BEFORE
 URGENT ! more sealing")</f>
        <v>Glass window frozen without joint, the window this lifting.
 TG BAC BEFORE
 URGENT ! more sealing</v>
      </c>
    </row>
    <row r="1407">
      <c r="A1407" s="19" t="s">
        <v>1138</v>
      </c>
      <c r="B1407" s="20" t="str">
        <f>IFERROR(__xludf.DUMMYFUNCTION("GOOGLETRANSLATE(A1407, ""fr"", ""en"")"),"Joint to replace")</f>
        <v>Joint to replace</v>
      </c>
    </row>
    <row r="1408">
      <c r="A1408" s="19" t="s">
        <v>1139</v>
      </c>
      <c r="B1408" s="20" t="str">
        <f>IFERROR(__xludf.DUMMYFUNCTION("GOOGLETRANSLATE(A1408, ""fr"", ""en"")"),"HS joint")</f>
        <v>HS joint</v>
      </c>
    </row>
    <row r="1409">
      <c r="A1409" s="19" t="s">
        <v>1140</v>
      </c>
      <c r="B1409" s="20" t="str">
        <f>IFERROR(__xludf.DUMMYFUNCTION("GOOGLETRANSLATE(A1409, ""fr"", ""en"")"),"The Bac Surg that we have that we received last week which is in reserve does not descend below -16.5 degrees
 He is currently empty.")</f>
        <v>The Bac Surg that we have that we received last week which is in reserve does not descend below -16.5 degrees
 He is currently empty.</v>
      </c>
    </row>
    <row r="1410">
      <c r="A1410" s="19" t="s">
        <v>1141</v>
      </c>
      <c r="B1410" s="20" t="str">
        <f>IFERROR(__xludf.DUMMYFUNCTION("GOOGLETRANSLATE(A1410, ""fr"", ""en"")"),"A cache is missing for the electric cables of the Surg Island")</f>
        <v>A cache is missing for the electric cables of the Surg Island</v>
      </c>
    </row>
    <row r="1411">
      <c r="A1411" s="19" t="s">
        <v>1142</v>
      </c>
      <c r="B1411" s="20" t="str">
        <f>IFERROR(__xludf.DUMMYFUNCTION("GOOGLETRANSLATE(A1411, ""fr"", ""en"")"),"furniture")</f>
        <v>furniture</v>
      </c>
    </row>
    <row r="1412">
      <c r="A1412" s="19" t="s">
        <v>1143</v>
      </c>
      <c r="B1412" s="20" t="str">
        <f>IFERROR(__xludf.DUMMYFUNCTION("GOOGLETRANSLATE(A1412, ""fr"", ""en"")"),"We should change the frozen furniture for the pastries. that we have in reserve.
 We would need a bigger one.")</f>
        <v>We should change the frozen furniture for the pastries. that we have in reserve.
 We would need a bigger one.</v>
      </c>
    </row>
    <row r="1413">
      <c r="A1413" s="19" t="s">
        <v>1144</v>
      </c>
      <c r="B1413" s="20" t="str">
        <f>IFERROR(__xludf.DUMMYFUNCTION("GOOGLETRANSLATE(A1413, ""fr"", ""en"")"),"Deboiter display support")</f>
        <v>Deboiter display support</v>
      </c>
    </row>
    <row r="1414">
      <c r="A1414" s="19" t="s">
        <v>1145</v>
      </c>
      <c r="B1414" s="20" t="str">
        <f>IFERROR(__xludf.DUMMYFUNCTION("GOOGLETRANSLATE(A1414, ""fr"", ""en"")"),"Always remain on -15")</f>
        <v>Always remain on -15</v>
      </c>
    </row>
    <row r="1415">
      <c r="A1415" s="19" t="s">
        <v>1146</v>
      </c>
      <c r="B1415" s="20" t="str">
        <f>IFERROR(__xludf.DUMMYFUNCTION("GOOGLETRANSLATE(A1415, ""fr"", ""en"")"),"condensation on top of the tank")</f>
        <v>condensation on top of the tank</v>
      </c>
    </row>
    <row r="1416">
      <c r="A1416" s="19" t="s">
        <v>1147</v>
      </c>
      <c r="B1416" s="20" t="str">
        <f>IFERROR(__xludf.DUMMYFUNCTION("GOOGLETRANSLATE(A1416, ""fr"", ""en"")"),"Following a shock, the frozen bin is offbeat, twisted")</f>
        <v>Following a shock, the frozen bin is offbeat, twisted</v>
      </c>
    </row>
    <row r="1417">
      <c r="A1417" s="19" t="s">
        <v>1148</v>
      </c>
      <c r="B1417" s="20" t="str">
        <f>IFERROR(__xludf.DUMMYFUNCTION("GOOGLETRANSLATE(A1417, ""fr"", ""en"")"),"The whole furniture appears")</f>
        <v>The whole furniture appears</v>
      </c>
    </row>
    <row r="1418">
      <c r="A1418" s="21"/>
      <c r="B1418" s="20" t="str">
        <f>IFERROR(__xludf.DUMMYFUNCTION("GOOGLETRANSLATE(A1418, ""fr"", ""en"")"),"#VALUE!")</f>
        <v>#VALUE!</v>
      </c>
    </row>
    <row r="1419">
      <c r="A1419" s="19" t="s">
        <v>1149</v>
      </c>
      <c r="B1419" s="20" t="str">
        <f>IFERROR(__xludf.DUMMYFUNCTION("GOOGLETRANSLATE(A1419, ""fr"", ""en"")"),"HS Lighting
 Price support to straighten")</f>
        <v>HS Lighting
 Price support to straighten</v>
      </c>
    </row>
    <row r="1420">
      <c r="A1420" s="19" t="s">
        <v>1150</v>
      </c>
      <c r="B1420" s="20" t="str">
        <f>IFERROR(__xludf.DUMMYFUNCTION("GOOGLETRANSLATE(A1420, ""fr"", ""en"")"),"Recover in Dr a Miami 210 bac -replace it in store. Bring back the HS bac in DR with mention ""Bac HS""")</f>
        <v>Recover in Dr a Miami 210 bac -replace it in store. Bring back the HS bac in DR with mention "Bac HS"</v>
      </c>
    </row>
    <row r="1421">
      <c r="A1421" s="19" t="s">
        <v>1151</v>
      </c>
      <c r="B1421" s="20" t="str">
        <f>IFERROR(__xludf.DUMMYFUNCTION("GOOGLETRANSLATE(A1421, ""fr"", ""en"")"),"Request to move the ""Patisserie"" bin on the bakery in place of the 2 axes where we have the equipment.
 The idea is to have the tank posed on the floor + 2 RT on 3/4 axes above the tank for the ""bakery"" equipment")</f>
        <v>Request to move the "Patisserie" bin on the bakery in place of the 2 axes where we have the equipment.
 The idea is to have the tank posed on the floor + 2 RT on 3/4 axes above the tank for the "bakery" equipment</v>
      </c>
    </row>
    <row r="1422">
      <c r="A1422" s="19" t="s">
        <v>1152</v>
      </c>
      <c r="B1422" s="20" t="str">
        <f>IFERROR(__xludf.DUMMYFUNCTION("GOOGLETRANSLATE(A1422, ""fr"", ""en"")"),"Saturday, the tank sounded, temperature of 15 degrees
 We have emptied it, the temperature has not raised.
 I have turned it off, it is degreed. Restarted this morning, it does not go down in temperature and remains at 0.5 degrees")</f>
        <v>Saturday, the tank sounded, temperature of 15 degrees
 We have emptied it, the temperature has not raised.
 I have turned it off, it is degreed. Restarted this morning, it does not go down in temperature and remains at 0.5 degrees</v>
      </c>
    </row>
    <row r="1423">
      <c r="A1423" s="19" t="s">
        <v>1153</v>
      </c>
      <c r="B1423" s="20" t="str">
        <f>IFERROR(__xludf.DUMMYFUNCTION("GOOGLETRANSLATE(A1423, ""fr"", ""en"")"),"Neon HS TG BAC SURG")</f>
        <v>Neon HS TG BAC SURG</v>
      </c>
    </row>
    <row r="1424">
      <c r="A1424" s="19" t="s">
        <v>1154</v>
      </c>
      <c r="B1424" s="20" t="str">
        <f>IFERROR(__xludf.DUMMYFUNCTION("GOOGLETRANSLATE(A1424, ""fr"", ""en"")"),"HS neon on the tg frozen bin")</f>
        <v>HS neon on the tg frozen bin</v>
      </c>
    </row>
    <row r="1425">
      <c r="A1425" s="21"/>
      <c r="B1425" s="20" t="str">
        <f>IFERROR(__xludf.DUMMYFUNCTION("GOOGLETRANSLATE(A1425, ""fr"", ""en"")"),"#VALUE!")</f>
        <v>#VALUE!</v>
      </c>
    </row>
    <row r="1426">
      <c r="A1426" s="19" t="s">
        <v>425</v>
      </c>
      <c r="B1426" s="20" t="str">
        <f>IFERROR(__xludf.DUMMYFUNCTION("GOOGLETRANSLATE(A1426, ""fr"", ""en"")"),"leak")</f>
        <v>leak</v>
      </c>
    </row>
    <row r="1427">
      <c r="A1427" s="19" t="s">
        <v>271</v>
      </c>
      <c r="B1427" s="20" t="str">
        <f>IFERROR(__xludf.DUMMYFUNCTION("GOOGLETRANSLATE(A1427, ""fr"", ""en"")"),"broken window")</f>
        <v>broken window</v>
      </c>
    </row>
    <row r="1428">
      <c r="A1428" s="19" t="s">
        <v>1155</v>
      </c>
      <c r="B1428" s="20" t="str">
        <f>IFERROR(__xludf.DUMMYFUNCTION("GOOGLETRANSLATE(A1428, ""fr"", ""en"")"),"Lighting does not work")</f>
        <v>Lighting does not work</v>
      </c>
    </row>
    <row r="1429">
      <c r="A1429" s="19" t="s">
        <v>1156</v>
      </c>
      <c r="B1429" s="20" t="str">
        <f>IFERROR(__xludf.DUMMYFUNCTION("GOOGLETRANSLATE(A1429, ""fr"", ""en"")"),"At the request of the CM: Remove the ice on the entrance to the CFN.ODM made by AT3. Finished work")</f>
        <v>At the request of the CM: Remove the ice on the entrance to the CFN.ODM made by AT3. Finished work</v>
      </c>
    </row>
    <row r="1430">
      <c r="A1430" s="19" t="s">
        <v>1157</v>
      </c>
      <c r="B1430" s="20" t="str">
        <f>IFERROR(__xludf.DUMMYFUNCTION("GOOGLETRANSLATE(A1430, ""fr"", ""en"")"),"no lighting + problem on the temperature indicator it signals EAL")</f>
        <v>no lighting + problem on the temperature indicator it signals EAL</v>
      </c>
    </row>
    <row r="1431">
      <c r="A1431" s="19" t="s">
        <v>1158</v>
      </c>
      <c r="B1431" s="20" t="str">
        <f>IFERROR(__xludf.DUMMYFUNCTION("GOOGLETRANSLATE(A1431, ""fr"", ""en"")"),"Ice socket motor")</f>
        <v>Ice socket motor</v>
      </c>
    </row>
    <row r="1432">
      <c r="A1432" s="19" t="s">
        <v>1159</v>
      </c>
      <c r="B1432" s="20" t="str">
        <f>IFERROR(__xludf.DUMMYFUNCTION("GOOGLETRANSLATE(A1432, ""fr"", ""en"")"),"Urgent Deboite door")</f>
        <v>Urgent Deboite door</v>
      </c>
    </row>
    <row r="1433">
      <c r="A1433" s="19" t="s">
        <v>1160</v>
      </c>
      <c r="B1433" s="20" t="str">
        <f>IFERROR(__xludf.DUMMYFUNCTION("GOOGLETRANSLATE(A1433, ""fr"", ""en"")"),"Blocked door in an open position of 50cm
 Already contact the company, they take off the offices that open at 8 a.m.")</f>
        <v>Blocked door in an open position of 50cm
 Already contact the company, they take off the offices that open at 8 a.m.</v>
      </c>
    </row>
    <row r="1434">
      <c r="A1434" s="19" t="s">
        <v>1161</v>
      </c>
      <c r="B1434" s="20" t="str">
        <f>IFERROR(__xludf.DUMMYFUNCTION("GOOGLETRANSLATE(A1434, ""fr"", ""en"")"),"Installation of the display under the bright postponement of the CFN .odm made by AT3. Finished work.")</f>
        <v>Installation of the display under the bright postponement of the CFN .odm made by AT3. Finished work.</v>
      </c>
    </row>
    <row r="1435">
      <c r="A1435" s="21"/>
      <c r="B1435" s="20" t="str">
        <f>IFERROR(__xludf.DUMMYFUNCTION("GOOGLETRANSLATE(A1435, ""fr"", ""en"")"),"#VALUE!")</f>
        <v>#VALUE!</v>
      </c>
    </row>
    <row r="1436">
      <c r="A1436" s="19" t="s">
        <v>1162</v>
      </c>
      <c r="B1436" s="20" t="str">
        <f>IFERROR(__xludf.DUMMYFUNCTION("GOOGLETRANSLATE(A1436, ""fr"", ""en"")"),"The door no longer opens
 URGENT")</f>
        <v>The door no longer opens
 URGENT</v>
      </c>
    </row>
    <row r="1437">
      <c r="A1437" s="19" t="s">
        <v>1163</v>
      </c>
      <c r="B1437" s="20" t="str">
        <f>IFERROR(__xludf.DUMMYFUNCTION("GOOGLETRANSLATE(A1437, ""fr"", ""en"")"),"Room taken in ice and hinged door which closes badly and lacks degreation cycle")</f>
        <v>Room taken in ice and hinged door which closes badly and lacks degreation cycle</v>
      </c>
    </row>
    <row r="1438">
      <c r="A1438" s="21"/>
      <c r="B1438" s="20" t="str">
        <f>IFERROR(__xludf.DUMMYFUNCTION("GOOGLETRANSLATE(A1438, ""fr"", ""en"")"),"#VALUE!")</f>
        <v>#VALUE!</v>
      </c>
    </row>
    <row r="1439">
      <c r="A1439" s="19" t="s">
        <v>1164</v>
      </c>
      <c r="B1439" s="20" t="str">
        <f>IFERROR(__xludf.DUMMYFUNCTION("GOOGLETRANSLATE(A1439, ""fr"", ""en"")"),"handle")</f>
        <v>handle</v>
      </c>
    </row>
    <row r="1440">
      <c r="A1440" s="19" t="s">
        <v>1165</v>
      </c>
      <c r="B1440" s="20" t="str">
        <f>IFERROR(__xludf.DUMMYFUNCTION("GOOGLETRANSLATE(A1440, ""fr"", ""en"")"),"Door does not climb entirely, temperature that decreases.
 Urgent")</f>
        <v>Door does not climb entirely, temperature that decreases.
 Urgent</v>
      </c>
    </row>
    <row r="1441">
      <c r="A1441" s="19" t="s">
        <v>1166</v>
      </c>
      <c r="B1441" s="20" t="str">
        <f>IFERROR(__xludf.DUMMYFUNCTION("GOOGLETRANSLATE(A1441, ""fr"", ""en"")"),"Greeting Plus Ice Watch")</f>
        <v>Greeting Plus Ice Watch</v>
      </c>
    </row>
    <row r="1442">
      <c r="A1442" s="21"/>
      <c r="B1442" s="20" t="str">
        <f>IFERROR(__xludf.DUMMYFUNCTION("GOOGLETRANSLATE(A1442, ""fr"", ""en"")"),"#VALUE!")</f>
        <v>#VALUE!</v>
      </c>
    </row>
    <row r="1443">
      <c r="A1443" s="19" t="s">
        <v>1167</v>
      </c>
      <c r="B1443" s="20" t="str">
        <f>IFERROR(__xludf.DUMMYFUNCTION("GOOGLETRANSLATE(A1443, ""fr"", ""en"")"),"Urgent: Big Ice taking negative chamber")</f>
        <v>Urgent: Big Ice taking negative chamber</v>
      </c>
    </row>
    <row r="1444">
      <c r="A1444" s="19" t="s">
        <v>1168</v>
      </c>
      <c r="B1444" s="20" t="str">
        <f>IFERROR(__xludf.DUMMYFUNCTION("GOOGLETRANSLATE(A1444, ""fr"", ""en"")"),"The lever of the CFN door is HS. See RPS of Axima which would have intervened seen in BO but door not repaired. The door is hard to open without the handle which is no longer functional.")</f>
        <v>The lever of the CFN door is HS. See RPS of Axima which would have intervened seen in BO but door not repaired. The door is hard to open without the handle which is no longer functional.</v>
      </c>
    </row>
    <row r="1445">
      <c r="A1445" s="19" t="s">
        <v>493</v>
      </c>
      <c r="B1445" s="20" t="str">
        <f>IFERROR(__xludf.DUMMYFUNCTION("GOOGLETRANSLATE(A1445, ""fr"", ""en"")"),"ice intake")</f>
        <v>ice intake</v>
      </c>
    </row>
    <row r="1446">
      <c r="A1446" s="19" t="s">
        <v>1169</v>
      </c>
      <c r="B1446" s="20" t="str">
        <f>IFERROR(__xludf.DUMMYFUNCTION("GOOGLETRANSLATE(A1446, ""fr"", ""en"")"),"HS wrist we have to push the door to open it")</f>
        <v>HS wrist we have to push the door to open it</v>
      </c>
    </row>
    <row r="1447">
      <c r="A1447" s="19" t="s">
        <v>1170</v>
      </c>
      <c r="B1447" s="20" t="str">
        <f>IFERROR(__xludf.DUMMYFUNCTION("GOOGLETRANSLATE(A1447, ""fr"", ""en"")"),"dummy break")</f>
        <v>dummy break</v>
      </c>
    </row>
    <row r="1448">
      <c r="A1448" s="19" t="s">
        <v>1171</v>
      </c>
      <c r="B1448" s="20" t="str">
        <f>IFERROR(__xludf.DUMMYFUNCTION("GOOGLETRANSLATE(A1448, ""fr"", ""en"")"),"HSE door door handle")</f>
        <v>HSE door door handle</v>
      </c>
    </row>
    <row r="1449">
      <c r="A1449" s="19" t="s">
        <v>1172</v>
      </c>
      <c r="B1449" s="20" t="str">
        <f>IFERROR(__xludf.DUMMYFUNCTION("GOOGLETRANSLATE(A1449, ""fr"", ""en"")"),"Hole in floor and plastic door Break")</f>
        <v>Hole in floor and plastic door Break</v>
      </c>
    </row>
    <row r="1450">
      <c r="A1450" s="19" t="s">
        <v>1173</v>
      </c>
      <c r="B1450" s="20" t="str">
        <f>IFERROR(__xludf.DUMMYFUNCTION("GOOGLETRANSLATE(A1450, ""fr"", ""en"")"),"Installation of the display Presence of bright postponement on the CFN.ODM made by AT3. Finished work.")</f>
        <v>Installation of the display Presence of bright postponement on the CFN.ODM made by AT3. Finished work.</v>
      </c>
    </row>
    <row r="1451">
      <c r="A1451" s="19" t="s">
        <v>1174</v>
      </c>
      <c r="B1451" s="20" t="str">
        <f>IFERROR(__xludf.DUMMYFUNCTION("GOOGLETRANSLATE(A1451, ""fr"", ""en"")"),"Break bedroom floor")</f>
        <v>Break bedroom floor</v>
      </c>
    </row>
    <row r="1452">
      <c r="A1452" s="19" t="s">
        <v>1175</v>
      </c>
      <c r="B1452" s="20" t="str">
        <f>IFERROR(__xludf.DUMMYFUNCTION("GOOGLETRANSLATE(A1452, ""fr"", ""en"")"),"intermediate door is breaking")</f>
        <v>intermediate door is breaking</v>
      </c>
    </row>
    <row r="1453">
      <c r="A1453" s="19" t="s">
        <v>1176</v>
      </c>
      <c r="B1453" s="20" t="str">
        <f>IFERROR(__xludf.DUMMYFUNCTION("GOOGLETRANSLATE(A1453, ""fr"", ""en"")"),"gate that is gong sporty and there is a gap, more waterproof")</f>
        <v>gate that is gong sporty and there is a gap, more waterproof</v>
      </c>
    </row>
    <row r="1454">
      <c r="A1454" s="19" t="s">
        <v>1177</v>
      </c>
      <c r="B1454" s="20" t="str">
        <f>IFERROR(__xludf.DUMMYFUNCTION("GOOGLETRANSLATE(A1454, ""fr"", ""en"")"),"The door does not close ... already contact")</f>
        <v>The door does not close ... already contact</v>
      </c>
    </row>
    <row r="1455">
      <c r="A1455" s="19" t="s">
        <v>1178</v>
      </c>
      <c r="B1455" s="20" t="str">
        <f>IFERROR(__xludf.DUMMYFUNCTION("GOOGLETRANSLATE(A1455, ""fr"", ""en"")"),"Black bar of the Cassee door")</f>
        <v>Black bar of the Cassee door</v>
      </c>
    </row>
    <row r="1456">
      <c r="A1456" s="19" t="s">
        <v>1179</v>
      </c>
      <c r="B1456" s="20" t="str">
        <f>IFERROR(__xludf.DUMMYFUNCTION("GOOGLETRANSLATE(A1456, ""fr"", ""en"")"),"frost cause intermediate door is breaking")</f>
        <v>frost cause intermediate door is breaking</v>
      </c>
    </row>
    <row r="1457">
      <c r="A1457" s="19" t="s">
        <v>1180</v>
      </c>
      <c r="B1457" s="20" t="str">
        <f>IFERROR(__xludf.DUMMYFUNCTION("GOOGLETRANSLATE(A1457, ""fr"", ""en"")"),"* Replacement of the hinged doors")</f>
        <v>* Replacement of the hinged doors</v>
      </c>
    </row>
    <row r="1458">
      <c r="A1458" s="19" t="s">
        <v>1181</v>
      </c>
      <c r="B1458" s="20" t="str">
        <f>IFERROR(__xludf.DUMMYFUNCTION("GOOGLETRANSLATE(A1458, ""fr"", ""en"")"),"Negative Defective Cold Handle Handle")</f>
        <v>Negative Defective Cold Handle Handle</v>
      </c>
    </row>
    <row r="1459">
      <c r="A1459" s="21"/>
      <c r="B1459" s="20" t="str">
        <f>IFERROR(__xludf.DUMMYFUNCTION("GOOGLETRANSLATE(A1459, ""fr"", ""en"")"),"#VALUE!")</f>
        <v>#VALUE!</v>
      </c>
    </row>
    <row r="1460">
      <c r="A1460" s="19" t="s">
        <v>1182</v>
      </c>
      <c r="B1460" s="20" t="str">
        <f>IFERROR(__xludf.DUMMYFUNCTION("GOOGLETRANSLATE(A1460, ""fr"", ""en"")"),"Urgent: very high negative cold room temperature")</f>
        <v>Urgent: very high negative cold room temperature</v>
      </c>
    </row>
    <row r="1461">
      <c r="A1461" s="19" t="s">
        <v>1183</v>
      </c>
      <c r="B1461" s="20" t="str">
        <f>IFERROR(__xludf.DUMMYFUNCTION("GOOGLETRANSLATE(A1461, ""fr"", ""en"")"),"Deplacement of the bin Surg 1 meter to the left for installation of 3 axes / RT 2 above the reserve tray in reserve")</f>
        <v>Deplacement of the bin Surg 1 meter to the left for installation of 3 axes / RT 2 above the reserve tray in reserve</v>
      </c>
    </row>
    <row r="1462">
      <c r="A1462" s="19" t="s">
        <v>1184</v>
      </c>
      <c r="B1462" s="20" t="str">
        <f>IFERROR(__xludf.DUMMYFUNCTION("GOOGLETRANSLATE(A1462, ""fr"", ""en"")"),"Decaling podium on the left in order to put Europe in addition PQ level/wipers everything.")</f>
        <v>Decaling podium on the left in order to put Europe in addition PQ level/wipers everything.</v>
      </c>
    </row>
    <row r="1463">
      <c r="A1463" s="19" t="s">
        <v>1185</v>
      </c>
      <c r="B1463" s="20" t="str">
        <f>IFERROR(__xludf.DUMMYFUNCTION("GOOGLETRANSLATE(A1463, ""fr"", ""en"")"),"hello might ask you to come and remove me from a podium because it was aimed I can't do it thank you")</f>
        <v>hello might ask you to come and remove me from a podium because it was aimed I can't do it thank you</v>
      </c>
    </row>
    <row r="1464">
      <c r="A1464" s="19" t="s">
        <v>1186</v>
      </c>
      <c r="B1464" s="20" t="str">
        <f>IFERROR(__xludf.DUMMYFUNCTION("GOOGLETRANSLATE(A1464, ""fr"", ""en"")"),"Broken Cash Counter Key")</f>
        <v>Broken Cash Counter Key</v>
      </c>
    </row>
    <row r="1465">
      <c r="A1465" s="19" t="s">
        <v>1187</v>
      </c>
      <c r="B1465" s="20" t="str">
        <f>IFERROR(__xludf.DUMMYFUNCTION("GOOGLETRANSLATE(A1465, ""fr"", ""en"")"),"Urgent: cash mat no longer works!")</f>
        <v>Urgent: cash mat no longer works!</v>
      </c>
    </row>
    <row r="1466">
      <c r="A1466" s="19" t="s">
        <v>1187</v>
      </c>
      <c r="B1466" s="20" t="str">
        <f>IFERROR(__xludf.DUMMYFUNCTION("GOOGLETRANSLATE(A1466, ""fr"", ""en"")"),"Urgent: cash mat no longer works!")</f>
        <v>Urgent: cash mat no longer works!</v>
      </c>
    </row>
    <row r="1467">
      <c r="A1467" s="19" t="s">
        <v>1188</v>
      </c>
      <c r="B1467" s="20" t="str">
        <f>IFERROR(__xludf.DUMMYFUNCTION("GOOGLETRANSLATE(A1467, ""fr"", ""en"")"),"Balance + scanner of the 3 HS body.")</f>
        <v>Balance + scanner of the 3 HS body.</v>
      </c>
    </row>
    <row r="1468">
      <c r="A1468" s="19" t="s">
        <v>1189</v>
      </c>
      <c r="B1468" s="20" t="str">
        <f>IFERROR(__xludf.DUMMYFUNCTION("GOOGLETRANSLATE(A1468, ""fr"", ""en"")"),"Caisse number 5 HS.")</f>
        <v>Caisse number 5 HS.</v>
      </c>
    </row>
    <row r="1469">
      <c r="A1469" s="19" t="s">
        <v>1190</v>
      </c>
      <c r="B1469" s="20" t="str">
        <f>IFERROR(__xludf.DUMMYFUNCTION("GOOGLETRANSLATE(A1469, ""fr"", ""en"")"),"anti checkout flight which no longer works")</f>
        <v>anti checkout flight which no longer works</v>
      </c>
    </row>
    <row r="1470">
      <c r="A1470" s="21"/>
      <c r="B1470" s="20" t="str">
        <f>IFERROR(__xludf.DUMMYFUNCTION("GOOGLETRANSLATE(A1470, ""fr"", ""en"")"),"#VALUE!")</f>
        <v>#VALUE!</v>
      </c>
    </row>
    <row r="1471">
      <c r="A1471" s="19" t="s">
        <v>1191</v>
      </c>
      <c r="B1471" s="20" t="str">
        <f>IFERROR(__xludf.DUMMYFUNCTION("GOOGLETRANSLATE(A1471, ""fr"", ""en"")"),"KLS system works badly
 Caisse 3 Blocked on ""Call a manager""
 Caisse 2 Blocked ""Open""")</f>
        <v>KLS system works badly
 Caisse 3 Blocked on "Call a manager"
 Caisse 2 Blocked "Open"</v>
      </c>
    </row>
    <row r="1472">
      <c r="A1472" s="19" t="s">
        <v>1192</v>
      </c>
      <c r="B1472" s="20" t="str">
        <f>IFERROR(__xludf.DUMMYFUNCTION("GOOGLETRANSLATE(A1472, ""fr"", ""en"")"),"The checkout no longer advances (even after several tries ""on/off)""")</f>
        <v>The checkout no longer advances (even after several tries "on/off)"</v>
      </c>
    </row>
    <row r="1473">
      <c r="A1473" s="19" t="s">
        <v>1193</v>
      </c>
      <c r="B1473" s="20" t="str">
        <f>IFERROR(__xludf.DUMMYFUNCTION("GOOGLETRANSLATE(A1473, ""fr"", ""en"")"),"Add electric socket in reserve for Mobi who arrives Thursday August 11
 very urgent")</f>
        <v>Add electric socket in reserve for Mobi who arrives Thursday August 11
 very urgent</v>
      </c>
    </row>
    <row r="1474">
      <c r="A1474" s="19" t="s">
        <v>1194</v>
      </c>
      <c r="B1474" s="20" t="str">
        <f>IFERROR(__xludf.DUMMYFUNCTION("GOOGLETRANSLATE(A1474, ""fr"", ""en"")"),"Replacement of neon tubes, starters, glu plates on insect destructive in Labe Pain.odm made by AT3. Finished work.")</f>
        <v>Replacement of neon tubes, starters, glu plates on insect destructive in Labe Pain.odm made by AT3. Finished work.</v>
      </c>
    </row>
    <row r="1475">
      <c r="A1475" s="19" t="s">
        <v>1195</v>
      </c>
      <c r="B1475" s="20" t="str">
        <f>IFERROR(__xludf.DUMMYFUNCTION("GOOGLETRANSLATE(A1475, ""fr"", ""en"")"),"Change of neon tubes, starters, glu plates on Labe Pain.odm insect destructors made by AT3. Finished work.")</f>
        <v>Change of neon tubes, starters, glu plates on Labe Pain.odm insect destructors made by AT3. Finished work.</v>
      </c>
    </row>
    <row r="1476">
      <c r="A1476" s="19" t="s">
        <v>1196</v>
      </c>
      <c r="B1476" s="20" t="str">
        <f>IFERROR(__xludf.DUMMYFUNCTION("GOOGLETRANSLATE(A1476, ""fr"", ""en"")"),"Two bread columns no longer have lmumyre.")</f>
        <v>Two bread columns no longer have lmumyre.</v>
      </c>
    </row>
    <row r="1477">
      <c r="A1477" s="19" t="s">
        <v>1197</v>
      </c>
      <c r="B1477" s="20" t="str">
        <f>IFERROR(__xludf.DUMMYFUNCTION("GOOGLETRANSLATE(A1477, ""fr"", ""en"")"),"LED LED lighting does not work on the vegetable side")</f>
        <v>LED LED lighting does not work on the vegetable side</v>
      </c>
    </row>
    <row r="1478">
      <c r="A1478" s="19" t="s">
        <v>1198</v>
      </c>
      <c r="B1478" s="20" t="str">
        <f>IFERROR(__xludf.DUMMYFUNCTION("GOOGLETRANSLATE(A1478, ""fr"", ""en"")"),"Several neon lights FL HS")</f>
        <v>Several neon lights FL HS</v>
      </c>
    </row>
    <row r="1479">
      <c r="A1479" s="19" t="s">
        <v>1199</v>
      </c>
      <c r="B1479" s="20" t="str">
        <f>IFERROR(__xludf.DUMMYFUNCTION("GOOGLETRANSLATE(A1479, ""fr"", ""en"")"),"Need to move a spot above the organic brand")</f>
        <v>Need to move a spot above the organic brand</v>
      </c>
    </row>
    <row r="1480">
      <c r="A1480" s="19" t="s">
        <v>1200</v>
      </c>
      <c r="B1480" s="20" t="str">
        <f>IFERROR(__xludf.DUMMYFUNCTION("GOOGLETRANSLATE(A1480, ""fr"", ""en"")"),"1: Several spots are HS in the store.
 2: Need two new spots above the flower zone.")</f>
        <v>1: Several spots are HS in the store.
 2: Need two new spots above the flower zone.</v>
      </c>
    </row>
    <row r="1481">
      <c r="A1481" s="19" t="s">
        <v>1201</v>
      </c>
      <c r="B1481" s="20" t="str">
        <f>IFERROR(__xludf.DUMMYFUNCTION("GOOGLETRANSLATE(A1481, ""fr"", ""en"")"),"At Lum HS Caisse + SV")</f>
        <v>At Lum HS Caisse + SV</v>
      </c>
    </row>
    <row r="1482">
      <c r="A1482" s="19" t="s">
        <v>1202</v>
      </c>
      <c r="B1482" s="20" t="str">
        <f>IFERROR(__xludf.DUMMYFUNCTION("GOOGLETRANSLATE(A1482, ""fr"", ""en"")"),"At several Lum HS in SV")</f>
        <v>At several Lum HS in SV</v>
      </c>
    </row>
    <row r="1483">
      <c r="A1483" s="19" t="s">
        <v>1203</v>
      </c>
      <c r="B1483" s="20" t="str">
        <f>IFERROR(__xludf.DUMMYFUNCTION("GOOGLETRANSLATE(A1483, ""fr"", ""en"")"),"At. 2 HS ballast spot. Flower+ bread")</f>
        <v>At. 2 HS ballast spot. Flower+ bread</v>
      </c>
    </row>
    <row r="1484">
      <c r="A1484" s="21"/>
      <c r="B1484" s="20" t="str">
        <f>IFERROR(__xludf.DUMMYFUNCTION("GOOGLETRANSLATE(A1484, ""fr"", ""en"")"),"#VALUE!")</f>
        <v>#VALUE!</v>
      </c>
    </row>
    <row r="1485">
      <c r="A1485" s="19" t="s">
        <v>1204</v>
      </c>
      <c r="B1485" s="20" t="str">
        <f>IFERROR(__xludf.DUMMYFUNCTION("GOOGLETRANSLATE(A1485, ""fr"", ""en"")"),"Store cleaning
 under the complete, sales area corners, input and exit")</f>
        <v>Store cleaning
 under the complete, sales area corners, input and exit</v>
      </c>
    </row>
    <row r="1486">
      <c r="A1486" s="19" t="s">
        <v>1205</v>
      </c>
      <c r="B1486" s="20" t="str">
        <f>IFERROR(__xludf.DUMMYFUNCTION("GOOGLETRANSLATE(A1486, ""fr"", ""en"")"),"Replace glu plates, starters, tubes on insect destructive. Oodm made by AT3.")</f>
        <v>Replace glu plates, starters, tubes on insect destructive. Oodm made by AT3.</v>
      </c>
    </row>
    <row r="1487">
      <c r="A1487" s="19" t="s">
        <v>1206</v>
      </c>
      <c r="B1487" s="20" t="str">
        <f>IFERROR(__xludf.DUMMYFUNCTION("GOOGLETRANSLATE(A1487, ""fr"", ""en"")"),"Store window cleansing")</f>
        <v>Store window cleansing</v>
      </c>
    </row>
    <row r="1488">
      <c r="A1488" s="19" t="s">
        <v>1207</v>
      </c>
      <c r="B1488" s="20" t="str">
        <f>IFERROR(__xludf.DUMMYFUNCTION("GOOGLETRANSLATE(A1488, ""fr"", ""en"")"),"Complete cleaning of store windows
 SAS Entrance output
 Box rear window
 very urgent")</f>
        <v>Complete cleaning of store windows
 SAS Entrance output
 Box rear window
 very urgent</v>
      </c>
    </row>
    <row r="1489">
      <c r="A1489" s="19" t="s">
        <v>1208</v>
      </c>
      <c r="B1489" s="20" t="str">
        <f>IFERROR(__xludf.DUMMYFUNCTION("GOOGLETRANSLATE(A1489, ""fr"", ""en"")"),"* Bird droppings on the Caddies / AE quote requested")</f>
        <v>* Bird droppings on the Caddies / AE quote requested</v>
      </c>
    </row>
    <row r="1490">
      <c r="A1490" s="19" t="s">
        <v>1209</v>
      </c>
      <c r="B1490" s="20" t="str">
        <f>IFERROR(__xludf.DUMMYFUNCTION("GOOGLETRANSLATE(A1490, ""fr"", ""en"")"),"Photo Ask in Communicozgio")</f>
        <v>Photo Ask in Communicozgio</v>
      </c>
    </row>
    <row r="1491">
      <c r="A1491" s="19" t="s">
        <v>1210</v>
      </c>
      <c r="B1491" s="20" t="str">
        <f>IFERROR(__xludf.DUMMYFUNCTION("GOOGLETRANSLATE(A1491, ""fr"", ""en"")"),"Good morning
 For a store cleaning please, very dirty store and lack of staff")</f>
        <v>Good morning
 For a store cleaning please, very dirty store and lack of staff</v>
      </c>
    </row>
    <row r="1492">
      <c r="A1492" s="19" t="s">
        <v>1211</v>
      </c>
      <c r="B1492" s="20" t="str">
        <f>IFERROR(__xludf.DUMMYFUNCTION("GOOGLETRANSLATE(A1492, ""fr"", ""en"")"),"Presence of spider canvases above the park. Caddie. ODM made by AT3. Finished work.")</f>
        <v>Presence of spider canvases above the park. Caddie. ODM made by AT3. Finished work.</v>
      </c>
    </row>
    <row r="1493">
      <c r="A1493" s="19" t="s">
        <v>1212</v>
      </c>
      <c r="B1493" s="20" t="str">
        <f>IFERROR(__xludf.DUMMYFUNCTION("GOOGLETRANSLATE(A1493, ""fr"", ""en"")"),"* Tiles on the walls which detaches in the Customer WC (on the 2 sides of placoplatre walls). / 10/15 KN: Benj back for info Presta")</f>
        <v>* Tiles on the walls which detaches in the Customer WC (on the 2 sides of placoplatre walls). / 10/15 KN: Benj back for info Presta</v>
      </c>
    </row>
    <row r="1494">
      <c r="A1494" s="19" t="s">
        <v>1213</v>
      </c>
      <c r="B1494" s="20" t="str">
        <f>IFERROR(__xludf.DUMMYFUNCTION("GOOGLETRANSLATE(A1494, ""fr"", ""en"")"),"Pose of the Leon .odm tablet explanation made by AT3. Finished work.")</f>
        <v>Pose of the Leon .odm tablet explanation made by AT3. Finished work.</v>
      </c>
    </row>
    <row r="1495">
      <c r="A1495" s="19" t="s">
        <v>1214</v>
      </c>
      <c r="B1495" s="20" t="str">
        <f>IFERROR(__xludf.DUMMYFUNCTION("GOOGLETRANSLATE(A1495, ""fr"", ""en"")"),"The person cannot continue their course, the Ramen session and this on a blank page.")</f>
        <v>The person cannot continue their course, the Ramen session and this on a blank page.</v>
      </c>
    </row>
    <row r="1496">
      <c r="A1496" s="19" t="s">
        <v>1215</v>
      </c>
      <c r="B1496" s="20" t="str">
        <f>IFERROR(__xludf.DUMMYFUNCTION("GOOGLETRANSLATE(A1496, ""fr"", ""en"")"),"Stay block")</f>
        <v>Stay block</v>
      </c>
    </row>
    <row r="1497">
      <c r="A1497" s="19" t="s">
        <v>1216</v>
      </c>
      <c r="B1497" s="20" t="str">
        <f>IFERROR(__xludf.DUMMYFUNCTION("GOOGLETRANSLATE(A1497, ""fr"", ""en"")"),"no one recorded")</f>
        <v>no one recorded</v>
      </c>
    </row>
    <row r="1498">
      <c r="A1498" s="19" t="s">
        <v>1217</v>
      </c>
      <c r="B1498" s="20" t="str">
        <f>IFERROR(__xludf.DUMMYFUNCTION("GOOGLETRANSLATE(A1498, ""fr"", ""en"")"),"Place the explanation of the Leon.odm tablet made by AT3. Work finished by.")</f>
        <v>Place the explanation of the Leon.odm tablet made by AT3. Work finished by.</v>
      </c>
    </row>
    <row r="1499">
      <c r="A1499" s="19" t="s">
        <v>1218</v>
      </c>
      <c r="B1499" s="20" t="str">
        <f>IFERROR(__xludf.DUMMYFUNCTION("GOOGLETRANSLATE(A1499, ""fr"", ""en"")"),"New Léon tablet installation - MIV")</f>
        <v>New Léon tablet installation - MIV</v>
      </c>
    </row>
    <row r="1500">
      <c r="A1500" s="19" t="s">
        <v>1219</v>
      </c>
      <c r="B1500" s="20" t="str">
        <f>IFERROR(__xludf.DUMMYFUNCTION("GOOGLETRANSLATE(A1500, ""fr"", ""en"")"),"During the reinforcement, the tablet requests to open a session on intranet-fr.lidl.net
 I do not know a username or password.
 If I pass this step. I don't have an internet connection")</f>
        <v>During the reinforcement, the tablet requests to open a session on intranet-fr.lidl.net
 I do not know a username or password.
 If I pass this step. I don't have an internet connection</v>
      </c>
    </row>
    <row r="1501">
      <c r="A1501" s="19" t="s">
        <v>1220</v>
      </c>
      <c r="B1501" s="20" t="str">
        <f>IFERROR(__xludf.DUMMYFUNCTION("GOOGLETRANSLATE(A1501, ""fr"", ""en"")"),"Installation of the leon tablet arm (already received in store), seen with Emilien")</f>
        <v>Installation of the leon tablet arm (already received in store), seen with Emilien</v>
      </c>
    </row>
    <row r="1502">
      <c r="A1502" s="19" t="s">
        <v>1221</v>
      </c>
      <c r="B1502" s="20" t="str">
        <f>IFERROR(__xludf.DUMMYFUNCTION("GOOGLETRANSLATE(A1502, ""fr"", ""en"")"),"Replacement of the HS defibrillator in the SV.ODM made by AT3.")</f>
        <v>Replacement of the HS defibrillator in the SV.ODM made by AT3.</v>
      </c>
    </row>
    <row r="1503">
      <c r="A1503" s="19" t="s">
        <v>1222</v>
      </c>
      <c r="B1503" s="20" t="str">
        <f>IFERROR(__xludf.DUMMYFUNCTION("GOOGLETRANSLATE(A1503, ""fr"", ""en"")"),"We made a request on BO to repair our MDE (scann buttons that no longer works and red button)
 The technician came with another MDE who did not work. He asked me to make a request here to order one.
 We would also need battery for both MDEs because those "&amp;"we have not last more than 15 minutes of load.")</f>
        <v>We made a request on BO to repair our MDE (scann buttons that no longer works and red button)
 The technician came with another MDE who did not work. He asked me to make a request here to order one.
 We would also need battery for both MDEs because those we have not last more than 15 minutes of load.</v>
      </c>
    </row>
    <row r="1504">
      <c r="A1504" s="19" t="s">
        <v>1223</v>
      </c>
      <c r="B1504" s="20" t="str">
        <f>IFERROR(__xludf.DUMMYFUNCTION("GOOGLETRANSLATE(A1504, ""fr"", ""en"")"),"Establishment of the explanation of the Leon.odm tablet made by AT3. Finished work.")</f>
        <v>Establishment of the explanation of the Leon.odm tablet made by AT3. Finished work.</v>
      </c>
    </row>
    <row r="1505">
      <c r="A1505" s="19" t="s">
        <v>1224</v>
      </c>
      <c r="B1505" s="20" t="str">
        <f>IFERROR(__xludf.DUMMYFUNCTION("GOOGLETRANSLATE(A1505, ""fr"", ""en"")"),"Broken wheel under a rollls")</f>
        <v>Broken wheel under a rollls</v>
      </c>
    </row>
    <row r="1506">
      <c r="A1506" s="19" t="s">
        <v>1225</v>
      </c>
      <c r="B1506" s="20" t="str">
        <f>IFERROR(__xludf.DUMMYFUNCTION("GOOGLETRANSLATE(A1506, ""fr"", ""en"")"),"Rolls/oven adjustments")</f>
        <v>Rolls/oven adjustments</v>
      </c>
    </row>
    <row r="1507">
      <c r="A1507" s="19" t="s">
        <v>1226</v>
      </c>
      <c r="B1507" s="20" t="str">
        <f>IFERROR(__xludf.DUMMYFUNCTION("GOOGLETRANSLATE(A1507, ""fr"", ""en"")"),"For test: installation of a resin on the entry of the CFN. Essaie undecituant .odm made by AT3. Non -finished work.")</f>
        <v>For test: installation of a resin on the entry of the CFN. Essaie undecituant .odm made by AT3. Non -finished work.</v>
      </c>
    </row>
    <row r="1508">
      <c r="A1508" s="19" t="s">
        <v>1227</v>
      </c>
      <c r="B1508" s="20" t="str">
        <f>IFERROR(__xludf.DUMMYFUNCTION("GOOGLETRANSLATE(A1508, ""fr"", ""en"")"),"Laying the resin in the entrance to the CFN .odm made by AT3. Finished work.")</f>
        <v>Laying the resin in the entrance to the CFN .odm made by AT3. Finished work.</v>
      </c>
    </row>
    <row r="1509">
      <c r="A1509" s="19" t="s">
        <v>1228</v>
      </c>
      <c r="B1509" s="20" t="str">
        <f>IFERROR(__xludf.DUMMYFUNCTION("GOOGLETRANSLATE(A1509, ""fr"", ""en"")"),"Hanged doors")</f>
        <v>Hanged doors</v>
      </c>
    </row>
    <row r="1510">
      <c r="A1510" s="19" t="s">
        <v>1229</v>
      </c>
      <c r="B1510" s="20" t="str">
        <f>IFERROR(__xludf.DUMMYFUNCTION("GOOGLETRANSLATE(A1510, ""fr"", ""en"")"),"At the request of the FM: window control (HS or not) remaining to changed and MF references: ODM made by AT3.")</f>
        <v>At the request of the FM: window control (HS or not) remaining to changed and MF references: ODM made by AT3.</v>
      </c>
    </row>
    <row r="1511">
      <c r="A1511" s="19" t="s">
        <v>1230</v>
      </c>
      <c r="B1511" s="20" t="str">
        <f>IFERROR(__xludf.DUMMYFUNCTION("GOOGLETRANSLATE(A1511, ""fr"", ""en"")"),"Jay cool cleaning monitoring sale from April 19 to April 29, 2022")</f>
        <v>Jay cool cleaning monitoring sale from April 19 to April 29, 2022</v>
      </c>
    </row>
    <row r="1512">
      <c r="A1512" s="19" t="s">
        <v>1231</v>
      </c>
      <c r="B1512" s="20" t="str">
        <f>IFERROR(__xludf.DUMMYFUNCTION("GOOGLETRANSLATE(A1512, ""fr"", ""en"")"),"Sale surveillance of the night of July 21. Bread arche replacement")</f>
        <v>Sale surveillance of the night of July 21. Bread arche replacement</v>
      </c>
    </row>
    <row r="1513">
      <c r="A1513" s="19" t="s">
        <v>1232</v>
      </c>
      <c r="B1513" s="20" t="str">
        <f>IFERROR(__xludf.DUMMYFUNCTION("GOOGLETRANSLATE(A1513, ""fr"", ""en"")"),"Night surveillance sale from June 13 to 15, 2022. Storeserver migration")</f>
        <v>Night surveillance sale from June 13 to 15, 2022. Storeserver migration</v>
      </c>
    </row>
    <row r="1514">
      <c r="A1514" s="19" t="s">
        <v>1233</v>
      </c>
      <c r="B1514" s="20" t="str">
        <f>IFERROR(__xludf.DUMMYFUNCTION("GOOGLETRANSLATE(A1514, ""fr"", ""en"")"),"Survey monitoring of the night of June 27. Repair of the Ark Pain")</f>
        <v>Survey monitoring of the night of June 27. Repair of the Ark Pain</v>
      </c>
    </row>
    <row r="1515">
      <c r="A1515" s="19" t="s">
        <v>1230</v>
      </c>
      <c r="B1515" s="20" t="str">
        <f>IFERROR(__xludf.DUMMYFUNCTION("GOOGLETRANSLATE(A1515, ""fr"", ""en"")"),"Jay cool cleaning monitoring sale from April 19 to April 29, 2022")</f>
        <v>Jay cool cleaning monitoring sale from April 19 to April 29, 2022</v>
      </c>
    </row>
    <row r="1516">
      <c r="A1516" s="19" t="s">
        <v>1234</v>
      </c>
      <c r="B1516" s="20" t="str">
        <f>IFERROR(__xludf.DUMMYFUNCTION("GOOGLETRANSLATE(A1516, ""fr"", ""en"")"),"Sale RMRDIVERS Code Night surveillance of March 28, 2022. Implementation work")</f>
        <v>Sale RMRDIVERS Code Night surveillance of March 28, 2022. Implementation work</v>
      </c>
    </row>
    <row r="1517">
      <c r="A1517" s="19" t="s">
        <v>1235</v>
      </c>
      <c r="B1517" s="20" t="str">
        <f>IFERROR(__xludf.DUMMYFUNCTION("GOOGLETRANSLATE(A1517, ""fr"", ""en"")"),"Night surveillance sale from March 21 to March 24. Store work 4.0")</f>
        <v>Night surveillance sale from March 21 to March 24. Store work 4.0</v>
      </c>
    </row>
    <row r="1518">
      <c r="A1518" s="19" t="s">
        <v>1236</v>
      </c>
      <c r="B1518" s="20" t="str">
        <f>IFERROR(__xludf.DUMMYFUNCTION("GOOGLETRANSLATE(A1518, ""fr"", ""en"")"),"Night surveillance sale from August 29 to September 1, 2022. StoreServer migration")</f>
        <v>Night surveillance sale from August 29 to September 1, 2022. StoreServer migration</v>
      </c>
    </row>
    <row r="1519">
      <c r="A1519" s="19" t="s">
        <v>1237</v>
      </c>
      <c r="B1519" s="20" t="str">
        <f>IFERROR(__xludf.DUMMYFUNCTION("GOOGLETRANSLATE(A1519, ""fr"", ""en"")"),"Night surveillance sale from February 7 to 10, 2022. Store work 4.0")</f>
        <v>Night surveillance sale from February 7 to 10, 2022. Store work 4.0</v>
      </c>
    </row>
    <row r="1520">
      <c r="A1520" s="19" t="s">
        <v>1230</v>
      </c>
      <c r="B1520" s="20" t="str">
        <f>IFERROR(__xludf.DUMMYFUNCTION("GOOGLETRANSLATE(A1520, ""fr"", ""en"")"),"Jay cool cleaning monitoring sale from April 19 to April 29, 2022")</f>
        <v>Jay cool cleaning monitoring sale from April 19 to April 29, 2022</v>
      </c>
    </row>
    <row r="1521">
      <c r="A1521" s="19" t="s">
        <v>1238</v>
      </c>
      <c r="B1521" s="20" t="str">
        <f>IFERROR(__xludf.DUMMYFUNCTION("GOOGLETRANSLATE(A1521, ""fr"", ""en"")"),"Night surveillance sale from April 4 to 7. Storeserver migration")</f>
        <v>Night surveillance sale from April 4 to 7. Storeserver migration</v>
      </c>
    </row>
    <row r="1522">
      <c r="A1522" s="19" t="s">
        <v>1230</v>
      </c>
      <c r="B1522" s="20" t="str">
        <f>IFERROR(__xludf.DUMMYFUNCTION("GOOGLETRANSLATE(A1522, ""fr"", ""en"")"),"Jay cool cleaning monitoring sale from April 19 to April 29, 2022")</f>
        <v>Jay cool cleaning monitoring sale from April 19 to April 29, 2022</v>
      </c>
    </row>
    <row r="1523">
      <c r="A1523" s="19" t="s">
        <v>1239</v>
      </c>
      <c r="B1523" s="20" t="str">
        <f>IFERROR(__xludf.DUMMYFUNCTION("GOOGLETRANSLATE(A1523, ""fr"", ""en"")"),"Sale surveillance of the night of May 4, 2022. Pépinière operation - External guard")</f>
        <v>Sale surveillance of the night of May 4, 2022. Pépinière operation - External guard</v>
      </c>
    </row>
    <row r="1524">
      <c r="A1524" s="19" t="s">
        <v>1240</v>
      </c>
      <c r="B1524" s="20" t="str">
        <f>IFERROR(__xludf.DUMMYFUNCTION("GOOGLETRANSLATE(A1524, ""fr"", ""en"")"),"Night surveillance sale from May 16 to May 19, 2022. Storeserver migration")</f>
        <v>Night surveillance sale from May 16 to May 19, 2022. Storeserver migration</v>
      </c>
    </row>
    <row r="1525">
      <c r="A1525" s="19" t="s">
        <v>1241</v>
      </c>
      <c r="B1525" s="20" t="str">
        <f>IFERROR(__xludf.DUMMYFUNCTION("GOOGLETRANSLATE(A1525, ""fr"", ""en"")"),"Night surveillance sale from May 23 to May 24, 2022. Storeserver migration")</f>
        <v>Night surveillance sale from May 23 to May 24, 2022. Storeserver migration</v>
      </c>
    </row>
    <row r="1526">
      <c r="A1526" s="19" t="s">
        <v>1242</v>
      </c>
      <c r="B1526" s="20" t="str">
        <f>IFERROR(__xludf.DUMMYFUNCTION("GOOGLETRANSLATE(A1526, ""fr"", ""en"")"),"HS neon tubes in the office and chest room.odm made by AT3. Finished work.")</f>
        <v>HS neon tubes in the office and chest room.odm made by AT3. Finished work.</v>
      </c>
    </row>
    <row r="1527">
      <c r="A1527" s="19" t="s">
        <v>1243</v>
      </c>
      <c r="B1527" s="20" t="str">
        <f>IFERROR(__xludf.DUMMYFUNCTION("GOOGLETRANSLATE(A1527, ""fr"", ""en"")"),"Replacement of 14 neon tubes with LED tubes in social social. Oodm made by AT3. Finished work.")</f>
        <v>Replacement of 14 neon tubes with LED tubes in social social. Oodm made by AT3. Finished work.</v>
      </c>
    </row>
    <row r="1528">
      <c r="A1528" s="19" t="s">
        <v>1244</v>
      </c>
      <c r="B1528" s="20" t="str">
        <f>IFERROR(__xludf.DUMMYFUNCTION("GOOGLETRANSLATE(A1528, ""fr"", ""en"")"),"HS lighting on the social office and corridor.odm made by AT3. Finished work.")</f>
        <v>HS lighting on the social office and corridor.odm made by AT3. Finished work.</v>
      </c>
    </row>
    <row r="1529">
      <c r="A1529" s="19" t="s">
        <v>1245</v>
      </c>
      <c r="B1529" s="20" t="str">
        <f>IFERROR(__xludf.DUMMYFUNCTION("GOOGLETRANSLATE(A1529, ""fr"", ""en"")"),"Social SAS Defective Lighting in front of WC customers")</f>
        <v>Social SAS Defective Lighting in front of WC customers</v>
      </c>
    </row>
    <row r="1530">
      <c r="A1530" s="19" t="s">
        <v>1246</v>
      </c>
      <c r="B1530" s="20" t="str">
        <f>IFERROR(__xludf.DUMMYFUNCTION("GOOGLETRANSLATE(A1530, ""fr"", ""en"")"),"At modify for Lum LED Equipment on Socials")</f>
        <v>At modify for Lum LED Equipment on Socials</v>
      </c>
    </row>
    <row r="1531">
      <c r="A1531" s="19" t="s">
        <v>1247</v>
      </c>
      <c r="B1531" s="20" t="str">
        <f>IFERROR(__xludf.DUMMYFUNCTION("GOOGLETRANSLATE(A1531, ""fr"", ""en"")"),"The light in the SAS between the customer zone and the social premises no longer works. The neon was changed a few days ago but he held that 3 days. Perhaps the problem comes from something other than the neon itself.")</f>
        <v>The light in the SAS between the customer zone and the social premises no longer works. The neon was changed a few days ago but he held that 3 days. Perhaps the problem comes from something other than the neon itself.</v>
      </c>
    </row>
    <row r="1532">
      <c r="A1532" s="19" t="s">
        <v>1248</v>
      </c>
      <c r="B1532" s="20" t="str">
        <f>IFERROR(__xludf.DUMMYFUNCTION("GOOGLETRANSLATE(A1532, ""fr"", ""en"")"),"The neon at the SAS of customer toilets is HS.")</f>
        <v>The neon at the SAS of customer toilets is HS.</v>
      </c>
    </row>
    <row r="1533">
      <c r="A1533" s="19" t="s">
        <v>1249</v>
      </c>
      <c r="B1533" s="20" t="str">
        <f>IFERROR(__xludf.DUMMYFUNCTION("GOOGLETRANSLATE(A1533, ""fr"", ""en"")"),"HS neon tube in the pause room. Odm made by AT3. Finished work.")</f>
        <v>HS neon tube in the pause room. Odm made by AT3. Finished work.</v>
      </c>
    </row>
    <row r="1534">
      <c r="A1534" s="19" t="s">
        <v>1250</v>
      </c>
      <c r="B1534" s="20" t="str">
        <f>IFERROR(__xludf.DUMMYFUNCTION("GOOGLETRANSLATE(A1534, ""fr"", ""en"")"),"Fund carpet that does not work at times")</f>
        <v>Fund carpet that does not work at times</v>
      </c>
    </row>
    <row r="1535">
      <c r="A1535" s="19" t="s">
        <v>1187</v>
      </c>
      <c r="B1535" s="20" t="str">
        <f>IFERROR(__xludf.DUMMYFUNCTION("GOOGLETRANSLATE(A1535, ""fr"", ""en"")"),"Urgent: cash mat no longer works!")</f>
        <v>Urgent: cash mat no longer works!</v>
      </c>
    </row>
    <row r="1536">
      <c r="A1536" s="19" t="s">
        <v>1251</v>
      </c>
      <c r="B1536" s="20" t="str">
        <f>IFERROR(__xludf.DUMMYFUNCTION("GOOGLETRANSLATE(A1536, ""fr"", ""en"")"),"The scan does not function and the scale works 1 fosq out of 2")</f>
        <v>The scan does not function and the scale works 1 fosq out of 2</v>
      </c>
    </row>
    <row r="1537">
      <c r="A1537" s="19" t="s">
        <v>1252</v>
      </c>
      <c r="B1537" s="20" t="str">
        <f>IFERROR(__xludf.DUMMYFUNCTION("GOOGLETRANSLATE(A1537, ""fr"", ""en"")"),"western abime doors")</f>
        <v>western abime doors</v>
      </c>
    </row>
    <row r="1538">
      <c r="A1538" s="19" t="s">
        <v>1253</v>
      </c>
      <c r="B1538" s="20" t="str">
        <f>IFERROR(__xludf.DUMMYFUNCTION("GOOGLETRANSLATE(A1538, ""fr"", ""en"")"),"Thank you for changing the bread arch The material is on site")</f>
        <v>Thank you for changing the bread arch The material is on site</v>
      </c>
    </row>
    <row r="1539">
      <c r="A1539" s="21"/>
      <c r="B1539" s="20" t="str">
        <f>IFERROR(__xludf.DUMMYFUNCTION("GOOGLETRANSLATE(A1539, ""fr"", ""en"")"),"#VALUE!")</f>
        <v>#VALUE!</v>
      </c>
    </row>
    <row r="1540">
      <c r="A1540" s="21"/>
      <c r="B1540" s="20" t="str">
        <f>IFERROR(__xludf.DUMMYFUNCTION("GOOGLETRANSLATE(A1540, ""fr"", ""en"")"),"#VALUE!")</f>
        <v>#VALUE!</v>
      </c>
    </row>
    <row r="1541">
      <c r="A1541" s="19" t="s">
        <v>1254</v>
      </c>
      <c r="B1541" s="20" t="str">
        <f>IFERROR(__xludf.DUMMYFUNCTION("GOOGLETRANSLATE(A1541, ""fr"", ""en"")"),"Test of the new resin on the floor of the CFN NOK input.")</f>
        <v>Test of the new resin on the floor of the CFN NOK input.</v>
      </c>
    </row>
    <row r="1542">
      <c r="A1542" s="19" t="s">
        <v>1255</v>
      </c>
      <c r="B1542" s="20" t="str">
        <f>IFERROR(__xludf.DUMMYFUNCTION("GOOGLETRANSLATE(A1542, ""fr"", ""en"")"),"Cassement tiles + aluminum protection.")</f>
        <v>Cassement tiles + aluminum protection.</v>
      </c>
    </row>
    <row r="1543">
      <c r="A1543" s="19" t="s">
        <v>1256</v>
      </c>
      <c r="B1543" s="20" t="str">
        <f>IFERROR(__xludf.DUMMYFUNCTION("GOOGLETRANSLATE(A1543, ""fr"", ""en"")"),"Bird droppings at the Rac a Caddie")</f>
        <v>Bird droppings at the Rac a Caddie</v>
      </c>
    </row>
    <row r="1544">
      <c r="A1544" s="19" t="s">
        <v>1257</v>
      </c>
      <c r="B1544" s="20" t="str">
        <f>IFERROR(__xludf.DUMMYFUNCTION("GOOGLETRANSLATE(A1544, ""fr"", ""en"")"),"Caddie bloccs at the level of security wheels")</f>
        <v>Caddie bloccs at the level of security wheels</v>
      </c>
    </row>
    <row r="1545">
      <c r="A1545" s="19" t="s">
        <v>1258</v>
      </c>
      <c r="B1545" s="20" t="str">
        <f>IFERROR(__xludf.DUMMYFUNCTION("GOOGLETRANSLATE(A1545, ""fr"", ""en"")"),"* FIANTS Birds")</f>
        <v>* FIANTS Birds</v>
      </c>
    </row>
    <row r="1546">
      <c r="A1546" s="19" t="s">
        <v>1259</v>
      </c>
      <c r="B1546" s="20" t="str">
        <f>IFERROR(__xludf.DUMMYFUNCTION("GOOGLETRANSLATE(A1546, ""fr"", ""en"")"),"Caddies block, it is impossible to deplog them")</f>
        <v>Caddies block, it is impossible to deplog them</v>
      </c>
    </row>
    <row r="1547">
      <c r="A1547" s="19" t="s">
        <v>1260</v>
      </c>
      <c r="B1547" s="20" t="str">
        <f>IFERROR(__xludf.DUMMYFUNCTION("GOOGLETRANSLATE(A1547, ""fr"", ""en"")"),"At the request of the FM: control of caddies wheels and the remote control .odm made by AT3. Finished work.")</f>
        <v>At the request of the FM: control of caddies wheels and the remote control .odm made by AT3. Finished work.</v>
      </c>
    </row>
    <row r="1548">
      <c r="A1548" s="19" t="s">
        <v>1261</v>
      </c>
      <c r="B1548" s="20" t="str">
        <f>IFERROR(__xludf.DUMMYFUNCTION("GOOGLETRANSLATE(A1548, ""fr"", ""en"")"),"carpet that does not work")</f>
        <v>carpet that does not work</v>
      </c>
    </row>
    <row r="1549">
      <c r="A1549" s="19" t="s">
        <v>1262</v>
      </c>
      <c r="B1549" s="20" t="str">
        <f>IFERROR(__xludf.DUMMYFUNCTION("GOOGLETRANSLATE(A1549, ""fr"", ""en"")"),"Impossible to put the store under alarm.")</f>
        <v>Impossible to put the store under alarm.</v>
      </c>
    </row>
    <row r="1550">
      <c r="A1550" s="19" t="s">
        <v>1263</v>
      </c>
      <c r="B1550" s="20" t="str">
        <f>IFERROR(__xludf.DUMMYFUNCTION("GOOGLETRANSLATE(A1550, ""fr"", ""en"")"),"Cold alarm Two fridge VVP Temperature-1,7")</f>
        <v>Cold alarm Two fridge VVP Temperature-1,7</v>
      </c>
    </row>
    <row r="1551">
      <c r="A1551" s="19" t="s">
        <v>1264</v>
      </c>
      <c r="B1551" s="20" t="str">
        <f>IFERROR(__xludf.DUMMYFUNCTION("GOOGLETRANSLATE(A1551, ""fr"", ""en"")"),"VVP window out of the rail suddenly the door no longer closes properly remains between open")</f>
        <v>VVP window out of the rail suddenly the door no longer closes properly remains between open</v>
      </c>
    </row>
    <row r="1552">
      <c r="A1552" s="19" t="s">
        <v>1265</v>
      </c>
      <c r="B1552" s="20" t="str">
        <f>IFERROR(__xludf.DUMMYFUNCTION("GOOGLETRANSLATE(A1552, ""fr"", ""en"")"),"Vitrine out of axis")</f>
        <v>Vitrine out of axis</v>
      </c>
    </row>
    <row r="1553">
      <c r="A1553" s="19" t="s">
        <v>1266</v>
      </c>
      <c r="B1553" s="20" t="str">
        <f>IFERROR(__xludf.DUMMYFUNCTION("GOOGLETRANSLATE(A1553, ""fr"", ""en"")"),"Leakage problem, water on the ground.")</f>
        <v>Leakage problem, water on the ground.</v>
      </c>
    </row>
    <row r="1554">
      <c r="A1554" s="19" t="s">
        <v>1267</v>
      </c>
      <c r="B1554" s="20" t="str">
        <f>IFERROR(__xludf.DUMMYFUNCTION("GOOGLETRANSLATE(A1554, ""fr"", ""en"")"),"showcase is not closing")</f>
        <v>showcase is not closing</v>
      </c>
    </row>
    <row r="1555">
      <c r="A1555" s="19" t="s">
        <v>1268</v>
      </c>
      <c r="B1555" s="20" t="str">
        <f>IFERROR(__xludf.DUMMYFUNCTION("GOOGLETRANSLATE(A1555, ""fr"", ""en"")"),"The VVP furniture often rises in temperature (between 3 and 5 ° C), then descend. No major concerns but control to do thank you")</f>
        <v>The VVP furniture often rises in temperature (between 3 and 5 ° C), then descend. No major concerns but control to do thank you</v>
      </c>
    </row>
    <row r="1556">
      <c r="A1556" s="19" t="s">
        <v>1269</v>
      </c>
      <c r="B1556" s="20" t="str">
        <f>IFERROR(__xludf.DUMMYFUNCTION("GOOGLETRANSLATE(A1556, ""fr"", ""en"")"),"VVP showcase seal to change - condensation problem /fog")</f>
        <v>VVP showcase seal to change - condensation problem /fog</v>
      </c>
    </row>
    <row r="1557">
      <c r="A1557" s="19" t="s">
        <v>1270</v>
      </c>
      <c r="B1557" s="20" t="str">
        <f>IFERROR(__xludf.DUMMYFUNCTION("GOOGLETRANSLATE(A1557, ""fr"", ""en"")"),"Lumère HS")</f>
        <v>Lumère HS</v>
      </c>
    </row>
    <row r="1558">
      <c r="A1558" s="19" t="s">
        <v>1271</v>
      </c>
      <c r="B1558" s="20" t="str">
        <f>IFERROR(__xludf.DUMMYFUNCTION("GOOGLETRANSLATE(A1558, ""fr"", ""en"")"),"VVP defrosting plan not set up on a window.")</f>
        <v>VVP defrosting plan not set up on a window.</v>
      </c>
    </row>
    <row r="1559">
      <c r="A1559" s="19" t="s">
        <v>1272</v>
      </c>
      <c r="B1559" s="20" t="str">
        <f>IFERROR(__xludf.DUMMYFUNCTION("GOOGLETRANSLATE(A1559, ""fr"", ""en"")"),"This VVP piece of furniture sounds regularly, with temperature that rises above 4 ° C
 The TG furniture before also sounds regularly for temperature in the negative (between 0 ° C and -1.5 ° C)")</f>
        <v>This VVP piece of furniture sounds regularly, with temperature that rises above 4 ° C
 The TG furniture before also sounds regularly for temperature in the negative (between 0 ° C and -1.5 ° C)</v>
      </c>
    </row>
    <row r="1560">
      <c r="A1560" s="19" t="s">
        <v>1273</v>
      </c>
      <c r="B1560" s="20" t="str">
        <f>IFERROR(__xludf.DUMMYFUNCTION("GOOGLETRANSLATE(A1560, ""fr"", ""en"")"),"Showcase removed by a client.")</f>
        <v>Showcase removed by a client.</v>
      </c>
    </row>
    <row r="1561">
      <c r="A1561" s="19" t="s">
        <v>1274</v>
      </c>
      <c r="B1561" s="20" t="str">
        <f>IFERROR(__xludf.DUMMYFUNCTION("GOOGLETRANSLATE(A1561, ""fr"", ""en"")"),"fridge")</f>
        <v>fridge</v>
      </c>
    </row>
    <row r="1562">
      <c r="A1562" s="19" t="s">
        <v>1275</v>
      </c>
      <c r="B1562" s="20" t="str">
        <f>IFERROR(__xludf.DUMMYFUNCTION("GOOGLETRANSLATE(A1562, ""fr"", ""en"")"),"We have the last VVP door (at the discount tank) which opens in the wrong direction.
 We have another door that always has fog. (Door to merguez)")</f>
        <v>We have the last VVP door (at the discount tank) which opens in the wrong direction.
 We have another door that always has fog. (Door to merguez)</v>
      </c>
    </row>
    <row r="1563">
      <c r="A1563" s="19" t="s">
        <v>1276</v>
      </c>
      <c r="B1563" s="20" t="str">
        <f>IFERROR(__xludf.DUMMYFUNCTION("GOOGLETRANSLATE(A1563, ""fr"", ""en"")"),"Cold alarm with call of the surveillance but furniture displaying temperature at -1.6 ° C
 Take of hearts to heart +6 ° C as indicated by cold alarm.
 empty furniture")</f>
        <v>Cold alarm with call of the surveillance but furniture displaying temperature at -1.6 ° C
 Take of hearts to heart +6 ° C as indicated by cold alarm.
 empty furniture</v>
      </c>
    </row>
    <row r="1564">
      <c r="A1564" s="19" t="s">
        <v>1277</v>
      </c>
      <c r="B1564" s="20" t="str">
        <f>IFERROR(__xludf.DUMMYFUNCTION("GOOGLETRANSLATE(A1564, ""fr"", ""en"")"),"We have the VVP ADR 48 showcase which is cold.")</f>
        <v>We have the VVP ADR 48 showcase which is cold.</v>
      </c>
    </row>
    <row r="1565">
      <c r="A1565" s="19" t="s">
        <v>1278</v>
      </c>
      <c r="B1565" s="20" t="str">
        <f>IFERROR(__xludf.DUMMYFUNCTION("GOOGLETRANSLATE(A1565, ""fr"", ""en"")"),"VVP cabinet to side by the rear tg, significant water leakage")</f>
        <v>VVP cabinet to side by the rear tg, significant water leakage</v>
      </c>
    </row>
    <row r="1566">
      <c r="A1566" s="19" t="s">
        <v>1279</v>
      </c>
      <c r="B1566" s="20" t="str">
        <f>IFERROR(__xludf.DUMMYFUNCTION("GOOGLETRANSLATE(A1566, ""fr"", ""en"")"),"Door handle to replace")</f>
        <v>Door handle to replace</v>
      </c>
    </row>
    <row r="1567">
      <c r="A1567" s="19" t="s">
        <v>1280</v>
      </c>
      <c r="B1567" s="20" t="str">
        <f>IFERROR(__xludf.DUMMYFUNCTION("GOOGLETRANSLATE(A1567, ""fr"", ""en"")"),"Several door seals at VV windows which are in poor condition.")</f>
        <v>Several door seals at VV windows which are in poor condition.</v>
      </c>
    </row>
    <row r="1568">
      <c r="A1568" s="19" t="s">
        <v>1281</v>
      </c>
      <c r="B1568" s="20" t="str">
        <f>IFERROR(__xludf.DUMMYFUNCTION("GOOGLETRANSLATE(A1568, ""fr"", ""en"")"),"We have a fleeing VVP piece of furniture.")</f>
        <v>We have a fleeing VVP piece of furniture.</v>
      </c>
    </row>
    <row r="1569">
      <c r="A1569" s="19" t="s">
        <v>1282</v>
      </c>
      <c r="B1569" s="20" t="str">
        <f>IFERROR(__xludf.DUMMYFUNCTION("GOOGLETRANSLATE(A1569, ""fr"", ""en"")"),"One of the VV furniture from the Fait store")</f>
        <v>One of the VV furniture from the Fait store</v>
      </c>
    </row>
    <row r="1570">
      <c r="A1570" s="19" t="s">
        <v>1283</v>
      </c>
      <c r="B1570" s="20" t="str">
        <f>IFERROR(__xludf.DUMMYFUNCTION("GOOGLETRANSLATE(A1570, ""fr"", ""en"")"),"fridge that sounds")</f>
        <v>fridge that sounds</v>
      </c>
    </row>
    <row r="1571">
      <c r="A1571" s="19" t="s">
        <v>1284</v>
      </c>
      <c r="B1571" s="20" t="str">
        <f>IFERROR(__xludf.DUMMYFUNCTION("GOOGLETRANSLATE(A1571, ""fr"", ""en"")"),"A Porte de la VV handle")</f>
        <v>A Porte de la VV handle</v>
      </c>
    </row>
    <row r="1572">
      <c r="A1572" s="19" t="s">
        <v>1285</v>
      </c>
      <c r="B1572" s="20" t="str">
        <f>IFERROR(__xludf.DUMMYFUNCTION("GOOGLETRANSLATE(A1572, ""fr"", ""en"")"),"Temperature problem on the same furniture as Tuesday's intervention. Furniture 46/47/48")</f>
        <v>Temperature problem on the same furniture as Tuesday's intervention. Furniture 46/47/48</v>
      </c>
    </row>
    <row r="1573">
      <c r="A1573" s="21"/>
      <c r="B1573" s="20" t="str">
        <f>IFERROR(__xludf.DUMMYFUNCTION("GOOGLETRANSLATE(A1573, ""fr"", ""en"")"),"#VALUE!")</f>
        <v>#VALUE!</v>
      </c>
    </row>
    <row r="1574">
      <c r="A1574" s="19" t="s">
        <v>1286</v>
      </c>
      <c r="B1574" s="20" t="str">
        <f>IFERROR(__xludf.DUMMYFUNCTION("GOOGLETRANSLATE(A1574, ""fr"", ""en"")"),"Can you send us the Orange PLV to put above the VV One Shot window")</f>
        <v>Can you send us the Orange PLV to put above the VV One Shot window</v>
      </c>
    </row>
    <row r="1575">
      <c r="A1575" s="19" t="s">
        <v>1287</v>
      </c>
      <c r="B1575" s="20" t="str">
        <f>IFERROR(__xludf.DUMMYFUNCTION("GOOGLETRANSLATE(A1575, ""fr"", ""en"")"),"Temperature at -2 degrees")</f>
        <v>Temperature at -2 degrees</v>
      </c>
    </row>
    <row r="1576">
      <c r="A1576" s="21"/>
      <c r="B1576" s="20" t="str">
        <f>IFERROR(__xludf.DUMMYFUNCTION("GOOGLETRANSLATE(A1576, ""fr"", ""en"")"),"#VALUE!")</f>
        <v>#VALUE!</v>
      </c>
    </row>
    <row r="1577">
      <c r="A1577" s="19" t="s">
        <v>1288</v>
      </c>
      <c r="B1577" s="20" t="str">
        <f>IFERROR(__xludf.DUMMYFUNCTION("GOOGLETRANSLATE(A1577, ""fr"", ""en"")"),"Declenée Screen less 2 alarm")</f>
        <v>Declenée Screen less 2 alarm</v>
      </c>
    </row>
    <row r="1578">
      <c r="A1578" s="19" t="s">
        <v>1289</v>
      </c>
      <c r="B1578" s="20" t="str">
        <f>IFERROR(__xludf.DUMMYFUNCTION("GOOGLETRANSLATE(A1578, ""fr"", ""en"")"),"Lighting and HS door seal")</f>
        <v>Lighting and HS door seal</v>
      </c>
    </row>
    <row r="1579">
      <c r="A1579" s="19" t="s">
        <v>1290</v>
      </c>
      <c r="B1579" s="20" t="str">
        <f>IFERROR(__xludf.DUMMYFUNCTION("GOOGLETRANSLATE(A1579, ""fr"", ""en"")"),"Showcase flees water on the ground thank you for intervening quickly")</f>
        <v>Showcase flees water on the ground thank you for intervening quickly</v>
      </c>
    </row>
    <row r="1580">
      <c r="A1580" s="19" t="s">
        <v>1291</v>
      </c>
      <c r="B1580" s="20" t="str">
        <f>IFERROR(__xludf.DUMMYFUNCTION("GOOGLETRANSLATE(A1580, ""fr"", ""en"")"),"VVP furniture leakage")</f>
        <v>VVP furniture leakage</v>
      </c>
    </row>
    <row r="1581">
      <c r="A1581" s="19" t="s">
        <v>1292</v>
      </c>
      <c r="B1581" s="20" t="str">
        <f>IFERROR(__xludf.DUMMYFUNCTION("GOOGLETRANSLATE(A1581, ""fr"", ""en"")"),"We have had several (short -term) alarms on VVP furniture (47/48)
 See: Photos")</f>
        <v>We have had several (short -term) alarms on VVP furniture (47/48)
 See: Photos</v>
      </c>
    </row>
    <row r="1582">
      <c r="A1582" s="19" t="s">
        <v>1293</v>
      </c>
      <c r="B1582" s="20" t="str">
        <f>IFERROR(__xludf.DUMMYFUNCTION("GOOGLETRANSLATE(A1582, ""fr"", ""en"")"),"door does not close entirely")</f>
        <v>door does not close entirely</v>
      </c>
    </row>
    <row r="1583">
      <c r="A1583" s="19" t="s">
        <v>1294</v>
      </c>
      <c r="B1583" s="20" t="str">
        <f>IFERROR(__xludf.DUMMYFUNCTION("GOOGLETRANSLATE(A1583, ""fr"", ""en"")"),"Cold alarm on the furniture problem probe. The furniture is at a good temperature after testing.")</f>
        <v>Cold alarm on the furniture problem probe. The furniture is at a good temperature after testing.</v>
      </c>
    </row>
    <row r="1584">
      <c r="A1584" s="21"/>
      <c r="B1584" s="20" t="str">
        <f>IFERROR(__xludf.DUMMYFUNCTION("GOOGLETRANSLATE(A1584, ""fr"", ""en"")"),"#VALUE!")</f>
        <v>#VALUE!</v>
      </c>
    </row>
    <row r="1585">
      <c r="A1585" s="19" t="s">
        <v>1295</v>
      </c>
      <c r="B1585" s="20" t="str">
        <f>IFERROR(__xludf.DUMMYFUNCTION("GOOGLETRANSLATE(A1585, ""fr"", ""en"")"),"Urgent press HS!")</f>
        <v>Urgent press HS!</v>
      </c>
    </row>
    <row r="1586">
      <c r="A1586" s="19" t="s">
        <v>1296</v>
      </c>
      <c r="B1586" s="20" t="str">
        <f>IFERROR(__xludf.DUMMYFUNCTION("GOOGLETRANSLATE(A1586, ""fr"", ""en"")"),"Urgent HS press oil losses thank you")</f>
        <v>Urgent HS press oil losses thank you</v>
      </c>
    </row>
    <row r="1587">
      <c r="A1587" s="19" t="s">
        <v>425</v>
      </c>
      <c r="B1587" s="20" t="str">
        <f>IFERROR(__xludf.DUMMYFUNCTION("GOOGLETRANSLATE(A1587, ""fr"", ""en"")"),"leak")</f>
        <v>leak</v>
      </c>
    </row>
    <row r="1588">
      <c r="A1588" s="19" t="s">
        <v>1297</v>
      </c>
      <c r="B1588" s="20" t="str">
        <f>IFERROR(__xludf.DUMMYFUNCTION("GOOGLETRANSLATE(A1588, ""fr"", ""en"")"),"FURY FURNITY")</f>
        <v>FURY FURNITY</v>
      </c>
    </row>
    <row r="1589">
      <c r="A1589" s="19" t="s">
        <v>1298</v>
      </c>
      <c r="B1589" s="20" t="str">
        <f>IFERROR(__xludf.DUMMYFUNCTION("GOOGLETRANSLATE(A1589, ""fr"", ""en"")"),"cleaning company pass this day impossible to clean the pump they cannot remove it")</f>
        <v>cleaning company pass this day impossible to clean the pump they cannot remove it</v>
      </c>
    </row>
    <row r="1590">
      <c r="A1590" s="19" t="s">
        <v>1299</v>
      </c>
      <c r="B1590" s="20" t="str">
        <f>IFERROR(__xludf.DUMMYFUNCTION("GOOGLETRANSLATE(A1590, ""fr"", ""en"")"),"The cheek has been damaged")</f>
        <v>The cheek has been damaged</v>
      </c>
    </row>
    <row r="1591">
      <c r="A1591" s="19" t="s">
        <v>1300</v>
      </c>
      <c r="B1591" s="20" t="str">
        <f>IFERROR(__xludf.DUMMYFUNCTION("GOOGLETRANSLATE(A1591, ""fr"", ""en"")"),"1540 for the Gauchz glass")</f>
        <v>1540 for the Gauchz glass</v>
      </c>
    </row>
    <row r="1592">
      <c r="A1592" s="19" t="s">
        <v>1301</v>
      </c>
      <c r="B1592" s="20" t="str">
        <f>IFERROR(__xludf.DUMMYFUNCTION("GOOGLETRANSLATE(A1592, ""fr"", ""en"")"),"Casse")</f>
        <v>Casse</v>
      </c>
    </row>
    <row r="1593">
      <c r="A1593" s="19" t="s">
        <v>1302</v>
      </c>
      <c r="B1593" s="20" t="str">
        <f>IFERROR(__xludf.DUMMYFUNCTION("GOOGLETRANSLATE(A1593, ""fr"", ""en"")"),"Lack 2 stickers at 2 cash")</f>
        <v>Lack 2 stickers at 2 cash</v>
      </c>
    </row>
    <row r="1594">
      <c r="A1594" s="19" t="s">
        <v>1303</v>
      </c>
      <c r="B1594" s="20" t="str">
        <f>IFERROR(__xludf.DUMMYFUNCTION("GOOGLETRANSLATE(A1594, ""fr"", ""en"")"),"SV default clima. Restart of the .ODM system made by AT3. Finished work.")</f>
        <v>SV default clima. Restart of the .ODM system made by AT3. Finished work.</v>
      </c>
    </row>
    <row r="1595">
      <c r="A1595" s="19" t="s">
        <v>1304</v>
      </c>
      <c r="B1595" s="20" t="str">
        <f>IFERROR(__xludf.DUMMYFUNCTION("GOOGLETRANSLATE(A1595, ""fr"", ""en"")"),"14.9 ° in the store, 14.3 ° at the boxes !!")</f>
        <v>14.9 ° in the store, 14.3 ° at the boxes !!</v>
      </c>
    </row>
    <row r="1596">
      <c r="A1596" s="19" t="s">
        <v>1305</v>
      </c>
      <c r="B1596" s="20" t="str">
        <f>IFERROR(__xludf.DUMMYFUNCTION("GOOGLETRANSLATE(A1596, ""fr"", ""en"")"),"Too high temperature")</f>
        <v>Too high temperature</v>
      </c>
    </row>
    <row r="1597">
      <c r="A1597" s="19" t="s">
        <v>1306</v>
      </c>
      <c r="B1597" s="20" t="str">
        <f>IFERROR(__xludf.DUMMYFUNCTION("GOOGLETRANSLATE(A1597, ""fr"", ""en"")"),"NOK lighting on Fl.Fil Raised .odm made by AT3")</f>
        <v>NOK lighting on Fl.Fil Raised .odm made by AT3</v>
      </c>
    </row>
    <row r="1598">
      <c r="A1598" s="19" t="s">
        <v>1307</v>
      </c>
      <c r="B1598" s="20" t="str">
        <f>IFERROR(__xludf.DUMMYFUNCTION("GOOGLETRANSLATE(A1598, ""fr"", ""en"")"),"QHS lightning on part of the FL because of cut wire. Odm made by AT3. Finished work.")</f>
        <v>QHS lightning on part of the FL because of cut wire. Odm made by AT3. Finished work.</v>
      </c>
    </row>
    <row r="1599">
      <c r="A1599" s="19" t="s">
        <v>1308</v>
      </c>
      <c r="B1599" s="20" t="str">
        <f>IFERROR(__xludf.DUMMYFUNCTION("GOOGLETRANSLATE(A1599, ""fr"", ""en"")"),"let's break")</f>
        <v>let's break</v>
      </c>
    </row>
    <row r="1600">
      <c r="A1600" s="19" t="s">
        <v>1309</v>
      </c>
      <c r="B1600" s="20" t="str">
        <f>IFERROR(__xludf.DUMMYFUNCTION("GOOGLETRANSLATE(A1600, ""fr"", ""en"")"),"LED lighting on FL HS.ODM made by AT3. Finished work")</f>
        <v>LED lighting on FL HS.ODM made by AT3. Finished work</v>
      </c>
    </row>
    <row r="1601">
      <c r="A1601" s="19" t="s">
        <v>1310</v>
      </c>
      <c r="B1601" s="20" t="str">
        <f>IFERROR(__xludf.DUMMYFUNCTION("GOOGLETRANSLATE(A1601, ""fr"", ""en"")"),"LED HS on several FL furniture")</f>
        <v>LED HS on several FL furniture</v>
      </c>
    </row>
    <row r="1602">
      <c r="A1602" s="19" t="s">
        <v>1311</v>
      </c>
      <c r="B1602" s="20" t="str">
        <f>IFERROR(__xludf.DUMMYFUNCTION("GOOGLETRANSLATE(A1602, ""fr"", ""en"")"),"At several lum hs on fl")</f>
        <v>At several lum hs on fl</v>
      </c>
    </row>
    <row r="1603">
      <c r="A1603" s="19" t="s">
        <v>1312</v>
      </c>
      <c r="B1603" s="20" t="str">
        <f>IFERROR(__xludf.DUMMYFUNCTION("GOOGLETRANSLATE(A1603, ""fr"", ""en"")"),"At Lum HS in Fl.")</f>
        <v>At Lum HS in Fl.</v>
      </c>
    </row>
    <row r="1604">
      <c r="A1604" s="19" t="s">
        <v>1313</v>
      </c>
      <c r="B1604" s="20" t="str">
        <f>IFERROR(__xludf.DUMMYFUNCTION("GOOGLETRANSLATE(A1604, ""fr"", ""en"")"),"LED HS lighting on FL.ODM structure made by AT3. Finished work")</f>
        <v>LED HS lighting on FL.ODM structure made by AT3. Finished work</v>
      </c>
    </row>
    <row r="1605">
      <c r="A1605" s="19" t="s">
        <v>1314</v>
      </c>
      <c r="B1605" s="20" t="str">
        <f>IFERROR(__xludf.DUMMYFUNCTION("GOOGLETRANSLATE(A1605, ""fr"", ""en"")"),"At Lum HS at FL")</f>
        <v>At Lum HS at FL</v>
      </c>
    </row>
    <row r="1606">
      <c r="A1606" s="19" t="s">
        <v>1314</v>
      </c>
      <c r="B1606" s="20" t="str">
        <f>IFERROR(__xludf.DUMMYFUNCTION("GOOGLETRANSLATE(A1606, ""fr"", ""en"")"),"At Lum HS at FL")</f>
        <v>At Lum HS at FL</v>
      </c>
    </row>
    <row r="1607">
      <c r="A1607" s="19" t="s">
        <v>1315</v>
      </c>
      <c r="B1607" s="20" t="str">
        <f>IFERROR(__xludf.DUMMYFUNCTION("GOOGLETRANSLATE(A1607, ""fr"", ""en"")"),"HS cosmetic led lighting")</f>
        <v>HS cosmetic led lighting</v>
      </c>
    </row>
    <row r="1608">
      <c r="A1608" s="19" t="s">
        <v>1316</v>
      </c>
      <c r="B1608" s="20" t="str">
        <f>IFERROR(__xludf.DUMMYFUNCTION("GOOGLETRANSLATE(A1608, ""fr"", ""en"")"),"HS lighting on half of the cut fl. Odm made by AT3. Finished work")</f>
        <v>HS lighting on half of the cut fl. Odm made by AT3. Finished work</v>
      </c>
    </row>
    <row r="1609">
      <c r="A1609" s="19" t="s">
        <v>1317</v>
      </c>
      <c r="B1609" s="20" t="str">
        <f>IFERROR(__xludf.DUMMYFUNCTION("GOOGLETRANSLATE(A1609, ""fr"", ""en"")"),"air conditioning in the urgent reserve")</f>
        <v>air conditioning in the urgent reserve</v>
      </c>
    </row>
    <row r="1610">
      <c r="A1610" s="19" t="s">
        <v>1318</v>
      </c>
      <c r="B1610" s="20" t="str">
        <f>IFERROR(__xludf.DUMMYFUNCTION("GOOGLETRANSLATE(A1610, ""fr"", ""en"")"),"The door does not close anymore remains open in permance")</f>
        <v>The door does not close anymore remains open in permance</v>
      </c>
    </row>
    <row r="1611">
      <c r="A1611" s="19" t="s">
        <v>1319</v>
      </c>
      <c r="B1611" s="20" t="str">
        <f>IFERROR(__xludf.DUMMYFUNCTION("GOOGLETRANSLATE(A1611, ""fr"", ""en"")"),"Cassee")</f>
        <v>Cassee</v>
      </c>
    </row>
    <row r="1612">
      <c r="A1612" s="19" t="s">
        <v>1320</v>
      </c>
      <c r="B1612" s="20" t="str">
        <f>IFERROR(__xludf.DUMMYFUNCTION("GOOGLETRANSLATE(A1612, ""fr"", ""en"")"),"Snacking leaks")</f>
        <v>Snacking leaks</v>
      </c>
    </row>
    <row r="1613">
      <c r="A1613" s="19" t="s">
        <v>1321</v>
      </c>
      <c r="B1613" s="20" t="str">
        <f>IFERROR(__xludf.DUMMYFUNCTION("GOOGLETRANSLATE(A1613, ""fr"", ""en"")"),"LED tube Deboté, it is impossible to put it back in place")</f>
        <v>LED tube Deboté, it is impossible to put it back in place</v>
      </c>
    </row>
    <row r="1614">
      <c r="A1614" s="21"/>
      <c r="B1614" s="20" t="str">
        <f>IFERROR(__xludf.DUMMYFUNCTION("GOOGLETRANSLATE(A1614, ""fr"", ""en"")"),"#VALUE!")</f>
        <v>#VALUE!</v>
      </c>
    </row>
    <row r="1615">
      <c r="A1615" s="19" t="s">
        <v>1322</v>
      </c>
      <c r="B1615" s="20" t="str">
        <f>IFERROR(__xludf.DUMMYFUNCTION("GOOGLETRANSLATE(A1615, ""fr"", ""en"")"),"Water leak at the Fresh Snaking furniture")</f>
        <v>Water leak at the Fresh Snaking furniture</v>
      </c>
    </row>
    <row r="1616">
      <c r="A1616" s="19" t="s">
        <v>1323</v>
      </c>
      <c r="B1616" s="20" t="str">
        <f>IFERROR(__xludf.DUMMYFUNCTION("GOOGLETRANSLATE(A1616, ""fr"", ""en"")"),"Cracks, Breakdown corner, no more wrist")</f>
        <v>Cracks, Breakdown corner, no more wrist</v>
      </c>
    </row>
    <row r="1617">
      <c r="A1617" s="19" t="s">
        <v>1324</v>
      </c>
      <c r="B1617" s="20" t="str">
        <f>IFERROR(__xludf.DUMMYFUNCTION("GOOGLETRANSLATE(A1617, ""fr"", ""en"")"),"Fresh furniture has a leak, water flows on the ground in the customer aisle (risk of sliding)")</f>
        <v>Fresh furniture has a leak, water flows on the ground in the customer aisle (risk of sliding)</v>
      </c>
    </row>
    <row r="1618">
      <c r="A1618" s="19" t="s">
        <v>1325</v>
      </c>
      <c r="B1618" s="20" t="str">
        <f>IFERROR(__xludf.DUMMYFUNCTION("GOOGLETRANSLATE(A1618, ""fr"", ""en"")"),"Key lack to be able to put the wipers all for hydroalcolic gel")</f>
        <v>Key lack to be able to put the wipers all for hydroalcolic gel</v>
      </c>
    </row>
    <row r="1619">
      <c r="A1619" s="19" t="s">
        <v>1326</v>
      </c>
      <c r="B1619" s="20" t="str">
        <f>IFERROR(__xludf.DUMMYFUNCTION("GOOGLETRANSLATE(A1619, ""fr"", ""en"")"),"Please provide a unblocking at the level of the Autoleveuse area
 Blocked since the intervention of Jaycool (knowing that the reserve had been cleaned by MSK before)
 See photo")</f>
        <v>Please provide a unblocking at the level of the Autoleveuse area
 Blocked since the intervention of Jaycool (knowing that the reserve had been cleaned by MSK before)
 See photo</v>
      </c>
    </row>
    <row r="1620">
      <c r="A1620" s="19" t="s">
        <v>1327</v>
      </c>
      <c r="B1620" s="20" t="str">
        <f>IFERROR(__xludf.DUMMYFUNCTION("GOOGLETRANSLATE(A1620, ""fr"", ""en"")"),"Gel distributor does not work properly")</f>
        <v>Gel distributor does not work properly</v>
      </c>
    </row>
    <row r="1621">
      <c r="A1621" s="19" t="s">
        <v>1328</v>
      </c>
      <c r="B1621" s="20" t="str">
        <f>IFERROR(__xludf.DUMMYFUNCTION("GOOGLETRANSLATE(A1621, ""fr"", ""en"")"),"Gel no longer flows, broken/clogged distributor")</f>
        <v>Gel no longer flows, broken/clogged distributor</v>
      </c>
    </row>
    <row r="1622">
      <c r="A1622" s="19" t="s">
        <v>1329</v>
      </c>
      <c r="B1622" s="20" t="str">
        <f>IFERROR(__xludf.DUMMYFUNCTION("GOOGLETRANSLATE(A1622, ""fr"", ""en"")"),"Hydroalcoholic gel distributor no longer flows. Pumping clogged by viscous hydroalcoholic gel and when it dries it clogs the pump .odm done by AT3. Finished work.")</f>
        <v>Hydroalcoholic gel distributor no longer flows. Pumping clogged by viscous hydroalcoholic gel and when it dries it clogs the pump .odm done by AT3. Finished work.</v>
      </c>
    </row>
    <row r="1623">
      <c r="A1623" s="19" t="s">
        <v>1330</v>
      </c>
      <c r="B1623" s="20" t="str">
        <f>IFERROR(__xludf.DUMMYFUNCTION("GOOGLETRANSLATE(A1623, ""fr"", ""en"")"),"Could you cut the heating please")</f>
        <v>Could you cut the heating please</v>
      </c>
    </row>
    <row r="1624">
      <c r="A1624" s="19" t="s">
        <v>1331</v>
      </c>
      <c r="B1624" s="20" t="str">
        <f>IFERROR(__xludf.DUMMYFUNCTION("GOOGLETRANSLATE(A1624, ""fr"", ""en"")"),"do not")</f>
        <v>do not</v>
      </c>
    </row>
    <row r="1625">
      <c r="A1625" s="19" t="s">
        <v>1332</v>
      </c>
      <c r="B1625" s="20" t="str">
        <f>IFERROR(__xludf.DUMMYFUNCTION("GOOGLETRANSLATE(A1625, ""fr"", ""en"")"),"The air conditioning in the break room flows")</f>
        <v>The air conditioning in the break room flows</v>
      </c>
    </row>
    <row r="1626">
      <c r="A1626" s="19" t="s">
        <v>1333</v>
      </c>
      <c r="B1626" s="20" t="str">
        <f>IFERROR(__xludf.DUMMYFUNCTION("GOOGLETRANSLATE(A1626, ""fr"", ""en"")"),"The air conditioning does not work in the office or social premises")</f>
        <v>The air conditioning does not work in the office or social premises</v>
      </c>
    </row>
    <row r="1627">
      <c r="A1627" s="19" t="s">
        <v>1334</v>
      </c>
      <c r="B1627" s="20" t="str">
        <f>IFERROR(__xludf.DUMMYFUNCTION("GOOGLETRANSLATE(A1627, ""fr"", ""en"")"),"Air conditioning, waiting for installation")</f>
        <v>Air conditioning, waiting for installation</v>
      </c>
    </row>
    <row r="1628">
      <c r="A1628" s="19" t="s">
        <v>1335</v>
      </c>
      <c r="B1628" s="20" t="str">
        <f>IFERROR(__xludf.DUMMYFUNCTION("GOOGLETRANSLATE(A1628, ""fr"", ""en"")"),"At leakage water flow")</f>
        <v>At leakage water flow</v>
      </c>
    </row>
    <row r="1629">
      <c r="A1629" s="19" t="s">
        <v>1336</v>
      </c>
      <c r="B1629" s="20" t="str">
        <f>IFERROR(__xludf.DUMMYFUNCTION("GOOGLETRANSLATE(A1629, ""fr"", ""en"")"),"The office of the office flees")</f>
        <v>The office of the office flees</v>
      </c>
    </row>
    <row r="1630">
      <c r="A1630" s="19" t="s">
        <v>1337</v>
      </c>
      <c r="B1630" s="20" t="str">
        <f>IFERROR(__xludf.DUMMYFUNCTION("GOOGLETRANSLATE(A1630, ""fr"", ""en"")"),"Hello Break Break up alarm no longer activates when the thieves come out by the entry please launch a quick intervention")</f>
        <v>Hello Break Break up alarm no longer activates when the thieves come out by the entry please launch a quick intervention</v>
      </c>
    </row>
    <row r="1631">
      <c r="A1631" s="19" t="s">
        <v>1338</v>
      </c>
      <c r="B1631" s="20" t="str">
        <f>IFERROR(__xludf.DUMMYFUNCTION("GOOGLETRANSLATE(A1631, ""fr"", ""en"")"),"The anti-return system at the entrance to the store rings randomly without reasons.")</f>
        <v>The anti-return system at the entrance to the store rings randomly without reasons.</v>
      </c>
    </row>
    <row r="1632">
      <c r="A1632" s="19" t="s">
        <v>1339</v>
      </c>
      <c r="B1632" s="20" t="str">
        <f>IFERROR(__xludf.DUMMYFUNCTION("GOOGLETRANSLATE(A1632, ""fr"", ""en"")"),"Verrin tailgate on the broken loading/unloading platform")</f>
        <v>Verrin tailgate on the broken loading/unloading platform</v>
      </c>
    </row>
    <row r="1633">
      <c r="A1633" s="19" t="s">
        <v>1340</v>
      </c>
      <c r="B1633" s="20" t="str">
        <f>IFERROR(__xludf.DUMMYFUNCTION("GOOGLETRANSLATE(A1633, ""fr"", ""en"")"),"HS neon (connection pb? False contact?)")</f>
        <v>HS neon (connection pb? False contact?)</v>
      </c>
    </row>
    <row r="1634">
      <c r="A1634" s="19" t="s">
        <v>1341</v>
      </c>
      <c r="B1634" s="20" t="str">
        <f>IFERROR(__xludf.DUMMYFUNCTION("GOOGLETRANSLATE(A1634, ""fr"", ""en"")"),"HS spot")</f>
        <v>HS spot</v>
      </c>
    </row>
    <row r="1635">
      <c r="A1635" s="19" t="s">
        <v>1342</v>
      </c>
      <c r="B1635" s="20" t="str">
        <f>IFERROR(__xludf.DUMMYFUNCTION("GOOGLETRANSLATE(A1635, ""fr"", ""en"")"),"LED lightning radius FL HS.")</f>
        <v>LED lightning radius FL HS.</v>
      </c>
    </row>
    <row r="1636">
      <c r="A1636" s="19" t="s">
        <v>1343</v>
      </c>
      <c r="B1636" s="20" t="str">
        <f>IFERROR(__xludf.DUMMYFUNCTION("GOOGLETRANSLATE(A1636, ""fr"", ""en"")"),"Hello, we inform you that the Schneider LFFR2807EVCP01 charging station (3N2250801555) is in default.
 Please intervene for repair and program a daily reboot if it has not already been done.")</f>
        <v>Hello, we inform you that the Schneider LFFR2807EVCP01 charging station (3N2250801555) is in default.
 Please intervene for repair and program a daily reboot if it has not already been done.</v>
      </c>
    </row>
    <row r="1637">
      <c r="A1637" s="19" t="s">
        <v>1343</v>
      </c>
      <c r="B1637" s="20" t="str">
        <f>IFERROR(__xludf.DUMMYFUNCTION("GOOGLETRANSLATE(A1637, ""fr"", ""en"")"),"Hello, we inform you that the Schneider LFFR2807EVCP01 charging station (3N2250801555) is in default.
 Please intervene for repair and program a daily reboot if it has not already been done.")</f>
        <v>Hello, we inform you that the Schneider LFFR2807EVCP01 charging station (3N2250801555) is in default.
 Please intervene for repair and program a daily reboot if it has not already been done.</v>
      </c>
    </row>
    <row r="1638">
      <c r="A1638" s="19" t="s">
        <v>1344</v>
      </c>
      <c r="B1638" s="20" t="str">
        <f>IFERROR(__xludf.DUMMYFUNCTION("GOOGLETRANSLATE(A1638, ""fr"", ""en"")"),"Hello, we inform you that the Schneider lfr2814EVCP01 charging station (3N22508111B555) is in default.
 Please intervene for repair and program a daily reboot if it has not already been done.")</f>
        <v>Hello, we inform you that the Schneider lfr2814EVCP01 charging station (3N22508111B555) is in default.
 Please intervene for repair and program a daily reboot if it has not already been done.</v>
      </c>
    </row>
    <row r="1639">
      <c r="A1639" s="19" t="s">
        <v>1345</v>
      </c>
      <c r="B1639" s="20" t="str">
        <f>IFERROR(__xludf.DUMMYFUNCTION("GOOGLETRANSLATE(A1639, ""fr"", ""en"")"),"Good morning
 Please predict carpet or big cleaning because chewingum")</f>
        <v>Good morning
 Please predict carpet or big cleaning because chewingum</v>
      </c>
    </row>
    <row r="1640">
      <c r="A1640" s="19" t="s">
        <v>1346</v>
      </c>
      <c r="B1640" s="20" t="str">
        <f>IFERROR(__xludf.DUMMYFUNCTION("GOOGLETRANSLATE(A1640, ""fr"", ""en"")"),"The carpet does not drive. It no longer works at all")</f>
        <v>The carpet does not drive. It no longer works at all</v>
      </c>
    </row>
    <row r="1641">
      <c r="A1641" s="19" t="s">
        <v>1347</v>
      </c>
      <c r="B1641" s="20" t="str">
        <f>IFERROR(__xludf.DUMMYFUNCTION("GOOGLETRANSLATE(A1641, ""fr"", ""en"")"),"There is a part of cash No. 4 missing on the angle")</f>
        <v>There is a part of cash No. 4 missing on the angle</v>
      </c>
    </row>
    <row r="1642">
      <c r="A1642" s="19" t="s">
        <v>1348</v>
      </c>
      <c r="B1642" s="20" t="str">
        <f>IFERROR(__xludf.DUMMYFUNCTION("GOOGLETRANSLATE(A1642, ""fr"", ""en"")"),"anti -theft system does not work Pluw Cable Break")</f>
        <v>anti -theft system does not work Pluw Cable Break</v>
      </c>
    </row>
    <row r="1643">
      <c r="A1643" s="19" t="s">
        <v>1349</v>
      </c>
      <c r="B1643" s="20" t="str">
        <f>IFERROR(__xludf.DUMMYFUNCTION("GOOGLETRANSLATE(A1643, ""fr"", ""en"")"),"The box carpet 3 no longer works, the on / off button is damaged and makes a full tour so impossible to advance the carpet.")</f>
        <v>The box carpet 3 no longer works, the on / off button is damaged and makes a full tour so impossible to advance the carpet.</v>
      </c>
    </row>
    <row r="1644">
      <c r="A1644" s="19" t="s">
        <v>1350</v>
      </c>
      <c r="B1644" s="20" t="str">
        <f>IFERROR(__xludf.DUMMYFUNCTION("GOOGLETRANSLATE(A1644, ""fr"", ""en"")"),"Would it be possible to remove the CB only that this case because used every day by the CCA")</f>
        <v>Would it be possible to remove the CB only that this case because used every day by the CCA</v>
      </c>
    </row>
    <row r="1645">
      <c r="A1645" s="19" t="s">
        <v>1351</v>
      </c>
      <c r="B1645" s="20" t="str">
        <f>IFERROR(__xludf.DUMMYFUNCTION("GOOGLETRANSLATE(A1645, ""fr"", ""en"")"),"The checkout carpet no longer works, we have tried to turn it off and turn it on, clean up below the carpet but it does not work. The carpet worked very well in the morning.")</f>
        <v>The checkout carpet no longer works, we have tried to turn it off and turn it on, clean up below the carpet but it does not work. The carpet worked very well in the morning.</v>
      </c>
    </row>
    <row r="1646">
      <c r="A1646" s="19" t="s">
        <v>1352</v>
      </c>
      <c r="B1646" s="20" t="str">
        <f>IFERROR(__xludf.DUMMYFUNCTION("GOOGLETRANSLATE(A1646, ""fr"", ""en"")"),"Care carpet 4 no longer works at all
 Which makes us two less boxes because the carpet of box 3 does not work either (request made this morning).")</f>
        <v>Care carpet 4 no longer works at all
 Which makes us two less boxes because the carpet of box 3 does not work either (request made this morning).</v>
      </c>
    </row>
    <row r="1647">
      <c r="A1647" s="19" t="s">
        <v>1353</v>
      </c>
      <c r="B1647" s="20" t="str">
        <f>IFERROR(__xludf.DUMMYFUNCTION("GOOGLETRANSLATE(A1647, ""fr"", ""en"")"),"Counter Cash blocks in cash N3")</f>
        <v>Counter Cash blocks in cash N3</v>
      </c>
    </row>
    <row r="1648">
      <c r="A1648" s="19" t="s">
        <v>1354</v>
      </c>
      <c r="B1648" s="20" t="str">
        <f>IFERROR(__xludf.DUMMYFUNCTION("GOOGLETRANSLATE(A1648, ""fr"", ""en"")"),"The balance of cash n ° 5 does not work, it lights up but does not weigh the articles, we have restarted it several times but it still does not work.")</f>
        <v>The balance of cash n ° 5 does not work, it lights up but does not weigh the articles, we have restarted it several times but it still does not work.</v>
      </c>
    </row>
    <row r="1649">
      <c r="A1649" s="19" t="s">
        <v>1355</v>
      </c>
      <c r="B1649" s="20" t="str">
        <f>IFERROR(__xludf.DUMMYFUNCTION("GOOGLETRANSLATE(A1649, ""fr"", ""en"")"),"The desactivator of the antis flies on cash 5 is not functional")</f>
        <v>The desactivator of the antis flies on cash 5 is not functional</v>
      </c>
    </row>
    <row r="1650">
      <c r="A1650" s="19" t="s">
        <v>1356</v>
      </c>
      <c r="B1650" s="20" t="str">
        <f>IFERROR(__xludf.DUMMYFUNCTION("GOOGLETRANSLATE(A1650, ""fr"", ""en"")"),"A counter cash is blocked in checkout 5 without key")</f>
        <v>A counter cash is blocked in checkout 5 without key</v>
      </c>
    </row>
    <row r="1651">
      <c r="A1651" s="19" t="s">
        <v>1357</v>
      </c>
      <c r="B1651" s="20" t="str">
        <f>IFERROR(__xludf.DUMMYFUNCTION("GOOGLETRANSLATE(A1651, ""fr"", ""en"")"),"Saccosing of the Lidl Plus card does not work")</f>
        <v>Saccosing of the Lidl Plus card does not work</v>
      </c>
    </row>
    <row r="1652">
      <c r="A1652" s="19" t="s">
        <v>1358</v>
      </c>
      <c r="B1652" s="20" t="str">
        <f>IFERROR(__xludf.DUMMYFUNCTION("GOOGLETRANSLATE(A1652, ""fr"", ""en"")"),"oven that dijoncts at each washing")</f>
        <v>oven that dijoncts at each washing</v>
      </c>
    </row>
    <row r="1653">
      <c r="A1653" s="19" t="s">
        <v>1359</v>
      </c>
      <c r="B1653" s="20" t="str">
        <f>IFERROR(__xludf.DUMMYFUNCTION("GOOGLETRANSLATE(A1653, ""fr"", ""en"")"),"The ovens are not to rid, there are only the two ovens that work. The circuit breaker does not seem powerful enough")</f>
        <v>The ovens are not to rid, there are only the two ovens that work. The circuit breaker does not seem powerful enough</v>
      </c>
    </row>
    <row r="1654">
      <c r="A1654" s="19" t="s">
        <v>1360</v>
      </c>
      <c r="B1654" s="20" t="str">
        <f>IFERROR(__xludf.DUMMYFUNCTION("GOOGLETRANSLATE(A1654, ""fr"", ""en"")"),"The wheel turns in a vacuum")</f>
        <v>The wheel turns in a vacuum</v>
      </c>
    </row>
    <row r="1655">
      <c r="A1655" s="19" t="s">
        <v>520</v>
      </c>
      <c r="B1655" s="20" t="str">
        <f>IFERROR(__xludf.DUMMYFUNCTION("GOOGLETRANSLATE(A1655, ""fr"", ""en"")"),"The grip is broken")</f>
        <v>The grip is broken</v>
      </c>
    </row>
    <row r="1656">
      <c r="A1656" s="21"/>
      <c r="B1656" s="20" t="str">
        <f>IFERROR(__xludf.DUMMYFUNCTION("GOOGLETRANSLATE(A1656, ""fr"", ""en"")"),"#VALUE!")</f>
        <v>#VALUE!</v>
      </c>
    </row>
    <row r="1657">
      <c r="A1657" s="19" t="s">
        <v>1361</v>
      </c>
      <c r="B1657" s="20" t="str">
        <f>IFERROR(__xludf.DUMMYFUNCTION("GOOGLETRANSLATE(A1657, ""fr"", ""en"")"),"Blocked door")</f>
        <v>Blocked door</v>
      </c>
    </row>
    <row r="1658">
      <c r="A1658" s="19" t="s">
        <v>1362</v>
      </c>
      <c r="B1658" s="20" t="str">
        <f>IFERROR(__xludf.DUMMYFUNCTION("GOOGLETRANSLATE(A1658, ""fr"", ""en"")"),"The preheating baguette program does not start and starts to make other programs be buckled.")</f>
        <v>The preheating baguette program does not start and starts to make other programs be buckled.</v>
      </c>
    </row>
    <row r="1659">
      <c r="A1659" s="19" t="s">
        <v>1363</v>
      </c>
      <c r="B1659" s="20" t="str">
        <f>IFERROR(__xludf.DUMMYFUNCTION("GOOGLETRANSLATE(A1659, ""fr"", ""en"")"),"They washed yesterday from all the ovens jumped this morning and impossible to Allumumer")</f>
        <v>They washed yesterday from all the ovens jumped this morning and impossible to Allumumer</v>
      </c>
    </row>
    <row r="1660">
      <c r="A1660" s="19" t="s">
        <v>1364</v>
      </c>
      <c r="B1660" s="20" t="str">
        <f>IFERROR(__xludf.DUMMYFUNCTION("GOOGLETRANSLATE(A1660, ""fr"", ""en"")"),"Good morning
 URGENT 2 oven H.S PLOMDS jump each time")</f>
        <v>Good morning
 URGENT 2 oven H.S PLOMDS jump each time</v>
      </c>
    </row>
    <row r="1661">
      <c r="A1661" s="19" t="s">
        <v>1365</v>
      </c>
      <c r="B1661" s="20" t="str">
        <f>IFERROR(__xludf.DUMMYFUNCTION("GOOGLETRANSLATE(A1661, ""fr"", ""en"")"),"sauté")</f>
        <v>sauté</v>
      </c>
    </row>
    <row r="1662">
      <c r="A1662" s="19" t="s">
        <v>1366</v>
      </c>
      <c r="B1662" s="20" t="str">
        <f>IFERROR(__xludf.DUMMYFUNCTION("GOOGLETRANSLATE(A1662, ""fr"", ""en"")"),"The oven does not preheat for the baguette program and starts to bug on other programs")</f>
        <v>The oven does not preheat for the baguette program and starts to bug on other programs</v>
      </c>
    </row>
    <row r="1663">
      <c r="A1663" s="19" t="s">
        <v>1367</v>
      </c>
      <c r="B1663" s="20" t="str">
        <f>IFERROR(__xludf.DUMMYFUNCTION("GOOGLETRANSLATE(A1663, ""fr"", ""en"")"),"Plugs have jumped impossible to start impossible
 URGENT")</f>
        <v>Plugs have jumped impossible to start impossible
 URGENT</v>
      </c>
    </row>
    <row r="1664">
      <c r="A1664" s="19" t="s">
        <v>1368</v>
      </c>
      <c r="B1664" s="20" t="str">
        <f>IFERROR(__xludf.DUMMYFUNCTION("GOOGLETRANSLATE(A1664, ""fr"", ""en"")"),"Plugs have skipped impossible enlightenment
 uging")</f>
        <v>Plugs have skipped impossible enlightenment
 uging</v>
      </c>
    </row>
    <row r="1665">
      <c r="A1665" s="19" t="s">
        <v>1369</v>
      </c>
      <c r="B1665" s="20" t="str">
        <f>IFERROR(__xludf.DUMMYFUNCTION("GOOGLETRANSLATE(A1665, ""fr"", ""en"")"),"Food oven in cleaning")</f>
        <v>Food oven in cleaning</v>
      </c>
    </row>
    <row r="1666">
      <c r="A1666" s="19" t="s">
        <v>1370</v>
      </c>
      <c r="B1666" s="20" t="str">
        <f>IFERROR(__xludf.DUMMYFUNCTION("GOOGLETRANSLATE(A1666, ""fr"", ""en"")"),"The oven has been impossible to restart it alone")</f>
        <v>The oven has been impossible to restart it alone</v>
      </c>
    </row>
    <row r="1667">
      <c r="A1667" s="19" t="s">
        <v>1371</v>
      </c>
      <c r="B1667" s="20" t="str">
        <f>IFERROR(__xludf.DUMMYFUNCTION("GOOGLETRANSLATE(A1667, ""fr"", ""en"")"),"URGENT. Werned oven, it is impossible to open it.
 More than 3 ovens available. Urgent intervention")</f>
        <v>URGENT. Werned oven, it is impossible to open it.
 More than 3 ovens available. Urgent intervention</v>
      </c>
    </row>
    <row r="1668">
      <c r="A1668" s="19" t="s">
        <v>1372</v>
      </c>
      <c r="B1668" s="20" t="str">
        <f>IFERROR(__xludf.DUMMYFUNCTION("GOOGLETRANSLATE(A1668, ""fr"", ""en"")"),"Water leak + HS ringtone")</f>
        <v>Water leak + HS ringtone</v>
      </c>
    </row>
    <row r="1669">
      <c r="A1669" s="19" t="s">
        <v>1373</v>
      </c>
      <c r="B1669" s="20" t="str">
        <f>IFERROR(__xludf.DUMMYFUNCTION("GOOGLETRANSLATE(A1669, ""fr"", ""en"")"),"During cooking, the oven was full of white smoke. We stop using it. Please provide a check quickly")</f>
        <v>During cooking, the oven was full of white smoke. We stop using it. Please provide a check quickly</v>
      </c>
    </row>
    <row r="1670">
      <c r="A1670" s="19" t="s">
        <v>1374</v>
      </c>
      <c r="B1670" s="20" t="str">
        <f>IFERROR(__xludf.DUMMYFUNCTION("GOOGLETRANSLATE(A1670, ""fr"", ""en"")"),"no more abnormal tremor every 30 seconds")</f>
        <v>no more abnormal tremor every 30 seconds</v>
      </c>
    </row>
    <row r="1671">
      <c r="A1671" s="19" t="s">
        <v>1375</v>
      </c>
      <c r="B1671" s="20" t="str">
        <f>IFERROR(__xludf.DUMMYFUNCTION("GOOGLETRANSLATE(A1671, ""fr"", ""en"")"),"Error message for the oven closure")</f>
        <v>Error message for the oven closure</v>
      </c>
    </row>
    <row r="1672">
      <c r="A1672" s="19" t="s">
        <v>1376</v>
      </c>
      <c r="B1672" s="20" t="str">
        <f>IFERROR(__xludf.DUMMYFUNCTION("GOOGLETRANSLATE(A1672, ""fr"", ""en"")"),"We made a request on 25.04 for a wrist that does not work.
 On the 26th the company called the store and at that time the wrist remarked.
 Since this morning she has not remarked.
 It is the top oven aside store.")</f>
        <v>We made a request on 25.04 for a wrist that does not work.
 On the 26th the company called the store and at that time the wrist remarked.
 Since this morning she has not remarked.
 It is the top oven aside store.</v>
      </c>
    </row>
    <row r="1673">
      <c r="A1673" s="19" t="s">
        <v>1377</v>
      </c>
      <c r="B1673" s="20" t="str">
        <f>IFERROR(__xludf.DUMMYFUNCTION("GOOGLETRANSLATE(A1673, ""fr"", ""en"")"),"The oven we have in reserve flees when we launch the cleaning program.")</f>
        <v>The oven we have in reserve flees when we launch the cleaning program.</v>
      </c>
    </row>
    <row r="1674">
      <c r="A1674" s="19" t="s">
        <v>1378</v>
      </c>
      <c r="B1674" s="20" t="str">
        <f>IFERROR(__xludf.DUMMYFUNCTION("GOOGLETRANSLATE(A1674, ""fr"", ""en"")"),"Since the start of the week we have had problems with the provision doors. Since today the bottom of the reserve has not closed at all.")</f>
        <v>Since the start of the week we have had problems with the provision doors. Since today the bottom of the reserve has not closed at all.</v>
      </c>
    </row>
    <row r="1675">
      <c r="A1675" s="19" t="s">
        <v>1379</v>
      </c>
      <c r="B1675" s="20" t="str">
        <f>IFERROR(__xludf.DUMMYFUNCTION("GOOGLETRANSLATE(A1675, ""fr"", ""en"")"),"The oven seems damaged. See photo + message that says to close the door while it is well closed.")</f>
        <v>The oven seems damaged. See photo + message that says to close the door while it is well closed.</v>
      </c>
    </row>
    <row r="1676">
      <c r="A1676" s="19" t="s">
        <v>1380</v>
      </c>
      <c r="B1676" s="20" t="str">
        <f>IFERROR(__xludf.DUMMYFUNCTION("GOOGLETRANSLATE(A1676, ""fr"", ""en"")"),"The LED of the alarm always remains green. not dalarme on cste door")</f>
        <v>The LED of the alarm always remains green. not dalarme on cste door</v>
      </c>
    </row>
    <row r="1677">
      <c r="A1677" s="19" t="s">
        <v>1381</v>
      </c>
      <c r="B1677" s="20" t="str">
        <f>IFERROR(__xludf.DUMMYFUNCTION("GOOGLETRANSLATE(A1677, ""fr"", ""en"")"),"Following my request for a badge to be able to remove the alarm from the quay
 Tatjana asked me to send you the name and first name of all the supervisors
 Drabczynski Severine
 TRACAtti Lauredana
 Pautas Corinne
 Dananier Claire
 Gendrey Ninice
 Vizitiu "&amp;"Roxana")</f>
        <v>Following my request for a badge to be able to remove the alarm from the quay
 Tatjana asked me to send you the name and first name of all the supervisors
 Drabczynski Severine
 TRACAtti Lauredana
 Pautas Corinne
 Dananier Claire
 Gendrey Ninice
 Vizitiu Roxana</v>
      </c>
    </row>
    <row r="1678">
      <c r="A1678" s="19" t="s">
        <v>1382</v>
      </c>
      <c r="B1678" s="20" t="str">
        <f>IFERROR(__xludf.DUMMYFUNCTION("GOOGLETRANSLATE(A1678, ""fr"", ""en"")"),"Need realization alarm store:
 Simon sertine (RM) Matricle: 681946
 Munier Mike (CCA) Matterite: 706319
 Arnold Stephanie (FFCCA) Matricle: 748401")</f>
        <v>Need realization alarm store:
 Simon sertine (RM) Matricle: 681946
 Munier Mike (CCA) Matterite: 706319
 Arnold Stephanie (FFCCA) Matricle: 748401</v>
      </c>
    </row>
    <row r="1679">
      <c r="A1679" s="19" t="s">
        <v>1383</v>
      </c>
      <c r="B1679" s="20" t="str">
        <f>IFERROR(__xludf.DUMMYFUNCTION("GOOGLETRANSLATE(A1679, ""fr"", ""en"")"),"FM: Caisses Cleaning - Module 6 - S29. Immerately attach the checklists.")</f>
        <v>FM: Caisses Cleaning - Module 6 - S29. Immerately attach the checklists.</v>
      </c>
    </row>
    <row r="1680">
      <c r="A1680" s="19" t="s">
        <v>1384</v>
      </c>
      <c r="B1680" s="20" t="str">
        <f>IFERROR(__xludf.DUMMYFUNCTION("GOOGLETRANSLATE(A1680, ""fr"", ""en"")"),"FM: Intervene for unconnected ovens. The tech must contact 03 75 08 95 25 once on site to make the necessary corrections and ensure that the connections are OK at the start of the tech. Taillecourt: If there are really 6 IP pinger, then only 4 equipment i"&amp;"s connected to the switch. // Ingwiller: If there are really 3 IP at Pinger, then only 1 equipment is connected to the Switch. // BOURTZWILLER: If there are really 3 IP in Pinger, then only 1 equipment is connected to the Switch.")</f>
        <v>FM: Intervene for unconnected ovens. The tech must contact 03 75 08 95 25 once on site to make the necessary corrections and ensure that the connections are OK at the start of the tech. Taillecourt: If there are really 6 IP pinger, then only 4 equipment is connected to the switch. // Ingwiller: If there are really 3 IP at Pinger, then only 1 equipment is connected to the Switch. // BOURTZWILLER: If there are really 3 IP in Pinger, then only 1 equipment is connected to the Switch.</v>
      </c>
    </row>
    <row r="1681">
      <c r="A1681" s="19" t="s">
        <v>1385</v>
      </c>
      <c r="B1681" s="20" t="str">
        <f>IFERROR(__xludf.DUMMYFUNCTION("GOOGLETRANSLATE(A1681, ""fr"", ""en"")"),"FM: Bakery cleaning - 5 - S31 module. Immerately attach the checklists.")</f>
        <v>FM: Bakery cleaning - 5 - S31 module. Immerately attach the checklists.</v>
      </c>
    </row>
    <row r="1682">
      <c r="A1682" s="19" t="s">
        <v>1386</v>
      </c>
      <c r="B1682" s="20" t="str">
        <f>IFERROR(__xludf.DUMMYFUNCTION("GOOGLETRANSLATE(A1682, ""fr"", ""en"")"),"FM: Basse window cleaning - Module 7 - S29. Immerately attach the checklists.")</f>
        <v>FM: Basse window cleaning - Module 7 - S29. Immerately attach the checklists.</v>
      </c>
    </row>
    <row r="1683">
      <c r="A1683" s="19" t="s">
        <v>1387</v>
      </c>
      <c r="B1683" s="20" t="str">
        <f>IFERROR(__xludf.DUMMYFUNCTION("GOOGLETRANSLATE(A1683, ""fr"", ""en"")"),"FM: Cleaning Park with carts - 12 - S29 module. Immerately attach the checklists. BOURTZWILLER: Clean the sun pares at the same time.")</f>
        <v>FM: Cleaning Park with carts - 12 - S29 module. Immerately attach the checklists. BOURTZWILLER: Clean the sun pares at the same time.</v>
      </c>
    </row>
    <row r="1684">
      <c r="A1684" s="19" t="s">
        <v>1388</v>
      </c>
      <c r="B1684" s="20" t="str">
        <f>IFERROR(__xludf.DUMMYFUNCTION("GOOGLETRANSLATE(A1684, ""fr"", ""en"")"),"FM: Please intervene for replacing the reserve smoke detector.")</f>
        <v>FM: Please intervene for replacing the reserve smoke detector.</v>
      </c>
    </row>
    <row r="1685">
      <c r="A1685" s="19" t="s">
        <v>1389</v>
      </c>
      <c r="B1685" s="20" t="str">
        <f>IFERROR(__xludf.DUMMYFUNCTION("GOOGLETRANSLATE(A1685, ""fr"", ""en"")"),"FM: Replacement Part POSITIVE CENTRAL WORKS")</f>
        <v>FM: Replacement Part POSITIVE CENTRAL WORKS</v>
      </c>
    </row>
    <row r="1686">
      <c r="A1686" s="19" t="s">
        <v>1390</v>
      </c>
      <c r="B1686" s="20" t="str">
        <f>IFERROR(__xludf.DUMMYFUNCTION("GOOGLETRANSLATE(A1686, ""fr"", ""en"")"),"Various RMR sale for all DR02 SPMs to do before the end S31voir Devis
 Install the Visuals of the Aggressiveness Price campaign. The detail is in the joint pdf")</f>
        <v>Various RMR sale for all DR02 SPMs to do before the end S31voir Devis
 Install the Visuals of the Aggressiveness Price campaign. The detail is in the joint pdf</v>
      </c>
    </row>
    <row r="1687">
      <c r="A1687" s="19" t="s">
        <v>1391</v>
      </c>
      <c r="B1687" s="20" t="str">
        <f>IFERROR(__xludf.DUMMYFUNCTION("GOOGLETRANSLATE(A1687, ""fr"", ""en"")"),"FM: request following validation quote n ° GF14-23-08-391045-A. RPCT Water Solenoid valve cf-")</f>
        <v>FM: request following validation quote n ° GF14-23-08-391045-A. RPCT Water Solenoid valve cf-</v>
      </c>
    </row>
    <row r="1688">
      <c r="A1688" s="19" t="s">
        <v>1392</v>
      </c>
      <c r="B1688" s="20" t="str">
        <f>IFERROR(__xludf.DUMMYFUNCTION("GOOGLETRANSLATE(A1688, ""fr"", ""en"")"),"FM: Intervene for leak repair on driving PER concerning drinking central unit Fresh furniture.")</f>
        <v>FM: Intervene for leak repair on driving PER concerning drinking central unit Fresh furniture.</v>
      </c>
    </row>
    <row r="1689">
      <c r="A1689" s="19" t="s">
        <v>1393</v>
      </c>
      <c r="B1689" s="20" t="str">
        <f>IFERROR(__xludf.DUMMYFUNCTION("GOOGLETRANSLATE(A1689, ""fr"", ""en"")"),"FM: Hello, please find attached the summary sheet of observations following the passage of the Bureau Véritas for the year 2023. We ask you to clear the observations as soon as possible and to return to us as soon as the intervention completed (s) Documen"&amp;"t (s) completed (s), signed (s) and hidden by you. Sincerely. ELEC")</f>
        <v>FM: Hello, please find attached the summary sheet of observations following the passage of the Bureau Véritas for the year 2023. We ask you to clear the observations as soon as possible and to return to us as soon as the intervention completed (s) Document (s) completed (s), signed (s) and hidden by you. Sincerely. ELEC</v>
      </c>
    </row>
    <row r="1690">
      <c r="A1690" s="19" t="s">
        <v>1394</v>
      </c>
      <c r="B1690" s="20" t="str">
        <f>IFERROR(__xludf.DUMMYFUNCTION("GOOGLETRANSLATE(A1690, ""fr"", ""en"")"),"Sale cleaning of parking lots on Monday April 11, 2022")</f>
        <v>Sale cleaning of parking lots on Monday April 11, 2022</v>
      </c>
    </row>
    <row r="1691">
      <c r="A1691" s="19" t="s">
        <v>1395</v>
      </c>
      <c r="B1691" s="20" t="str">
        <f>IFERROR(__xludf.DUMMYFUNCTION("GOOGLETRANSLATE(A1691, ""fr"", ""en"")"),"FM: Thank you for intervening following the validation of quote n ° FQ2211230221. RPCT of radar.")</f>
        <v>FM: Thank you for intervening following the validation of quote n ° FQ2211230221. RPCT of radar.</v>
      </c>
    </row>
    <row r="1692">
      <c r="A1692" s="19" t="s">
        <v>1396</v>
      </c>
      <c r="B1692" s="20" t="str">
        <f>IFERROR(__xludf.DUMMYFUNCTION("GOOGLETRANSLATE(A1692, ""fr"", ""en"")"),"Sale - Cleaning of car parks on Friday November 18, 2022")</f>
        <v>Sale - Cleaning of car parks on Friday November 18, 2022</v>
      </c>
    </row>
    <row r="1693">
      <c r="A1693" s="19" t="s">
        <v>1397</v>
      </c>
      <c r="B1693" s="20" t="str">
        <f>IFERROR(__xludf.DUMMYFUNCTION("GOOGLETRANSLATE(A1693, ""fr"", ""en"")"),"FM: Forced Marche Brand and parking HS.")</f>
        <v>FM: Forced Marche Brand and parking HS.</v>
      </c>
    </row>
    <row r="1694">
      <c r="A1694" s="19" t="s">
        <v>1398</v>
      </c>
      <c r="B1694" s="20" t="str">
        <f>IFERROR(__xludf.DUMMYFUNCTION("GOOGLETRANSLATE(A1694, ""fr"", ""en"")"),"Sale - Cleaning of parking lots on Friday April 28, 2023")</f>
        <v>Sale - Cleaning of parking lots on Friday April 28, 2023</v>
      </c>
    </row>
    <row r="1695">
      <c r="A1695" s="19" t="s">
        <v>1399</v>
      </c>
      <c r="B1695" s="20" t="str">
        <f>IFERROR(__xludf.DUMMYFUNCTION("GOOGLETRANSLATE(A1695, ""fr"", ""en"")"),"FM: Following audit, temperature too high in the Pain laboratory, 28.4 °.")</f>
        <v>FM: Following audit, temperature too high in the Pain laboratory, 28.4 °.</v>
      </c>
    </row>
    <row r="1696">
      <c r="A1696" s="19" t="s">
        <v>1400</v>
      </c>
      <c r="B1696" s="20" t="str">
        <f>IFERROR(__xludf.DUMMYFUNCTION("GOOGLETRANSLATE(A1696, ""fr"", ""en"")"),"FM: Thank you for putting the delay outdoor lighting and the next time MOP")</f>
        <v>FM: Thank you for putting the delay outdoor lighting and the next time MOP</v>
      </c>
    </row>
    <row r="1697">
      <c r="A1697" s="19" t="s">
        <v>1401</v>
      </c>
      <c r="B1697" s="20" t="str">
        <f>IFERROR(__xludf.DUMMYFUNCTION("GOOGLETRANSLATE(A1697, ""fr"", ""en"")"),"FM: night guarding Monday September 12 for e-gate works.")</f>
        <v>FM: night guarding Monday September 12 for e-gate works.</v>
      </c>
    </row>
    <row r="1698">
      <c r="A1698" s="19" t="s">
        <v>1402</v>
      </c>
      <c r="B1698" s="20" t="str">
        <f>IFERROR(__xludf.DUMMYFUNCTION("GOOGLETRANSLATE(A1698, ""fr"", ""en"")"),"Sale - Cleaning of parking lots of Wednesday, November 23, 2022")</f>
        <v>Sale - Cleaning of parking lots of Wednesday, November 23, 2022</v>
      </c>
    </row>
    <row r="1699">
      <c r="A1699" s="19" t="s">
        <v>1403</v>
      </c>
      <c r="B1699" s="20" t="str">
        <f>IFERROR(__xludf.DUMMYFUNCTION("GOOGLETRANSLATE(A1699, ""fr"", ""en"")"),"Sale - Cleaning of parking lots on Friday October 21, 2022")</f>
        <v>Sale - Cleaning of parking lots on Friday October 21, 2022</v>
      </c>
    </row>
    <row r="1700">
      <c r="A1700" s="19" t="s">
        <v>1404</v>
      </c>
      <c r="B1700" s="20" t="str">
        <f>IFERROR(__xludf.DUMMYFUNCTION("GOOGLETRANSLATE(A1700, ""fr"", ""en"")"),"Sale - Cleaning of car parks on Friday October 14, 2022")</f>
        <v>Sale - Cleaning of car parks on Friday October 14, 2022</v>
      </c>
    </row>
    <row r="1701">
      <c r="A1701" s="19" t="s">
        <v>1405</v>
      </c>
      <c r="B1701" s="20" t="str">
        <f>IFERROR(__xludf.DUMMYFUNCTION("GOOGLETRANSLATE(A1701, ""fr"", ""en"")"),"FM: Thank you for intervening following the validation of the DEV005834 quote. Repair of the slower.")</f>
        <v>FM: Thank you for intervening following the validation of the DEV005834 quote. Repair of the slower.</v>
      </c>
    </row>
    <row r="1702">
      <c r="A1702" s="19" t="s">
        <v>1406</v>
      </c>
      <c r="B1702" s="20" t="str">
        <f>IFERROR(__xludf.DUMMYFUNCTION("GOOGLETRANSLATE(A1702, ""fr"", ""en"")"),"FM: request according to quote n ° p222569 dplct antenne EAS")</f>
        <v>FM: request according to quote n ° p222569 dplct antenne EAS</v>
      </c>
    </row>
    <row r="1703">
      <c r="A1703" s="19" t="s">
        <v>1407</v>
      </c>
      <c r="B1703" s="20" t="str">
        <f>IFERROR(__xludf.DUMMYFUNCTION("GOOGLETRANSLATE(A1703, ""fr"", ""en"")"),"FM: Following Relationship of remote monitoring, there would have been a defect from 20/02 to 23/02. Please check all the cold equipment.")</f>
        <v>FM: Following Relationship of remote monitoring, there would have been a defect from 20/02 to 23/02. Please check all the cold equipment.</v>
      </c>
    </row>
    <row r="1704">
      <c r="A1704" s="19" t="s">
        <v>1408</v>
      </c>
      <c r="B1704" s="20" t="str">
        <f>IFERROR(__xludf.DUMMYFUNCTION("GOOGLETRANSLATE(A1704, ""fr"", ""en"")"),"FM: Following TV report, there were faults that night. Please check all the cold equipment.")</f>
        <v>FM: Following TV report, there were faults that night. Please check all the cold equipment.</v>
      </c>
    </row>
    <row r="1705">
      <c r="A1705" s="19" t="s">
        <v>1409</v>
      </c>
      <c r="B1705" s="20" t="str">
        <f>IFERROR(__xludf.DUMMYFUNCTION("GOOGLETRANSLATE(A1705, ""fr"", ""en"")"),"FM: Please intervene for the replacement of defective lights. 1 HS spot above the unbeatable and several tubes above the boxes.")</f>
        <v>FM: Please intervene for the replacement of defective lights. 1 HS spot above the unbeatable and several tubes above the boxes.</v>
      </c>
    </row>
    <row r="1706">
      <c r="A1706" s="19" t="s">
        <v>1410</v>
      </c>
      <c r="B1706" s="20" t="str">
        <f>IFERROR(__xludf.DUMMYFUNCTION("GOOGLETRANSLATE(A1706, ""fr"", ""en"")"),"Sale - Cleaning of the parking lots of Wednesday October 12, 2022")</f>
        <v>Sale - Cleaning of the parking lots of Wednesday October 12, 2022</v>
      </c>
    </row>
    <row r="1707">
      <c r="A1707" s="19" t="s">
        <v>1411</v>
      </c>
      <c r="B1707" s="20" t="str">
        <f>IFERROR(__xludf.DUMMYFUNCTION("GOOGLETRANSLATE(A1707, ""fr"", ""en"")"),"Sale - Cleaning of parking lots on Monday April 17, 2023")</f>
        <v>Sale - Cleaning of parking lots on Monday April 17, 2023</v>
      </c>
    </row>
    <row r="1708">
      <c r="A1708" s="19" t="s">
        <v>1412</v>
      </c>
      <c r="B1708" s="20" t="str">
        <f>IFERROR(__xludf.DUMMYFUNCTION("GOOGLETRANSLATE(A1708, ""fr"", ""en"")"),"Sale - Cleaning of car parks on Wednesday 19/04/2023")</f>
        <v>Sale - Cleaning of car parks on Wednesday 19/04/2023</v>
      </c>
    </row>
    <row r="1709">
      <c r="A1709" s="19" t="s">
        <v>1413</v>
      </c>
      <c r="B1709" s="20" t="str">
        <f>IFERROR(__xludf.DUMMYFUNCTION("GOOGLETRANSLATE(A1709, ""fr"", ""en"")"),"FM: Caisse Cleaning - Module 2 - S16. Immerately attach the checklists.")</f>
        <v>FM: Caisse Cleaning - Module 2 - S16. Immerately attach the checklists.</v>
      </c>
    </row>
    <row r="1710">
      <c r="A1710" s="19" t="s">
        <v>1414</v>
      </c>
      <c r="B1710" s="20" t="str">
        <f>IFERROR(__xludf.DUMMYFUNCTION("GOOGLETRANSLATE(A1710, ""fr"", ""en"")"),"FM: Raisement zone of Quai following joint table")</f>
        <v>FM: Raisement zone of Quai following joint table</v>
      </c>
    </row>
    <row r="1711">
      <c r="A1711" s="19" t="s">
        <v>1415</v>
      </c>
      <c r="B1711" s="20" t="str">
        <f>IFERROR(__xludf.DUMMYFUNCTION("GOOGLETRANSLATE(A1711, ""fr"", ""en"")"),"FM: Basse window cleaning - Module 7 - S16. Immerately attach the checklists.")</f>
        <v>FM: Basse window cleaning - Module 7 - S16. Immerately attach the checklists.</v>
      </c>
    </row>
    <row r="1712">
      <c r="A1712" s="19" t="s">
        <v>1416</v>
      </c>
      <c r="B1712" s="20" t="str">
        <f>IFERROR(__xludf.DUMMYFUNCTION("GOOGLETRANSLATE(A1712, ""fr"", ""en"")"),"FM: Thank you for putting a food in the false ceiling for an e-waste")</f>
        <v>FM: Thank you for putting a food in the false ceiling for an e-waste</v>
      </c>
    </row>
    <row r="1713">
      <c r="A1713" s="19" t="s">
        <v>1417</v>
      </c>
      <c r="B1713" s="20" t="str">
        <f>IFERROR(__xludf.DUMMYFUNCTION("GOOGLETRANSLATE(A1713, ""fr"", ""en"")"),"FM: Thank you for replacing 5 HS LEDs tubes. 4 in boxes and 1 in aisle 01.")</f>
        <v>FM: Thank you for replacing 5 HS LEDs tubes. 4 in boxes and 1 in aisle 01.</v>
      </c>
    </row>
    <row r="1714">
      <c r="A1714" s="19" t="s">
        <v>1418</v>
      </c>
      <c r="B1714" s="20" t="str">
        <f>IFERROR(__xludf.DUMMYFUNCTION("GOOGLETRANSLATE(A1714, ""fr"", ""en"")"),"FM: HS neon above the boxes + spot above the bread department.")</f>
        <v>FM: HS neon above the boxes + spot above the bread department.</v>
      </c>
    </row>
    <row r="1715">
      <c r="A1715" s="19" t="s">
        <v>1419</v>
      </c>
      <c r="B1715" s="20" t="str">
        <f>IFERROR(__xludf.DUMMYFUNCTION("GOOGLETRANSLATE(A1715, ""fr"", ""en"")"),"FM: Cleaning according to 7 S38 low window module")</f>
        <v>FM: Cleaning according to 7 S38 low window module</v>
      </c>
    </row>
    <row r="1716">
      <c r="A1716" s="19" t="s">
        <v>1420</v>
      </c>
      <c r="B1716" s="20" t="str">
        <f>IFERROR(__xludf.DUMMYFUNCTION("GOOGLETRANSLATE(A1716, ""fr"", ""en"")"),"Sale - Cleaning of car parks on Friday March 31, 2023")</f>
        <v>Sale - Cleaning of car parks on Friday March 31, 2023</v>
      </c>
    </row>
    <row r="1717">
      <c r="A1717" s="19" t="s">
        <v>1421</v>
      </c>
      <c r="B1717" s="20" t="str">
        <f>IFERROR(__xludf.DUMMYFUNCTION("GOOGLETRANSLATE(A1717, ""fr"", ""en"")"),"Sale - Cleaning of parking lots on Monday April 3, 2023")</f>
        <v>Sale - Cleaning of parking lots on Monday April 3, 2023</v>
      </c>
    </row>
    <row r="1718">
      <c r="A1718" s="19" t="s">
        <v>1422</v>
      </c>
      <c r="B1718" s="20" t="str">
        <f>IFERROR(__xludf.DUMMYFUNCTION("GOOGLETRANSLATE(A1718, ""fr"", ""en"")"),"Sale - Cleaning of parking lots of Wednesday April 19, 2023")</f>
        <v>Sale - Cleaning of parking lots of Wednesday April 19, 2023</v>
      </c>
    </row>
    <row r="1719">
      <c r="A1719" s="19" t="s">
        <v>1423</v>
      </c>
      <c r="B1719" s="20" t="str">
        <f>IFERROR(__xludf.DUMMYFUNCTION("GOOGLETRANSLATE(A1719, ""fr"", ""en"")"),"FM display code: please put the temperature display in supermarkets according to the modop provides")</f>
        <v>FM display code: please put the temperature display in supermarkets according to the modop provides</v>
      </c>
    </row>
    <row r="1720">
      <c r="A1720" s="19" t="s">
        <v>1424</v>
      </c>
      <c r="B1720" s="20" t="str">
        <f>IFERROR(__xludf.DUMMYFUNCTION("GOOGLETRANSLATE(A1720, ""fr"", ""en"")"),"FM: replacement electrodes defibrillator according to operating mode. Thank you for bringing the old DR electrodes back.")</f>
        <v>FM: replacement electrodes defibrillator according to operating mode. Thank you for bringing the old DR electrodes back.</v>
      </c>
    </row>
    <row r="1721">
      <c r="A1721" s="19" t="s">
        <v>1425</v>
      </c>
      <c r="B1721" s="20" t="str">
        <f>IFERROR(__xludf.DUMMYFUNCTION("GOOGLETRANSLATE(A1721, ""fr"", ""en"")"),"FM: Thank you for intervening on the CF -, HS lighting on one of the three rules.")</f>
        <v>FM: Thank you for intervening on the CF -, HS lighting on one of the three rules.</v>
      </c>
    </row>
    <row r="1722">
      <c r="A1722" s="19" t="s">
        <v>1426</v>
      </c>
      <c r="B1722" s="20" t="str">
        <f>IFERROR(__xludf.DUMMYFUNCTION("GOOGLETRANSLATE(A1722, ""fr"", ""en"")"),"Sale - Cleaning of parking lots on Friday March 10, 2023")</f>
        <v>Sale - Cleaning of parking lots on Friday March 10, 2023</v>
      </c>
    </row>
    <row r="1723">
      <c r="A1723" s="19" t="s">
        <v>1427</v>
      </c>
      <c r="B1723" s="20" t="str">
        <f>IFERROR(__xludf.DUMMYFUNCTION("GOOGLETRANSLATE(A1723, ""fr"", ""en"")"),"Sale - Cleaning of car parks on Friday March 24, 2023")</f>
        <v>Sale - Cleaning of car parks on Friday March 24, 2023</v>
      </c>
    </row>
    <row r="1724">
      <c r="A1724" s="19" t="s">
        <v>1428</v>
      </c>
      <c r="B1724" s="20" t="str">
        <f>IFERROR(__xludf.DUMMYFUNCTION("GOOGLETRANSLATE(A1724, ""fr"", ""en"")"),"FM: night guard for cleaning store. BOURTZWILLER: Monday, February 27 &amp; St Louis: Tuesday, February 28.")</f>
        <v>FM: night guard for cleaning store. BOURTZWILLER: Monday, February 27 &amp; St Louis: Tuesday, February 28.</v>
      </c>
    </row>
    <row r="1725">
      <c r="A1725" s="19" t="s">
        <v>1429</v>
      </c>
      <c r="B1725" s="20" t="str">
        <f>IFERROR(__xludf.DUMMYFUNCTION("GOOGLETRANSLATE(A1725, ""fr"", ""en"")"),"Sale - Cleaning of car parks of Friday March 17, 2023")</f>
        <v>Sale - Cleaning of car parks of Friday March 17, 2023</v>
      </c>
    </row>
    <row r="1726">
      <c r="A1726" s="19" t="s">
        <v>1430</v>
      </c>
      <c r="B1726" s="20" t="str">
        <f>IFERROR(__xludf.DUMMYFUNCTION("GOOGLETRANSLATE(A1726, ""fr"", ""en"")"),"FM: Please intervene following the report of remote monitoring, a cold defect of more than 2 hours.")</f>
        <v>FM: Please intervene following the report of remote monitoring, a cold defect of more than 2 hours.</v>
      </c>
    </row>
    <row r="1727">
      <c r="A1727" s="19" t="s">
        <v>1431</v>
      </c>
      <c r="B1727" s="20" t="str">
        <f>IFERROR(__xludf.DUMMYFUNCTION("GOOGLETRANSLATE(A1727, ""fr"", ""en"")"),"FM: Please intervene to configure the oven, contact Interway to check the connection status (see Logigram in PJ).")</f>
        <v>FM: Please intervene to configure the oven, contact Interway to check the connection status (see Logigram in PJ).</v>
      </c>
    </row>
    <row r="1728">
      <c r="A1728" s="19" t="s">
        <v>1432</v>
      </c>
      <c r="B1728" s="20" t="str">
        <f>IFERROR(__xludf.DUMMYFUNCTION("GOOGLETRANSLATE(A1728, ""fr"", ""en"")"),"Various RMR sale, as soon as possible
 For :
 -Recuperate the 18 visuals to the consomag cell.
 -Re attract and destroy the visual currently in place.
 -Place in all the SPMs concerned the red visual.
 For information :
 -Dispo Consmag cell")</f>
        <v>Various RMR sale, as soon as possible
 For :
 -Recuperate the 18 visuals to the consomag cell.
 -Re attract and destroy the visual currently in place.
 -Place in all the SPMs concerned the red visual.
 For information :
 -Dispo Consmag cell</v>
      </c>
    </row>
    <row r="1729">
      <c r="A1729" s="19" t="s">
        <v>1433</v>
      </c>
      <c r="B1729" s="20" t="str">
        <f>IFERROR(__xludf.DUMMYFUNCTION("GOOGLETRANSLATE(A1729, ""fr"", ""en"")"),"FM: Cleaning according to module n ° 2: boxes.")</f>
        <v>FM: Cleaning according to module n ° 2: boxes.</v>
      </c>
    </row>
    <row r="1730">
      <c r="A1730" s="19" t="s">
        <v>1434</v>
      </c>
      <c r="B1730" s="20" t="str">
        <f>IFERROR(__xludf.DUMMYFUNCTION("GOOGLETRANSLATE(A1730, ""fr"", ""en"")"),"URGENT CLEANING INT/ETT and SAS")</f>
        <v>URGENT CLEANING INT/ETT and SAS</v>
      </c>
    </row>
    <row r="1731">
      <c r="A1731" s="19" t="s">
        <v>1435</v>
      </c>
      <c r="B1731" s="20" t="str">
        <f>IFERROR(__xludf.DUMMYFUNCTION("GOOGLETRANSLATE(A1731, ""fr"", ""en"")"),"Sale - Cleaning of parking lots on Monday March 20, 2023")</f>
        <v>Sale - Cleaning of parking lots on Monday March 20, 2023</v>
      </c>
    </row>
    <row r="1732">
      <c r="A1732" s="19" t="s">
        <v>1436</v>
      </c>
      <c r="B1732" s="20" t="str">
        <f>IFERROR(__xludf.DUMMYFUNCTION("GOOGLETRANSLATE(A1732, ""fr"", ""en"")"),"Sale - Cleaning of parking lots of Wednesday March 15, 2023")</f>
        <v>Sale - Cleaning of parking lots of Wednesday March 15, 2023</v>
      </c>
    </row>
    <row r="1733">
      <c r="A1733" s="19" t="s">
        <v>1437</v>
      </c>
      <c r="B1733" s="20" t="str">
        <f>IFERROR(__xludf.DUMMYFUNCTION("GOOGLETRANSLATE(A1733, ""fr"", ""en"")"),"FM: Please intervene after 09/02 to cut the old phone ringtone.")</f>
        <v>FM: Please intervene after 09/02 to cut the old phone ringtone.</v>
      </c>
    </row>
    <row r="1734">
      <c r="A1734" s="19" t="s">
        <v>1438</v>
      </c>
      <c r="B1734" s="20" t="str">
        <f>IFERROR(__xludf.DUMMYFUNCTION("GOOGLETRANSLATE(A1734, ""fr"", ""en"")"),"FM: Cleaning according to module n ° 3: Bakery Planning S32")</f>
        <v>FM: Cleaning according to module n ° 3: Bakery Planning S32</v>
      </c>
    </row>
    <row r="1735">
      <c r="A1735" s="19" t="s">
        <v>1439</v>
      </c>
      <c r="B1735" s="20" t="str">
        <f>IFERROR(__xludf.DUMMYFUNCTION("GOOGLETRANSLATE(A1735, ""fr"", ""en"")"),"FM: cleaning 7 low window module according to July planning S30")</f>
        <v>FM: cleaning 7 low window module according to July planning S30</v>
      </c>
    </row>
    <row r="1736">
      <c r="A1736" s="19" t="s">
        <v>1440</v>
      </c>
      <c r="B1736" s="20" t="str">
        <f>IFERROR(__xludf.DUMMYFUNCTION("GOOGLETRANSLATE(A1736, ""fr"", ""en"")"),"FM: night guard for work arche bread Thursday July 21.")</f>
        <v>FM: night guard for work arche bread Thursday July 21.</v>
      </c>
    </row>
    <row r="1737">
      <c r="A1737" s="19" t="s">
        <v>1441</v>
      </c>
      <c r="B1737" s="20" t="str">
        <f>IFERROR(__xludf.DUMMYFUNCTION("GOOGLETRANSLATE(A1737, ""fr"", ""en"")"),"Sale - Cleaning of parking lots on Monday, February 27, 2023")</f>
        <v>Sale - Cleaning of parking lots on Monday, February 27, 2023</v>
      </c>
    </row>
    <row r="1738">
      <c r="A1738" s="19" t="s">
        <v>1442</v>
      </c>
      <c r="B1738" s="20" t="str">
        <f>IFERROR(__xludf.DUMMYFUNCTION("GOOGLETRANSLATE(A1738, ""fr"", ""en"")"),"Sale - Cleaning of car parks on Friday February 24, 2022")</f>
        <v>Sale - Cleaning of car parks on Friday February 24, 2022</v>
      </c>
    </row>
    <row r="1739">
      <c r="A1739" s="19" t="s">
        <v>1443</v>
      </c>
      <c r="B1739" s="20" t="str">
        <f>IFERROR(__xludf.DUMMYFUNCTION("GOOGLETRANSLATE(A1739, ""fr"", ""en"")"),"Sale - Cleaning of parking lots Wednesday January 25, 2023")</f>
        <v>Sale - Cleaning of parking lots Wednesday January 25, 2023</v>
      </c>
    </row>
    <row r="1740">
      <c r="A1740" s="19" t="s">
        <v>1444</v>
      </c>
      <c r="B1740" s="20" t="str">
        <f>IFERROR(__xludf.DUMMYFUNCTION("GOOGLETRANSLATE(A1740, ""fr"", ""en"")"),"Sale - Cleaning of parking lots on Monday, February 20, 2023")</f>
        <v>Sale - Cleaning of parking lots on Monday, February 20, 2023</v>
      </c>
    </row>
    <row r="1741">
      <c r="A1741" s="19" t="s">
        <v>1445</v>
      </c>
      <c r="B1741" s="20" t="str">
        <f>IFERROR(__xludf.DUMMYFUNCTION("GOOGLETRANSLATE(A1741, ""fr"", ""en"")"),"Sale - Cleaning of parking lots on Monday January 23, 2023")</f>
        <v>Sale - Cleaning of parking lots on Monday January 23, 2023</v>
      </c>
    </row>
    <row r="1742">
      <c r="A1742" s="19" t="s">
        <v>1446</v>
      </c>
      <c r="B1742" s="20" t="str">
        <f>IFERROR(__xludf.DUMMYFUNCTION("GOOGLETRANSLATE(A1742, ""fr"", ""en"")"),"Sale - Cleaning of parking lots on Monday March 6, 2023")</f>
        <v>Sale - Cleaning of parking lots on Monday March 6, 2023</v>
      </c>
    </row>
    <row r="1743">
      <c r="A1743" s="19" t="s">
        <v>1447</v>
      </c>
      <c r="B1743" s="20" t="str">
        <f>IFERROR(__xludf.DUMMYFUNCTION("GOOGLETRANSLATE(A1743, ""fr"", ""en"")"),"Sale - Cleaning of the parking lots of Wednesday March 1, 2023")</f>
        <v>Sale - Cleaning of the parking lots of Wednesday March 1, 2023</v>
      </c>
    </row>
    <row r="1744">
      <c r="A1744" s="19" t="s">
        <v>1448</v>
      </c>
      <c r="B1744" s="20" t="str">
        <f>IFERROR(__xludf.DUMMYFUNCTION("GOOGLETRANSLATE(A1744, ""fr"", ""en"")"),"Sale - Cleaning of parking lots Wednesday, February 15, 2023")</f>
        <v>Sale - Cleaning of parking lots Wednesday, February 15, 2023</v>
      </c>
    </row>
    <row r="1745">
      <c r="A1745" s="19" t="s">
        <v>1449</v>
      </c>
      <c r="B1745" s="20" t="str">
        <f>IFERROR(__xludf.DUMMYFUNCTION("GOOGLETRANSLATE(A1745, ""fr"", ""en"")"),"Sale - cleaning of parking lots on Monday January 9, 2023")</f>
        <v>Sale - cleaning of parking lots on Monday January 9, 2023</v>
      </c>
    </row>
    <row r="1746">
      <c r="A1746" s="19" t="s">
        <v>1450</v>
      </c>
      <c r="B1746" s="20" t="str">
        <f>IFERROR(__xludf.DUMMYFUNCTION("GOOGLETRANSLATE(A1746, ""fr"", ""en"")"),"Sale - Cleaning of parking lots on Monday January 2, 2023")</f>
        <v>Sale - Cleaning of parking lots on Monday January 2, 2023</v>
      </c>
    </row>
    <row r="1747">
      <c r="A1747" s="19" t="s">
        <v>1451</v>
      </c>
      <c r="B1747" s="20" t="str">
        <f>IFERROR(__xludf.DUMMYFUNCTION("GOOGLETRANSLATE(A1747, ""fr"", ""en"")"),"Sale - Cleaning of the parking lots of Wednesday January 11, 2023")</f>
        <v>Sale - Cleaning of the parking lots of Wednesday January 11, 2023</v>
      </c>
    </row>
    <row r="1748">
      <c r="A1748" s="19" t="s">
        <v>1452</v>
      </c>
      <c r="B1748" s="20" t="str">
        <f>IFERROR(__xludf.DUMMYFUNCTION("GOOGLETRANSLATE(A1748, ""fr"", ""en"")"),"Sale - Cleaning of parking lots on Monday, February 13, 2023")</f>
        <v>Sale - Cleaning of parking lots on Monday, February 13, 2023</v>
      </c>
    </row>
    <row r="1749">
      <c r="A1749" s="19" t="s">
        <v>1453</v>
      </c>
      <c r="B1749" s="20" t="str">
        <f>IFERROR(__xludf.DUMMYFUNCTION("GOOGLETRANSLATE(A1749, ""fr"", ""en"")"),"Sale - Cleaning of parking lots of Wednesday January 4, 2023")</f>
        <v>Sale - Cleaning of parking lots of Wednesday January 4, 2023</v>
      </c>
    </row>
    <row r="1750">
      <c r="A1750" s="19" t="s">
        <v>1454</v>
      </c>
      <c r="B1750" s="20" t="str">
        <f>IFERROR(__xludf.DUMMYFUNCTION("GOOGLETRANSLATE(A1750, ""fr"", ""en"")"),"Sale - Cleaning of parking lots of Wednesday February 21, 2023")</f>
        <v>Sale - Cleaning of parking lots of Wednesday February 21, 2023</v>
      </c>
    </row>
    <row r="1751">
      <c r="A1751" s="19" t="s">
        <v>1455</v>
      </c>
      <c r="B1751" s="20" t="str">
        <f>IFERROR(__xludf.DUMMYFUNCTION("GOOGLETRANSLATE(A1751, ""fr"", ""en"")"),"Sale - Cleaning of parking lots of Wednesday, February 8, 2023")</f>
        <v>Sale - Cleaning of parking lots of Wednesday, February 8, 2023</v>
      </c>
    </row>
    <row r="1752">
      <c r="A1752" s="19" t="s">
        <v>1456</v>
      </c>
      <c r="B1752" s="20" t="str">
        <f>IFERROR(__xludf.DUMMYFUNCTION("GOOGLETRANSLATE(A1752, ""fr"", ""en"")"),"Sale - Cleaning of car parks on Friday February 17, 2023")</f>
        <v>Sale - Cleaning of car parks on Friday February 17, 2023</v>
      </c>
    </row>
    <row r="1753">
      <c r="A1753" s="19" t="s">
        <v>1457</v>
      </c>
      <c r="B1753" s="20" t="str">
        <f>IFERROR(__xludf.DUMMYFUNCTION("GOOGLETRANSLATE(A1753, ""fr"", ""en"")"),"FM: Thank you for reconnecting the water heaters in the kitchens and bakery.")</f>
        <v>FM: Thank you for reconnecting the water heaters in the kitchens and bakery.</v>
      </c>
    </row>
    <row r="1754">
      <c r="A1754" s="19" t="s">
        <v>1458</v>
      </c>
      <c r="B1754" s="20" t="str">
        <f>IFERROR(__xludf.DUMMYFUNCTION("GOOGLETRANSLATE(A1754, ""fr"", ""en"")"),"FM: Control if the TGBT room is accessible from outside. If so, can we access it with the 7/7 key? If not, take the measurement of the cylinder to order. See Mail Ali from 30/12.")</f>
        <v>FM: Control if the TGBT room is accessible from outside. If so, can we access it with the 7/7 key? If not, take the measurement of the cylinder to order. See Mail Ali from 30/12.</v>
      </c>
    </row>
    <row r="1755">
      <c r="A1755" s="19" t="s">
        <v>1459</v>
      </c>
      <c r="B1755" s="20" t="str">
        <f>IFERROR(__xludf.DUMMYFUNCTION("GOOGLETRANSLATE(A1755, ""fr"", ""en"")"),"FM: Please control during your passages if the ""Welcome"" logo is hidden by a world record relay (see photo). If so, please remove the logo behind the locker.")</f>
        <v>FM: Please control during your passages if the "Welcome" logo is hidden by a world record relay (see photo). If so, please remove the logo behind the locker.</v>
      </c>
    </row>
    <row r="1756">
      <c r="A1756" s="19" t="s">
        <v>1460</v>
      </c>
      <c r="B1756" s="20" t="str">
        <f>IFERROR(__xludf.DUMMYFUNCTION("GOOGLETRANSLATE(A1756, ""fr"", ""en"")"),"FM: Following Internal request thank you for intervening to extract the videos in aisle 1 as well as the boxes from 5.45 p.m. to 7:40 p.m. on 06/16. The remoteness link is in the body of the email.")</f>
        <v>FM: Following Internal request thank you for intervening to extract the videos in aisle 1 as well as the boxes from 5.45 p.m. to 7:40 p.m. on 06/16. The remoteness link is in the body of the email.</v>
      </c>
    </row>
    <row r="1757">
      <c r="A1757" s="19" t="s">
        <v>1461</v>
      </c>
      <c r="B1757" s="20" t="str">
        <f>IFERROR(__xludf.DUMMYFUNCTION("GOOGLETRANSLATE(A1757, ""fr"", ""en"")"),"FM: Under warranty: please intervene cosmetic camera and allée 1 and 5 film Les Caisses (to hide or unplug Live) / Camera Entrance and Auto Film Film La Rue (A Reorient)")</f>
        <v>FM: Under warranty: please intervene cosmetic camera and allée 1 and 5 film Les Caisses (to hide or unplug Live) / Camera Entrance and Auto Film Film La Rue (A Reorient)</v>
      </c>
    </row>
    <row r="1758">
      <c r="A1758" s="19" t="s">
        <v>1462</v>
      </c>
      <c r="B1758" s="20" t="str">
        <f>IFERROR(__xludf.DUMMYFUNCTION("GOOGLETRANSLATE(A1758, ""fr"", ""en"")"),"FM: Ba sheet code - Install the adhesives safety instructions.
 Deadline 04/30/2023")</f>
        <v>FM: Ba sheet code - Install the adhesives safety instructions.
 Deadline 04/30/2023</v>
      </c>
    </row>
    <row r="1759">
      <c r="A1759" s="19" t="s">
        <v>1463</v>
      </c>
      <c r="B1759" s="20" t="str">
        <f>IFERROR(__xludf.DUMMYFUNCTION("GOOGLETRANSLATE(A1759, ""fr"", ""en"")"),"FM: Victoire Video surveillance Display According to Mail d'Ali from 30/12.")</f>
        <v>FM: Victoire Video surveillance Display According to Mail d'Ali from 30/12.</v>
      </c>
    </row>
    <row r="1760">
      <c r="A1760" s="19" t="s">
        <v>1464</v>
      </c>
      <c r="B1760" s="20" t="str">
        <f>IFERROR(__xludf.DUMMYFUNCTION("GOOGLETRANSLATE(A1760, ""fr"", ""en"")"),"FM: Thank you for intervening following the validation of the estimate N ° GF 14-23-05-360654-A. RPCT Cf- door handle.")</f>
        <v>FM: Thank you for intervening following the validation of the estimate N ° GF 14-23-05-360654-A. RPCT Cf- door handle.</v>
      </c>
    </row>
    <row r="1761">
      <c r="A1761" s="19" t="s">
        <v>1465</v>
      </c>
      <c r="B1761" s="20" t="str">
        <f>IFERROR(__xludf.DUMMYFUNCTION("GOOGLETRANSLATE(A1761, ""fr"", ""en"")"),"FM: Cleaning Park with carts - 12 - S29 module. Immerately attach the checklists.")</f>
        <v>FM: Cleaning Park with carts - 12 - S29 module. Immerately attach the checklists.</v>
      </c>
    </row>
    <row r="1762">
      <c r="A1762" s="19" t="s">
        <v>1466</v>
      </c>
      <c r="B1762" s="20" t="str">
        <f>IFERROR(__xludf.DUMMYFUNCTION("GOOGLETRANSLATE(A1762, ""fr"", ""en"")"),"Various sale RMR Visual installation campaign aggressiveness price.
 To be done before S31 for the entire DR 02, or 69 SPM.
 Installation detail See PDF")</f>
        <v>Various sale RMR Visual installation campaign aggressiveness price.
 To be done before S31 for the entire DR 02, or 69 SPM.
 Installation detail See PDF</v>
      </c>
    </row>
    <row r="1763">
      <c r="A1763" s="19" t="s">
        <v>1467</v>
      </c>
      <c r="B1763" s="20" t="str">
        <f>IFERROR(__xludf.DUMMYFUNCTION("GOOGLETRANSLATE(A1763, ""fr"", ""en"")"),"FM: Please intervene for the modification of ovens according to the PJ plan.")</f>
        <v>FM: Please intervene for the modification of ovens according to the PJ plan.</v>
      </c>
    </row>
    <row r="1764">
      <c r="A1764" s="19" t="s">
        <v>1468</v>
      </c>
      <c r="B1764" s="20" t="str">
        <f>IFERROR(__xludf.DUMMYFUNCTION("GOOGLETRANSLATE(A1764, ""fr"", ""en"")"),"Casse, he can't wait to descend")</f>
        <v>Casse, he can't wait to descend</v>
      </c>
    </row>
    <row r="1765">
      <c r="A1765" s="19" t="s">
        <v>1469</v>
      </c>
      <c r="B1765" s="20" t="str">
        <f>IFERROR(__xludf.DUMMYFUNCTION("GOOGLETRANSLATE(A1765, ""fr"", ""en"")"),"FM: Intervene for full night cleaning, with checklist to be filled the next day. St Louis: Monday March 27 &amp; Bourtzwiller: Tuesday March 28.")</f>
        <v>FM: Intervene for full night cleaning, with checklist to be filled the next day. St Louis: Monday March 27 &amp; Bourtzwiller: Tuesday March 28.</v>
      </c>
    </row>
    <row r="1766">
      <c r="A1766" s="21"/>
      <c r="B1766" s="20" t="str">
        <f>IFERROR(__xludf.DUMMYFUNCTION("GOOGLETRANSLATE(A1766, ""fr"", ""en"")"),"#VALUE!")</f>
        <v>#VALUE!</v>
      </c>
    </row>
    <row r="1767">
      <c r="A1767" s="19" t="s">
        <v>1470</v>
      </c>
      <c r="B1767" s="20" t="str">
        <f>IFERROR(__xludf.DUMMYFUNCTION("GOOGLETRANSLATE(A1767, ""fr"", ""en"")"),"FM: RMRDIVERS: Please intervene at the same time as reserve lifting. Changes in the outsets for ovens according to PJ plans (connect the outfit ovens while Wiesheu intervenes) and replacement of the 380V socket by a 220V at the level of the slicer.")</f>
        <v>FM: RMRDIVERS: Please intervene at the same time as reserve lifting. Changes in the outsets for ovens according to PJ plans (connect the outfit ovens while Wiesheu intervenes) and replacement of the 380V socket by a 220V at the level of the slicer.</v>
      </c>
    </row>
    <row r="1768">
      <c r="A1768" s="19" t="s">
        <v>1471</v>
      </c>
      <c r="B1768" s="20" t="str">
        <f>IFERROR(__xludf.DUMMYFUNCTION("GOOGLETRANSLATE(A1768, ""fr"", ""en"")"),"Sale - Cleaning of car parks of Friday May 26, 2023")</f>
        <v>Sale - Cleaning of car parks of Friday May 26, 2023</v>
      </c>
    </row>
    <row r="1769">
      <c r="A1769" s="19" t="s">
        <v>1472</v>
      </c>
      <c r="B1769" s="20" t="str">
        <f>IFERROR(__xludf.DUMMYFUNCTION("GOOGLETRANSLATE(A1769, ""fr"", ""en"")"),"Sale - Cleaning of parking lots of Wednesday May 24, 2023")</f>
        <v>Sale - Cleaning of parking lots of Wednesday May 24, 2023</v>
      </c>
    </row>
    <row r="1770">
      <c r="A1770" s="19" t="s">
        <v>1473</v>
      </c>
      <c r="B1770" s="20" t="str">
        <f>IFERROR(__xludf.DUMMYFUNCTION("GOOGLETRANSLATE(A1770, ""fr"", ""en"")"),"Sale - Cleaning of parking lots on Monday June 19, 2023")</f>
        <v>Sale - Cleaning of parking lots on Monday June 19, 2023</v>
      </c>
    </row>
    <row r="1771">
      <c r="A1771" s="19" t="s">
        <v>1474</v>
      </c>
      <c r="B1771" s="20" t="str">
        <f>IFERROR(__xludf.DUMMYFUNCTION("GOOGLETRANSLATE(A1771, ""fr"", ""en"")"),"Sale - Cleaning of parking lots on Monday June 12, 2023")</f>
        <v>Sale - Cleaning of parking lots on Monday June 12, 2023</v>
      </c>
    </row>
    <row r="1772">
      <c r="A1772" s="19" t="s">
        <v>1475</v>
      </c>
      <c r="B1772" s="20" t="str">
        <f>IFERROR(__xludf.DUMMYFUNCTION("GOOGLETRANSLATE(A1772, ""fr"", ""en"")"),"Sale - Cleaning of parking lots on Monday June 5, 2023")</f>
        <v>Sale - Cleaning of parking lots on Monday June 5, 2023</v>
      </c>
    </row>
    <row r="1773">
      <c r="A1773" s="19" t="s">
        <v>1476</v>
      </c>
      <c r="B1773" s="20" t="str">
        <f>IFERROR(__xludf.DUMMYFUNCTION("GOOGLETRANSLATE(A1773, ""fr"", ""en"")"),"Sale - Cleaning of parking lots on Friday June 16, 2023")</f>
        <v>Sale - Cleaning of parking lots on Friday June 16, 2023</v>
      </c>
    </row>
    <row r="1774">
      <c r="A1774" s="19" t="s">
        <v>1477</v>
      </c>
      <c r="B1774" s="20" t="str">
        <f>IFERROR(__xludf.DUMMYFUNCTION("GOOGLETRANSLATE(A1774, ""fr"", ""en"")"),"Sale - Cleaning of parking lots Wednesday, May 31, 2023")</f>
        <v>Sale - Cleaning of parking lots Wednesday, May 31, 2023</v>
      </c>
    </row>
    <row r="1775">
      <c r="A1775" s="19" t="s">
        <v>1478</v>
      </c>
      <c r="B1775" s="20" t="str">
        <f>IFERROR(__xludf.DUMMYFUNCTION("GOOGLETRANSLATE(A1775, ""fr"", ""en"")"),"Sale - Cleaning of parking lots of Wednesday May 17, 2023")</f>
        <v>Sale - Cleaning of parking lots of Wednesday May 17, 2023</v>
      </c>
    </row>
    <row r="1776">
      <c r="A1776" s="19" t="s">
        <v>1479</v>
      </c>
      <c r="B1776" s="20" t="str">
        <f>IFERROR(__xludf.DUMMYFUNCTION("GOOGLETRANSLATE(A1776, ""fr"", ""en"")"),"FM: Please change the DSB MDP during your next visit.")</f>
        <v>FM: Please change the DSB MDP during your next visit.</v>
      </c>
    </row>
    <row r="1777">
      <c r="A1777" s="19" t="s">
        <v>1480</v>
      </c>
      <c r="B1777" s="20" t="str">
        <f>IFERROR(__xludf.DUMMYFUNCTION("GOOGLETRANSLATE(A1777, ""fr"", ""en"")"),"FM: request following validation quote n ° D0220713. Addition of a camera in reserve.")</f>
        <v>FM: request following validation quote n ° D0220713. Addition of a camera in reserve.</v>
      </c>
    </row>
    <row r="1778">
      <c r="A1778" s="19" t="s">
        <v>1481</v>
      </c>
      <c r="B1778" s="20" t="str">
        <f>IFERROR(__xludf.DUMMYFUNCTION("GOOGLETRANSLATE(A1778, ""fr"", ""en"")"),"Hello, please find attached the summary sheet of observations following the passage of the office Veritas for the year 2022. We ask you to kindly raise observations as soon as possible and return to us as soon as the intervention is finished (s ) Document"&amp;" (s) completed (s), signed (s) and hidden by you. Sincerely.")</f>
        <v>Hello, please find attached the summary sheet of observations following the passage of the office Veritas for the year 2022. We ask you to kindly raise observations as soon as possible and return to us as soon as the intervention is finished (s ) Document (s) completed (s), signed (s) and hidden by you. Sincerely.</v>
      </c>
    </row>
    <row r="1779">
      <c r="A1779" s="19" t="s">
        <v>1481</v>
      </c>
      <c r="B1779" s="20" t="str">
        <f>IFERROR(__xludf.DUMMYFUNCTION("GOOGLETRANSLATE(A1779, ""fr"", ""en"")"),"Hello, please find attached the summary sheet of observations following the passage of the office Veritas for the year 2022. We ask you to kindly raise observations as soon as possible and return to us as soon as the intervention is finished (s ) Document"&amp;" (s) completed (s), signed (s) and hidden by you. Sincerely.")</f>
        <v>Hello, please find attached the summary sheet of observations following the passage of the office Veritas for the year 2022. We ask you to kindly raise observations as soon as possible and return to us as soon as the intervention is finished (s ) Document (s) completed (s), signed (s) and hidden by you. Sincerely.</v>
      </c>
    </row>
    <row r="1780">
      <c r="A1780" s="19" t="s">
        <v>1482</v>
      </c>
      <c r="B1780" s="20" t="str">
        <f>IFERROR(__xludf.DUMMYFUNCTION("GOOGLETRANSLATE(A1780, ""fr"", ""en"")"),"FM: Follow -up remote monitoring report, please intervene for 1 cold defect of 10 hours this night.")</f>
        <v>FM: Follow -up remote monitoring report, please intervene for 1 cold defect of 10 hours this night.</v>
      </c>
    </row>
    <row r="1781">
      <c r="A1781" s="19" t="s">
        <v>1483</v>
      </c>
      <c r="B1781" s="20" t="str">
        <f>IFERROR(__xludf.DUMMYFUNCTION("GOOGLETRANSLATE(A1781, ""fr"", ""en"")"),"Sale - Cleaning of the parking lots of Wednesday, February 1, 2023")</f>
        <v>Sale - Cleaning of the parking lots of Wednesday, February 1, 2023</v>
      </c>
    </row>
    <row r="1782">
      <c r="A1782" s="19" t="s">
        <v>1484</v>
      </c>
      <c r="B1782" s="20" t="str">
        <f>IFERROR(__xludf.DUMMYFUNCTION("GOOGLETRANSLATE(A1782, ""fr"", ""en"")"),"Sale - Cleaning of parking lots on Friday February 3, 2023")</f>
        <v>Sale - Cleaning of parking lots on Friday February 3, 2023</v>
      </c>
    </row>
    <row r="1783">
      <c r="A1783" s="19" t="s">
        <v>1485</v>
      </c>
      <c r="B1783" s="20" t="str">
        <f>IFERROR(__xludf.DUMMYFUNCTION("GOOGLETRANSLATE(A1783, ""fr"", ""en"")"),"Interior floor Cabin 4 HS")</f>
        <v>Interior floor Cabin 4 HS</v>
      </c>
    </row>
    <row r="1784">
      <c r="A1784" s="19" t="s">
        <v>1486</v>
      </c>
      <c r="B1784" s="20" t="str">
        <f>IFERROR(__xludf.DUMMYFUNCTION("GOOGLETRANSLATE(A1784, ""fr"", ""en"")"),"FM ECO ECL: extinguish COVVID counting systems at the input of SPMs. Deadline at the end of January.")</f>
        <v>FM ECO ECL: extinguish COVVID counting systems at the input of SPMs. Deadline at the end of January.</v>
      </c>
    </row>
    <row r="1785">
      <c r="A1785" s="19" t="s">
        <v>1487</v>
      </c>
      <c r="B1785" s="20" t="str">
        <f>IFERROR(__xludf.DUMMYFUNCTION("GOOGLETRANSLATE(A1785, ""fr"", ""en"")"),"Sale - Cleaning of parking lots on Monday, November 21, 2022")</f>
        <v>Sale - Cleaning of parking lots on Monday, November 21, 2022</v>
      </c>
    </row>
    <row r="1786">
      <c r="A1786" s="19" t="s">
        <v>1488</v>
      </c>
      <c r="B1786" s="20" t="str">
        <f>IFERROR(__xludf.DUMMYFUNCTION("GOOGLETRANSLATE(A1786, ""fr"", ""en"")"),"Sale - Cleaning of the parking lots of Wednesday December 21, 2022")</f>
        <v>Sale - Cleaning of the parking lots of Wednesday December 21, 2022</v>
      </c>
    </row>
    <row r="1787">
      <c r="A1787" s="19" t="s">
        <v>1489</v>
      </c>
      <c r="B1787" s="20" t="str">
        <f>IFERROR(__xludf.DUMMYFUNCTION("GOOGLETRANSLATE(A1787, ""fr"", ""en"")"),"Sale - Cleaning of car parks of Friday January 13, 2023")</f>
        <v>Sale - Cleaning of car parks of Friday January 13, 2023</v>
      </c>
    </row>
    <row r="1788">
      <c r="A1788" s="19" t="s">
        <v>1490</v>
      </c>
      <c r="B1788" s="20" t="str">
        <f>IFERROR(__xludf.DUMMYFUNCTION("GOOGLETRANSLATE(A1788, ""fr"", ""en"")"),"Sale - Cleaning of parking lots on Monday, December 19, 2022")</f>
        <v>Sale - Cleaning of parking lots on Monday, December 19, 2022</v>
      </c>
    </row>
    <row r="1789">
      <c r="A1789" s="19" t="s">
        <v>1491</v>
      </c>
      <c r="B1789" s="20" t="str">
        <f>IFERROR(__xludf.DUMMYFUNCTION("GOOGLETRANSLATE(A1789, ""fr"", ""en"")"),"Sale - Cleaning of parking lots of Wednesday, November 9, 2022")</f>
        <v>Sale - Cleaning of parking lots of Wednesday, November 9, 2022</v>
      </c>
    </row>
    <row r="1790">
      <c r="A1790" s="19" t="s">
        <v>1492</v>
      </c>
      <c r="B1790" s="20" t="str">
        <f>IFERROR(__xludf.DUMMYFUNCTION("GOOGLETRANSLATE(A1790, ""fr"", ""en"")"),"Sale - Cleaning of parking lots of Wednesday, December 7, 2022")</f>
        <v>Sale - Cleaning of parking lots of Wednesday, December 7, 2022</v>
      </c>
    </row>
    <row r="1791">
      <c r="A1791" s="19" t="s">
        <v>1493</v>
      </c>
      <c r="B1791" s="20" t="str">
        <f>IFERROR(__xludf.DUMMYFUNCTION("GOOGLETRANSLATE(A1791, ""fr"", ""en"")"),"Sale - Cleaning of car parks on Friday January 6, 2023")</f>
        <v>Sale - Cleaning of car parks on Friday January 6, 2023</v>
      </c>
    </row>
    <row r="1792">
      <c r="A1792" s="19" t="s">
        <v>1494</v>
      </c>
      <c r="B1792" s="20" t="str">
        <f>IFERROR(__xludf.DUMMYFUNCTION("GOOGLETRANSLATE(A1792, ""fr"", ""en"")"),"Sale - Cleaning of parking lots on Friday January 20, 2023")</f>
        <v>Sale - Cleaning of parking lots on Friday January 20, 2023</v>
      </c>
    </row>
    <row r="1793">
      <c r="A1793" s="19" t="s">
        <v>1495</v>
      </c>
      <c r="B1793" s="20" t="str">
        <f>IFERROR(__xludf.DUMMYFUNCTION("GOOGLETRANSLATE(A1793, ""fr"", ""en"")"),"Sale - Cleaning of parking lots on Monday October 24, 2022")</f>
        <v>Sale - Cleaning of parking lots on Monday October 24, 2022</v>
      </c>
    </row>
    <row r="1794">
      <c r="A1794" s="19" t="s">
        <v>1496</v>
      </c>
      <c r="B1794" s="20" t="str">
        <f>IFERROR(__xludf.DUMMYFUNCTION("GOOGLETRANSLATE(A1794, ""fr"", ""en"")"),"Sale - Cleaning of car parks on Friday February 10, 2023")</f>
        <v>Sale - Cleaning of car parks on Friday February 10, 2023</v>
      </c>
    </row>
    <row r="1795">
      <c r="A1795" s="19" t="s">
        <v>1497</v>
      </c>
      <c r="B1795" s="20" t="str">
        <f>IFERROR(__xludf.DUMMYFUNCTION("GOOGLETRANSLATE(A1795, ""fr"", ""en"")"),"Sale - Cleaning of parking lots on Monday, November 14, 2022")</f>
        <v>Sale - Cleaning of parking lots on Monday, November 14, 2022</v>
      </c>
    </row>
    <row r="1796">
      <c r="A1796" s="19" t="s">
        <v>1498</v>
      </c>
      <c r="B1796" s="20" t="str">
        <f>IFERROR(__xludf.DUMMYFUNCTION("GOOGLETRANSLATE(A1796, ""fr"", ""en"")"),"Sale - Cleaning of the parking lots of Wednesday October 25, 2022")</f>
        <v>Sale - Cleaning of the parking lots of Wednesday October 25, 2022</v>
      </c>
    </row>
    <row r="1797">
      <c r="A1797" s="19" t="s">
        <v>1499</v>
      </c>
      <c r="B1797" s="20" t="str">
        <f>IFERROR(__xludf.DUMMYFUNCTION("GOOGLETRANSLATE(A1797, ""fr"", ""en"")"),"Sale - Cleaning of the parking lots of Wednesday, November 16, 2022")</f>
        <v>Sale - Cleaning of the parking lots of Wednesday, November 16, 2022</v>
      </c>
    </row>
    <row r="1798">
      <c r="A1798" s="19" t="s">
        <v>1500</v>
      </c>
      <c r="B1798" s="20" t="str">
        <f>IFERROR(__xludf.DUMMYFUNCTION("GOOGLETRANSLATE(A1798, ""fr"", ""en"")"),"Sale - Cleaning of parking lots on Monday October 17, 2022")</f>
        <v>Sale - Cleaning of parking lots on Monday October 17, 2022</v>
      </c>
    </row>
    <row r="1799">
      <c r="A1799" s="19" t="s">
        <v>1501</v>
      </c>
      <c r="B1799" s="20" t="str">
        <f>IFERROR(__xludf.DUMMYFUNCTION("GOOGLETRANSLATE(A1799, ""fr"", ""en"")"),"Sale - Cleaning of parking lots on Monday, December 5, 2022")</f>
        <v>Sale - Cleaning of parking lots on Monday, December 5, 2022</v>
      </c>
    </row>
    <row r="1800">
      <c r="A1800" s="19" t="s">
        <v>1502</v>
      </c>
      <c r="B1800" s="20" t="str">
        <f>IFERROR(__xludf.DUMMYFUNCTION("GOOGLETRANSLATE(A1800, ""fr"", ""en"")"),"Sale - Cleaning of parking lots on Monday, November 7, 2022")</f>
        <v>Sale - Cleaning of parking lots on Monday, November 7, 2022</v>
      </c>
    </row>
    <row r="1801">
      <c r="A1801" s="19" t="s">
        <v>1503</v>
      </c>
      <c r="B1801" s="20" t="str">
        <f>IFERROR(__xludf.DUMMYFUNCTION("GOOGLETRANSLATE(A1801, ""fr"", ""en"")"),"Sale - Cleaning of parking lots on Monday September 26, 2022")</f>
        <v>Sale - Cleaning of parking lots on Monday September 26, 2022</v>
      </c>
    </row>
    <row r="1802">
      <c r="A1802" s="19" t="s">
        <v>1504</v>
      </c>
      <c r="B1802" s="20" t="str">
        <f>IFERROR(__xludf.DUMMYFUNCTION("GOOGLETRANSLATE(A1802, ""fr"", ""en"")"),"Sale - Cleaning of parking lots of Wednesday October 19, 2022")</f>
        <v>Sale - Cleaning of parking lots of Wednesday October 19, 2022</v>
      </c>
    </row>
    <row r="1803">
      <c r="A1803" s="19" t="s">
        <v>1505</v>
      </c>
      <c r="B1803" s="20" t="str">
        <f>IFERROR(__xludf.DUMMYFUNCTION("GOOGLETRANSLATE(A1803, ""fr"", ""en"")"),"Sale - Cleaning of parking lots on Monday December 12, 2022")</f>
        <v>Sale - Cleaning of parking lots on Monday December 12, 2022</v>
      </c>
    </row>
    <row r="1804">
      <c r="A1804" s="19" t="s">
        <v>1506</v>
      </c>
      <c r="B1804" s="20" t="str">
        <f>IFERROR(__xludf.DUMMYFUNCTION("GOOGLETRANSLATE(A1804, ""fr"", ""en"")"),"Sale - Cleaning of parking lots on Monday, November 28, 2022")</f>
        <v>Sale - Cleaning of parking lots on Monday, November 28, 2022</v>
      </c>
    </row>
    <row r="1805">
      <c r="A1805" s="19" t="s">
        <v>1507</v>
      </c>
      <c r="B1805" s="20" t="str">
        <f>IFERROR(__xludf.DUMMYFUNCTION("GOOGLETRANSLATE(A1805, ""fr"", ""en"")"),"FM: Please intervene to replace the alarm housing.")</f>
        <v>FM: Please intervene to replace the alarm housing.</v>
      </c>
    </row>
    <row r="1806">
      <c r="A1806" s="19" t="s">
        <v>1423</v>
      </c>
      <c r="B1806" s="20" t="str">
        <f>IFERROR(__xludf.DUMMYFUNCTION("GOOGLETRANSLATE(A1806, ""fr"", ""en"")"),"FM display code: please put the temperature display in supermarkets according to the modop provides")</f>
        <v>FM display code: please put the temperature display in supermarkets according to the modop provides</v>
      </c>
    </row>
    <row r="1807">
      <c r="A1807" s="19" t="s">
        <v>1508</v>
      </c>
      <c r="B1807" s="20" t="str">
        <f>IFERROR(__xludf.DUMMYFUNCTION("GOOGLETRANSLATE(A1807, ""fr"", ""en"")"),"FM: Module 7: Please intervene for clean window cleaning. Do not forget to ask for the RPS and the checklist of control signed and stamped by the supermarket.")</f>
        <v>FM: Module 7: Please intervene for clean window cleaning. Do not forget to ask for the RPS and the checklist of control signed and stamped by the supermarket.</v>
      </c>
    </row>
    <row r="1808">
      <c r="A1808" s="19" t="s">
        <v>1509</v>
      </c>
      <c r="B1808" s="20" t="str">
        <f>IFERROR(__xludf.DUMMYFUNCTION("GOOGLETRANSLATE(A1808, ""fr"", ""en"")"),"FM: Module 2: Please intervene for the full cleaning of the boxes. Do not forget to ask for the RPS and the checklist of control signed and stamped by the supermarket.")</f>
        <v>FM: Module 2: Please intervene for the full cleaning of the boxes. Do not forget to ask for the RPS and the checklist of control signed and stamped by the supermarket.</v>
      </c>
    </row>
    <row r="1809">
      <c r="A1809" s="19" t="s">
        <v>1510</v>
      </c>
      <c r="B1809" s="20" t="str">
        <f>IFERROR(__xludf.DUMMYFUNCTION("GOOGLETRANSLATE(A1809, ""fr"", ""en"")"),"FM: Module 3: Please intervene for the complete cleaning of the bakery. You don't forget to ask the RPS and the checklist of control signed and stamped by the supermarket.")</f>
        <v>FM: Module 3: Please intervene for the complete cleaning of the bakery. You don't forget to ask the RPS and the checklist of control signed and stamped by the supermarket.</v>
      </c>
    </row>
    <row r="1810">
      <c r="A1810" s="19" t="s">
        <v>1511</v>
      </c>
      <c r="B1810" s="20" t="str">
        <f>IFERROR(__xludf.DUMMYFUNCTION("GOOGLETRANSLATE(A1810, ""fr"", ""en"")"),"FM: Thank you for installing a presence detector in the women's locker room.")</f>
        <v>FM: Thank you for installing a presence detector in the women's locker room.</v>
      </c>
    </row>
    <row r="1811">
      <c r="A1811" s="19" t="s">
        <v>1512</v>
      </c>
      <c r="B1811" s="20" t="str">
        <f>IFERROR(__xludf.DUMMYFUNCTION("GOOGLETRANSLATE(A1811, ""fr"", ""en"")"),"FM: Thank you for intervening in the fruit and vegetable department. 1/3 lighting extinguished.")</f>
        <v>FM: Thank you for intervening in the fruit and vegetable department. 1/3 lighting extinguished.</v>
      </c>
    </row>
    <row r="1812">
      <c r="A1812" s="19" t="s">
        <v>1513</v>
      </c>
      <c r="B1812" s="20" t="str">
        <f>IFERROR(__xludf.DUMMYFUNCTION("GOOGLETRANSLATE(A1812, ""fr"", ""en"")"),"Sale - Cleaning of car parks of Friday January 27, 2023")</f>
        <v>Sale - Cleaning of car parks of Friday January 27, 2023</v>
      </c>
    </row>
    <row r="1813">
      <c r="A1813" s="19" t="s">
        <v>1514</v>
      </c>
      <c r="B1813" s="20" t="str">
        <f>IFERROR(__xludf.DUMMYFUNCTION("GOOGLETRANSLATE(A1813, ""fr"", ""en"")"),"Sale - Cleaning of parking lots on Monday January 30, 2023")</f>
        <v>Sale - Cleaning of parking lots on Monday January 30, 2023</v>
      </c>
    </row>
    <row r="1814">
      <c r="A1814" s="19" t="s">
        <v>1486</v>
      </c>
      <c r="B1814" s="20" t="str">
        <f>IFERROR(__xludf.DUMMYFUNCTION("GOOGLETRANSLATE(A1814, ""fr"", ""en"")"),"FM ECO ECL: extinguish COVVID counting systems at the input of SPMs. Deadline at the end of January.")</f>
        <v>FM ECO ECL: extinguish COVVID counting systems at the input of SPMs. Deadline at the end of January.</v>
      </c>
    </row>
    <row r="1815">
      <c r="A1815" s="19" t="s">
        <v>1515</v>
      </c>
      <c r="B1815" s="20" t="str">
        <f>IFERROR(__xludf.DUMMYFUNCTION("GOOGLETRANSLATE(A1815, ""fr"", ""en"")"),"FM: Thank you for intervening, water infiltration in the Bread lab.")</f>
        <v>FM: Thank you for intervening, water infiltration in the Bread lab.</v>
      </c>
    </row>
    <row r="1816">
      <c r="A1816" s="19" t="s">
        <v>1516</v>
      </c>
      <c r="B1816" s="20" t="str">
        <f>IFERROR(__xludf.DUMMYFUNCTION("GOOGLETRANSLATE(A1816, ""fr"", ""en"")"),"Sale - Cleaning of car parks of Friday November 4, 2022")</f>
        <v>Sale - Cleaning of car parks of Friday November 4, 2022</v>
      </c>
    </row>
    <row r="1817">
      <c r="A1817" s="19" t="s">
        <v>1517</v>
      </c>
      <c r="B1817" s="20" t="str">
        <f>IFERROR(__xludf.DUMMYFUNCTION("GOOGLETRANSLATE(A1817, ""fr"", ""en"")"),"FM: request following validation quote n ° A7E13DV143706. Replacement sheet metal in the quay.")</f>
        <v>FM: request following validation quote n ° A7E13DV143706. Replacement sheet metal in the quay.</v>
      </c>
    </row>
    <row r="1818">
      <c r="A1818" s="19" t="s">
        <v>1518</v>
      </c>
      <c r="B1818" s="20" t="str">
        <f>IFERROR(__xludf.DUMMYFUNCTION("GOOGLETRANSLATE(A1818, ""fr"", ""en"")"),"TG VV engine cover
 URGENT")</f>
        <v>TG VV engine cover
 URGENT</v>
      </c>
    </row>
    <row r="1819">
      <c r="A1819" s="19" t="s">
        <v>1519</v>
      </c>
      <c r="B1819" s="20" t="str">
        <f>IFERROR(__xludf.DUMMYFUNCTION("GOOGLETRANSLATE(A1819, ""fr"", ""en"")"),"Store and Caisse Temperature at 28 DEGRES")</f>
        <v>Store and Caisse Temperature at 28 DEGRES</v>
      </c>
    </row>
    <row r="1820">
      <c r="A1820" s="19" t="s">
        <v>1520</v>
      </c>
      <c r="B1820" s="20" t="str">
        <f>IFERROR(__xludf.DUMMYFUNCTION("GOOGLETRANSLATE(A1820, ""fr"", ""en"")"),"Sale - Cleaning of parking lots on Friday December 30, 2022")</f>
        <v>Sale - Cleaning of parking lots on Friday December 30, 2022</v>
      </c>
    </row>
    <row r="1821">
      <c r="A1821" s="19" t="s">
        <v>1521</v>
      </c>
      <c r="B1821" s="20" t="str">
        <f>IFERROR(__xludf.DUMMYFUNCTION("GOOGLETRANSLATE(A1821, ""fr"", ""en"")"),"Sale - Cleaning of the car parks of Wednesday 28/12/2022")</f>
        <v>Sale - Cleaning of the car parks of Wednesday 28/12/2022</v>
      </c>
    </row>
    <row r="1822">
      <c r="A1822" s="19" t="s">
        <v>1522</v>
      </c>
      <c r="B1822" s="20" t="str">
        <f>IFERROR(__xludf.DUMMYFUNCTION("GOOGLETRANSLATE(A1822, ""fr"", ""en"")"),"Sale - Cleaning of parking lots of Friday, December 23, 2022")</f>
        <v>Sale - Cleaning of parking lots of Friday, December 23, 2022</v>
      </c>
    </row>
    <row r="1823">
      <c r="A1823" s="19" t="s">
        <v>1523</v>
      </c>
      <c r="B1823" s="20" t="str">
        <f>IFERROR(__xludf.DUMMYFUNCTION("GOOGLETRANSLATE(A1823, ""fr"", ""en"")"),"Sale - Cleaning of car parks on Friday December 16, 2022")</f>
        <v>Sale - Cleaning of car parks on Friday December 16, 2022</v>
      </c>
    </row>
    <row r="1824">
      <c r="A1824" s="19" t="s">
        <v>1524</v>
      </c>
      <c r="B1824" s="20" t="str">
        <f>IFERROR(__xludf.DUMMYFUNCTION("GOOGLETRANSLATE(A1824, ""fr"", ""en"")"),"Sale - Cleaning of car parks of Friday November 25, 2022")</f>
        <v>Sale - Cleaning of car parks of Friday November 25, 2022</v>
      </c>
    </row>
    <row r="1825">
      <c r="A1825" s="19" t="s">
        <v>1525</v>
      </c>
      <c r="B1825" s="20" t="str">
        <f>IFERROR(__xludf.DUMMYFUNCTION("GOOGLETRANSLATE(A1825, ""fr"", ""en"")"),"Sale - Cleaning of parking lots of Wednesday December 28, 2022")</f>
        <v>Sale - Cleaning of parking lots of Wednesday December 28, 2022</v>
      </c>
    </row>
    <row r="1826">
      <c r="A1826" s="19" t="s">
        <v>1526</v>
      </c>
      <c r="B1826" s="20" t="str">
        <f>IFERROR(__xludf.DUMMYFUNCTION("GOOGLETRANSLATE(A1826, ""fr"", ""en"")"),"FM: Caisses Cleaning - Module 2 S47-48.")</f>
        <v>FM: Caisses Cleaning - Module 2 S47-48.</v>
      </c>
    </row>
    <row r="1827">
      <c r="A1827" s="19" t="s">
        <v>1527</v>
      </c>
      <c r="B1827" s="20" t="str">
        <f>IFERROR(__xludf.DUMMYFUNCTION("GOOGLETRANSLATE(A1827, ""fr"", ""en"")"),"FM: Bakery cleaning - 3 S49-50 module.")</f>
        <v>FM: Bakery cleaning - 3 S49-50 module.</v>
      </c>
    </row>
    <row r="1828">
      <c r="A1828" s="19" t="s">
        <v>1528</v>
      </c>
      <c r="B1828" s="20" t="str">
        <f>IFERROR(__xludf.DUMMYFUNCTION("GOOGLETRANSLATE(A1828, ""fr"", ""en"")"),"FM: Basse window cleaning - Module 7 - S46 and 47.")</f>
        <v>FM: Basse window cleaning - Module 7 - S46 and 47.</v>
      </c>
    </row>
    <row r="1829">
      <c r="A1829" s="19" t="s">
        <v>1529</v>
      </c>
      <c r="B1829" s="20" t="str">
        <f>IFERROR(__xludf.DUMMYFUNCTION("GOOGLETRANSLATE(A1829, ""fr"", ""en"")"),"FM: Thank you for intervening, reading the curves under cold alarms is impossible. Please control this point urgently.")</f>
        <v>FM: Thank you for intervening, reading the curves under cold alarms is impossible. Please control this point urgently.</v>
      </c>
    </row>
    <row r="1830">
      <c r="A1830" s="19" t="s">
        <v>1530</v>
      </c>
      <c r="B1830" s="20" t="str">
        <f>IFERROR(__xludf.DUMMYFUNCTION("GOOGLETRANSLATE(A1830, ""fr"", ""en"")"),"FM: Eco Lighting: adjustment of the extinction instructions, according to the following instructions: 1- SPM classified in priority 1 in the PJ table: Reluming the sales area 100% except lettering on the walls. The lettering ""special offers"" and on the "&amp;"bread ark must be on. // 2- SPM classified in prio 2 and 3 in the table in PJ: Relum only the spots on the bakery area, FL, cosmetics, boxes, fresh, frozen furniture and bins. Lettrages on the walls must remain extinguished (except ""special offers"" and "&amp;"on the bread ark). // Plan the sites according to the order of priority indicated. The reserves and social premises partially extinguished are not affected by this readjustment. On the other hand, the reserves and social premises that had not been optimiz"&amp;"ed during the first wave are to be optimized. For SPMs requiring a nacelle, please group these stores in order to optimize the rental of the nacelle, imperatively transmit the quote before intervention. Return a recap to the progress of the tour every Fri"&amp;"day to Ali and Benjamin.")</f>
        <v>FM: Eco Lighting: adjustment of the extinction instructions, according to the following instructions: 1- SPM classified in priority 1 in the PJ table: Reluming the sales area 100% except lettering on the walls. The lettering "special offers" and on the bread ark must be on. // 2- SPM classified in prio 2 and 3 in the table in PJ: Relum only the spots on the bakery area, FL, cosmetics, boxes, fresh, frozen furniture and bins. Lettrages on the walls must remain extinguished (except "special offers" and on the bread ark). // Plan the sites according to the order of priority indicated. The reserves and social premises partially extinguished are not affected by this readjustment. On the other hand, the reserves and social premises that had not been optimized during the first wave are to be optimized. For SPMs requiring a nacelle, please group these stores in order to optimize the rental of the nacelle, imperatively transmit the quote before intervention. Return a recap to the progress of the tour every Friday to Ali and Benjamin.</v>
      </c>
    </row>
    <row r="1831">
      <c r="A1831" s="19" t="s">
        <v>1531</v>
      </c>
      <c r="B1831" s="20" t="str">
        <f>IFERROR(__xludf.DUMMYFUNCTION("GOOGLETRANSLATE(A1831, ""fr"", ""en"")"),"Sale - Cleaning of parking lots on Friday December 9, 2022")</f>
        <v>Sale - Cleaning of parking lots on Friday December 9, 2022</v>
      </c>
    </row>
    <row r="1832">
      <c r="A1832" s="19" t="s">
        <v>1532</v>
      </c>
      <c r="B1832" s="20" t="str">
        <f>IFERROR(__xludf.DUMMYFUNCTION("GOOGLETRANSLATE(A1832, ""fr"", ""en"")"),"FM: Following your checklist, please repaint the small corridor social entrance + door :)")</f>
        <v>FM: Following your checklist, please repaint the small corridor social entrance + door :)</v>
      </c>
    </row>
    <row r="1833">
      <c r="A1833" s="19" t="s">
        <v>1533</v>
      </c>
      <c r="B1833" s="20" t="str">
        <f>IFERROR(__xludf.DUMMYFUNCTION("GOOGLETRANSLATE(A1833, ""fr"", ""en"")"),"FM: Low battery defect.")</f>
        <v>FM: Low battery defect.</v>
      </c>
    </row>
    <row r="1834">
      <c r="A1834" s="19" t="s">
        <v>1534</v>
      </c>
      <c r="B1834" s="20" t="str">
        <f>IFERROR(__xludf.DUMMYFUNCTION("GOOGLETRANSLATE(A1834, ""fr"", ""en"")"),"FM: Thank you for intervening, there is an opening in the cladding, at the level of the ceiling of the unloading quay.")</f>
        <v>FM: Thank you for intervening, there is an opening in the cladding, at the level of the ceiling of the unloading quay.</v>
      </c>
    </row>
    <row r="1835">
      <c r="A1835" s="19" t="s">
        <v>1535</v>
      </c>
      <c r="B1835" s="20" t="str">
        <f>IFERROR(__xludf.DUMMYFUNCTION("GOOGLETRANSLATE(A1835, ""fr"", ""en"")"),"FM: According to the TSV, GSM defect.")</f>
        <v>FM: According to the TSV, GSM defect.</v>
      </c>
    </row>
    <row r="1836">
      <c r="A1836" s="19" t="s">
        <v>1536</v>
      </c>
      <c r="B1836" s="20" t="str">
        <f>IFERROR(__xludf.DUMMYFUNCTION("GOOGLETRANSLATE(A1836, ""fr"", ""en"")"),"key does not open the metal curtain")</f>
        <v>key does not open the metal curtain</v>
      </c>
    </row>
    <row r="1837">
      <c r="A1837" s="21"/>
      <c r="B1837" s="20" t="str">
        <f>IFERROR(__xludf.DUMMYFUNCTION("GOOGLETRANSLATE(A1837, ""fr"", ""en"")"),"#VALUE!")</f>
        <v>#VALUE!</v>
      </c>
    </row>
    <row r="1838">
      <c r="A1838" s="19" t="s">
        <v>1537</v>
      </c>
      <c r="B1838" s="20" t="str">
        <f>IFERROR(__xludf.DUMMYFUNCTION("GOOGLETRANSLATE(A1838, ""fr"", ""en"")"),"Sale - Cleaning of car parks on Friday December 2, 2022")</f>
        <v>Sale - Cleaning of car parks on Friday December 2, 2022</v>
      </c>
    </row>
    <row r="1839">
      <c r="A1839" s="19" t="s">
        <v>1538</v>
      </c>
      <c r="B1839" s="20" t="str">
        <f>IFERROR(__xludf.DUMMYFUNCTION("GOOGLETRANSLATE(A1839, ""fr"", ""en"")"),"FM: Bakery cleaning - Module 3 - S18. Immerately attach the checklists.")</f>
        <v>FM: Bakery cleaning - Module 3 - S18. Immerately attach the checklists.</v>
      </c>
    </row>
    <row r="1840">
      <c r="A1840" s="19" t="s">
        <v>1539</v>
      </c>
      <c r="B1840" s="20" t="str">
        <f>IFERROR(__xludf.DUMMYFUNCTION("GOOGLETRANSLATE(A1840, ""fr"", ""en"")"),"Sale - Cleaning of parking lots of Wednesday April 5, 2023")</f>
        <v>Sale - Cleaning of parking lots of Wednesday April 5, 2023</v>
      </c>
    </row>
    <row r="1841">
      <c r="A1841" s="19" t="s">
        <v>1446</v>
      </c>
      <c r="B1841" s="20" t="str">
        <f>IFERROR(__xludf.DUMMYFUNCTION("GOOGLETRANSLATE(A1841, ""fr"", ""en"")"),"Sale - Cleaning of parking lots on Monday March 6, 2023")</f>
        <v>Sale - Cleaning of parking lots on Monday March 6, 2023</v>
      </c>
    </row>
    <row r="1842">
      <c r="A1842" s="19" t="s">
        <v>1540</v>
      </c>
      <c r="B1842" s="20" t="str">
        <f>IFERROR(__xludf.DUMMYFUNCTION("GOOGLETRANSLATE(A1842, ""fr"", ""en"")"),"Sale - Cleaning of parking lots on Monday March 13, 2023")</f>
        <v>Sale - Cleaning of parking lots on Monday March 13, 2023</v>
      </c>
    </row>
    <row r="1843">
      <c r="A1843" s="19" t="s">
        <v>1541</v>
      </c>
      <c r="B1843" s="20" t="str">
        <f>IFERROR(__xludf.DUMMYFUNCTION("GOOGLETRANSLATE(A1843, ""fr"", ""en"")"),"Sale - Cleaning of parking lots of Wednesday, April 26, 2023")</f>
        <v>Sale - Cleaning of parking lots of Wednesday, April 26, 2023</v>
      </c>
    </row>
    <row r="1844">
      <c r="A1844" s="19" t="s">
        <v>1542</v>
      </c>
      <c r="B1844" s="20" t="str">
        <f>IFERROR(__xludf.DUMMYFUNCTION("GOOGLETRANSLATE(A1844, ""fr"", ""en"")"),"Sale - Cleaning of parking lots on Monday April 24, 2023")</f>
        <v>Sale - Cleaning of parking lots on Monday April 24, 2023</v>
      </c>
    </row>
    <row r="1845">
      <c r="A1845" s="19" t="s">
        <v>1543</v>
      </c>
      <c r="B1845" s="20" t="str">
        <f>IFERROR(__xludf.DUMMYFUNCTION("GOOGLETRANSLATE(A1845, ""fr"", ""en"")"),"Sale - Cleaning of car parks on Monday October 31, 2022")</f>
        <v>Sale - Cleaning of car parks on Monday October 31, 2022</v>
      </c>
    </row>
    <row r="1846">
      <c r="A1846" s="19" t="s">
        <v>1544</v>
      </c>
      <c r="B1846" s="20" t="str">
        <f>IFERROR(__xludf.DUMMYFUNCTION("GOOGLETRANSLATE(A1846, ""fr"", ""en"")"),"FM Eco Lighting: please set up the eco lighting mode following operating mode in PJ.")</f>
        <v>FM Eco Lighting: please set up the eco lighting mode following operating mode in PJ.</v>
      </c>
    </row>
    <row r="1847">
      <c r="A1847" s="19" t="s">
        <v>1545</v>
      </c>
      <c r="B1847" s="20" t="str">
        <f>IFERROR(__xludf.DUMMYFUNCTION("GOOGLETRANSLATE(A1847, ""fr"", ""en"")"),"FM: the inverter rings")</f>
        <v>FM: the inverter rings</v>
      </c>
    </row>
    <row r="1848">
      <c r="A1848" s="19" t="s">
        <v>1546</v>
      </c>
      <c r="B1848" s="20" t="str">
        <f>IFERROR(__xludf.DUMMYFUNCTION("GOOGLETRANSLATE(A1848, ""fr"", ""en"")"),"FM: Please intervene following the validation of quote n ° 003777180-0002. 5 rodent passages interval 7 days.")</f>
        <v>FM: Please intervene following the validation of quote n ° 003777180-0002. 5 rodent passages interval 7 days.</v>
      </c>
    </row>
    <row r="1849">
      <c r="A1849" s="19" t="s">
        <v>1547</v>
      </c>
      <c r="B1849" s="20" t="str">
        <f>IFERROR(__xludf.DUMMYFUNCTION("GOOGLETRANSLATE(A1849, ""fr"", ""en"")"),"FM: 1 or more ovens are not connected, intervene to configure the oven, contact Interway to check the connection status (see PJ logigram).")</f>
        <v>FM: 1 or more ovens are not connected, intervene to configure the oven, contact Interway to check the connection status (see PJ logigram).</v>
      </c>
    </row>
    <row r="1850">
      <c r="A1850" s="19" t="s">
        <v>1548</v>
      </c>
      <c r="B1850" s="20" t="str">
        <f>IFERROR(__xludf.DUMMYFUNCTION("GOOGLETRANSLATE(A1850, ""fr"", ""en"")"),"FM: night guarding Friday July 28 for cleaning suite harmful.")</f>
        <v>FM: night guarding Friday July 28 for cleaning suite harmful.</v>
      </c>
    </row>
    <row r="1851">
      <c r="A1851" s="19" t="s">
        <v>1549</v>
      </c>
      <c r="B1851" s="20" t="str">
        <f>IFERROR(__xludf.DUMMYFUNCTION("GOOGLETRANSLATE(A1851, ""fr"", ""en"")"),"FM: Please intervene to control the positive power station.")</f>
        <v>FM: Please intervene to control the positive power station.</v>
      </c>
    </row>
    <row r="1852">
      <c r="A1852" s="19" t="s">
        <v>1550</v>
      </c>
      <c r="B1852" s="20" t="str">
        <f>IFERROR(__xludf.DUMMYFUNCTION("GOOGLETRANSLATE(A1852, ""fr"", ""en"")"),"FM: night guard for cleaning suite harmful. Illkirch: Thursday August 3 and Illzach: Friday August 4.")</f>
        <v>FM: night guard for cleaning suite harmful. Illkirch: Thursday August 3 and Illzach: Friday August 4.</v>
      </c>
    </row>
    <row r="1853">
      <c r="A1853" s="19" t="s">
        <v>1551</v>
      </c>
      <c r="B1853" s="20" t="str">
        <f>IFERROR(__xludf.DUMMYFUNCTION("GOOGLETRANSLATE(A1853, ""fr"", ""en"")"),"FM: Thank you for intervening on the IRVE terminals, they are defects on has been.")</f>
        <v>FM: Thank you for intervening on the IRVE terminals, they are defects on has been.</v>
      </c>
    </row>
    <row r="1854">
      <c r="A1854" s="19" t="s">
        <v>1552</v>
      </c>
      <c r="B1854" s="20" t="str">
        <f>IFERROR(__xludf.DUMMYFUNCTION("GOOGLETRANSLATE(A1854, ""fr"", ""en"")"),"FM: Bakery cleaning - 5 - S28 module. Immerately attach the checklists.")</f>
        <v>FM: Bakery cleaning - 5 - S28 module. Immerately attach the checklists.</v>
      </c>
    </row>
    <row r="1855">
      <c r="A1855" s="19" t="s">
        <v>1386</v>
      </c>
      <c r="B1855" s="20" t="str">
        <f>IFERROR(__xludf.DUMMYFUNCTION("GOOGLETRANSLATE(A1855, ""fr"", ""en"")"),"FM: Basse window cleaning - Module 7 - S29. Immerately attach the checklists.")</f>
        <v>FM: Basse window cleaning - Module 7 - S29. Immerately attach the checklists.</v>
      </c>
    </row>
    <row r="1856">
      <c r="A1856" s="19" t="s">
        <v>1390</v>
      </c>
      <c r="B1856" s="20" t="str">
        <f>IFERROR(__xludf.DUMMYFUNCTION("GOOGLETRANSLATE(A1856, ""fr"", ""en"")"),"Various RMR sale for all DR02 SPMs to do before the end S31voir Devis
 Install the Visuals of the Aggressiveness Price campaign. The detail is in the joint pdf")</f>
        <v>Various RMR sale for all DR02 SPMs to do before the end S31voir Devis
 Install the Visuals of the Aggressiveness Price campaign. The detail is in the joint pdf</v>
      </c>
    </row>
    <row r="1857">
      <c r="A1857" s="19" t="s">
        <v>1553</v>
      </c>
      <c r="B1857" s="20" t="str">
        <f>IFERROR(__xludf.DUMMYFUNCTION("GOOGLETRANSLATE(A1857, ""fr"", ""en"")"),"Audit structure: Please intervene to resume the smoke extraction, see PJ sheet.")</f>
        <v>Audit structure: Please intervene to resume the smoke extraction, see PJ sheet.</v>
      </c>
    </row>
    <row r="1858">
      <c r="A1858" s="19" t="s">
        <v>1554</v>
      </c>
      <c r="B1858" s="20" t="str">
        <f>IFERROR(__xludf.DUMMYFUNCTION("GOOGLETRANSLATE(A1858, ""fr"", ""en"")"),"FM: We want a supervisor for 06/23/2023. Please send us a confirmation by email.")</f>
        <v>FM: We want a supervisor for 06/23/2023. Please send us a confirmation by email.</v>
      </c>
    </row>
    <row r="1859">
      <c r="A1859" s="19" t="s">
        <v>1555</v>
      </c>
      <c r="B1859" s="20" t="str">
        <f>IFERROR(__xludf.DUMMYFUNCTION("GOOGLETRANSLATE(A1859, ""fr"", ""en"")"),"FM: Please intervene following the validation of quote n ° 14-23-07-386015-A. RPCT Cf- door handle.")</f>
        <v>FM: Please intervene following the validation of quote n ° 14-23-07-386015-A. RPCT Cf- door handle.</v>
      </c>
    </row>
    <row r="1860">
      <c r="A1860" s="19" t="s">
        <v>1556</v>
      </c>
      <c r="B1860" s="20" t="str">
        <f>IFERROR(__xludf.DUMMYFUNCTION("GOOGLETRANSLATE(A1860, ""fr"", ""en"")"),"FM: Following your checklist, re -put the evacuation plan in the reserve.")</f>
        <v>FM: Following your checklist, re -put the evacuation plan in the reserve.</v>
      </c>
    </row>
    <row r="1861">
      <c r="A1861" s="19" t="s">
        <v>1557</v>
      </c>
      <c r="B1861" s="20" t="str">
        <f>IFERROR(__xludf.DUMMYFUNCTION("GOOGLETRANSLATE(A1861, ""fr"", ""en"")"),"Cold Defait Alarm that does not bundle")</f>
        <v>Cold Defait Alarm that does not bundle</v>
      </c>
    </row>
    <row r="1862">
      <c r="A1862" s="19" t="s">
        <v>1558</v>
      </c>
      <c r="B1862" s="20" t="str">
        <f>IFERROR(__xludf.DUMMYFUNCTION("GOOGLETRANSLATE(A1862, ""fr"", ""en"")"),"Non -functional electrical load station")</f>
        <v>Non -functional electrical load station</v>
      </c>
    </row>
    <row r="1863">
      <c r="A1863" s="19" t="s">
        <v>1559</v>
      </c>
      <c r="B1863" s="20" t="str">
        <f>IFERROR(__xludf.DUMMYFUNCTION("GOOGLETRANSLATE(A1863, ""fr"", ""en"")"),"FM: night guard following PJ table")</f>
        <v>FM: night guard following PJ table</v>
      </c>
    </row>
    <row r="1864">
      <c r="A1864" s="19" t="s">
        <v>1560</v>
      </c>
      <c r="B1864" s="20" t="str">
        <f>IFERROR(__xludf.DUMMYFUNCTION("GOOGLETRANSLATE(A1864, ""fr"", ""en"")"),"FM: Please intervene following the validation of quote n ° 00371644-0003. 5 rodent passages 1 Passage per week.")</f>
        <v>FM: Please intervene following the validation of quote n ° 00371644-0003. 5 rodent passages 1 Passage per week.</v>
      </c>
    </row>
    <row r="1865">
      <c r="A1865" s="19" t="s">
        <v>1561</v>
      </c>
      <c r="B1865" s="20" t="str">
        <f>IFERROR(__xludf.DUMMYFUNCTION("GOOGLETRANSLATE(A1865, ""fr"", ""en"")"),"FM: night guard for cleaning. Illzach: Friday August 11 // Volgelsheim: Thursday August 10 // Valdahon: Wednesday August 16.")</f>
        <v>FM: night guard for cleaning. Illzach: Friday August 11 // Volgelsheim: Thursday August 10 // Valdahon: Wednesday August 16.</v>
      </c>
    </row>
    <row r="1866">
      <c r="A1866" s="19" t="s">
        <v>1562</v>
      </c>
      <c r="B1866" s="20" t="str">
        <f>IFERROR(__xludf.DUMMYFUNCTION("GOOGLETRANSLATE(A1866, ""fr"", ""en"")"),"FM: Please intervene following the validation of quote n ° 23138. RPCT of groups 51 and 52.")</f>
        <v>FM: Please intervene following the validation of quote n ° 23138. RPCT of groups 51 and 52.</v>
      </c>
    </row>
    <row r="1867">
      <c r="A1867" s="19" t="s">
        <v>1563</v>
      </c>
      <c r="B1867" s="20" t="str">
        <f>IFERROR(__xludf.DUMMYFUNCTION("GOOGLETRANSLATE(A1867, ""fr"", ""en"")"),"mouse again and again")</f>
        <v>mouse again and again</v>
      </c>
    </row>
    <row r="1868">
      <c r="A1868" s="19" t="s">
        <v>1564</v>
      </c>
      <c r="B1868" s="20" t="str">
        <f>IFERROR(__xludf.DUMMYFUNCTION("GOOGLETRANSLATE(A1868, ""fr"", ""en"")"),"FM: Please intervene following the validation of quote n ° 23095. RPCT of the compressor. Delivery planned in your premises on 05/31/2023.")</f>
        <v>FM: Please intervene following the validation of quote n ° 23095. RPCT of the compressor. Delivery planned in your premises on 05/31/2023.</v>
      </c>
    </row>
    <row r="1869">
      <c r="A1869" s="19" t="s">
        <v>1565</v>
      </c>
      <c r="B1869" s="20" t="str">
        <f>IFERROR(__xludf.DUMMYFUNCTION("GOOGLETRANSLATE(A1869, ""fr"", ""en"")"),"FM: Follow -up TV removal report, please intervene for a defect of more than 5 days.")</f>
        <v>FM: Follow -up TV removal report, please intervene for a defect of more than 5 days.</v>
      </c>
    </row>
    <row r="1870">
      <c r="A1870" s="19" t="s">
        <v>1566</v>
      </c>
      <c r="B1870" s="20" t="str">
        <f>IFERROR(__xludf.DUMMYFUNCTION("GOOGLETRANSLATE(A1870, ""fr"", ""en"")"),"FM: Luminous light not fixed on the positive CF. Displacement to pool with a next intervention.")</f>
        <v>FM: Luminous light not fixed on the positive CF. Displacement to pool with a next intervention.</v>
      </c>
    </row>
    <row r="1871">
      <c r="A1871" s="19" t="s">
        <v>1567</v>
      </c>
      <c r="B1871" s="20" t="str">
        <f>IFERROR(__xludf.DUMMYFUNCTION("GOOGLETRANSLATE(A1871, ""fr"", ""en"")"),"FM: Regular electric cut")</f>
        <v>FM: Regular electric cut</v>
      </c>
    </row>
    <row r="1872">
      <c r="A1872" s="19" t="s">
        <v>1568</v>
      </c>
      <c r="B1872" s="20" t="str">
        <f>IFERROR(__xludf.DUMMYFUNCTION("GOOGLETRANSLATE(A1872, ""fr"", ""en"")"),"FM: Following TSV report, there was a cold defect from 02/28 to 01/03. Please check all the cold equipment.")</f>
        <v>FM: Following TSV report, there was a cold defect from 02/28 to 01/03. Please check all the cold equipment.</v>
      </c>
    </row>
    <row r="1873">
      <c r="A1873" s="19" t="s">
        <v>1569</v>
      </c>
      <c r="B1873" s="20" t="str">
        <f>IFERROR(__xludf.DUMMYFUNCTION("GOOGLETRANSLATE(A1873, ""fr"", ""en"")"),"FM: Cold Room Group Control.")</f>
        <v>FM: Cold Room Group Control.</v>
      </c>
    </row>
    <row r="1874">
      <c r="A1874" s="19" t="s">
        <v>1570</v>
      </c>
      <c r="B1874" s="20" t="str">
        <f>IFERROR(__xludf.DUMMYFUNCTION("GOOGLETRANSLATE(A1874, ""fr"", ""en"")"),"FM: request following validation quote n ° GF14-23-01-314840-A. Replacement sheets EPTA furniture.")</f>
        <v>FM: request following validation quote n ° GF14-23-01-314840-A. Replacement sheets EPTA furniture.</v>
      </c>
    </row>
    <row r="1875">
      <c r="A1875" s="19" t="s">
        <v>1571</v>
      </c>
      <c r="B1875" s="20" t="str">
        <f>IFERROR(__xludf.DUMMYFUNCTION("GOOGLETRANSLATE(A1875, ""fr"", ""en"")"),"FM: night guard for deratization. Schiltigheim on 07/10 and illzach on 07/11.")</f>
        <v>FM: night guard for deratization. Schiltigheim on 07/10 and illzach on 07/11.</v>
      </c>
    </row>
    <row r="1876">
      <c r="A1876" s="19" t="s">
        <v>1387</v>
      </c>
      <c r="B1876" s="20" t="str">
        <f>IFERROR(__xludf.DUMMYFUNCTION("GOOGLETRANSLATE(A1876, ""fr"", ""en"")"),"FM: Cleaning Park with carts - 12 - S29 module. Immerately attach the checklists. BOURTZWILLER: Clean the sun pares at the same time.")</f>
        <v>FM: Cleaning Park with carts - 12 - S29 module. Immerately attach the checklists. BOURTZWILLER: Clean the sun pares at the same time.</v>
      </c>
    </row>
    <row r="1877">
      <c r="A1877" s="19" t="s">
        <v>1394</v>
      </c>
      <c r="B1877" s="20" t="str">
        <f>IFERROR(__xludf.DUMMYFUNCTION("GOOGLETRANSLATE(A1877, ""fr"", ""en"")"),"Sale cleaning of parking lots on Monday April 11, 2022")</f>
        <v>Sale cleaning of parking lots on Monday April 11, 2022</v>
      </c>
    </row>
    <row r="1878">
      <c r="A1878" s="19" t="s">
        <v>1572</v>
      </c>
      <c r="B1878" s="20" t="str">
        <f>IFERROR(__xludf.DUMMYFUNCTION("GOOGLETRANSLATE(A1878, ""fr"", ""en"")"),"FM: Following Axima's intervention on the positive cold room, please intervene, the sectional door rubs the refrigeration block with each opening and closing, which damages the evaporator block.")</f>
        <v>FM: Following Axima's intervention on the positive cold room, please intervene, the sectional door rubs the refrigeration block with each opening and closing, which damages the evaporator block.</v>
      </c>
    </row>
    <row r="1879">
      <c r="A1879" s="19" t="s">
        <v>1396</v>
      </c>
      <c r="B1879" s="20" t="str">
        <f>IFERROR(__xludf.DUMMYFUNCTION("GOOGLETRANSLATE(A1879, ""fr"", ""en"")"),"Sale - Cleaning of car parks on Friday November 18, 2022")</f>
        <v>Sale - Cleaning of car parks on Friday November 18, 2022</v>
      </c>
    </row>
    <row r="1880">
      <c r="A1880" s="19" t="s">
        <v>1398</v>
      </c>
      <c r="B1880" s="20" t="str">
        <f>IFERROR(__xludf.DUMMYFUNCTION("GOOGLETRANSLATE(A1880, ""fr"", ""en"")"),"Sale - Cleaning of parking lots on Friday April 28, 2023")</f>
        <v>Sale - Cleaning of parking lots on Friday April 28, 2023</v>
      </c>
    </row>
    <row r="1881">
      <c r="A1881" s="19" t="s">
        <v>1573</v>
      </c>
      <c r="B1881" s="20" t="str">
        <f>IFERROR(__xludf.DUMMYFUNCTION("GOOGLETRANSLATE(A1881, ""fr"", ""en"")"),"FM: intervene for the extension of the stop at the level of the quay (seen with Benjamin)")</f>
        <v>FM: intervene for the extension of the stop at the level of the quay (seen with Benjamin)</v>
      </c>
    </row>
    <row r="1882">
      <c r="A1882" s="19" t="s">
        <v>1400</v>
      </c>
      <c r="B1882" s="20" t="str">
        <f>IFERROR(__xludf.DUMMYFUNCTION("GOOGLETRANSLATE(A1882, ""fr"", ""en"")"),"FM: Thank you for putting the delay outdoor lighting and the next time MOP")</f>
        <v>FM: Thank you for putting the delay outdoor lighting and the next time MOP</v>
      </c>
    </row>
    <row r="1883">
      <c r="A1883" s="19" t="s">
        <v>1402</v>
      </c>
      <c r="B1883" s="20" t="str">
        <f>IFERROR(__xludf.DUMMYFUNCTION("GOOGLETRANSLATE(A1883, ""fr"", ""en"")"),"Sale - Cleaning of parking lots of Wednesday, November 23, 2022")</f>
        <v>Sale - Cleaning of parking lots of Wednesday, November 23, 2022</v>
      </c>
    </row>
    <row r="1884">
      <c r="A1884" s="19" t="s">
        <v>1574</v>
      </c>
      <c r="B1884" s="20" t="str">
        <f>IFERROR(__xludf.DUMMYFUNCTION("GOOGLETRANSLATE(A1884, ""fr"", ""en"")"),"FM: Code: Connection Fours: Please intervene for the verification of the network connection.")</f>
        <v>FM: Code: Connection Fours: Please intervene for the verification of the network connection.</v>
      </c>
    </row>
    <row r="1885">
      <c r="A1885" s="19" t="s">
        <v>1403</v>
      </c>
      <c r="B1885" s="20" t="str">
        <f>IFERROR(__xludf.DUMMYFUNCTION("GOOGLETRANSLATE(A1885, ""fr"", ""en"")"),"Sale - Cleaning of parking lots on Friday October 21, 2022")</f>
        <v>Sale - Cleaning of parking lots on Friday October 21, 2022</v>
      </c>
    </row>
    <row r="1886">
      <c r="A1886" s="19" t="s">
        <v>1404</v>
      </c>
      <c r="B1886" s="20" t="str">
        <f>IFERROR(__xludf.DUMMYFUNCTION("GOOGLETRANSLATE(A1886, ""fr"", ""en"")"),"Sale - Cleaning of car parks on Friday October 14, 2022")</f>
        <v>Sale - Cleaning of car parks on Friday October 14, 2022</v>
      </c>
    </row>
    <row r="1887">
      <c r="A1887" s="19" t="s">
        <v>1575</v>
      </c>
      <c r="B1887" s="20" t="str">
        <f>IFERROR(__xludf.DUMMYFUNCTION("GOOGLETRANSLATE(A1887, ""fr"", ""en"")"),"FM: Following the remote monitoring report, these 3 stores had night faults. Please control all cold equipment.")</f>
        <v>FM: Following the remote monitoring report, these 3 stores had night faults. Please control all cold equipment.</v>
      </c>
    </row>
    <row r="1888">
      <c r="A1888" s="19" t="s">
        <v>1576</v>
      </c>
      <c r="B1888" s="20" t="str">
        <f>IFERROR(__xludf.DUMMYFUNCTION("GOOGLETRANSLATE(A1888, ""fr"", ""en"")"),"FM: Thank you for intervening the CF- for defrosting. Seen with Mrs. Blondel-Prevot.")</f>
        <v>FM: Thank you for intervening the CF- for defrosting. Seen with Mrs. Blondel-Prevot.</v>
      </c>
    </row>
    <row r="1889">
      <c r="A1889" s="19" t="s">
        <v>1577</v>
      </c>
      <c r="B1889" s="20" t="str">
        <f>IFERROR(__xludf.DUMMYFUNCTION("GOOGLETRANSLATE(A1889, ""fr"", ""en"")"),"FM: Please intervene for replacing the Carter resistance of the CF- compressor.")</f>
        <v>FM: Please intervene for replacing the Carter resistance of the CF- compressor.</v>
      </c>
    </row>
    <row r="1890">
      <c r="A1890" s="19" t="s">
        <v>1578</v>
      </c>
      <c r="B1890" s="20" t="str">
        <f>IFERROR(__xludf.DUMMYFUNCTION("GOOGLETRANSLATE(A1890, ""fr"", ""en"")"),"FM: Please replace the DSB codes during your next passages.")</f>
        <v>FM: Please replace the DSB codes during your next passages.</v>
      </c>
    </row>
    <row r="1891">
      <c r="A1891" s="19" t="s">
        <v>1579</v>
      </c>
      <c r="B1891" s="20" t="str">
        <f>IFERROR(__xludf.DUMMYFUNCTION("GOOGLETRANSLATE(A1891, ""fr"", ""en"")"),"FM: Caisses and inverters problem")</f>
        <v>FM: Caisses and inverters problem</v>
      </c>
    </row>
    <row r="1892">
      <c r="A1892" s="19" t="s">
        <v>1580</v>
      </c>
      <c r="B1892" s="20" t="str">
        <f>IFERROR(__xludf.DUMMYFUNCTION("GOOGLETRANSLATE(A1892, ""fr"", ""en"")"),"FM: Please intervene following the validation of quote n ° A7E13DV107659. Leak search and repairs.")</f>
        <v>FM: Please intervene following the validation of quote n ° A7E13DV107659. Leak search and repairs.</v>
      </c>
    </row>
    <row r="1893">
      <c r="A1893" s="19" t="s">
        <v>1410</v>
      </c>
      <c r="B1893" s="20" t="str">
        <f>IFERROR(__xludf.DUMMYFUNCTION("GOOGLETRANSLATE(A1893, ""fr"", ""en"")"),"Sale - Cleaning of the parking lots of Wednesday October 12, 2022")</f>
        <v>Sale - Cleaning of the parking lots of Wednesday October 12, 2022</v>
      </c>
    </row>
    <row r="1894">
      <c r="A1894" s="19" t="s">
        <v>1581</v>
      </c>
      <c r="B1894" s="20" t="str">
        <f>IFERROR(__xludf.DUMMYFUNCTION("GOOGLETRANSLATE(A1894, ""fr"", ""en"")"),"FM: Continue Passage Rentokil, check all the bottom of the door and put a broom if necessary (see in reserve)")</f>
        <v>FM: Continue Passage Rentokil, check all the bottom of the door and put a broom if necessary (see in reserve)</v>
      </c>
    </row>
    <row r="1895">
      <c r="A1895" s="19" t="s">
        <v>1582</v>
      </c>
      <c r="B1895" s="20" t="str">
        <f>IFERROR(__xludf.DUMMYFUNCTION("GOOGLETRANSLATE(A1895, ""fr"", ""en"")"),"FM: More current in almost all of the store.")</f>
        <v>FM: More current in almost all of the store.</v>
      </c>
    </row>
    <row r="1896">
      <c r="A1896" s="19" t="s">
        <v>1411</v>
      </c>
      <c r="B1896" s="20" t="str">
        <f>IFERROR(__xludf.DUMMYFUNCTION("GOOGLETRANSLATE(A1896, ""fr"", ""en"")"),"Sale - Cleaning of parking lots on Monday April 17, 2023")</f>
        <v>Sale - Cleaning of parking lots on Monday April 17, 2023</v>
      </c>
    </row>
    <row r="1897">
      <c r="A1897" s="19" t="s">
        <v>1412</v>
      </c>
      <c r="B1897" s="20" t="str">
        <f>IFERROR(__xludf.DUMMYFUNCTION("GOOGLETRANSLATE(A1897, ""fr"", ""en"")"),"Sale - Cleaning of car parks on Wednesday 19/04/2023")</f>
        <v>Sale - Cleaning of car parks on Wednesday 19/04/2023</v>
      </c>
    </row>
    <row r="1898">
      <c r="A1898" s="19" t="s">
        <v>1583</v>
      </c>
      <c r="B1898" s="20" t="str">
        <f>IFERROR(__xludf.DUMMYFUNCTION("GOOGLETRANSLATE(A1898, ""fr"", ""en"")"),"FM: Bakery cleaning - Module 3 - S15. Immerately attach the checklists.")</f>
        <v>FM: Bakery cleaning - Module 3 - S15. Immerately attach the checklists.</v>
      </c>
    </row>
    <row r="1899">
      <c r="A1899" s="19" t="s">
        <v>1584</v>
      </c>
      <c r="B1899" s="20" t="str">
        <f>IFERROR(__xludf.DUMMYFUNCTION("GOOGLETRANSLATE(A1899, ""fr"", ""en"")"),"FM: Caisses Cleaning - Module 2 - S15. Immerately attach the checklists.")</f>
        <v>FM: Caisses Cleaning - Module 2 - S15. Immerately attach the checklists.</v>
      </c>
    </row>
    <row r="1900">
      <c r="A1900" s="19" t="s">
        <v>1414</v>
      </c>
      <c r="B1900" s="20" t="str">
        <f>IFERROR(__xludf.DUMMYFUNCTION("GOOGLETRANSLATE(A1900, ""fr"", ""en"")"),"FM: Raisement zone of Quai following joint table")</f>
        <v>FM: Raisement zone of Quai following joint table</v>
      </c>
    </row>
    <row r="1901">
      <c r="A1901" s="19" t="s">
        <v>1415</v>
      </c>
      <c r="B1901" s="20" t="str">
        <f>IFERROR(__xludf.DUMMYFUNCTION("GOOGLETRANSLATE(A1901, ""fr"", ""en"")"),"FM: Basse window cleaning - Module 7 - S16. Immerately attach the checklists.")</f>
        <v>FM: Basse window cleaning - Module 7 - S16. Immerately attach the checklists.</v>
      </c>
    </row>
    <row r="1902">
      <c r="A1902" s="19" t="s">
        <v>1585</v>
      </c>
      <c r="B1902" s="20" t="str">
        <f>IFERROR(__xludf.DUMMYFUNCTION("GOOGLETRANSLATE(A1902, ""fr"", ""en"")"),"FM: Please intervene for the change of two HS spots. Please replace them with LED spots.")</f>
        <v>FM: Please intervene for the change of two HS spots. Please replace them with LED spots.</v>
      </c>
    </row>
    <row r="1903">
      <c r="A1903" s="19" t="s">
        <v>1586</v>
      </c>
      <c r="B1903" s="20" t="str">
        <f>IFERROR(__xludf.DUMMYFUNCTION("GOOGLETRANSLATE(A1903, ""fr"", ""en"")"),"FM: Following your checklist, the front door for the cold group only holds on a gonding. Provide the weld of a platinum for sealing on the wall :)")</f>
        <v>FM: Following your checklist, the front door for the cold group only holds on a gonding. Provide the weld of a platinum for sealing on the wall :)</v>
      </c>
    </row>
    <row r="1904">
      <c r="A1904" s="19" t="s">
        <v>1587</v>
      </c>
      <c r="B1904" s="20" t="str">
        <f>IFERROR(__xludf.DUMMYFUNCTION("GOOGLETRANSLATE(A1904, ""fr"", ""en"")"),"Hello, please find attached the summary sheet of observations following the passage of the office Veritas for the year 2022. We ask you to kindly raise observations as soon as possible and return to us as soon as the intervention is finished (s ) Document"&amp;" (s) completed (s), signed (s) and hidden by you. Sincerely. Quadrennial")</f>
        <v>Hello, please find attached the summary sheet of observations following the passage of the office Veritas for the year 2022. We ask you to kindly raise observations as soon as possible and return to us as soon as the intervention is finished (s ) Document (s) completed (s), signed (s) and hidden by you. Sincerely. Quadrennial</v>
      </c>
    </row>
    <row r="1905">
      <c r="A1905" s="19" t="s">
        <v>1419</v>
      </c>
      <c r="B1905" s="20" t="str">
        <f>IFERROR(__xludf.DUMMYFUNCTION("GOOGLETRANSLATE(A1905, ""fr"", ""en"")"),"FM: Cleaning according to 7 S38 low window module")</f>
        <v>FM: Cleaning according to 7 S38 low window module</v>
      </c>
    </row>
    <row r="1906">
      <c r="A1906" s="19" t="s">
        <v>1420</v>
      </c>
      <c r="B1906" s="20" t="str">
        <f>IFERROR(__xludf.DUMMYFUNCTION("GOOGLETRANSLATE(A1906, ""fr"", ""en"")"),"Sale - Cleaning of car parks on Friday March 31, 2023")</f>
        <v>Sale - Cleaning of car parks on Friday March 31, 2023</v>
      </c>
    </row>
    <row r="1907">
      <c r="A1907" s="19" t="s">
        <v>1421</v>
      </c>
      <c r="B1907" s="20" t="str">
        <f>IFERROR(__xludf.DUMMYFUNCTION("GOOGLETRANSLATE(A1907, ""fr"", ""en"")"),"Sale - Cleaning of parking lots on Monday April 3, 2023")</f>
        <v>Sale - Cleaning of parking lots on Monday April 3, 2023</v>
      </c>
    </row>
    <row r="1908">
      <c r="A1908" s="19" t="s">
        <v>1422</v>
      </c>
      <c r="B1908" s="20" t="str">
        <f>IFERROR(__xludf.DUMMYFUNCTION("GOOGLETRANSLATE(A1908, ""fr"", ""en"")"),"Sale - Cleaning of parking lots of Wednesday April 19, 2023")</f>
        <v>Sale - Cleaning of parking lots of Wednesday April 19, 2023</v>
      </c>
    </row>
    <row r="1909">
      <c r="A1909" s="19" t="s">
        <v>1423</v>
      </c>
      <c r="B1909" s="20" t="str">
        <f>IFERROR(__xludf.DUMMYFUNCTION("GOOGLETRANSLATE(A1909, ""fr"", ""en"")"),"FM display code: please put the temperature display in supermarkets according to the modop provides")</f>
        <v>FM display code: please put the temperature display in supermarkets according to the modop provides</v>
      </c>
    </row>
    <row r="1910">
      <c r="A1910" s="19" t="s">
        <v>1426</v>
      </c>
      <c r="B1910" s="20" t="str">
        <f>IFERROR(__xludf.DUMMYFUNCTION("GOOGLETRANSLATE(A1910, ""fr"", ""en"")"),"Sale - Cleaning of parking lots on Friday March 10, 2023")</f>
        <v>Sale - Cleaning of parking lots on Friday March 10, 2023</v>
      </c>
    </row>
    <row r="1911">
      <c r="A1911" s="19" t="s">
        <v>1427</v>
      </c>
      <c r="B1911" s="20" t="str">
        <f>IFERROR(__xludf.DUMMYFUNCTION("GOOGLETRANSLATE(A1911, ""fr"", ""en"")"),"Sale - Cleaning of car parks on Friday March 24, 2023")</f>
        <v>Sale - Cleaning of car parks on Friday March 24, 2023</v>
      </c>
    </row>
    <row r="1912">
      <c r="A1912" s="19" t="s">
        <v>1429</v>
      </c>
      <c r="B1912" s="20" t="str">
        <f>IFERROR(__xludf.DUMMYFUNCTION("GOOGLETRANSLATE(A1912, ""fr"", ""en"")"),"Sale - Cleaning of car parks of Friday March 17, 2023")</f>
        <v>Sale - Cleaning of car parks of Friday March 17, 2023</v>
      </c>
    </row>
    <row r="1913">
      <c r="A1913" s="19" t="s">
        <v>1588</v>
      </c>
      <c r="B1913" s="20" t="str">
        <f>IFERROR(__xludf.DUMMYFUNCTION("GOOGLETRANSLATE(A1913, ""fr"", ""en"")"),"FM: claims: Please intervene following the validation of quote n ° 23-00761. Cleaning the car park with high pressure jet following vehicle fires.")</f>
        <v>FM: claims: Please intervene following the validation of quote n ° 23-00761. Cleaning the car park with high pressure jet following vehicle fires.</v>
      </c>
    </row>
    <row r="1914">
      <c r="A1914" s="19" t="s">
        <v>1589</v>
      </c>
      <c r="B1914" s="20" t="str">
        <f>IFERROR(__xludf.DUMMYFUNCTION("GOOGLETRANSLATE(A1914, ""fr"", ""en"")"),"FM: Caisses Cleaning - Module 6 - S28. Immerately attach the checklists.")</f>
        <v>FM: Caisses Cleaning - Module 6 - S28. Immerately attach the checklists.</v>
      </c>
    </row>
    <row r="1915">
      <c r="A1915" s="19" t="s">
        <v>1590</v>
      </c>
      <c r="B1915" s="20" t="str">
        <f>IFERROR(__xludf.DUMMYFUNCTION("GOOGLETRANSLATE(A1915, ""fr"", ""en"")"),"FM: Night deratization. Lidl Fischer store on 07/10/2023 and Lidl Illzach on 07/11/2023.")</f>
        <v>FM: Night deratization. Lidl Fischer store on 07/10/2023 and Lidl Illzach on 07/11/2023.</v>
      </c>
    </row>
    <row r="1916">
      <c r="A1916" s="19" t="s">
        <v>1432</v>
      </c>
      <c r="B1916" s="20" t="str">
        <f>IFERROR(__xludf.DUMMYFUNCTION("GOOGLETRANSLATE(A1916, ""fr"", ""en"")"),"Various RMR sale, as soon as possible
 For :
 -Recuperate the 18 visuals to the consomag cell.
 -Re attract and destroy the visual currently in place.
 -Place in all the SPMs concerned the red visual.
 For information :
 -Dispo Consmag cell")</f>
        <v>Various RMR sale, as soon as possible
 For :
 -Recuperate the 18 visuals to the consomag cell.
 -Re attract and destroy the visual currently in place.
 -Place in all the SPMs concerned the red visual.
 For information :
 -Dispo Consmag cell</v>
      </c>
    </row>
    <row r="1917">
      <c r="A1917" s="19" t="s">
        <v>1591</v>
      </c>
      <c r="B1917" s="20" t="str">
        <f>IFERROR(__xludf.DUMMYFUNCTION("GOOGLETRANSLATE(A1917, ""fr"", ""en"")"),"More current on the set of Labe Pain HS (ovens, slicer, negative cold room) urgent")</f>
        <v>More current on the set of Labe Pain HS (ovens, slicer, negative cold room) urgent</v>
      </c>
    </row>
    <row r="1918">
      <c r="A1918" s="19" t="s">
        <v>1592</v>
      </c>
      <c r="B1918" s="20" t="str">
        <f>IFERROR(__xludf.DUMMYFUNCTION("GOOGLETRANSLATE(A1918, ""fr"", ""en"")"),"FM: At the request of the seat, please check the full brewing of the A1 cabinet. Regarding the 2230, the ping is ko.")</f>
        <v>FM: At the request of the seat, please check the full brewing of the A1 cabinet. Regarding the 2230, the ping is ko.</v>
      </c>
    </row>
    <row r="1919">
      <c r="A1919" s="19" t="s">
        <v>1433</v>
      </c>
      <c r="B1919" s="20" t="str">
        <f>IFERROR(__xludf.DUMMYFUNCTION("GOOGLETRANSLATE(A1919, ""fr"", ""en"")"),"FM: Cleaning according to module n ° 2: boxes.")</f>
        <v>FM: Cleaning according to module n ° 2: boxes.</v>
      </c>
    </row>
    <row r="1920">
      <c r="A1920" s="19" t="s">
        <v>1435</v>
      </c>
      <c r="B1920" s="20" t="str">
        <f>IFERROR(__xludf.DUMMYFUNCTION("GOOGLETRANSLATE(A1920, ""fr"", ""en"")"),"Sale - Cleaning of parking lots on Monday March 20, 2023")</f>
        <v>Sale - Cleaning of parking lots on Monday March 20, 2023</v>
      </c>
    </row>
    <row r="1921">
      <c r="A1921" s="19" t="s">
        <v>1436</v>
      </c>
      <c r="B1921" s="20" t="str">
        <f>IFERROR(__xludf.DUMMYFUNCTION("GOOGLETRANSLATE(A1921, ""fr"", ""en"")"),"Sale - Cleaning of parking lots of Wednesday March 15, 2023")</f>
        <v>Sale - Cleaning of parking lots of Wednesday March 15, 2023</v>
      </c>
    </row>
    <row r="1922">
      <c r="A1922" s="19" t="s">
        <v>1593</v>
      </c>
      <c r="B1922" s="20" t="str">
        <f>IFERROR(__xludf.DUMMYFUNCTION("GOOGLETRANSLATE(A1922, ""fr"", ""en"")"),"FM: Please intervene to cut the old telephone ringing following the passage of Mobi telephony.")</f>
        <v>FM: Please intervene to cut the old telephone ringing following the passage of Mobi telephony.</v>
      </c>
    </row>
    <row r="1923">
      <c r="A1923" s="19" t="s">
        <v>1594</v>
      </c>
      <c r="B1923" s="20" t="str">
        <f>IFERROR(__xludf.DUMMYFUNCTION("GOOGLETRANSLATE(A1923, ""fr"", ""en"")"),"FM: Please intervene following the validation of quote n ° A7E13DV111439. Aavitable repair ties.")</f>
        <v>FM: Please intervene following the validation of quote n ° A7E13DV111439. Aavitable repair ties.</v>
      </c>
    </row>
    <row r="1924">
      <c r="A1924" s="19" t="s">
        <v>1595</v>
      </c>
      <c r="B1924" s="20" t="str">
        <f>IFERROR(__xludf.DUMMYFUNCTION("GOOGLETRANSLATE(A1924, ""fr"", ""en"")"),"FM: Please intervene to replace the HS sodium spots above the FL with LED spots.")</f>
        <v>FM: Please intervene to replace the HS sodium spots above the FL with LED spots.</v>
      </c>
    </row>
    <row r="1925">
      <c r="A1925" s="19" t="s">
        <v>1438</v>
      </c>
      <c r="B1925" s="20" t="str">
        <f>IFERROR(__xludf.DUMMYFUNCTION("GOOGLETRANSLATE(A1925, ""fr"", ""en"")"),"FM: Cleaning according to module n ° 3: Bakery Planning S32")</f>
        <v>FM: Cleaning according to module n ° 3: Bakery Planning S32</v>
      </c>
    </row>
    <row r="1926">
      <c r="A1926" s="19" t="s">
        <v>1439</v>
      </c>
      <c r="B1926" s="20" t="str">
        <f>IFERROR(__xludf.DUMMYFUNCTION("GOOGLETRANSLATE(A1926, ""fr"", ""en"")"),"FM: cleaning 7 low window module according to July planning S30")</f>
        <v>FM: cleaning 7 low window module according to July planning S30</v>
      </c>
    </row>
    <row r="1927">
      <c r="A1927" s="19" t="s">
        <v>1596</v>
      </c>
      <c r="B1927" s="20" t="str">
        <f>IFERROR(__xludf.DUMMYFUNCTION("GOOGLETRANSLATE(A1927, ""fr"", ""en"")"),"FM: Please intervene for the connection of the SFR box to Switch equipment.")</f>
        <v>FM: Please intervene for the connection of the SFR box to Switch equipment.</v>
      </c>
    </row>
    <row r="1928">
      <c r="A1928" s="19" t="s">
        <v>1454</v>
      </c>
      <c r="B1928" s="20" t="str">
        <f>IFERROR(__xludf.DUMMYFUNCTION("GOOGLETRANSLATE(A1928, ""fr"", ""en"")"),"Sale - Cleaning of parking lots of Wednesday February 21, 2023")</f>
        <v>Sale - Cleaning of parking lots of Wednesday February 21, 2023</v>
      </c>
    </row>
    <row r="1929">
      <c r="A1929" s="19" t="s">
        <v>1441</v>
      </c>
      <c r="B1929" s="20" t="str">
        <f>IFERROR(__xludf.DUMMYFUNCTION("GOOGLETRANSLATE(A1929, ""fr"", ""en"")"),"Sale - Cleaning of parking lots on Monday, February 27, 2023")</f>
        <v>Sale - Cleaning of parking lots on Monday, February 27, 2023</v>
      </c>
    </row>
    <row r="1930">
      <c r="A1930" s="19" t="s">
        <v>1442</v>
      </c>
      <c r="B1930" s="20" t="str">
        <f>IFERROR(__xludf.DUMMYFUNCTION("GOOGLETRANSLATE(A1930, ""fr"", ""en"")"),"Sale - Cleaning of car parks on Friday February 24, 2022")</f>
        <v>Sale - Cleaning of car parks on Friday February 24, 2022</v>
      </c>
    </row>
    <row r="1931">
      <c r="A1931" s="19" t="s">
        <v>1443</v>
      </c>
      <c r="B1931" s="20" t="str">
        <f>IFERROR(__xludf.DUMMYFUNCTION("GOOGLETRANSLATE(A1931, ""fr"", ""en"")"),"Sale - Cleaning of parking lots Wednesday January 25, 2023")</f>
        <v>Sale - Cleaning of parking lots Wednesday January 25, 2023</v>
      </c>
    </row>
    <row r="1932">
      <c r="A1932" s="19" t="s">
        <v>1444</v>
      </c>
      <c r="B1932" s="20" t="str">
        <f>IFERROR(__xludf.DUMMYFUNCTION("GOOGLETRANSLATE(A1932, ""fr"", ""en"")"),"Sale - Cleaning of parking lots on Monday, February 20, 2023")</f>
        <v>Sale - Cleaning of parking lots on Monday, February 20, 2023</v>
      </c>
    </row>
    <row r="1933">
      <c r="A1933" s="19" t="s">
        <v>1445</v>
      </c>
      <c r="B1933" s="20" t="str">
        <f>IFERROR(__xludf.DUMMYFUNCTION("GOOGLETRANSLATE(A1933, ""fr"", ""en"")"),"Sale - Cleaning of parking lots on Monday January 23, 2023")</f>
        <v>Sale - Cleaning of parking lots on Monday January 23, 2023</v>
      </c>
    </row>
    <row r="1934">
      <c r="A1934" s="19" t="s">
        <v>1446</v>
      </c>
      <c r="B1934" s="20" t="str">
        <f>IFERROR(__xludf.DUMMYFUNCTION("GOOGLETRANSLATE(A1934, ""fr"", ""en"")"),"Sale - Cleaning of parking lots on Monday March 6, 2023")</f>
        <v>Sale - Cleaning of parking lots on Monday March 6, 2023</v>
      </c>
    </row>
    <row r="1935">
      <c r="A1935" s="19" t="s">
        <v>1447</v>
      </c>
      <c r="B1935" s="20" t="str">
        <f>IFERROR(__xludf.DUMMYFUNCTION("GOOGLETRANSLATE(A1935, ""fr"", ""en"")"),"Sale - Cleaning of the parking lots of Wednesday March 1, 2023")</f>
        <v>Sale - Cleaning of the parking lots of Wednesday March 1, 2023</v>
      </c>
    </row>
    <row r="1936">
      <c r="A1936" s="19" t="s">
        <v>1448</v>
      </c>
      <c r="B1936" s="20" t="str">
        <f>IFERROR(__xludf.DUMMYFUNCTION("GOOGLETRANSLATE(A1936, ""fr"", ""en"")"),"Sale - Cleaning of parking lots Wednesday, February 15, 2023")</f>
        <v>Sale - Cleaning of parking lots Wednesday, February 15, 2023</v>
      </c>
    </row>
    <row r="1937">
      <c r="A1937" s="19" t="s">
        <v>1449</v>
      </c>
      <c r="B1937" s="20" t="str">
        <f>IFERROR(__xludf.DUMMYFUNCTION("GOOGLETRANSLATE(A1937, ""fr"", ""en"")"),"Sale - cleaning of parking lots on Monday January 9, 2023")</f>
        <v>Sale - cleaning of parking lots on Monday January 9, 2023</v>
      </c>
    </row>
    <row r="1938">
      <c r="A1938" s="19" t="s">
        <v>1450</v>
      </c>
      <c r="B1938" s="20" t="str">
        <f>IFERROR(__xludf.DUMMYFUNCTION("GOOGLETRANSLATE(A1938, ""fr"", ""en"")"),"Sale - Cleaning of parking lots on Monday January 2, 2023")</f>
        <v>Sale - Cleaning of parking lots on Monday January 2, 2023</v>
      </c>
    </row>
    <row r="1939">
      <c r="A1939" s="19" t="s">
        <v>1451</v>
      </c>
      <c r="B1939" s="20" t="str">
        <f>IFERROR(__xludf.DUMMYFUNCTION("GOOGLETRANSLATE(A1939, ""fr"", ""en"")"),"Sale - Cleaning of the parking lots of Wednesday January 11, 2023")</f>
        <v>Sale - Cleaning of the parking lots of Wednesday January 11, 2023</v>
      </c>
    </row>
    <row r="1940">
      <c r="A1940" s="19" t="s">
        <v>1452</v>
      </c>
      <c r="B1940" s="20" t="str">
        <f>IFERROR(__xludf.DUMMYFUNCTION("GOOGLETRANSLATE(A1940, ""fr"", ""en"")"),"Sale - Cleaning of parking lots on Monday, February 13, 2023")</f>
        <v>Sale - Cleaning of parking lots on Monday, February 13, 2023</v>
      </c>
    </row>
    <row r="1941">
      <c r="A1941" s="19" t="s">
        <v>1453</v>
      </c>
      <c r="B1941" s="20" t="str">
        <f>IFERROR(__xludf.DUMMYFUNCTION("GOOGLETRANSLATE(A1941, ""fr"", ""en"")"),"Sale - Cleaning of parking lots of Wednesday January 4, 2023")</f>
        <v>Sale - Cleaning of parking lots of Wednesday January 4, 2023</v>
      </c>
    </row>
    <row r="1942">
      <c r="A1942" s="19" t="s">
        <v>1456</v>
      </c>
      <c r="B1942" s="20" t="str">
        <f>IFERROR(__xludf.DUMMYFUNCTION("GOOGLETRANSLATE(A1942, ""fr"", ""en"")"),"Sale - Cleaning of car parks on Friday February 17, 2023")</f>
        <v>Sale - Cleaning of car parks on Friday February 17, 2023</v>
      </c>
    </row>
    <row r="1943">
      <c r="A1943" s="19" t="s">
        <v>1457</v>
      </c>
      <c r="B1943" s="20" t="str">
        <f>IFERROR(__xludf.DUMMYFUNCTION("GOOGLETRANSLATE(A1943, ""fr"", ""en"")"),"FM: Thank you for reconnecting the water heaters in the kitchens and bakery.")</f>
        <v>FM: Thank you for reconnecting the water heaters in the kitchens and bakery.</v>
      </c>
    </row>
    <row r="1944">
      <c r="A1944" s="19" t="s">
        <v>1458</v>
      </c>
      <c r="B1944" s="20" t="str">
        <f>IFERROR(__xludf.DUMMYFUNCTION("GOOGLETRANSLATE(A1944, ""fr"", ""en"")"),"FM: Control if the TGBT room is accessible from outside. If so, can we access it with the 7/7 key? If not, take the measurement of the cylinder to order. See Mail Ali from 30/12.")</f>
        <v>FM: Control if the TGBT room is accessible from outside. If so, can we access it with the 7/7 key? If not, take the measurement of the cylinder to order. See Mail Ali from 30/12.</v>
      </c>
    </row>
    <row r="1945">
      <c r="A1945" s="19" t="s">
        <v>1455</v>
      </c>
      <c r="B1945" s="20" t="str">
        <f>IFERROR(__xludf.DUMMYFUNCTION("GOOGLETRANSLATE(A1945, ""fr"", ""en"")"),"Sale - Cleaning of parking lots of Wednesday, February 8, 2023")</f>
        <v>Sale - Cleaning of parking lots of Wednesday, February 8, 2023</v>
      </c>
    </row>
    <row r="1946">
      <c r="A1946" s="19" t="s">
        <v>1459</v>
      </c>
      <c r="B1946" s="20" t="str">
        <f>IFERROR(__xludf.DUMMYFUNCTION("GOOGLETRANSLATE(A1946, ""fr"", ""en"")"),"FM: Please control during your passages if the ""Welcome"" logo is hidden by a world record relay (see photo). If so, please remove the logo behind the locker.")</f>
        <v>FM: Please control during your passages if the "Welcome" logo is hidden by a world record relay (see photo). If so, please remove the logo behind the locker.</v>
      </c>
    </row>
    <row r="1947">
      <c r="A1947" s="19" t="s">
        <v>1462</v>
      </c>
      <c r="B1947" s="20" t="str">
        <f>IFERROR(__xludf.DUMMYFUNCTION("GOOGLETRANSLATE(A1947, ""fr"", ""en"")"),"FM: Ba sheet code - Install the adhesives safety instructions.
 Deadline 04/30/2023")</f>
        <v>FM: Ba sheet code - Install the adhesives safety instructions.
 Deadline 04/30/2023</v>
      </c>
    </row>
    <row r="1948">
      <c r="A1948" s="19" t="s">
        <v>1463</v>
      </c>
      <c r="B1948" s="20" t="str">
        <f>IFERROR(__xludf.DUMMYFUNCTION("GOOGLETRANSLATE(A1948, ""fr"", ""en"")"),"FM: Victoire Video surveillance Display According to Mail d'Ali from 30/12.")</f>
        <v>FM: Victoire Video surveillance Display According to Mail d'Ali from 30/12.</v>
      </c>
    </row>
    <row r="1949">
      <c r="A1949" s="19" t="s">
        <v>1597</v>
      </c>
      <c r="B1949" s="20" t="str">
        <f>IFERROR(__xludf.DUMMYFUNCTION("GOOGLETRANSLATE(A1949, ""fr"", ""en"")"),"FM: Please intervene for harmful night cleaning on 06/23/2023.")</f>
        <v>FM: Please intervene for harmful night cleaning on 06/23/2023.</v>
      </c>
    </row>
    <row r="1950">
      <c r="A1950" s="19" t="s">
        <v>1465</v>
      </c>
      <c r="B1950" s="20" t="str">
        <f>IFERROR(__xludf.DUMMYFUNCTION("GOOGLETRANSLATE(A1950, ""fr"", ""en"")"),"FM: Cleaning Park with carts - 12 - S29 module. Immerately attach the checklists.")</f>
        <v>FM: Cleaning Park with carts - 12 - S29 module. Immerately attach the checklists.</v>
      </c>
    </row>
    <row r="1951">
      <c r="A1951" s="19" t="s">
        <v>1598</v>
      </c>
      <c r="B1951" s="20" t="str">
        <f>IFERROR(__xludf.DUMMYFUNCTION("GOOGLETRANSLATE(A1951, ""fr"", ""en"")"),"FM: Please carry out a harmful check following the passage of 06/23/2023")</f>
        <v>FM: Please carry out a harmful check following the passage of 06/23/2023</v>
      </c>
    </row>
    <row r="1952">
      <c r="A1952" s="19" t="s">
        <v>1466</v>
      </c>
      <c r="B1952" s="20" t="str">
        <f>IFERROR(__xludf.DUMMYFUNCTION("GOOGLETRANSLATE(A1952, ""fr"", ""en"")"),"Various sale RMR Visual installation campaign aggressiveness price.
 To be done before S31 for the entire DR 02, or 69 SPM.
 Installation detail See PDF")</f>
        <v>Various sale RMR Visual installation campaign aggressiveness price.
 To be done before S31 for the entire DR 02, or 69 SPM.
 Installation detail See PDF</v>
      </c>
    </row>
    <row r="1953">
      <c r="A1953" s="19" t="s">
        <v>1599</v>
      </c>
      <c r="B1953" s="20" t="str">
        <f>IFERROR(__xludf.DUMMYFUNCTION("GOOGLETRANSLATE(A1953, ""fr"", ""en"")"),"FM: Please intervene for cleaning the FL / SAS input and flowers / bakery / bakery / cash outlets - to be done on Monday 12/06 from 6:00 am (transmit corresponding checklists to have and buffer, and specify that it is also necessary to clean under the pod"&amp;"iums FL).")</f>
        <v>FM: Please intervene for cleaning the FL / SAS input and flowers / bakery / bakery / cash outlets - to be done on Monday 12/06 from 6:00 am (transmit corresponding checklists to have and buffer, and specify that it is also necessary to clean under the podiums FL).</v>
      </c>
    </row>
    <row r="1954">
      <c r="A1954" s="19" t="s">
        <v>1600</v>
      </c>
      <c r="B1954" s="20" t="str">
        <f>IFERROR(__xludf.DUMMYFUNCTION("GOOGLETRANSLATE(A1954, ""fr"", ""en"")"),"FM: Please intervene following the validation of quote n ° 23-00747. Cleaning the high and low cladding.")</f>
        <v>FM: Please intervene following the validation of quote n ° 23-00747. Cleaning the high and low cladding.</v>
      </c>
    </row>
    <row r="1955">
      <c r="A1955" s="19" t="s">
        <v>1471</v>
      </c>
      <c r="B1955" s="20" t="str">
        <f>IFERROR(__xludf.DUMMYFUNCTION("GOOGLETRANSLATE(A1955, ""fr"", ""en"")"),"Sale - Cleaning of car parks of Friday May 26, 2023")</f>
        <v>Sale - Cleaning of car parks of Friday May 26, 2023</v>
      </c>
    </row>
    <row r="1956">
      <c r="A1956" s="19" t="s">
        <v>1473</v>
      </c>
      <c r="B1956" s="20" t="str">
        <f>IFERROR(__xludf.DUMMYFUNCTION("GOOGLETRANSLATE(A1956, ""fr"", ""en"")"),"Sale - Cleaning of parking lots on Monday June 19, 2023")</f>
        <v>Sale - Cleaning of parking lots on Monday June 19, 2023</v>
      </c>
    </row>
    <row r="1957">
      <c r="A1957" s="19" t="s">
        <v>1472</v>
      </c>
      <c r="B1957" s="20" t="str">
        <f>IFERROR(__xludf.DUMMYFUNCTION("GOOGLETRANSLATE(A1957, ""fr"", ""en"")"),"Sale - Cleaning of parking lots of Wednesday May 24, 2023")</f>
        <v>Sale - Cleaning of parking lots of Wednesday May 24, 2023</v>
      </c>
    </row>
    <row r="1958">
      <c r="A1958" s="19" t="s">
        <v>1474</v>
      </c>
      <c r="B1958" s="20" t="str">
        <f>IFERROR(__xludf.DUMMYFUNCTION("GOOGLETRANSLATE(A1958, ""fr"", ""en"")"),"Sale - Cleaning of parking lots on Monday June 12, 2023")</f>
        <v>Sale - Cleaning of parking lots on Monday June 12, 2023</v>
      </c>
    </row>
    <row r="1959">
      <c r="A1959" s="19" t="s">
        <v>1475</v>
      </c>
      <c r="B1959" s="20" t="str">
        <f>IFERROR(__xludf.DUMMYFUNCTION("GOOGLETRANSLATE(A1959, ""fr"", ""en"")"),"Sale - Cleaning of parking lots on Monday June 5, 2023")</f>
        <v>Sale - Cleaning of parking lots on Monday June 5, 2023</v>
      </c>
    </row>
    <row r="1960">
      <c r="A1960" s="19" t="s">
        <v>1476</v>
      </c>
      <c r="B1960" s="20" t="str">
        <f>IFERROR(__xludf.DUMMYFUNCTION("GOOGLETRANSLATE(A1960, ""fr"", ""en"")"),"Sale - Cleaning of parking lots on Friday June 16, 2023")</f>
        <v>Sale - Cleaning of parking lots on Friday June 16, 2023</v>
      </c>
    </row>
    <row r="1961">
      <c r="A1961" s="19" t="s">
        <v>1477</v>
      </c>
      <c r="B1961" s="20" t="str">
        <f>IFERROR(__xludf.DUMMYFUNCTION("GOOGLETRANSLATE(A1961, ""fr"", ""en"")"),"Sale - Cleaning of parking lots Wednesday, May 31, 2023")</f>
        <v>Sale - Cleaning of parking lots Wednesday, May 31, 2023</v>
      </c>
    </row>
    <row r="1962">
      <c r="A1962" s="19" t="s">
        <v>1478</v>
      </c>
      <c r="B1962" s="20" t="str">
        <f>IFERROR(__xludf.DUMMYFUNCTION("GOOGLETRANSLATE(A1962, ""fr"", ""en"")"),"Sale - Cleaning of parking lots of Wednesday May 17, 2023")</f>
        <v>Sale - Cleaning of parking lots of Wednesday May 17, 2023</v>
      </c>
    </row>
    <row r="1963">
      <c r="A1963" s="19" t="s">
        <v>1479</v>
      </c>
      <c r="B1963" s="20" t="str">
        <f>IFERROR(__xludf.DUMMYFUNCTION("GOOGLETRANSLATE(A1963, ""fr"", ""en"")"),"FM: Please change the DSB MDP during your next visit.")</f>
        <v>FM: Please change the DSB MDP during your next visit.</v>
      </c>
    </row>
    <row r="1964">
      <c r="A1964" s="19" t="s">
        <v>1601</v>
      </c>
      <c r="B1964" s="20" t="str">
        <f>IFERROR(__xludf.DUMMYFUNCTION("GOOGLETRANSLATE(A1964, ""fr"", ""en"")"),"FM: Please change the DSB MDP during your next visit.")</f>
        <v>FM: Please change the DSB MDP during your next visit.</v>
      </c>
    </row>
    <row r="1965">
      <c r="A1965" s="19" t="s">
        <v>1602</v>
      </c>
      <c r="B1965" s="20" t="str">
        <f>IFERROR(__xludf.DUMMYFUNCTION("GOOGLETRANSLATE(A1965, ""fr"", ""en"")"),"FM: Following TV removal report, please intervene for a cold defect that night.")</f>
        <v>FM: Following TV removal report, please intervene for a cold defect that night.</v>
      </c>
    </row>
    <row r="1966">
      <c r="A1966" s="19" t="s">
        <v>1603</v>
      </c>
      <c r="B1966" s="20" t="str">
        <f>IFERROR(__xludf.DUMMYFUNCTION("GOOGLETRANSLATE(A1966, ""fr"", ""en"")"),"FM: request following validation quote n ° 22149. Disconnector replacement.")</f>
        <v>FM: request following validation quote n ° 22149. Disconnector replacement.</v>
      </c>
    </row>
    <row r="1967">
      <c r="A1967" s="19" t="s">
        <v>1604</v>
      </c>
      <c r="B1967" s="20" t="str">
        <f>IFERROR(__xludf.DUMMYFUNCTION("GOOGLETRANSLATE(A1967, ""fr"", ""en"")"),"FM: Please intervene following a cold defect this weekend lasting at 7:35 p.m.")</f>
        <v>FM: Please intervene following a cold defect this weekend lasting at 7:35 p.m.</v>
      </c>
    </row>
    <row r="1968">
      <c r="A1968" s="19" t="s">
        <v>1481</v>
      </c>
      <c r="B1968" s="20" t="str">
        <f>IFERROR(__xludf.DUMMYFUNCTION("GOOGLETRANSLATE(A1968, ""fr"", ""en"")"),"Hello, please find attached the summary sheet of observations following the passage of the office Veritas for the year 2022. We ask you to kindly raise observations as soon as possible and return to us as soon as the intervention is finished (s ) Document"&amp;" (s) completed (s), signed (s) and hidden by you. Sincerely.")</f>
        <v>Hello, please find attached the summary sheet of observations following the passage of the office Veritas for the year 2022. We ask you to kindly raise observations as soon as possible and return to us as soon as the intervention is finished (s ) Document (s) completed (s), signed (s) and hidden by you. Sincerely.</v>
      </c>
    </row>
    <row r="1969">
      <c r="A1969" s="19" t="s">
        <v>1483</v>
      </c>
      <c r="B1969" s="20" t="str">
        <f>IFERROR(__xludf.DUMMYFUNCTION("GOOGLETRANSLATE(A1969, ""fr"", ""en"")"),"Sale - Cleaning of the parking lots of Wednesday, February 1, 2023")</f>
        <v>Sale - Cleaning of the parking lots of Wednesday, February 1, 2023</v>
      </c>
    </row>
    <row r="1970">
      <c r="A1970" s="19" t="s">
        <v>1484</v>
      </c>
      <c r="B1970" s="20" t="str">
        <f>IFERROR(__xludf.DUMMYFUNCTION("GOOGLETRANSLATE(A1970, ""fr"", ""en"")"),"Sale - Cleaning of parking lots on Friday February 3, 2023")</f>
        <v>Sale - Cleaning of parking lots on Friday February 3, 2023</v>
      </c>
    </row>
    <row r="1971">
      <c r="A1971" s="19" t="s">
        <v>1605</v>
      </c>
      <c r="B1971" s="20" t="str">
        <f>IFERROR(__xludf.DUMMYFUNCTION("GOOGLETRANSLATE(A1971, ""fr"", ""en"")"),"FM: Please replace the headlands heads following a joint quote and joint table")</f>
        <v>FM: Please replace the headlands heads following a joint quote and joint table</v>
      </c>
    </row>
    <row r="1972">
      <c r="A1972" s="19" t="s">
        <v>1486</v>
      </c>
      <c r="B1972" s="20" t="str">
        <f>IFERROR(__xludf.DUMMYFUNCTION("GOOGLETRANSLATE(A1972, ""fr"", ""en"")"),"FM ECO ECL: extinguish COVVID counting systems at the input of SPMs. Deadline at the end of January.")</f>
        <v>FM ECO ECL: extinguish COVVID counting systems at the input of SPMs. Deadline at the end of January.</v>
      </c>
    </row>
    <row r="1973">
      <c r="A1973" s="19" t="s">
        <v>1487</v>
      </c>
      <c r="B1973" s="20" t="str">
        <f>IFERROR(__xludf.DUMMYFUNCTION("GOOGLETRANSLATE(A1973, ""fr"", ""en"")"),"Sale - Cleaning of parking lots on Monday, November 21, 2022")</f>
        <v>Sale - Cleaning of parking lots on Monday, November 21, 2022</v>
      </c>
    </row>
    <row r="1974">
      <c r="A1974" s="19" t="s">
        <v>1488</v>
      </c>
      <c r="B1974" s="20" t="str">
        <f>IFERROR(__xludf.DUMMYFUNCTION("GOOGLETRANSLATE(A1974, ""fr"", ""en"")"),"Sale - Cleaning of the parking lots of Wednesday December 21, 2022")</f>
        <v>Sale - Cleaning of the parking lots of Wednesday December 21, 2022</v>
      </c>
    </row>
    <row r="1975">
      <c r="A1975" s="19" t="s">
        <v>1489</v>
      </c>
      <c r="B1975" s="20" t="str">
        <f>IFERROR(__xludf.DUMMYFUNCTION("GOOGLETRANSLATE(A1975, ""fr"", ""en"")"),"Sale - Cleaning of car parks of Friday January 13, 2023")</f>
        <v>Sale - Cleaning of car parks of Friday January 13, 2023</v>
      </c>
    </row>
    <row r="1976">
      <c r="A1976" s="19" t="s">
        <v>1490</v>
      </c>
      <c r="B1976" s="20" t="str">
        <f>IFERROR(__xludf.DUMMYFUNCTION("GOOGLETRANSLATE(A1976, ""fr"", ""en"")"),"Sale - Cleaning of parking lots on Monday, December 19, 2022")</f>
        <v>Sale - Cleaning of parking lots on Monday, December 19, 2022</v>
      </c>
    </row>
    <row r="1977">
      <c r="A1977" s="19" t="s">
        <v>1491</v>
      </c>
      <c r="B1977" s="20" t="str">
        <f>IFERROR(__xludf.DUMMYFUNCTION("GOOGLETRANSLATE(A1977, ""fr"", ""en"")"),"Sale - Cleaning of parking lots of Wednesday, November 9, 2022")</f>
        <v>Sale - Cleaning of parking lots of Wednesday, November 9, 2022</v>
      </c>
    </row>
    <row r="1978">
      <c r="A1978" s="19" t="s">
        <v>1493</v>
      </c>
      <c r="B1978" s="20" t="str">
        <f>IFERROR(__xludf.DUMMYFUNCTION("GOOGLETRANSLATE(A1978, ""fr"", ""en"")"),"Sale - Cleaning of car parks on Friday January 6, 2023")</f>
        <v>Sale - Cleaning of car parks on Friday January 6, 2023</v>
      </c>
    </row>
    <row r="1979">
      <c r="A1979" s="19" t="s">
        <v>1494</v>
      </c>
      <c r="B1979" s="20" t="str">
        <f>IFERROR(__xludf.DUMMYFUNCTION("GOOGLETRANSLATE(A1979, ""fr"", ""en"")"),"Sale - Cleaning of parking lots on Friday January 20, 2023")</f>
        <v>Sale - Cleaning of parking lots on Friday January 20, 2023</v>
      </c>
    </row>
    <row r="1980">
      <c r="A1980" s="19" t="s">
        <v>1495</v>
      </c>
      <c r="B1980" s="20" t="str">
        <f>IFERROR(__xludf.DUMMYFUNCTION("GOOGLETRANSLATE(A1980, ""fr"", ""en"")"),"Sale - Cleaning of parking lots on Monday October 24, 2022")</f>
        <v>Sale - Cleaning of parking lots on Monday October 24, 2022</v>
      </c>
    </row>
    <row r="1981">
      <c r="A1981" s="19" t="s">
        <v>1492</v>
      </c>
      <c r="B1981" s="20" t="str">
        <f>IFERROR(__xludf.DUMMYFUNCTION("GOOGLETRANSLATE(A1981, ""fr"", ""en"")"),"Sale - Cleaning of parking lots of Wednesday, December 7, 2022")</f>
        <v>Sale - Cleaning of parking lots of Wednesday, December 7, 2022</v>
      </c>
    </row>
    <row r="1982">
      <c r="A1982" s="19" t="s">
        <v>1496</v>
      </c>
      <c r="B1982" s="20" t="str">
        <f>IFERROR(__xludf.DUMMYFUNCTION("GOOGLETRANSLATE(A1982, ""fr"", ""en"")"),"Sale - Cleaning of car parks on Friday February 10, 2023")</f>
        <v>Sale - Cleaning of car parks on Friday February 10, 2023</v>
      </c>
    </row>
    <row r="1983">
      <c r="A1983" s="19" t="s">
        <v>1497</v>
      </c>
      <c r="B1983" s="20" t="str">
        <f>IFERROR(__xludf.DUMMYFUNCTION("GOOGLETRANSLATE(A1983, ""fr"", ""en"")"),"Sale - Cleaning of parking lots on Monday, November 14, 2022")</f>
        <v>Sale - Cleaning of parking lots on Monday, November 14, 2022</v>
      </c>
    </row>
    <row r="1984">
      <c r="A1984" s="19" t="s">
        <v>1498</v>
      </c>
      <c r="B1984" s="20" t="str">
        <f>IFERROR(__xludf.DUMMYFUNCTION("GOOGLETRANSLATE(A1984, ""fr"", ""en"")"),"Sale - Cleaning of the parking lots of Wednesday October 25, 2022")</f>
        <v>Sale - Cleaning of the parking lots of Wednesday October 25, 2022</v>
      </c>
    </row>
    <row r="1985">
      <c r="A1985" s="19" t="s">
        <v>1499</v>
      </c>
      <c r="B1985" s="20" t="str">
        <f>IFERROR(__xludf.DUMMYFUNCTION("GOOGLETRANSLATE(A1985, ""fr"", ""en"")"),"Sale - Cleaning of the parking lots of Wednesday, November 16, 2022")</f>
        <v>Sale - Cleaning of the parking lots of Wednesday, November 16, 2022</v>
      </c>
    </row>
    <row r="1986">
      <c r="A1986" s="19" t="s">
        <v>1500</v>
      </c>
      <c r="B1986" s="20" t="str">
        <f>IFERROR(__xludf.DUMMYFUNCTION("GOOGLETRANSLATE(A1986, ""fr"", ""en"")"),"Sale - Cleaning of parking lots on Monday October 17, 2022")</f>
        <v>Sale - Cleaning of parking lots on Monday October 17, 2022</v>
      </c>
    </row>
    <row r="1987">
      <c r="A1987" s="19" t="s">
        <v>1501</v>
      </c>
      <c r="B1987" s="20" t="str">
        <f>IFERROR(__xludf.DUMMYFUNCTION("GOOGLETRANSLATE(A1987, ""fr"", ""en"")"),"Sale - Cleaning of parking lots on Monday, December 5, 2022")</f>
        <v>Sale - Cleaning of parking lots on Monday, December 5, 2022</v>
      </c>
    </row>
    <row r="1988">
      <c r="A1988" s="19" t="s">
        <v>1503</v>
      </c>
      <c r="B1988" s="20" t="str">
        <f>IFERROR(__xludf.DUMMYFUNCTION("GOOGLETRANSLATE(A1988, ""fr"", ""en"")"),"Sale - Cleaning of parking lots on Monday September 26, 2022")</f>
        <v>Sale - Cleaning of parking lots on Monday September 26, 2022</v>
      </c>
    </row>
    <row r="1989">
      <c r="A1989" s="19" t="s">
        <v>1502</v>
      </c>
      <c r="B1989" s="20" t="str">
        <f>IFERROR(__xludf.DUMMYFUNCTION("GOOGLETRANSLATE(A1989, ""fr"", ""en"")"),"Sale - Cleaning of parking lots on Monday, November 7, 2022")</f>
        <v>Sale - Cleaning of parking lots on Monday, November 7, 2022</v>
      </c>
    </row>
    <row r="1990">
      <c r="A1990" s="19" t="s">
        <v>1504</v>
      </c>
      <c r="B1990" s="20" t="str">
        <f>IFERROR(__xludf.DUMMYFUNCTION("GOOGLETRANSLATE(A1990, ""fr"", ""en"")"),"Sale - Cleaning of parking lots of Wednesday October 19, 2022")</f>
        <v>Sale - Cleaning of parking lots of Wednesday October 19, 2022</v>
      </c>
    </row>
    <row r="1991">
      <c r="A1991" s="19" t="s">
        <v>1506</v>
      </c>
      <c r="B1991" s="20" t="str">
        <f>IFERROR(__xludf.DUMMYFUNCTION("GOOGLETRANSLATE(A1991, ""fr"", ""en"")"),"Sale - Cleaning of parking lots on Monday, November 28, 2022")</f>
        <v>Sale - Cleaning of parking lots on Monday, November 28, 2022</v>
      </c>
    </row>
    <row r="1992">
      <c r="A1992" s="19" t="s">
        <v>1505</v>
      </c>
      <c r="B1992" s="20" t="str">
        <f>IFERROR(__xludf.DUMMYFUNCTION("GOOGLETRANSLATE(A1992, ""fr"", ""en"")"),"Sale - Cleaning of parking lots on Monday December 12, 2022")</f>
        <v>Sale - Cleaning of parking lots on Monday December 12, 2022</v>
      </c>
    </row>
    <row r="1993">
      <c r="A1993" s="19" t="s">
        <v>1606</v>
      </c>
      <c r="B1993" s="20" t="str">
        <f>IFERROR(__xludf.DUMMYFUNCTION("GOOGLETRANSLATE(A1993, ""fr"", ""en"")"),"FM: Thank you for intervening following a letter from the city of Mulhouse to over-consumption of water. Please control the meter index compared to that noted and check the sanitary facilities after meter (see attached mail). The bill will have to be anti"&amp;"-dating before June 9.")</f>
        <v>FM: Thank you for intervening following a letter from the city of Mulhouse to over-consumption of water. Please control the meter index compared to that noted and check the sanitary facilities after meter (see attached mail). The bill will have to be anti-dating before June 9.</v>
      </c>
    </row>
    <row r="1994">
      <c r="A1994" s="19" t="s">
        <v>1423</v>
      </c>
      <c r="B1994" s="20" t="str">
        <f>IFERROR(__xludf.DUMMYFUNCTION("GOOGLETRANSLATE(A1994, ""fr"", ""en"")"),"FM display code: please put the temperature display in supermarkets according to the modop provides")</f>
        <v>FM display code: please put the temperature display in supermarkets according to the modop provides</v>
      </c>
    </row>
    <row r="1995">
      <c r="A1995" s="19" t="s">
        <v>1607</v>
      </c>
      <c r="B1995" s="20" t="str">
        <f>IFERROR(__xludf.DUMMYFUNCTION("GOOGLETRANSLATE(A1995, ""fr"", ""en"")"),"FM: electrical disconnection of the metal curtain which is HS and not repaired.")</f>
        <v>FM: electrical disconnection of the metal curtain which is HS and not repaired.</v>
      </c>
    </row>
    <row r="1996">
      <c r="A1996" s="19" t="s">
        <v>1508</v>
      </c>
      <c r="B1996" s="20" t="str">
        <f>IFERROR(__xludf.DUMMYFUNCTION("GOOGLETRANSLATE(A1996, ""fr"", ""en"")"),"FM: Module 7: Please intervene for clean window cleaning. Do not forget to ask for the RPS and the checklist of control signed and stamped by the supermarket.")</f>
        <v>FM: Module 7: Please intervene for clean window cleaning. Do not forget to ask for the RPS and the checklist of control signed and stamped by the supermarket.</v>
      </c>
    </row>
    <row r="1997">
      <c r="A1997" s="19" t="s">
        <v>1509</v>
      </c>
      <c r="B1997" s="20" t="str">
        <f>IFERROR(__xludf.DUMMYFUNCTION("GOOGLETRANSLATE(A1997, ""fr"", ""en"")"),"FM: Module 2: Please intervene for the full cleaning of the boxes. Do not forget to ask for the RPS and the checklist of control signed and stamped by the supermarket.")</f>
        <v>FM: Module 2: Please intervene for the full cleaning of the boxes. Do not forget to ask for the RPS and the checklist of control signed and stamped by the supermarket.</v>
      </c>
    </row>
    <row r="1998">
      <c r="A1998" s="19" t="s">
        <v>1510</v>
      </c>
      <c r="B1998" s="20" t="str">
        <f>IFERROR(__xludf.DUMMYFUNCTION("GOOGLETRANSLATE(A1998, ""fr"", ""en"")"),"FM: Module 3: Please intervene for the complete cleaning of the bakery. You don't forget to ask the RPS and the checklist of control signed and stamped by the supermarket.")</f>
        <v>FM: Module 3: Please intervene for the complete cleaning of the bakery. You don't forget to ask the RPS and the checklist of control signed and stamped by the supermarket.</v>
      </c>
    </row>
    <row r="1999">
      <c r="A1999" s="19" t="s">
        <v>1608</v>
      </c>
      <c r="B1999" s="20" t="str">
        <f>IFERROR(__xludf.DUMMYFUNCTION("GOOGLETRANSLATE(A1999, ""fr"", ""en"")"),"FM: Following audit, 1 TPE cache is missing + orientation of the camera on the public highway, please turn it.")</f>
        <v>FM: Following audit, 1 TPE cache is missing + orientation of the camera on the public highway, please turn it.</v>
      </c>
    </row>
    <row r="2000">
      <c r="A2000" s="19" t="s">
        <v>1513</v>
      </c>
      <c r="B2000" s="20" t="str">
        <f>IFERROR(__xludf.DUMMYFUNCTION("GOOGLETRANSLATE(A2000, ""fr"", ""en"")"),"Sale - Cleaning of car parks of Friday January 27, 2023")</f>
        <v>Sale - Cleaning of car parks of Friday January 27, 2023</v>
      </c>
    </row>
    <row r="2001">
      <c r="A2001" s="19" t="s">
        <v>1514</v>
      </c>
      <c r="B2001" s="20" t="str">
        <f>IFERROR(__xludf.DUMMYFUNCTION("GOOGLETRANSLATE(A2001, ""fr"", ""en"")"),"Sale - Cleaning of parking lots on Monday January 30, 2023")</f>
        <v>Sale - Cleaning of parking lots on Monday January 30, 2023</v>
      </c>
    </row>
    <row r="2002">
      <c r="A2002" s="19" t="s">
        <v>1486</v>
      </c>
      <c r="B2002" s="20" t="str">
        <f>IFERROR(__xludf.DUMMYFUNCTION("GOOGLETRANSLATE(A2002, ""fr"", ""en"")"),"FM ECO ECL: extinguish COVVID counting systems at the input of SPMs. Deadline at the end of January.")</f>
        <v>FM ECO ECL: extinguish COVVID counting systems at the input of SPMs. Deadline at the end of January.</v>
      </c>
    </row>
    <row r="2003">
      <c r="A2003" s="19" t="s">
        <v>1516</v>
      </c>
      <c r="B2003" s="20" t="str">
        <f>IFERROR(__xludf.DUMMYFUNCTION("GOOGLETRANSLATE(A2003, ""fr"", ""en"")"),"Sale - Cleaning of car parks of Friday November 4, 2022")</f>
        <v>Sale - Cleaning of car parks of Friday November 4, 2022</v>
      </c>
    </row>
    <row r="2004">
      <c r="A2004" s="19" t="s">
        <v>1609</v>
      </c>
      <c r="B2004" s="20" t="str">
        <f>IFERROR(__xludf.DUMMYFUNCTION("GOOGLETRANSLATE(A2004, ""fr"", ""en"")"),"detector does not work when you try to go out through the entrance")</f>
        <v>detector does not work when you try to go out through the entrance</v>
      </c>
    </row>
    <row r="2005">
      <c r="A2005" s="19" t="s">
        <v>1610</v>
      </c>
      <c r="B2005" s="20" t="str">
        <f>IFERROR(__xludf.DUMMYFUNCTION("GOOGLETRANSLATE(A2005, ""fr"", ""en"")"),"FM: request following validation quote n ° 22-00708. Removing pub panels.")</f>
        <v>FM: request following validation quote n ° 22-00708. Removing pub panels.</v>
      </c>
    </row>
    <row r="2006">
      <c r="A2006" s="19" t="s">
        <v>1611</v>
      </c>
      <c r="B2006" s="20" t="str">
        <f>IFERROR(__xludf.DUMMYFUNCTION("GOOGLETRANSLATE(A2006, ""fr"", ""en"")"),"FM: request following validation quote n ° FQ2304210178. RPCT engine int.")</f>
        <v>FM: request following validation quote n ° FQ2304210178. RPCT engine int.</v>
      </c>
    </row>
    <row r="2007">
      <c r="A2007" s="19" t="s">
        <v>1520</v>
      </c>
      <c r="B2007" s="20" t="str">
        <f>IFERROR(__xludf.DUMMYFUNCTION("GOOGLETRANSLATE(A2007, ""fr"", ""en"")"),"Sale - Cleaning of parking lots on Friday December 30, 2022")</f>
        <v>Sale - Cleaning of parking lots on Friday December 30, 2022</v>
      </c>
    </row>
    <row r="2008">
      <c r="A2008" s="19" t="s">
        <v>1521</v>
      </c>
      <c r="B2008" s="20" t="str">
        <f>IFERROR(__xludf.DUMMYFUNCTION("GOOGLETRANSLATE(A2008, ""fr"", ""en"")"),"Sale - Cleaning of the car parks of Wednesday 28/12/2022")</f>
        <v>Sale - Cleaning of the car parks of Wednesday 28/12/2022</v>
      </c>
    </row>
    <row r="2009">
      <c r="A2009" s="19" t="s">
        <v>1522</v>
      </c>
      <c r="B2009" s="20" t="str">
        <f>IFERROR(__xludf.DUMMYFUNCTION("GOOGLETRANSLATE(A2009, ""fr"", ""en"")"),"Sale - Cleaning of parking lots of Friday, December 23, 2022")</f>
        <v>Sale - Cleaning of parking lots of Friday, December 23, 2022</v>
      </c>
    </row>
    <row r="2010">
      <c r="A2010" s="19" t="s">
        <v>1523</v>
      </c>
      <c r="B2010" s="20" t="str">
        <f>IFERROR(__xludf.DUMMYFUNCTION("GOOGLETRANSLATE(A2010, ""fr"", ""en"")"),"Sale - Cleaning of car parks on Friday December 16, 2022")</f>
        <v>Sale - Cleaning of car parks on Friday December 16, 2022</v>
      </c>
    </row>
    <row r="2011">
      <c r="A2011" s="19" t="s">
        <v>1524</v>
      </c>
      <c r="B2011" s="20" t="str">
        <f>IFERROR(__xludf.DUMMYFUNCTION("GOOGLETRANSLATE(A2011, ""fr"", ""en"")"),"Sale - Cleaning of car parks of Friday November 25, 2022")</f>
        <v>Sale - Cleaning of car parks of Friday November 25, 2022</v>
      </c>
    </row>
    <row r="2012">
      <c r="A2012" s="19" t="s">
        <v>1525</v>
      </c>
      <c r="B2012" s="20" t="str">
        <f>IFERROR(__xludf.DUMMYFUNCTION("GOOGLETRANSLATE(A2012, ""fr"", ""en"")"),"Sale - Cleaning of parking lots of Wednesday December 28, 2022")</f>
        <v>Sale - Cleaning of parking lots of Wednesday December 28, 2022</v>
      </c>
    </row>
    <row r="2013">
      <c r="A2013" s="19" t="s">
        <v>1526</v>
      </c>
      <c r="B2013" s="20" t="str">
        <f>IFERROR(__xludf.DUMMYFUNCTION("GOOGLETRANSLATE(A2013, ""fr"", ""en"")"),"FM: Caisses Cleaning - Module 2 S47-48.")</f>
        <v>FM: Caisses Cleaning - Module 2 S47-48.</v>
      </c>
    </row>
    <row r="2014">
      <c r="A2014" s="19" t="s">
        <v>1527</v>
      </c>
      <c r="B2014" s="20" t="str">
        <f>IFERROR(__xludf.DUMMYFUNCTION("GOOGLETRANSLATE(A2014, ""fr"", ""en"")"),"FM: Bakery cleaning - 3 S49-50 module.")</f>
        <v>FM: Bakery cleaning - 3 S49-50 module.</v>
      </c>
    </row>
    <row r="2015">
      <c r="A2015" s="19" t="s">
        <v>1528</v>
      </c>
      <c r="B2015" s="20" t="str">
        <f>IFERROR(__xludf.DUMMYFUNCTION("GOOGLETRANSLATE(A2015, ""fr"", ""en"")"),"FM: Basse window cleaning - Module 7 - S46 and 47.")</f>
        <v>FM: Basse window cleaning - Module 7 - S46 and 47.</v>
      </c>
    </row>
    <row r="2016">
      <c r="A2016" s="19" t="s">
        <v>1612</v>
      </c>
      <c r="B2016" s="20" t="str">
        <f>IFERROR(__xludf.DUMMYFUNCTION("GOOGLETRANSLATE(A2016, ""fr"", ""en"")"),"FM: Please intervene for a cleaning 4 reserve for the 2807, to be done on 05/26 at 9:00 am (schedule requested to respect).
 Please send us a confirmation by email from the acceptance of the cleaning request.")</f>
        <v>FM: Please intervene for a cleaning 4 reserve for the 2807, to be done on 05/26 at 9:00 am (schedule requested to respect).
 Please send us a confirmation by email from the acceptance of the cleaning request.</v>
      </c>
    </row>
    <row r="2017">
      <c r="A2017" s="19" t="s">
        <v>1613</v>
      </c>
      <c r="B2017" s="20" t="str">
        <f>IFERROR(__xludf.DUMMYFUNCTION("GOOGLETRANSLATE(A2017, ""fr"", ""en"")"),"FM: Please find attached the summary sheet of observations following the passage of the Bureau Véritas for the year 2023. We ask you to clear the observations as soon as possible and to return to us as soon as the intervention is completed (S ) Document ("&amp;"s) completed (s), signed (s) and hidden by you. Regards.elec")</f>
        <v>FM: Please find attached the summary sheet of observations following the passage of the Bureau Véritas for the year 2023. We ask you to clear the observations as soon as possible and to return to us as soon as the intervention is completed (S ) Document (s) completed (s), signed (s) and hidden by you. Regards.elec</v>
      </c>
    </row>
    <row r="2018">
      <c r="A2018" s="19" t="s">
        <v>1614</v>
      </c>
      <c r="B2018" s="20" t="str">
        <f>IFERROR(__xludf.DUMMYFUNCTION("GOOGLETRANSLATE(A2018, ""fr"", ""en"")"),"FM: CF- to your next passage.")</f>
        <v>FM: CF- to your next passage.</v>
      </c>
    </row>
    <row r="2019">
      <c r="A2019" s="19" t="s">
        <v>1615</v>
      </c>
      <c r="B2019" s="20" t="str">
        <f>IFERROR(__xludf.DUMMYFUNCTION("GOOGLETRANSLATE(A2019, ""fr"", ""en"")"),"FM: Please find attached the summary sheet of observations following the passage of the Bureau Véritas for the year 2023. We ask you to clear the observations as soon as possible and to return to us as soon as the intervention is completed (S ) Document ("&amp;"s) completed (s), signed (s) and hidden by you. Sincerely. ERP")</f>
        <v>FM: Please find attached the summary sheet of observations following the passage of the Bureau Véritas for the year 2023. We ask you to clear the observations as soon as possible and to return to us as soon as the intervention is completed (S ) Document (s) completed (s), signed (s) and hidden by you. Sincerely. ERP</v>
      </c>
    </row>
    <row r="2020">
      <c r="A2020" s="19" t="s">
        <v>1530</v>
      </c>
      <c r="B2020" s="20" t="str">
        <f>IFERROR(__xludf.DUMMYFUNCTION("GOOGLETRANSLATE(A2020, ""fr"", ""en"")"),"FM: Eco Lighting: adjustment of the extinction instructions, according to the following instructions: 1- SPM classified in priority 1 in the PJ table: Reluming the sales area 100% except lettering on the walls. The lettering ""special offers"" and on the "&amp;"bread ark must be on. // 2- SPM classified in prio 2 and 3 in the table in PJ: Relum only the spots on the bakery area, FL, cosmetics, boxes, fresh, frozen furniture and bins. Lettrages on the walls must remain extinguished (except ""special offers"" and "&amp;"on the bread ark). // Plan the sites according to the order of priority indicated. The reserves and social premises partially extinguished are not affected by this readjustment. On the other hand, the reserves and social premises that had not been optimiz"&amp;"ed during the first wave are to be optimized. For SPMs requiring a nacelle, please group these stores in order to optimize the rental of the nacelle, imperatively transmit the quote before intervention. Return a recap to the progress of the tour every Fri"&amp;"day to Ali and Benjamin.")</f>
        <v>FM: Eco Lighting: adjustment of the extinction instructions, according to the following instructions: 1- SPM classified in priority 1 in the PJ table: Reluming the sales area 100% except lettering on the walls. The lettering "special offers" and on the bread ark must be on. // 2- SPM classified in prio 2 and 3 in the table in PJ: Relum only the spots on the bakery area, FL, cosmetics, boxes, fresh, frozen furniture and bins. Lettrages on the walls must remain extinguished (except "special offers" and on the bread ark). // Plan the sites according to the order of priority indicated. The reserves and social premises partially extinguished are not affected by this readjustment. On the other hand, the reserves and social premises that had not been optimized during the first wave are to be optimized. For SPMs requiring a nacelle, please group these stores in order to optimize the rental of the nacelle, imperatively transmit the quote before intervention. Return a recap to the progress of the tour every Friday to Ali and Benjamin.</v>
      </c>
    </row>
    <row r="2021">
      <c r="A2021" s="19" t="s">
        <v>1531</v>
      </c>
      <c r="B2021" s="20" t="str">
        <f>IFERROR(__xludf.DUMMYFUNCTION("GOOGLETRANSLATE(A2021, ""fr"", ""en"")"),"Sale - Cleaning of parking lots on Friday December 9, 2022")</f>
        <v>Sale - Cleaning of parking lots on Friday December 9, 2022</v>
      </c>
    </row>
    <row r="2022">
      <c r="A2022" s="19" t="s">
        <v>1616</v>
      </c>
      <c r="B2022" s="20" t="str">
        <f>IFERROR(__xludf.DUMMYFUNCTION("GOOGLETRANSLATE(A2022, ""fr"", ""en"")"),"FM: Please intervene to repair leaks.")</f>
        <v>FM: Please intervene to repair leaks.</v>
      </c>
    </row>
    <row r="2023">
      <c r="A2023" s="19" t="s">
        <v>1537</v>
      </c>
      <c r="B2023" s="20" t="str">
        <f>IFERROR(__xludf.DUMMYFUNCTION("GOOGLETRANSLATE(A2023, ""fr"", ""en"")"),"Sale - Cleaning of car parks on Friday December 2, 2022")</f>
        <v>Sale - Cleaning of car parks on Friday December 2, 2022</v>
      </c>
    </row>
    <row r="2024">
      <c r="A2024" s="19" t="s">
        <v>1617</v>
      </c>
      <c r="B2024" s="20" t="str">
        <f>IFERROR(__xludf.DUMMYFUNCTION("GOOGLETRANSLATE(A2024, ""fr"", ""en"")"),"FM: Following TV removal report, please intervene for 2 cold flaws that night.")</f>
        <v>FM: Following TV removal report, please intervene for 2 cold flaws that night.</v>
      </c>
    </row>
    <row r="2025">
      <c r="A2025" s="19" t="s">
        <v>1618</v>
      </c>
      <c r="B2025" s="20" t="str">
        <f>IFERROR(__xludf.DUMMYFUNCTION("GOOGLETRANSLATE(A2025, ""fr"", ""en"")"),"FM Please intervene in an emergency following HS inverter electric cut no boxes no bo and no cold alarm")</f>
        <v>FM Please intervene in an emergency following HS inverter electric cut no boxes no bo and no cold alarm</v>
      </c>
    </row>
    <row r="2026">
      <c r="A2026" s="19" t="s">
        <v>1619</v>
      </c>
      <c r="B2026" s="20" t="str">
        <f>IFERROR(__xludf.DUMMYFUNCTION("GOOGLETRANSLATE(A2026, ""fr"", ""en"")"),"Decaling closure ad from 7:30 p.m. to 8 p.m.")</f>
        <v>Decaling closure ad from 7:30 p.m. to 8 p.m.</v>
      </c>
    </row>
    <row r="2027">
      <c r="A2027" s="19" t="s">
        <v>1620</v>
      </c>
      <c r="B2027" s="20" t="str">
        <f>IFERROR(__xludf.DUMMYFUNCTION("GOOGLETRANSLATE(A2027, ""fr"", ""en"")"),"FM: Please intervene on Tuesday 03/21/2023 to disconnect the alarm from the CF-, the stopping will be done by the staff the same evening and to intervene on Wednesday 22/03/2023 at the end afternoon to put it back into office.")</f>
        <v>FM: Please intervene on Tuesday 03/21/2023 to disconnect the alarm from the CF-, the stopping will be done by the staff the same evening and to intervene on Wednesday 22/03/2023 at the end afternoon to put it back into office.</v>
      </c>
    </row>
    <row r="2028">
      <c r="A2028" s="19" t="s">
        <v>1621</v>
      </c>
      <c r="B2028" s="20" t="str">
        <f>IFERROR(__xludf.DUMMYFUNCTION("GOOGLETRANSLATE(A2028, ""fr"", ""en"")"),"FM: redo the driving fixings.")</f>
        <v>FM: redo the driving fixings.</v>
      </c>
    </row>
    <row r="2029">
      <c r="A2029" s="19" t="s">
        <v>1622</v>
      </c>
      <c r="B2029" s="20" t="str">
        <f>IFERROR(__xludf.DUMMYFUNCTION("GOOGLETRANSLATE(A2029, ""fr"", ""en"")"),"FM: Thank you for restarting the water heaters.")</f>
        <v>FM: Thank you for restarting the water heaters.</v>
      </c>
    </row>
    <row r="2030">
      <c r="A2030" s="19" t="s">
        <v>1539</v>
      </c>
      <c r="B2030" s="20" t="str">
        <f>IFERROR(__xludf.DUMMYFUNCTION("GOOGLETRANSLATE(A2030, ""fr"", ""en"")"),"Sale - Cleaning of parking lots of Wednesday April 5, 2023")</f>
        <v>Sale - Cleaning of parking lots of Wednesday April 5, 2023</v>
      </c>
    </row>
    <row r="2031">
      <c r="A2031" s="19" t="s">
        <v>1446</v>
      </c>
      <c r="B2031" s="20" t="str">
        <f>IFERROR(__xludf.DUMMYFUNCTION("GOOGLETRANSLATE(A2031, ""fr"", ""en"")"),"Sale - Cleaning of parking lots on Monday March 6, 2023")</f>
        <v>Sale - Cleaning of parking lots on Monday March 6, 2023</v>
      </c>
    </row>
    <row r="2032">
      <c r="A2032" s="19" t="s">
        <v>1540</v>
      </c>
      <c r="B2032" s="20" t="str">
        <f>IFERROR(__xludf.DUMMYFUNCTION("GOOGLETRANSLATE(A2032, ""fr"", ""en"")"),"Sale - Cleaning of parking lots on Monday March 13, 2023")</f>
        <v>Sale - Cleaning of parking lots on Monday March 13, 2023</v>
      </c>
    </row>
    <row r="2033">
      <c r="A2033" s="19" t="s">
        <v>1541</v>
      </c>
      <c r="B2033" s="20" t="str">
        <f>IFERROR(__xludf.DUMMYFUNCTION("GOOGLETRANSLATE(A2033, ""fr"", ""en"")"),"Sale - Cleaning of parking lots of Wednesday, April 26, 2023")</f>
        <v>Sale - Cleaning of parking lots of Wednesday, April 26, 2023</v>
      </c>
    </row>
    <row r="2034">
      <c r="A2034" s="19" t="s">
        <v>1542</v>
      </c>
      <c r="B2034" s="20" t="str">
        <f>IFERROR(__xludf.DUMMYFUNCTION("GOOGLETRANSLATE(A2034, ""fr"", ""en"")"),"Sale - Cleaning of parking lots on Monday April 24, 2023")</f>
        <v>Sale - Cleaning of parking lots on Monday April 24, 2023</v>
      </c>
    </row>
    <row r="2035">
      <c r="A2035" s="19" t="s">
        <v>1623</v>
      </c>
      <c r="B2035" s="20" t="str">
        <f>IFERROR(__xludf.DUMMYFUNCTION("GOOGLETRANSLATE(A2035, ""fr"", ""en"")"),"FM: Abnormal water consumption, please check.")</f>
        <v>FM: Abnormal water consumption, please check.</v>
      </c>
    </row>
    <row r="2036">
      <c r="A2036" s="19" t="s">
        <v>1543</v>
      </c>
      <c r="B2036" s="20" t="str">
        <f>IFERROR(__xludf.DUMMYFUNCTION("GOOGLETRANSLATE(A2036, ""fr"", ""en"")"),"Sale - Cleaning of car parks on Monday October 31, 2022")</f>
        <v>Sale - Cleaning of car parks on Monday October 31, 2022</v>
      </c>
    </row>
    <row r="2037">
      <c r="A2037" s="19" t="s">
        <v>1544</v>
      </c>
      <c r="B2037" s="20" t="str">
        <f>IFERROR(__xludf.DUMMYFUNCTION("GOOGLETRANSLATE(A2037, ""fr"", ""en"")"),"FM Eco Lighting: please set up the eco lighting mode following operating mode in PJ.")</f>
        <v>FM Eco Lighting: please set up the eco lighting mode following operating mode in PJ.</v>
      </c>
    </row>
    <row r="2038">
      <c r="A2038" s="19" t="s">
        <v>1624</v>
      </c>
      <c r="B2038" s="20" t="str">
        <f>IFERROR(__xludf.DUMMYFUNCTION("GOOGLETRANSLATE(A2038, ""fr"", ""en"")"),"FM: Please intervene, neon in TG Bac Surg no longer works")</f>
        <v>FM: Please intervene, neon in TG Bac Surg no longer works</v>
      </c>
    </row>
    <row r="2039">
      <c r="A2039" s="19" t="s">
        <v>1625</v>
      </c>
      <c r="B2039" s="20" t="str">
        <f>IFERROR(__xludf.DUMMYFUNCTION("GOOGLETRANSLATE(A2039, ""fr"", ""en"")"),"FM: The lighting side and conveyor is permanently on.")</f>
        <v>FM: The lighting side and conveyor is permanently on.</v>
      </c>
    </row>
    <row r="2040">
      <c r="A2040" s="19" t="s">
        <v>1626</v>
      </c>
      <c r="B2040" s="20" t="str">
        <f>IFERROR(__xludf.DUMMYFUNCTION("GOOGLETRANSLATE(A2040, ""fr"", ""en"")"),"FM: request following validation quote n ° FQ2304170238. RPCT engine int.")</f>
        <v>FM: request following validation quote n ° FQ2304170238. RPCT engine int.</v>
      </c>
    </row>
    <row r="2041">
      <c r="A2041" s="19" t="s">
        <v>1627</v>
      </c>
      <c r="B2041" s="20" t="str">
        <f>IFERROR(__xludf.DUMMYFUNCTION("GOOGLETRANSLATE(A2041, ""fr"", ""en"")"),"FM: Please put resin on the ground in front of the CF - (see photo).")</f>
        <v>FM: Please put resin on the ground in front of the CF - (see photo).</v>
      </c>
    </row>
    <row r="2042">
      <c r="A2042" s="19" t="s">
        <v>1390</v>
      </c>
      <c r="B2042" s="20" t="str">
        <f>IFERROR(__xludf.DUMMYFUNCTION("GOOGLETRANSLATE(A2042, ""fr"", ""en"")"),"Various RMR sale for all DR02 SPMs to do before the end S31voir Devis
 Install the Visuals of the Aggressiveness Price campaign. The detail is in the joint pdf")</f>
        <v>Various RMR sale for all DR02 SPMs to do before the end S31voir Devis
 Install the Visuals of the Aggressiveness Price campaign. The detail is in the joint pdf</v>
      </c>
    </row>
    <row r="2043">
      <c r="A2043" s="19" t="s">
        <v>1628</v>
      </c>
      <c r="B2043" s="20" t="str">
        <f>IFERROR(__xludf.DUMMYFUNCTION("GOOGLETRANSLATE(A2043, ""fr"", ""en"")"),"2808 Wintzenheim: No connected ovens. Intervene to configure the oven and ensure that the connection is OK // 2813 KINGERSHEIM: 2 ovens / 3 not connected. Intervene to configure the oven and ensure that the connection is OK // 3445 Oberhausbergen: 1 oven "&amp;"/ 2 not connected. Intervene to configure the oven and ensure that the connection is OK // 4047 Schiltigheim Fischer: 2 IP not connected. Intervene to configure the oven and make sure the connection is ok")</f>
        <v>2808 Wintzenheim: No connected ovens. Intervene to configure the oven and ensure that the connection is OK // 2813 KINGERSHEIM: 2 ovens / 3 not connected. Intervene to configure the oven and ensure that the connection is OK // 3445 Oberhausbergen: 1 oven / 2 not connected. Intervene to configure the oven and ensure that the connection is OK // 4047 Schiltigheim Fischer: 2 IP not connected. Intervene to configure the oven and make sure the connection is ok</v>
      </c>
    </row>
    <row r="2044">
      <c r="A2044" s="19" t="s">
        <v>1629</v>
      </c>
      <c r="B2044" s="20" t="str">
        <f>IFERROR(__xludf.DUMMYFUNCTION("GOOGLETRANSLATE(A2044, ""fr"", ""en"")"),"FM: missing protection see reserve")</f>
        <v>FM: missing protection see reserve</v>
      </c>
    </row>
    <row r="2045">
      <c r="A2045" s="19" t="s">
        <v>1630</v>
      </c>
      <c r="B2045" s="20" t="str">
        <f>IFERROR(__xludf.DUMMYFUNCTION("GOOGLETRANSLATE(A2045, ""fr"", ""en"")"),"FM: Urgent broken cylinder, big difficulties in lifting the plate")</f>
        <v>FM: Urgent broken cylinder, big difficulties in lifting the plate</v>
      </c>
    </row>
    <row r="2046">
      <c r="A2046" s="19" t="s">
        <v>1631</v>
      </c>
      <c r="B2046" s="20" t="str">
        <f>IFERROR(__xludf.DUMMYFUNCTION("GOOGLETRANSLATE(A2046, ""fr"", ""en"")"),"FM: Thank you for intervening following the validation of the quote n ° FQ2306280136. Installation of an IXIO in RPCT of safety cells.")</f>
        <v>FM: Thank you for intervening following the validation of the quote n ° FQ2306280136. Installation of an IXIO in RPCT of safety cells.</v>
      </c>
    </row>
    <row r="2047">
      <c r="A2047" s="19" t="s">
        <v>1632</v>
      </c>
      <c r="B2047" s="20" t="str">
        <f>IFERROR(__xludf.DUMMYFUNCTION("GOOGLETRANSLATE(A2047, ""fr"", ""en"")"),"FM: request following validation quote n ° GF14-23-02-327285-A. Replacement of supporter sheets.")</f>
        <v>FM: request following validation quote n ° GF14-23-02-327285-A. Replacement of supporter sheets.</v>
      </c>
    </row>
    <row r="2048">
      <c r="A2048" s="19" t="s">
        <v>1633</v>
      </c>
      <c r="B2048" s="20" t="str">
        <f>IFERROR(__xludf.DUMMYFUNCTION("GOOGLETRANSLATE(A2048, ""fr"", ""en"")"),"FM: VVP window tour with MSK on June 7.")</f>
        <v>FM: VVP window tour with MSK on June 7.</v>
      </c>
    </row>
    <row r="2049">
      <c r="A2049" s="19" t="s">
        <v>1634</v>
      </c>
      <c r="B2049" s="20" t="str">
        <f>IFERROR(__xludf.DUMMYFUNCTION("GOOGLETRANSLATE(A2049, ""fr"", ""en"")"),"FM: leak condenser watering. Broken")</f>
        <v>FM: leak condenser watering. Broken</v>
      </c>
    </row>
    <row r="2050">
      <c r="A2050" s="19" t="s">
        <v>1635</v>
      </c>
      <c r="B2050" s="20" t="str">
        <f>IFERROR(__xludf.DUMMYFUNCTION("GOOGLETRANSLATE(A2050, ""fr"", ""en"")"),"FM: Basse window cleaning - Module 7 - S31. Immerately attach the checklists.")</f>
        <v>FM: Basse window cleaning - Module 7 - S31. Immerately attach the checklists.</v>
      </c>
    </row>
    <row r="2051">
      <c r="A2051" s="19" t="s">
        <v>1636</v>
      </c>
      <c r="B2051" s="20" t="str">
        <f>IFERROR(__xludf.DUMMYFUNCTION("GOOGLETRANSLATE(A2051, ""fr"", ""en"")"),"FM: Cleaning park with carts - 12 - S31 module. Immerately attach the checklists.")</f>
        <v>FM: Cleaning park with carts - 12 - S31 module. Immerately attach the checklists.</v>
      </c>
    </row>
    <row r="2052">
      <c r="A2052" s="19" t="s">
        <v>1637</v>
      </c>
      <c r="B2052" s="20" t="str">
        <f>IFERROR(__xludf.DUMMYFUNCTION("GOOGLETRANSLATE(A2052, ""fr"", ""en"")"),"FM: Wiesheu intervention suite, intervene to check the RJ45 sockets as well as brewing berries.")</f>
        <v>FM: Wiesheu intervention suite, intervene to check the RJ45 sockets as well as brewing berries.</v>
      </c>
    </row>
    <row r="2053">
      <c r="A2053" s="19" t="s">
        <v>1638</v>
      </c>
      <c r="B2053" s="20" t="str">
        <f>IFERROR(__xludf.DUMMYFUNCTION("GOOGLETRANSLATE(A2053, ""fr"", ""en"")"),"Audit structure: Please intervene to resume the smoke extraction, see PJ sheet.")</f>
        <v>Audit structure: Please intervene to resume the smoke extraction, see PJ sheet.</v>
      </c>
    </row>
    <row r="2054">
      <c r="A2054" s="19" t="s">
        <v>1639</v>
      </c>
      <c r="B2054" s="20" t="str">
        <f>IFERROR(__xludf.DUMMYFUNCTION("GOOGLETRANSLATE(A2054, ""fr"", ""en"")"),"FM: Thank you for intervening following the validation of quote n ° FQ2307030093. RPCT of the right vertical rail.")</f>
        <v>FM: Thank you for intervening following the validation of quote n ° FQ2307030093. RPCT of the right vertical rail.</v>
      </c>
    </row>
    <row r="2055">
      <c r="A2055" s="19" t="s">
        <v>1640</v>
      </c>
      <c r="B2055" s="20" t="str">
        <f>IFERROR(__xludf.DUMMYFUNCTION("GOOGLETRANSLATE(A2055, ""fr"", ""en"")"),"FM: CHECK-LIST AT: Please repaint the doors of the social.")</f>
        <v>FM: CHECK-LIST AT: Please repaint the doors of the social.</v>
      </c>
    </row>
    <row r="2056">
      <c r="A2056" s="19" t="s">
        <v>1641</v>
      </c>
      <c r="B2056" s="20" t="str">
        <f>IFERROR(__xludf.DUMMYFUNCTION("GOOGLETRANSLATE(A2056, ""fr"", ""en"")"),"FM: Thank you for intervening following the validation of the estimate N ° GF 14-22-06-248813-A. RPCT of a cache -Cordon profile on the right side on the CF - Bakery.")</f>
        <v>FM: Thank you for intervening following the validation of the estimate N ° GF 14-22-06-248813-A. RPCT of a cache -Cordon profile on the right side on the CF - Bakery.</v>
      </c>
    </row>
    <row r="2057">
      <c r="A2057" s="19" t="s">
        <v>1642</v>
      </c>
      <c r="B2057" s="20" t="str">
        <f>IFERROR(__xludf.DUMMYFUNCTION("GOOGLETRANSLATE(A2057, ""fr"", ""en"")"),"FM: Tour with SNEF Integrator weeks 18 and 19 according to Planning.")</f>
        <v>FM: Tour with SNEF Integrator weeks 18 and 19 according to Planning.</v>
      </c>
    </row>
    <row r="2058">
      <c r="A2058" s="19" t="s">
        <v>1643</v>
      </c>
      <c r="B2058" s="20" t="str">
        <f>IFERROR(__xludf.DUMMYFUNCTION("GOOGLETRANSLATE(A2058, ""fr"", ""en"")"),"FM: Please intervene following a cold defect that night.")</f>
        <v>FM: Please intervene following a cold defect that night.</v>
      </c>
    </row>
    <row r="2059">
      <c r="A2059" s="19" t="s">
        <v>1644</v>
      </c>
      <c r="B2059" s="20" t="str">
        <f>IFERROR(__xludf.DUMMYFUNCTION("GOOGLETRANSLATE(A2059, ""fr"", ""en"")"),"FM: Please intervene to replace the handle of CF- (already reported by one of your tech).")</f>
        <v>FM: Please intervene to replace the handle of CF- (already reported by one of your tech).</v>
      </c>
    </row>
    <row r="2060">
      <c r="A2060" s="19" t="s">
        <v>1574</v>
      </c>
      <c r="B2060" s="20" t="str">
        <f>IFERROR(__xludf.DUMMYFUNCTION("GOOGLETRANSLATE(A2060, ""fr"", ""en"")"),"FM: Code: Connection Fours: Please intervene for the verification of the network connection.")</f>
        <v>FM: Code: Connection Fours: Please intervene for the verification of the network connection.</v>
      </c>
    </row>
    <row r="2061">
      <c r="A2061" s="19" t="s">
        <v>1645</v>
      </c>
      <c r="B2061" s="20" t="str">
        <f>IFERROR(__xludf.DUMMYFUNCTION("GOOGLETRANSLATE(A2061, ""fr"", ""en"")"),"FM: cold alarm dysfunction")</f>
        <v>FM: cold alarm dysfunction</v>
      </c>
    </row>
    <row r="2062">
      <c r="A2062" s="19" t="s">
        <v>1646</v>
      </c>
      <c r="B2062" s="20" t="str">
        <f>IFERROR(__xludf.DUMMYFUNCTION("GOOGLETRANSLATE(A2062, ""fr"", ""en"")"),"FM: Please intervene today for cleaning the reserve")</f>
        <v>FM: Please intervene today for cleaning the reserve</v>
      </c>
    </row>
    <row r="2063">
      <c r="A2063" s="19" t="s">
        <v>1647</v>
      </c>
      <c r="B2063" s="20" t="str">
        <f>IFERROR(__xludf.DUMMYFUNCTION("GOOGLETRANSLATE(A2063, ""fr"", ""en"")"),"FM: Following audit, please install a soap and paper wipe-outs paper to the customer wc.")</f>
        <v>FM: Following audit, please install a soap and paper wipe-outs paper to the customer wc.</v>
      </c>
    </row>
    <row r="2064">
      <c r="A2064" s="19" t="s">
        <v>1648</v>
      </c>
      <c r="B2064" s="20" t="str">
        <f>IFERROR(__xludf.DUMMYFUNCTION("GOOGLETRANSLATE(A2064, ""fr"", ""en"")"),"FM: Thank you for intervening, the jack of the platform is HS.")</f>
        <v>FM: Thank you for intervening, the jack of the platform is HS.</v>
      </c>
    </row>
    <row r="2065">
      <c r="A2065" s="19" t="s">
        <v>1649</v>
      </c>
      <c r="B2065" s="20" t="str">
        <f>IFERROR(__xludf.DUMMYFUNCTION("GOOGLETRANSLATE(A2065, ""fr"", ""en"")"),"FM: DSB code replacement during your next visit.")</f>
        <v>FM: DSB code replacement during your next visit.</v>
      </c>
    </row>
    <row r="2066">
      <c r="A2066" s="19" t="s">
        <v>1650</v>
      </c>
      <c r="B2066" s="20" t="str">
        <f>IFERROR(__xludf.DUMMYFUNCTION("GOOGLETRANSLATE(A2066, ""fr"", ""en"")"),"FM: Please intervene following the validation of quote n ° 0202049. Placement of 8 Lego standard blocks.")</f>
        <v>FM: Please intervene following the validation of quote n ° 0202049. Placement of 8 Lego standard blocks.</v>
      </c>
    </row>
    <row r="2067">
      <c r="A2067" s="19" t="s">
        <v>1410</v>
      </c>
      <c r="B2067" s="20" t="str">
        <f>IFERROR(__xludf.DUMMYFUNCTION("GOOGLETRANSLATE(A2067, ""fr"", ""en"")"),"Sale - Cleaning of the parking lots of Wednesday October 12, 2022")</f>
        <v>Sale - Cleaning of the parking lots of Wednesday October 12, 2022</v>
      </c>
    </row>
    <row r="2068">
      <c r="A2068" s="19" t="s">
        <v>1651</v>
      </c>
      <c r="B2068" s="20" t="str">
        <f>IFERROR(__xludf.DUMMYFUNCTION("GOOGLETRANSLATE(A2068, ""fr"", ""en"")"),"FM: Guarding on February 10 from 5:00 am for work in the parking lot of the Chinese restaurant. Thank you for staying until the end of the work. Seen by phone with Kamel.")</f>
        <v>FM: Guarding on February 10 from 5:00 am for work in the parking lot of the Chinese restaurant. Thank you for staying until the end of the work. Seen by phone with Kamel.</v>
      </c>
    </row>
    <row r="2069">
      <c r="A2069" s="19" t="s">
        <v>1412</v>
      </c>
      <c r="B2069" s="20" t="str">
        <f>IFERROR(__xludf.DUMMYFUNCTION("GOOGLETRANSLATE(A2069, ""fr"", ""en"")"),"Sale - Cleaning of car parks on Wednesday 19/04/2023")</f>
        <v>Sale - Cleaning of car parks on Wednesday 19/04/2023</v>
      </c>
    </row>
    <row r="2070">
      <c r="A2070" s="19" t="s">
        <v>1414</v>
      </c>
      <c r="B2070" s="20" t="str">
        <f>IFERROR(__xludf.DUMMYFUNCTION("GOOGLETRANSLATE(A2070, ""fr"", ""en"")"),"FM: Raisement zone of Quai following joint table")</f>
        <v>FM: Raisement zone of Quai following joint table</v>
      </c>
    </row>
    <row r="2071">
      <c r="A2071" s="19" t="s">
        <v>1652</v>
      </c>
      <c r="B2071" s="20" t="str">
        <f>IFERROR(__xludf.DUMMYFUNCTION("GOOGLETRANSLATE(A2071, ""fr"", ""en"")"),"FM: Cleaning according to Module 7 Bass windows S37")</f>
        <v>FM: Cleaning according to Module 7 Bass windows S37</v>
      </c>
    </row>
    <row r="2072">
      <c r="A2072" s="19" t="s">
        <v>1423</v>
      </c>
      <c r="B2072" s="20" t="str">
        <f>IFERROR(__xludf.DUMMYFUNCTION("GOOGLETRANSLATE(A2072, ""fr"", ""en"")"),"FM display code: please put the temperature display in supermarkets according to the modop provides")</f>
        <v>FM display code: please put the temperature display in supermarkets according to the modop provides</v>
      </c>
    </row>
    <row r="2073">
      <c r="A2073" s="19" t="s">
        <v>1653</v>
      </c>
      <c r="B2073" s="20" t="str">
        <f>IFERROR(__xludf.DUMMYFUNCTION("GOOGLETRANSLATE(A2073, ""fr"", ""en"")"),"FM: Please intervene following the validation of quote n ° D230165. RPCT of the provisional cylinder on the conveyor door.")</f>
        <v>FM: Please intervene following the validation of quote n ° D230165. RPCT of the provisional cylinder on the conveyor door.</v>
      </c>
    </row>
    <row r="2074">
      <c r="A2074" s="19" t="s">
        <v>1431</v>
      </c>
      <c r="B2074" s="20" t="str">
        <f>IFERROR(__xludf.DUMMYFUNCTION("GOOGLETRANSLATE(A2074, ""fr"", ""en"")"),"FM: Please intervene to configure the oven, contact Interway to check the connection status (see Logigram in PJ).")</f>
        <v>FM: Please intervene to configure the oven, contact Interway to check the connection status (see Logigram in PJ).</v>
      </c>
    </row>
    <row r="2075">
      <c r="A2075" s="19" t="s">
        <v>1432</v>
      </c>
      <c r="B2075" s="20" t="str">
        <f>IFERROR(__xludf.DUMMYFUNCTION("GOOGLETRANSLATE(A2075, ""fr"", ""en"")"),"Various RMR sale, as soon as possible
 For :
 -Recuperate the 18 visuals to the consomag cell.
 -Re attract and destroy the visual currently in place.
 -Place in all the SPMs concerned the red visual.
 For information :
 -Dispo Consmag cell")</f>
        <v>Various RMR sale, as soon as possible
 For :
 -Recuperate the 18 visuals to the consomag cell.
 -Re attract and destroy the visual currently in place.
 -Place in all the SPMs concerned the red visual.
 For information :
 -Dispo Consmag cell</v>
      </c>
    </row>
    <row r="2076">
      <c r="A2076" s="19" t="s">
        <v>1654</v>
      </c>
      <c r="B2076" s="20" t="str">
        <f>IFERROR(__xludf.DUMMYFUNCTION("GOOGLETRANSLATE(A2076, ""fr"", ""en"")"),"FM: Thank you for intervening following the validation of quote n ° 145530. RPCT Right interior cylinder.")</f>
        <v>FM: Thank you for intervening following the validation of quote n ° 145530. RPCT Right interior cylinder.</v>
      </c>
    </row>
    <row r="2077">
      <c r="A2077" s="19" t="s">
        <v>1436</v>
      </c>
      <c r="B2077" s="20" t="str">
        <f>IFERROR(__xludf.DUMMYFUNCTION("GOOGLETRANSLATE(A2077, ""fr"", ""en"")"),"Sale - Cleaning of parking lots of Wednesday March 15, 2023")</f>
        <v>Sale - Cleaning of parking lots of Wednesday March 15, 2023</v>
      </c>
    </row>
    <row r="2078">
      <c r="A2078" s="19" t="s">
        <v>1655</v>
      </c>
      <c r="B2078" s="20" t="str">
        <f>IFERROR(__xludf.DUMMYFUNCTION("GOOGLETRANSLATE(A2078, ""fr"", ""en"")"),"FM: Thank you for intervening following the validation of the quote n ° FQ2201210097. RPCT of supports and guide springs, flexible door.")</f>
        <v>FM: Thank you for intervening following the validation of the quote n ° FQ2201210097. RPCT of supports and guide springs, flexible door.</v>
      </c>
    </row>
    <row r="2079">
      <c r="A2079" s="19" t="s">
        <v>1656</v>
      </c>
      <c r="B2079" s="20" t="str">
        <f>IFERROR(__xludf.DUMMYFUNCTION("GOOGLETRANSLATE(A2079, ""fr"", ""en"")"),"FM: Mail suite, check the usefulness of the cable and see so repairable?")</f>
        <v>FM: Mail suite, check the usefulness of the cable and see so repairable?</v>
      </c>
    </row>
    <row r="2080">
      <c r="A2080" s="19" t="s">
        <v>1657</v>
      </c>
      <c r="B2080" s="20" t="str">
        <f>IFERROR(__xludf.DUMMYFUNCTION("GOOGLETRANSLATE(A2080, ""fr"", ""en"")"),"FM: request following validation quote for the installation of concrete blocks in the car park.")</f>
        <v>FM: request following validation quote for the installation of concrete blocks in the car park.</v>
      </c>
    </row>
    <row r="2081">
      <c r="A2081" s="19" t="s">
        <v>1658</v>
      </c>
      <c r="B2081" s="20" t="str">
        <f>IFERROR(__xludf.DUMMYFUNCTION("GOOGLETRANSLATE(A2081, ""fr"", ""en"")"),"FM: At the request of the DR, clean parking from the Chinese restaurant next to the store 1x per month. This cleaning is to be charged like other parking cleaning and to be integrated into the schedule.
 RPS will be taken at the Wintzenheim store.")</f>
        <v>FM: At the request of the DR, clean parking from the Chinese restaurant next to the store 1x per month. This cleaning is to be charged like other parking cleaning and to be integrated into the schedule.
 RPS will be taken at the Wintzenheim store.</v>
      </c>
    </row>
    <row r="2082">
      <c r="A2082" s="19" t="s">
        <v>1659</v>
      </c>
      <c r="B2082" s="20" t="str">
        <f>IFERROR(__xludf.DUMMYFUNCTION("GOOGLETRANSLATE(A2082, ""fr"", ""en"")"),"FM: Please intervene following the validation of quote n ° 00321498-0001. Nut treatment 4 passages.")</f>
        <v>FM: Please intervene following the validation of quote n ° 00321498-0001. Nut treatment 4 passages.</v>
      </c>
    </row>
    <row r="2083">
      <c r="A2083" s="19" t="s">
        <v>1439</v>
      </c>
      <c r="B2083" s="20" t="str">
        <f>IFERROR(__xludf.DUMMYFUNCTION("GOOGLETRANSLATE(A2083, ""fr"", ""en"")"),"FM: cleaning 7 low window module according to July planning S30")</f>
        <v>FM: cleaning 7 low window module according to July planning S30</v>
      </c>
    </row>
    <row r="2084">
      <c r="A2084" s="19" t="s">
        <v>1660</v>
      </c>
      <c r="B2084" s="20" t="str">
        <f>IFERROR(__xludf.DUMMYFUNCTION("GOOGLETRANSLATE(A2084, ""fr"", ""en"")"),"FM: abnormal water consumption in Illkirch and Wintzenheim. Please check if there are leaks.")</f>
        <v>FM: abnormal water consumption in Illkirch and Wintzenheim. Please check if there are leaks.</v>
      </c>
    </row>
    <row r="2085">
      <c r="A2085" s="19" t="s">
        <v>1443</v>
      </c>
      <c r="B2085" s="20" t="str">
        <f>IFERROR(__xludf.DUMMYFUNCTION("GOOGLETRANSLATE(A2085, ""fr"", ""en"")"),"Sale - Cleaning of parking lots Wednesday January 25, 2023")</f>
        <v>Sale - Cleaning of parking lots Wednesday January 25, 2023</v>
      </c>
    </row>
    <row r="2086">
      <c r="A2086" s="19" t="s">
        <v>1448</v>
      </c>
      <c r="B2086" s="20" t="str">
        <f>IFERROR(__xludf.DUMMYFUNCTION("GOOGLETRANSLATE(A2086, ""fr"", ""en"")"),"Sale - Cleaning of parking lots Wednesday, February 15, 2023")</f>
        <v>Sale - Cleaning of parking lots Wednesday, February 15, 2023</v>
      </c>
    </row>
    <row r="2087">
      <c r="A2087" s="19" t="s">
        <v>1451</v>
      </c>
      <c r="B2087" s="20" t="str">
        <f>IFERROR(__xludf.DUMMYFUNCTION("GOOGLETRANSLATE(A2087, ""fr"", ""en"")"),"Sale - Cleaning of the parking lots of Wednesday January 11, 2023")</f>
        <v>Sale - Cleaning of the parking lots of Wednesday January 11, 2023</v>
      </c>
    </row>
    <row r="2088">
      <c r="A2088" s="19" t="s">
        <v>1453</v>
      </c>
      <c r="B2088" s="20" t="str">
        <f>IFERROR(__xludf.DUMMYFUNCTION("GOOGLETRANSLATE(A2088, ""fr"", ""en"")"),"Sale - Cleaning of parking lots of Wednesday January 4, 2023")</f>
        <v>Sale - Cleaning of parking lots of Wednesday January 4, 2023</v>
      </c>
    </row>
    <row r="2089">
      <c r="A2089" s="19" t="s">
        <v>1454</v>
      </c>
      <c r="B2089" s="20" t="str">
        <f>IFERROR(__xludf.DUMMYFUNCTION("GOOGLETRANSLATE(A2089, ""fr"", ""en"")"),"Sale - Cleaning of parking lots of Wednesday February 21, 2023")</f>
        <v>Sale - Cleaning of parking lots of Wednesday February 21, 2023</v>
      </c>
    </row>
    <row r="2090">
      <c r="A2090" s="19" t="s">
        <v>1455</v>
      </c>
      <c r="B2090" s="20" t="str">
        <f>IFERROR(__xludf.DUMMYFUNCTION("GOOGLETRANSLATE(A2090, ""fr"", ""en"")"),"Sale - Cleaning of parking lots of Wednesday, February 8, 2023")</f>
        <v>Sale - Cleaning of parking lots of Wednesday, February 8, 2023</v>
      </c>
    </row>
    <row r="2091">
      <c r="A2091" s="19" t="s">
        <v>1458</v>
      </c>
      <c r="B2091" s="20" t="str">
        <f>IFERROR(__xludf.DUMMYFUNCTION("GOOGLETRANSLATE(A2091, ""fr"", ""en"")"),"FM: Control if the TGBT room is accessible from outside. If so, can we access it with the 7/7 key? If not, take the measurement of the cylinder to order. See Mail Ali from 30/12.")</f>
        <v>FM: Control if the TGBT room is accessible from outside. If so, can we access it with the 7/7 key? If not, take the measurement of the cylinder to order. See Mail Ali from 30/12.</v>
      </c>
    </row>
    <row r="2092">
      <c r="A2092" s="19" t="s">
        <v>1457</v>
      </c>
      <c r="B2092" s="20" t="str">
        <f>IFERROR(__xludf.DUMMYFUNCTION("GOOGLETRANSLATE(A2092, ""fr"", ""en"")"),"FM: Thank you for reconnecting the water heaters in the kitchens and bakery.")</f>
        <v>FM: Thank you for reconnecting the water heaters in the kitchens and bakery.</v>
      </c>
    </row>
    <row r="2093">
      <c r="A2093" s="19" t="s">
        <v>1661</v>
      </c>
      <c r="B2093" s="20" t="str">
        <f>IFERROR(__xludf.DUMMYFUNCTION("GOOGLETRANSLATE(A2093, ""fr"", ""en"")"),"FM: Following ReSSURATION REPORT (see PJ), thank you for intervening for cold flaws that night (more than 3 hours).")</f>
        <v>FM: Following ReSSURATION REPORT (see PJ), thank you for intervening for cold flaws that night (more than 3 hours).</v>
      </c>
    </row>
    <row r="2094">
      <c r="A2094" s="19" t="s">
        <v>1662</v>
      </c>
      <c r="B2094" s="20" t="str">
        <f>IFERROR(__xludf.DUMMYFUNCTION("GOOGLETRANSLATE(A2094, ""fr"", ""en"")"),"FM: TSV report continuation, night defect. Please check all the cold equipment.")</f>
        <v>FM: TSV report continuation, night defect. Please check all the cold equipment.</v>
      </c>
    </row>
    <row r="2095">
      <c r="A2095" s="19" t="s">
        <v>1459</v>
      </c>
      <c r="B2095" s="20" t="str">
        <f>IFERROR(__xludf.DUMMYFUNCTION("GOOGLETRANSLATE(A2095, ""fr"", ""en"")"),"FM: Please control during your passages if the ""Welcome"" logo is hidden by a world record relay (see photo). If so, please remove the logo behind the locker.")</f>
        <v>FM: Please control during your passages if the "Welcome" logo is hidden by a world record relay (see photo). If so, please remove the logo behind the locker.</v>
      </c>
    </row>
    <row r="2096">
      <c r="A2096" s="19" t="s">
        <v>1462</v>
      </c>
      <c r="B2096" s="20" t="str">
        <f>IFERROR(__xludf.DUMMYFUNCTION("GOOGLETRANSLATE(A2096, ""fr"", ""en"")"),"FM: Ba sheet code - Install the adhesives safety instructions.
 Deadline 04/30/2023")</f>
        <v>FM: Ba sheet code - Install the adhesives safety instructions.
 Deadline 04/30/2023</v>
      </c>
    </row>
    <row r="2097">
      <c r="A2097" s="19" t="s">
        <v>1463</v>
      </c>
      <c r="B2097" s="20" t="str">
        <f>IFERROR(__xludf.DUMMYFUNCTION("GOOGLETRANSLATE(A2097, ""fr"", ""en"")"),"FM: Victoire Video surveillance Display According to Mail d'Ali from 30/12.")</f>
        <v>FM: Victoire Video surveillance Display According to Mail d'Ali from 30/12.</v>
      </c>
    </row>
    <row r="2098">
      <c r="A2098" s="19" t="s">
        <v>1466</v>
      </c>
      <c r="B2098" s="20" t="str">
        <f>IFERROR(__xludf.DUMMYFUNCTION("GOOGLETRANSLATE(A2098, ""fr"", ""en"")"),"Various sale RMR Visual installation campaign aggressiveness price.
 To be done before S31 for the entire DR 02, or 69 SPM.
 Installation detail See PDF")</f>
        <v>Various sale RMR Visual installation campaign aggressiveness price.
 To be done before S31 for the entire DR 02, or 69 SPM.
 Installation detail See PDF</v>
      </c>
    </row>
    <row r="2099">
      <c r="A2099" s="19" t="s">
        <v>1663</v>
      </c>
      <c r="B2099" s="20" t="str">
        <f>IFERROR(__xludf.DUMMYFUNCTION("GOOGLETRANSLATE(A2099, ""fr"", ""en"")"),"FM: Following the remote monitoring report, please intervene for a cold defect of more than 5 hours yesterday.")</f>
        <v>FM: Following the remote monitoring report, please intervene for a cold defect of more than 5 hours yesterday.</v>
      </c>
    </row>
    <row r="2100">
      <c r="A2100" s="19" t="s">
        <v>1664</v>
      </c>
      <c r="B2100" s="20" t="str">
        <f>IFERROR(__xludf.DUMMYFUNCTION("GOOGLETRANSLATE(A2100, ""fr"", ""en"")"),"FM: Please intervene following the validation of quote n ° 22052. RPCT RIA (MAG n ° 3 + reserve n ° 4)")</f>
        <v>FM: Please intervene following the validation of quote n ° 22052. RPCT RIA (MAG n ° 3 + reserve n ° 4)</v>
      </c>
    </row>
    <row r="2101">
      <c r="A2101" s="19" t="s">
        <v>1665</v>
      </c>
      <c r="B2101" s="20" t="str">
        <f>IFERROR(__xludf.DUMMYFUNCTION("GOOGLETRANSLATE(A2101, ""fr"", ""en"")"),"FM: Following your checklist, please replace the spout of missing hydroalcoholic gel (redo a stock).")</f>
        <v>FM: Following your checklist, please replace the spout of missing hydroalcoholic gel (redo a stock).</v>
      </c>
    </row>
    <row r="2102">
      <c r="A2102" s="19" t="s">
        <v>1666</v>
      </c>
      <c r="B2102" s="20" t="str">
        <f>IFERROR(__xludf.DUMMYFUNCTION("GOOGLETRANSLATE(A2102, ""fr"", ""en"")"),"FM: Please intervene on Monday 13 from 1:30 p.m. to inhibit the alarm of the room, to intervene on Tuesday 14 from 8 a.m. to carry out various works and to restore the room.")</f>
        <v>FM: Please intervene on Monday 13 from 1:30 p.m. to inhibit the alarm of the room, to intervene on Tuesday 14 from 8 a.m. to carry out various works and to restore the room.</v>
      </c>
    </row>
    <row r="2103">
      <c r="A2103" s="19" t="s">
        <v>1667</v>
      </c>
      <c r="B2103" s="20" t="str">
        <f>IFERROR(__xludf.DUMMYFUNCTION("GOOGLETRANSLATE(A2103, ""fr"", ""en"")"),"FM: Please find attached the summary sheet of observations following the passage of the Bureau Véritas for the year 2023. We ask you to clear the observations as soon as possible and to return to us as soon as the intervention is completed (S ) Document ("&amp;"s) completed (s), signed (s) and hidden by you. Regards.elec.")</f>
        <v>FM: Please find attached the summary sheet of observations following the passage of the Bureau Véritas for the year 2023. We ask you to clear the observations as soon as possible and to return to us as soon as the intervention is completed (S ) Document (s) completed (s), signed (s) and hidden by you. Regards.elec.</v>
      </c>
    </row>
    <row r="2104">
      <c r="A2104" s="19" t="s">
        <v>1668</v>
      </c>
      <c r="B2104" s="20" t="str">
        <f>IFERROR(__xludf.DUMMYFUNCTION("GOOGLETRANSLATE(A2104, ""fr"", ""en"")"),"FM: Please find attached the summary sheet of observations following the passage of the Bureau Véritas for the year 2023. We ask you to clear the observations as soon as possible and to return to us as soon as the intervention is completed (S ) Document ("&amp;"s) completed (s), signed (s) and hidden by you. Sincerely. Rescue means.")</f>
        <v>FM: Please find attached the summary sheet of observations following the passage of the Bureau Véritas for the year 2023. We ask you to clear the observations as soon as possible and to return to us as soon as the intervention is completed (S ) Document (s) completed (s), signed (s) and hidden by you. Sincerely. Rescue means.</v>
      </c>
    </row>
    <row r="2105">
      <c r="A2105" s="19" t="s">
        <v>1472</v>
      </c>
      <c r="B2105" s="20" t="str">
        <f>IFERROR(__xludf.DUMMYFUNCTION("GOOGLETRANSLATE(A2105, ""fr"", ""en"")"),"Sale - Cleaning of parking lots of Wednesday May 24, 2023")</f>
        <v>Sale - Cleaning of parking lots of Wednesday May 24, 2023</v>
      </c>
    </row>
    <row r="2106">
      <c r="A2106" s="19" t="s">
        <v>1477</v>
      </c>
      <c r="B2106" s="20" t="str">
        <f>IFERROR(__xludf.DUMMYFUNCTION("GOOGLETRANSLATE(A2106, ""fr"", ""en"")"),"Sale - Cleaning of parking lots Wednesday, May 31, 2023")</f>
        <v>Sale - Cleaning of parking lots Wednesday, May 31, 2023</v>
      </c>
    </row>
    <row r="2107">
      <c r="A2107" s="19" t="s">
        <v>1478</v>
      </c>
      <c r="B2107" s="20" t="str">
        <f>IFERROR(__xludf.DUMMYFUNCTION("GOOGLETRANSLATE(A2107, ""fr"", ""en"")"),"Sale - Cleaning of parking lots of Wednesday May 17, 2023")</f>
        <v>Sale - Cleaning of parking lots of Wednesday May 17, 2023</v>
      </c>
    </row>
    <row r="2108">
      <c r="A2108" s="19" t="s">
        <v>1669</v>
      </c>
      <c r="B2108" s="20" t="str">
        <f>IFERROR(__xludf.DUMMYFUNCTION("GOOGLETRANSLATE(A2108, ""fr"", ""en"")"),"FM: Provide 1 person with tailgate Wednesday June 7 - Come to Dr Charger the 4 VVP / RDV windows with Pascal at 2809 Ladhof at 9:45 am / Tour to replace 20 left doors and 20 right with Pascal in SPM 243 - 2809 - 2808 - 3713 - 1623 - 3444 - 3935 / Throw th"&amp;"e replaced windows in the windows dump in DR in the evening, and break the wooden boxes to put them in the DR wood dumpster.")</f>
        <v>FM: Provide 1 person with tailgate Wednesday June 7 - Come to Dr Charger the 4 VVP / RDV windows with Pascal at 2809 Ladhof at 9:45 am / Tour to replace 20 left doors and 20 right with Pascal in SPM 243 - 2809 - 2808 - 3713 - 1623 - 3444 - 3935 / Throw the replaced windows in the windows dump in DR in the evening, and break the wooden boxes to put them in the DR wood dumpster.</v>
      </c>
    </row>
    <row r="2109">
      <c r="A2109" s="19" t="s">
        <v>1423</v>
      </c>
      <c r="B2109" s="20" t="str">
        <f>IFERROR(__xludf.DUMMYFUNCTION("GOOGLETRANSLATE(A2109, ""fr"", ""en"")"),"FM display code: please put the temperature display in supermarkets according to the modop provides")</f>
        <v>FM display code: please put the temperature display in supermarkets according to the modop provides</v>
      </c>
    </row>
    <row r="2110">
      <c r="A2110" s="19" t="s">
        <v>1424</v>
      </c>
      <c r="B2110" s="20" t="str">
        <f>IFERROR(__xludf.DUMMYFUNCTION("GOOGLETRANSLATE(A2110, ""fr"", ""en"")"),"FM: replacement electrodes defibrillator according to operating mode. Thank you for bringing the old DR electrodes back.")</f>
        <v>FM: replacement electrodes defibrillator according to operating mode. Thank you for bringing the old DR electrodes back.</v>
      </c>
    </row>
    <row r="2111">
      <c r="A2111" s="19" t="s">
        <v>1670</v>
      </c>
      <c r="B2111" s="20" t="str">
        <f>IFERROR(__xludf.DUMMYFUNCTION("GOOGLETRANSLATE(A2111, ""fr"", ""en"")"),"FM: replacement of hooked VVP doors + Stickers on doors.")</f>
        <v>FM: replacement of hooked VVP doors + Stickers on doors.</v>
      </c>
    </row>
    <row r="2112">
      <c r="A2112" s="19" t="s">
        <v>1671</v>
      </c>
      <c r="B2112" s="20" t="str">
        <f>IFERROR(__xludf.DUMMYFUNCTION("GOOGLETRANSLATE(A2112, ""fr"", ""en"")"),"FM: Following your checklist, please intervene anyway, you must mark the area")</f>
        <v>FM: Following your checklist, please intervene anyway, you must mark the area</v>
      </c>
    </row>
    <row r="2113">
      <c r="A2113" s="19" t="s">
        <v>1672</v>
      </c>
      <c r="B2113" s="20" t="str">
        <f>IFERROR(__xludf.DUMMYFUNCTION("GOOGLETRANSLATE(A2113, ""fr"", ""en"")"),"FM: Thank you for intervening for the change of two false-ceiling tiles.")</f>
        <v>FM: Thank you for intervening for the change of two false-ceiling tiles.</v>
      </c>
    </row>
    <row r="2114">
      <c r="A2114" s="19" t="s">
        <v>1673</v>
      </c>
      <c r="B2114" s="20" t="str">
        <f>IFERROR(__xludf.DUMMYFUNCTION("GOOGLETRANSLATE(A2114, ""fr"", ""en"")"),"FM: request following validation quote n ° 23060. Disconnector replacement.")</f>
        <v>FM: request following validation quote n ° 23060. Disconnector replacement.</v>
      </c>
    </row>
    <row r="2115">
      <c r="A2115" s="19" t="s">
        <v>1483</v>
      </c>
      <c r="B2115" s="20" t="str">
        <f>IFERROR(__xludf.DUMMYFUNCTION("GOOGLETRANSLATE(A2115, ""fr"", ""en"")"),"Sale - Cleaning of the parking lots of Wednesday, February 1, 2023")</f>
        <v>Sale - Cleaning of the parking lots of Wednesday, February 1, 2023</v>
      </c>
    </row>
    <row r="2116">
      <c r="A2116" s="19" t="s">
        <v>1605</v>
      </c>
      <c r="B2116" s="20" t="str">
        <f>IFERROR(__xludf.DUMMYFUNCTION("GOOGLETRANSLATE(A2116, ""fr"", ""en"")"),"FM: Please replace the headlands heads following a joint quote and joint table")</f>
        <v>FM: Please replace the headlands heads following a joint quote and joint table</v>
      </c>
    </row>
    <row r="2117">
      <c r="A2117" s="19" t="s">
        <v>1486</v>
      </c>
      <c r="B2117" s="20" t="str">
        <f>IFERROR(__xludf.DUMMYFUNCTION("GOOGLETRANSLATE(A2117, ""fr"", ""en"")"),"FM ECO ECL: extinguish COVVID counting systems at the input of SPMs. Deadline at the end of January.")</f>
        <v>FM ECO ECL: extinguish COVVID counting systems at the input of SPMs. Deadline at the end of January.</v>
      </c>
    </row>
    <row r="2118">
      <c r="A2118" s="19" t="s">
        <v>1488</v>
      </c>
      <c r="B2118" s="20" t="str">
        <f>IFERROR(__xludf.DUMMYFUNCTION("GOOGLETRANSLATE(A2118, ""fr"", ""en"")"),"Sale - Cleaning of the parking lots of Wednesday December 21, 2022")</f>
        <v>Sale - Cleaning of the parking lots of Wednesday December 21, 2022</v>
      </c>
    </row>
    <row r="2119">
      <c r="A2119" s="19" t="s">
        <v>1491</v>
      </c>
      <c r="B2119" s="20" t="str">
        <f>IFERROR(__xludf.DUMMYFUNCTION("GOOGLETRANSLATE(A2119, ""fr"", ""en"")"),"Sale - Cleaning of parking lots of Wednesday, November 9, 2022")</f>
        <v>Sale - Cleaning of parking lots of Wednesday, November 9, 2022</v>
      </c>
    </row>
    <row r="2120">
      <c r="A2120" s="19" t="s">
        <v>1492</v>
      </c>
      <c r="B2120" s="20" t="str">
        <f>IFERROR(__xludf.DUMMYFUNCTION("GOOGLETRANSLATE(A2120, ""fr"", ""en"")"),"Sale - Cleaning of parking lots of Wednesday, December 7, 2022")</f>
        <v>Sale - Cleaning of parking lots of Wednesday, December 7, 2022</v>
      </c>
    </row>
    <row r="2121">
      <c r="A2121" s="19" t="s">
        <v>1499</v>
      </c>
      <c r="B2121" s="20" t="str">
        <f>IFERROR(__xludf.DUMMYFUNCTION("GOOGLETRANSLATE(A2121, ""fr"", ""en"")"),"Sale - Cleaning of the parking lots of Wednesday, November 16, 2022")</f>
        <v>Sale - Cleaning of the parking lots of Wednesday, November 16, 2022</v>
      </c>
    </row>
    <row r="2122">
      <c r="A2122" s="19" t="s">
        <v>1498</v>
      </c>
      <c r="B2122" s="20" t="str">
        <f>IFERROR(__xludf.DUMMYFUNCTION("GOOGLETRANSLATE(A2122, ""fr"", ""en"")"),"Sale - Cleaning of the parking lots of Wednesday October 25, 2022")</f>
        <v>Sale - Cleaning of the parking lots of Wednesday October 25, 2022</v>
      </c>
    </row>
    <row r="2123">
      <c r="A2123" s="19" t="s">
        <v>1504</v>
      </c>
      <c r="B2123" s="20" t="str">
        <f>IFERROR(__xludf.DUMMYFUNCTION("GOOGLETRANSLATE(A2123, ""fr"", ""en"")"),"Sale - Cleaning of parking lots of Wednesday October 19, 2022")</f>
        <v>Sale - Cleaning of parking lots of Wednesday October 19, 2022</v>
      </c>
    </row>
    <row r="2124">
      <c r="A2124" s="19" t="s">
        <v>1674</v>
      </c>
      <c r="B2124" s="20" t="str">
        <f>IFERROR(__xludf.DUMMYFUNCTION("GOOGLETRANSLATE(A2124, ""fr"", ""en"")"),"FM: Thank you for intervening, 2 HS traps. One in front of the door of the quay outside and the other along the closure on the quay side.")</f>
        <v>FM: Thank you for intervening, 2 HS traps. One in front of the door of the quay outside and the other along the closure on the quay side.</v>
      </c>
    </row>
    <row r="2125">
      <c r="A2125" s="19" t="s">
        <v>1675</v>
      </c>
      <c r="B2125" s="20" t="str">
        <f>IFERROR(__xludf.DUMMYFUNCTION("GOOGLETRANSLATE(A2125, ""fr"", ""en"")"),"FM: Thank you for intervening, start of the CF ceiling ice cream, as well as the probe.")</f>
        <v>FM: Thank you for intervening, start of the CF ceiling ice cream, as well as the probe.</v>
      </c>
    </row>
    <row r="2126">
      <c r="A2126" s="19" t="s">
        <v>1676</v>
      </c>
      <c r="B2126" s="20" t="str">
        <f>IFERROR(__xludf.DUMMYFUNCTION("GOOGLETRANSLATE(A2126, ""fr"", ""en"")"),"Buee VVP: replacement of VVP glass doors according to plans and quantities provided")</f>
        <v>Buee VVP: replacement of VVP glass doors according to plans and quantities provided</v>
      </c>
    </row>
    <row r="2127">
      <c r="A2127" s="19" t="s">
        <v>1677</v>
      </c>
      <c r="B2127" s="20" t="str">
        <f>IFERROR(__xludf.DUMMYFUNCTION("GOOGLETRANSLATE(A2127, ""fr"", ""en"")"),"EXP: Night security for surveys on Monday May 16.")</f>
        <v>EXP: Night security for surveys on Monday May 16.</v>
      </c>
    </row>
    <row r="2128">
      <c r="A2128" s="19" t="s">
        <v>1678</v>
      </c>
      <c r="B2128" s="20" t="str">
        <f>IFERROR(__xludf.DUMMYFUNCTION("GOOGLETRANSLATE(A2128, ""fr"", ""en"")"),"FM: Please change the DSB code.")</f>
        <v>FM: Please change the DSB code.</v>
      </c>
    </row>
    <row r="2129">
      <c r="A2129" s="19" t="s">
        <v>1508</v>
      </c>
      <c r="B2129" s="20" t="str">
        <f>IFERROR(__xludf.DUMMYFUNCTION("GOOGLETRANSLATE(A2129, ""fr"", ""en"")"),"FM: Module 7: Please intervene for clean window cleaning. Do not forget to ask for the RPS and the checklist of control signed and stamped by the supermarket.")</f>
        <v>FM: Module 7: Please intervene for clean window cleaning. Do not forget to ask for the RPS and the checklist of control signed and stamped by the supermarket.</v>
      </c>
    </row>
    <row r="2130">
      <c r="A2130" s="19" t="s">
        <v>1486</v>
      </c>
      <c r="B2130" s="20" t="str">
        <f>IFERROR(__xludf.DUMMYFUNCTION("GOOGLETRANSLATE(A2130, ""fr"", ""en"")"),"FM ECO ECL: extinguish COVVID counting systems at the input of SPMs. Deadline at the end of January.")</f>
        <v>FM ECO ECL: extinguish COVVID counting systems at the input of SPMs. Deadline at the end of January.</v>
      </c>
    </row>
    <row r="2131">
      <c r="A2131" s="19" t="s">
        <v>1530</v>
      </c>
      <c r="B2131" s="20" t="str">
        <f>IFERROR(__xludf.DUMMYFUNCTION("GOOGLETRANSLATE(A2131, ""fr"", ""en"")"),"FM: Eco Lighting: adjustment of the extinction instructions, according to the following instructions: 1- SPM classified in priority 1 in the PJ table: Reluming the sales area 100% except lettering on the walls. The lettering ""special offers"" and on the "&amp;"bread ark must be on. // 2- SPM classified in prio 2 and 3 in the table in PJ: Relum only the spots on the bakery area, FL, cosmetics, boxes, fresh, frozen furniture and bins. Lettrages on the walls must remain extinguished (except ""special offers"" and "&amp;"on the bread ark). // Plan the sites according to the order of priority indicated. The reserves and social premises partially extinguished are not affected by this readjustment. On the other hand, the reserves and social premises that had not been optimiz"&amp;"ed during the first wave are to be optimized. For SPMs requiring a nacelle, please group these stores in order to optimize the rental of the nacelle, imperatively transmit the quote before intervention. Return a recap to the progress of the tour every Fri"&amp;"day to Ali and Benjamin.")</f>
        <v>FM: Eco Lighting: adjustment of the extinction instructions, according to the following instructions: 1- SPM classified in priority 1 in the PJ table: Reluming the sales area 100% except lettering on the walls. The lettering "special offers" and on the bread ark must be on. // 2- SPM classified in prio 2 and 3 in the table in PJ: Relum only the spots on the bakery area, FL, cosmetics, boxes, fresh, frozen furniture and bins. Lettrages on the walls must remain extinguished (except "special offers" and on the bread ark). // Plan the sites according to the order of priority indicated. The reserves and social premises partially extinguished are not affected by this readjustment. On the other hand, the reserves and social premises that had not been optimized during the first wave are to be optimized. For SPMs requiring a nacelle, please group these stores in order to optimize the rental of the nacelle, imperatively transmit the quote before intervention. Return a recap to the progress of the tour every Friday to Ali and Benjamin.</v>
      </c>
    </row>
    <row r="2132">
      <c r="A2132" s="19" t="s">
        <v>1521</v>
      </c>
      <c r="B2132" s="20" t="str">
        <f>IFERROR(__xludf.DUMMYFUNCTION("GOOGLETRANSLATE(A2132, ""fr"", ""en"")"),"Sale - Cleaning of the car parks of Wednesday 28/12/2022")</f>
        <v>Sale - Cleaning of the car parks of Wednesday 28/12/2022</v>
      </c>
    </row>
    <row r="2133">
      <c r="A2133" s="19" t="s">
        <v>1525</v>
      </c>
      <c r="B2133" s="20" t="str">
        <f>IFERROR(__xludf.DUMMYFUNCTION("GOOGLETRANSLATE(A2133, ""fr"", ""en"")"),"Sale - Cleaning of parking lots of Wednesday December 28, 2022")</f>
        <v>Sale - Cleaning of parking lots of Wednesday December 28, 2022</v>
      </c>
    </row>
    <row r="2134">
      <c r="A2134" s="19" t="s">
        <v>1528</v>
      </c>
      <c r="B2134" s="20" t="str">
        <f>IFERROR(__xludf.DUMMYFUNCTION("GOOGLETRANSLATE(A2134, ""fr"", ""en"")"),"FM: Basse window cleaning - Module 7 - S46 and 47.")</f>
        <v>FM: Basse window cleaning - Module 7 - S46 and 47.</v>
      </c>
    </row>
    <row r="2135">
      <c r="A2135" s="19" t="s">
        <v>1679</v>
      </c>
      <c r="B2135" s="20" t="str">
        <f>IFERROR(__xludf.DUMMYFUNCTION("GOOGLETRANSLATE(A2135, ""fr"", ""en"")"),"FM: Please intervene following the validation of the estimate n ° GF 14-23-03-341820-A. RPCT of transformer on the VVP furniture.")</f>
        <v>FM: Please intervene following the validation of the estimate n ° GF 14-23-03-341820-A. RPCT of transformer on the VVP furniture.</v>
      </c>
    </row>
    <row r="2136">
      <c r="A2136" s="19" t="s">
        <v>1680</v>
      </c>
      <c r="B2136" s="20" t="str">
        <f>IFERROR(__xludf.DUMMYFUNCTION("GOOGLETRANSLATE(A2136, ""fr"", ""en"")"),"hello my cameras are blurred and defective joystick thank you for doing the necessary")</f>
        <v>hello my cameras are blurred and defective joystick thank you for doing the necessary</v>
      </c>
    </row>
    <row r="2137">
      <c r="A2137" s="19" t="s">
        <v>1681</v>
      </c>
      <c r="B2137" s="20" t="str">
        <f>IFERROR(__xludf.DUMMYFUNCTION("GOOGLETRANSLATE(A2137, ""fr"", ""en"")"),"FM: Thank you for intervening, during night delivery, the driver is in the dark.")</f>
        <v>FM: Thank you for intervening, during night delivery, the driver is in the dark.</v>
      </c>
    </row>
    <row r="2138">
      <c r="A2138" s="19" t="s">
        <v>1682</v>
      </c>
      <c r="B2138" s="20" t="str">
        <f>IFERROR(__xludf.DUMMYFUNCTION("GOOGLETRANSLATE(A2138, ""fr"", ""en"")"),"FM: Following the remote monitoring report, please intervene for two cold flaws that night.")</f>
        <v>FM: Following the remote monitoring report, please intervene for two cold flaws that night.</v>
      </c>
    </row>
    <row r="2139">
      <c r="A2139" s="19" t="s">
        <v>1683</v>
      </c>
      <c r="B2139" s="20" t="str">
        <f>IFERROR(__xludf.DUMMYFUNCTION("GOOGLETRANSLATE(A2139, ""fr"", ""en"")"),"FM: request following validation quote n ° 23120. RPCT Kitchen water heater.")</f>
        <v>FM: request following validation quote n ° 23120. RPCT Kitchen water heater.</v>
      </c>
    </row>
    <row r="2140">
      <c r="A2140" s="19" t="s">
        <v>1684</v>
      </c>
      <c r="B2140" s="20" t="str">
        <f>IFERROR(__xludf.DUMMYFUNCTION("GOOGLETRANSLATE(A2140, ""fr"", ""en"")"),"FM: Please intervene following the validation of quote n ° 23-00753. Removing the Brahming panels 2 times + evacuation and backing up in painting.")</f>
        <v>FM: Please intervene following the validation of quote n ° 23-00753. Removing the Brahming panels 2 times + evacuation and backing up in painting.</v>
      </c>
    </row>
    <row r="2141">
      <c r="A2141" s="19" t="s">
        <v>1685</v>
      </c>
      <c r="B2141" s="20" t="str">
        <f>IFERROR(__xludf.DUMMYFUNCTION("GOOGLETRANSLATE(A2141, ""fr"", ""en"")"),"FM: Basse window cleaning - Module 7 - S18. Immerately attach the checklists.")</f>
        <v>FM: Basse window cleaning - Module 7 - S18. Immerately attach the checklists.</v>
      </c>
    </row>
    <row r="2142">
      <c r="A2142" s="19" t="s">
        <v>1622</v>
      </c>
      <c r="B2142" s="20" t="str">
        <f>IFERROR(__xludf.DUMMYFUNCTION("GOOGLETRANSLATE(A2142, ""fr"", ""en"")"),"FM: Thank you for restarting the water heaters.")</f>
        <v>FM: Thank you for restarting the water heaters.</v>
      </c>
    </row>
    <row r="2143">
      <c r="A2143" s="19" t="s">
        <v>1539</v>
      </c>
      <c r="B2143" s="20" t="str">
        <f>IFERROR(__xludf.DUMMYFUNCTION("GOOGLETRANSLATE(A2143, ""fr"", ""en"")"),"Sale - Cleaning of parking lots of Wednesday April 5, 2023")</f>
        <v>Sale - Cleaning of parking lots of Wednesday April 5, 2023</v>
      </c>
    </row>
    <row r="2144">
      <c r="A2144" s="19" t="s">
        <v>1541</v>
      </c>
      <c r="B2144" s="20" t="str">
        <f>IFERROR(__xludf.DUMMYFUNCTION("GOOGLETRANSLATE(A2144, ""fr"", ""en"")"),"Sale - Cleaning of parking lots of Wednesday, April 26, 2023")</f>
        <v>Sale - Cleaning of parking lots of Wednesday, April 26, 2023</v>
      </c>
    </row>
    <row r="2145">
      <c r="A2145" s="19" t="s">
        <v>1686</v>
      </c>
      <c r="B2145" s="20" t="str">
        <f>IFERROR(__xludf.DUMMYFUNCTION("GOOGLETRANSLATE(A2145, ""fr"", ""en"")"),"FM: The BO circuit breaker is only jumping following an intervention.")</f>
        <v>FM: The BO circuit breaker is only jumping following an intervention.</v>
      </c>
    </row>
    <row r="2146">
      <c r="A2146" s="19" t="s">
        <v>1687</v>
      </c>
      <c r="B2146" s="20" t="str">
        <f>IFERROR(__xludf.DUMMYFUNCTION("GOOGLETRANSLATE(A2146, ""fr"", ""en"")"),"FM: Thank you for intervening, the circuit breakers of the social + BO + telephony, jumped and impossible to reassemble them.")</f>
        <v>FM: Thank you for intervening, the circuit breakers of the social + BO + telephony, jumped and impossible to reassemble them.</v>
      </c>
    </row>
    <row r="2147">
      <c r="A2147" s="19" t="s">
        <v>1688</v>
      </c>
      <c r="B2147" s="20" t="str">
        <f>IFERROR(__xludf.DUMMYFUNCTION("GOOGLETRANSLATE(A2147, ""fr"", ""en"")"),"* Following the passage of travelers on the field acquired by Lidl (former Chinese next to the store). Work is to be expected urgently:
 - Return of stones to block access to the parking lot
 - The front and rear doors of the restaurant were forced, you h"&amp;"ave to condemn")</f>
        <v>* Following the passage of travelers on the field acquired by Lidl (former Chinese next to the store). Work is to be expected urgently:
 - Return of stones to block access to the parking lot
 - The front and rear doors of the restaurant were forced, you have to condemn</v>
      </c>
    </row>
    <row r="2148">
      <c r="A2148" s="19" t="s">
        <v>1689</v>
      </c>
      <c r="B2148" s="20" t="str">
        <f>IFERROR(__xludf.DUMMYFUNCTION("GOOGLETRANSLATE(A2148, ""fr"", ""en"")"),"ECLAIRAGE: please put a clock for parking and sign")</f>
        <v>ECLAIRAGE: please put a clock for parking and sign</v>
      </c>
    </row>
    <row r="2149">
      <c r="A2149" s="19" t="s">
        <v>1690</v>
      </c>
      <c r="B2149" s="20" t="str">
        <f>IFERROR(__xludf.DUMMYFUNCTION("GOOGLETRANSLATE(A2149, ""fr"", ""en"")"),"FM: Please intervene following an active cold defect for 18 days. He only appeared on the remote monitoring report since today !!")</f>
        <v>FM: Please intervene following an active cold defect for 18 days. He only appeared on the remote monitoring report since today !!</v>
      </c>
    </row>
    <row r="2150">
      <c r="A2150" s="19" t="s">
        <v>1544</v>
      </c>
      <c r="B2150" s="20" t="str">
        <f>IFERROR(__xludf.DUMMYFUNCTION("GOOGLETRANSLATE(A2150, ""fr"", ""en"")"),"FM Eco Lighting: please set up the eco lighting mode following operating mode in PJ.")</f>
        <v>FM Eco Lighting: please set up the eco lighting mode following operating mode in PJ.</v>
      </c>
    </row>
    <row r="2151">
      <c r="A2151" s="19" t="s">
        <v>1691</v>
      </c>
      <c r="B2151" s="20" t="str">
        <f>IFERROR(__xludf.DUMMYFUNCTION("GOOGLETRANSLATE(A2151, ""fr"", ""en"")"),"FM: Thank you for intervening, the changes made on webvisu do not remain recorded in the PLC, therefore, it is impossible to make remote changes.")</f>
        <v>FM: Thank you for intervening, the changes made on webvisu do not remain recorded in the PLC, therefore, it is impossible to make remote changes.</v>
      </c>
    </row>
    <row r="2152">
      <c r="A2152" s="19" t="s">
        <v>1692</v>
      </c>
      <c r="B2152" s="20" t="str">
        <f>IFERROR(__xludf.DUMMYFUNCTION("GOOGLETRANSLATE(A2152, ""fr"", ""en"")"),"FM: Following TV report, please intervene following a cold defect of more than 3 days.")</f>
        <v>FM: Following TV report, please intervene following a cold defect of more than 3 days.</v>
      </c>
    </row>
    <row r="2153">
      <c r="A2153" s="19" t="s">
        <v>1693</v>
      </c>
      <c r="B2153" s="20" t="str">
        <f>IFERROR(__xludf.DUMMYFUNCTION("GOOGLETRANSLATE(A2153, ""fr"", ""en"")"),"FM: Follow -up remote monitoring report, please intervene for a cold fault of 9 p.m.")</f>
        <v>FM: Follow -up remote monitoring report, please intervene for a cold fault of 9 p.m.</v>
      </c>
    </row>
    <row r="2154">
      <c r="A2154" s="19" t="s">
        <v>1587</v>
      </c>
      <c r="B2154" s="20" t="str">
        <f>IFERROR(__xludf.DUMMYFUNCTION("GOOGLETRANSLATE(A2154, ""fr"", ""en"")"),"Hello, please find attached the summary sheet of observations following the passage of the office Veritas for the year 2022. We ask you to kindly raise observations as soon as possible and return to us as soon as the intervention is finished (s ) Document"&amp;" (s) completed (s), signed (s) and hidden by you. Sincerely. Quadrennial")</f>
        <v>Hello, please find attached the summary sheet of observations following the passage of the office Veritas for the year 2022. We ask you to kindly raise observations as soon as possible and return to us as soon as the intervention is finished (s ) Document (s) completed (s), signed (s) and hidden by you. Sincerely. Quadrennial</v>
      </c>
    </row>
    <row r="2155">
      <c r="A2155" s="19" t="s">
        <v>1694</v>
      </c>
      <c r="B2155" s="20" t="str">
        <f>IFERROR(__xludf.DUMMYFUNCTION("GOOGLETRANSLATE(A2155, ""fr"", ""en"")"),"Hello, please find attached the summary sheet of observations following the passage of the office Veritas for the year 2022. We ask you to kindly raise observations as soon as possible and return to us as soon as the intervention is finished (s ) Document"&amp;" (s) completed (s), signed (s) and hidden by you. Sincerely. Rescue")</f>
        <v>Hello, please find attached the summary sheet of observations following the passage of the office Veritas for the year 2022. We ask you to kindly raise observations as soon as possible and return to us as soon as the intervention is finished (s ) Document (s) completed (s), signed (s) and hidden by you. Sincerely. Rescue</v>
      </c>
    </row>
    <row r="2156">
      <c r="A2156" s="19" t="s">
        <v>1695</v>
      </c>
      <c r="B2156" s="20" t="str">
        <f>IFERROR(__xludf.DUMMYFUNCTION("GOOGLETRANSLATE(A2156, ""fr"", ""en"")"),"FM: Thank you for intervening following the validation of the estimate N ° GF 14-22-09-271971-A. RPCT Recover BAC and Serpentin.")</f>
        <v>FM: Thank you for intervening following the validation of the estimate N ° GF 14-22-09-271971-A. RPCT Recover BAC and Serpentin.</v>
      </c>
    </row>
    <row r="2157">
      <c r="A2157" s="19" t="s">
        <v>1696</v>
      </c>
      <c r="B2157" s="20" t="str">
        <f>IFERROR(__xludf.DUMMYFUNCTION("GOOGLETRANSLATE(A2157, ""fr"", ""en"")"),"FM: CHECK-LIST AT: Thank you for reinforcing the Sonnette side Porte Soft reserve.")</f>
        <v>FM: CHECK-LIST AT: Thank you for reinforcing the Sonnette side Porte Soft reserve.</v>
      </c>
    </row>
    <row r="2158">
      <c r="A2158" s="19" t="s">
        <v>1697</v>
      </c>
      <c r="B2158" s="20" t="str">
        <f>IFERROR(__xludf.DUMMYFUNCTION("GOOGLETRANSLATE(A2158, ""fr"", ""en"")"),"FM: Continue checklist: Please repaint the SAS door (see photo).")</f>
        <v>FM: Continue checklist: Please repaint the SAS door (see photo).</v>
      </c>
    </row>
    <row r="2159">
      <c r="A2159" s="19" t="s">
        <v>1698</v>
      </c>
      <c r="B2159" s="20" t="str">
        <f>IFERROR(__xludf.DUMMYFUNCTION("GOOGLETRANSLATE(A2159, ""fr"", ""en"")"),"FM: CHECK-List suite: Please check the panels of the RIA evacuation plans. If they are good hanging them in the right place.")</f>
        <v>FM: CHECK-List suite: Please check the panels of the RIA evacuation plans. If they are good hanging them in the right place.</v>
      </c>
    </row>
    <row r="2160">
      <c r="A2160" s="19" t="s">
        <v>1699</v>
      </c>
      <c r="B2160" s="20" t="str">
        <f>IFERROR(__xludf.DUMMYFUNCTION("GOOGLETRANSLATE(A2160, ""fr"", ""en"")"),"FM: Cleaning park with carts - 12 - S30 module. Immerately attach the checklists.")</f>
        <v>FM: Cleaning park with carts - 12 - S30 module. Immerately attach the checklists.</v>
      </c>
    </row>
    <row r="2161">
      <c r="A2161" s="19" t="s">
        <v>1700</v>
      </c>
      <c r="B2161" s="20" t="str">
        <f>IFERROR(__xludf.DUMMYFUNCTION("GOOGLETRANSLATE(A2161, ""fr"", ""en"")"),"FM: Villers le Lac: GSM // hegenheim defect: absence GSM cyclic test.")</f>
        <v>FM: Villers le Lac: GSM // hegenheim defect: absence GSM cyclic test.</v>
      </c>
    </row>
    <row r="2162">
      <c r="A2162" s="19" t="s">
        <v>1551</v>
      </c>
      <c r="B2162" s="20" t="str">
        <f>IFERROR(__xludf.DUMMYFUNCTION("GOOGLETRANSLATE(A2162, ""fr"", ""en"")"),"FM: Thank you for intervening on the IRVE terminals, they are defects on has been.")</f>
        <v>FM: Thank you for intervening on the IRVE terminals, they are defects on has been.</v>
      </c>
    </row>
    <row r="2163">
      <c r="A2163" s="19" t="s">
        <v>1701</v>
      </c>
      <c r="B2163" s="20" t="str">
        <f>IFERROR(__xludf.DUMMYFUNCTION("GOOGLETRANSLATE(A2163, ""fr"", ""en"")"),"FM: Basse window cleaning - Module 7 - S30. Immerately attach the checklists.")</f>
        <v>FM: Basse window cleaning - Module 7 - S30. Immerately attach the checklists.</v>
      </c>
    </row>
    <row r="2164">
      <c r="A2164" s="19" t="s">
        <v>1390</v>
      </c>
      <c r="B2164" s="20" t="str">
        <f>IFERROR(__xludf.DUMMYFUNCTION("GOOGLETRANSLATE(A2164, ""fr"", ""en"")"),"Various RMR sale for all DR02 SPMs to do before the end S31voir Devis
 Install the Visuals of the Aggressiveness Price campaign. The detail is in the joint pdf")</f>
        <v>Various RMR sale for all DR02 SPMs to do before the end S31voir Devis
 Install the Visuals of the Aggressiveness Price campaign. The detail is in the joint pdf</v>
      </c>
    </row>
    <row r="2165">
      <c r="A2165" s="19" t="s">
        <v>1702</v>
      </c>
      <c r="B2165" s="20" t="str">
        <f>IFERROR(__xludf.DUMMYFUNCTION("GOOGLETRANSLATE(A2165, ""fr"", ""en"")"),"FM: absence cyclic test GSM")</f>
        <v>FM: absence cyclic test GSM</v>
      </c>
    </row>
    <row r="2166">
      <c r="A2166" s="19" t="s">
        <v>1703</v>
      </c>
      <c r="B2166" s="20" t="str">
        <f>IFERROR(__xludf.DUMMYFUNCTION("GOOGLETRANSLATE(A2166, ""fr"", ""en"")"),"FM: Night guarding tonight on Thursday May 4 because problem with the automatic door.")</f>
        <v>FM: Night guarding tonight on Thursday May 4 because problem with the automatic door.</v>
      </c>
    </row>
    <row r="2167">
      <c r="A2167" s="19" t="s">
        <v>1704</v>
      </c>
      <c r="B2167" s="20" t="str">
        <f>IFERROR(__xludf.DUMMYFUNCTION("GOOGLETRANSLATE(A2167, ""fr"", ""en"")"),"FM: condenser cleaning + search for technical info condenser fan")</f>
        <v>FM: condenser cleaning + search for technical info condenser fan</v>
      </c>
    </row>
    <row r="2168">
      <c r="A2168" s="19" t="s">
        <v>1705</v>
      </c>
      <c r="B2168" s="20" t="str">
        <f>IFERROR(__xludf.DUMMYFUNCTION("GOOGLETRANSLATE(A2168, ""fr"", ""en"")"),"FM: Thank you for intervening following the validation of quote n ° FQ2306140172. RPCT Safety cell.")</f>
        <v>FM: Thank you for intervening following the validation of quote n ° FQ2306140172. RPCT Safety cell.</v>
      </c>
    </row>
    <row r="2169">
      <c r="A2169" s="19" t="s">
        <v>1706</v>
      </c>
      <c r="B2169" s="20" t="str">
        <f>IFERROR(__xludf.DUMMYFUNCTION("GOOGLETRANSLATE(A2169, ""fr"", ""en"")"),"The store alarm rings several times in the night for two nights.
 The neighbors hear it a lot.")</f>
        <v>The store alarm rings several times in the night for two nights.
 The neighbors hear it a lot.</v>
      </c>
    </row>
    <row r="2170">
      <c r="A2170" s="19" t="s">
        <v>1707</v>
      </c>
      <c r="B2170" s="20" t="str">
        <f>IFERROR(__xludf.DUMMYFUNCTION("GOOGLETRANSLATE(A2170, ""fr"", ""en"")"),"FM: Following your checklist, please provide 7 false-ceiling slabs.")</f>
        <v>FM: Following your checklist, please provide 7 false-ceiling slabs.</v>
      </c>
    </row>
    <row r="2171">
      <c r="A2171" s="19" t="s">
        <v>1400</v>
      </c>
      <c r="B2171" s="20" t="str">
        <f>IFERROR(__xludf.DUMMYFUNCTION("GOOGLETRANSLATE(A2171, ""fr"", ""en"")"),"FM: Thank you for putting the delay outdoor lighting and the next time MOP")</f>
        <v>FM: Thank you for putting the delay outdoor lighting and the next time MOP</v>
      </c>
    </row>
    <row r="2172">
      <c r="A2172" s="19" t="s">
        <v>1708</v>
      </c>
      <c r="B2172" s="20" t="str">
        <f>IFERROR(__xludf.DUMMYFUNCTION("GOOGLETRANSLATE(A2172, ""fr"", ""en"")"),"FM: Folding: Installation of light report on CF")</f>
        <v>FM: Folding: Installation of light report on CF</v>
      </c>
    </row>
    <row r="2173">
      <c r="A2173" s="19" t="s">
        <v>1709</v>
      </c>
      <c r="B2173" s="20" t="str">
        <f>IFERROR(__xludf.DUMMYFUNCTION("GOOGLETRANSLATE(A2173, ""fr"", ""en"")"),"FM: Following TV report Thank you for intervening, 30 minutes of cold defect that night.")</f>
        <v>FM: Following TV report Thank you for intervening, 30 minutes of cold defect that night.</v>
      </c>
    </row>
    <row r="2174">
      <c r="A2174" s="19" t="s">
        <v>1710</v>
      </c>
      <c r="B2174" s="20" t="str">
        <f>IFERROR(__xludf.DUMMYFUNCTION("GOOGLETRANSLATE(A2174, ""fr"", ""en"")"),"FM: Following TSV report, there was a cold defect of 1h10 tonight. Please check all the cold equipment please.")</f>
        <v>FM: Following TSV report, there was a cold defect of 1h10 tonight. Please check all the cold equipment please.</v>
      </c>
    </row>
    <row r="2175">
      <c r="A2175" s="19" t="s">
        <v>1711</v>
      </c>
      <c r="B2175" s="20" t="str">
        <f>IFERROR(__xludf.DUMMYFUNCTION("GOOGLETRANSLATE(A2175, ""fr"", ""en"")"),"FM: Thank you for intervening following the validation of the estimate n ° GF 14-22-06-243686-A. Fan RPCT on the condenser of the positive power station.")</f>
        <v>FM: Thank you for intervening following the validation of the estimate n ° GF 14-22-06-243686-A. Fan RPCT on the condenser of the positive power station.</v>
      </c>
    </row>
    <row r="2176">
      <c r="A2176" s="19" t="s">
        <v>1712</v>
      </c>
      <c r="B2176" s="20" t="str">
        <f>IFERROR(__xludf.DUMMYFUNCTION("GOOGLETRANSLATE(A2176, ""fr"", ""en"")"),"FM: Thank you for taking up the places where there was lettering.")</f>
        <v>FM: Thank you for taking up the places where there was lettering.</v>
      </c>
    </row>
    <row r="2177">
      <c r="A2177" s="19" t="s">
        <v>1713</v>
      </c>
      <c r="B2177" s="20" t="str">
        <f>IFERROR(__xludf.DUMMYFUNCTION("GOOGLETRANSLATE(A2177, ""fr"", ""en"")"),"/! \ Store alarm not cold alarm /! \
 We did not manage to put the store alarm last night. There is an error message that talks about the conveyor door.")</f>
        <v>/! \ Store alarm not cold alarm /! \
 We did not manage to put the store alarm last night. There is an error message that talks about the conveyor door.</v>
      </c>
    </row>
    <row r="2178">
      <c r="A2178" s="19" t="s">
        <v>1578</v>
      </c>
      <c r="B2178" s="20" t="str">
        <f>IFERROR(__xludf.DUMMYFUNCTION("GOOGLETRANSLATE(A2178, ""fr"", ""en"")"),"FM: Please replace the DSB codes during your next passages.")</f>
        <v>FM: Please replace the DSB codes during your next passages.</v>
      </c>
    </row>
    <row r="2179">
      <c r="A2179" s="19" t="s">
        <v>1714</v>
      </c>
      <c r="B2179" s="20" t="str">
        <f>IFERROR(__xludf.DUMMYFUNCTION("GOOGLETRANSLATE(A2179, ""fr"", ""en"")"),"FM: Please intervene following the validation of quote n ° FQ220215007.RPCT of the Porte SECT PUBLIC button.")</f>
        <v>FM: Please intervene following the validation of quote n ° FQ220215007.RPCT of the Porte SECT PUBLIC button.</v>
      </c>
    </row>
    <row r="2180">
      <c r="A2180" s="19" t="s">
        <v>1715</v>
      </c>
      <c r="B2180" s="20" t="str">
        <f>IFERROR(__xludf.DUMMYFUNCTION("GOOGLETRANSLATE(A2180, ""fr"", ""en"")"),"We should change the sink in the Bread lab.")</f>
        <v>We should change the sink in the Bread lab.</v>
      </c>
    </row>
    <row r="2181">
      <c r="A2181" s="19" t="s">
        <v>1716</v>
      </c>
      <c r="B2181" s="20" t="str">
        <f>IFERROR(__xludf.DUMMYFUNCTION("GOOGLETRANSLATE(A2181, ""fr"", ""en"")"),"FM: Please find attached the summary sheet of observations following the passage of the Bureau Véritas for the year 2023. We ask you to clear the observations as soon as possible and to return to us as soon as the intervention is completed (S ) Document ("&amp;"s) completed (s), signed (s) and hidden by you. Sincerely. ELEC")</f>
        <v>FM: Please find attached the summary sheet of observations following the passage of the Bureau Véritas for the year 2023. We ask you to clear the observations as soon as possible and to return to us as soon as the intervention is completed (S ) Document (s) completed (s), signed (s) and hidden by you. Sincerely. ELEC</v>
      </c>
    </row>
    <row r="2182">
      <c r="A2182" s="19" t="s">
        <v>1717</v>
      </c>
      <c r="B2182" s="20" t="str">
        <f>IFERROR(__xludf.DUMMYFUNCTION("GOOGLETRANSLATE(A2182, ""fr"", ""en"")"),"FM: intervention CF Neg Suite on penalty 07/12")</f>
        <v>FM: intervention CF Neg Suite on penalty 07/12</v>
      </c>
    </row>
    <row r="2183">
      <c r="A2183" s="19" t="s">
        <v>1718</v>
      </c>
      <c r="B2183" s="20" t="str">
        <f>IFERROR(__xludf.DUMMYFUNCTION("GOOGLETRANSLATE(A2183, ""fr"", ""en"")"),"FM: Following your checklist, please replace the broken tile in the reserve at your next visit.")</f>
        <v>FM: Following your checklist, please replace the broken tile in the reserve at your next visit.</v>
      </c>
    </row>
    <row r="2184">
      <c r="A2184" s="19" t="s">
        <v>1719</v>
      </c>
      <c r="B2184" s="20" t="str">
        <f>IFERROR(__xludf.DUMMYFUNCTION("GOOGLETRANSLATE(A2184, ""fr"", ""en"")"),"FM: Please replace the wet ceiling slab on the sale surface")</f>
        <v>FM: Please replace the wet ceiling slab on the sale surface</v>
      </c>
    </row>
    <row r="2185">
      <c r="A2185" s="19" t="s">
        <v>1414</v>
      </c>
      <c r="B2185" s="20" t="str">
        <f>IFERROR(__xludf.DUMMYFUNCTION("GOOGLETRANSLATE(A2185, ""fr"", ""en"")"),"FM: Raisement zone of Quai following joint table")</f>
        <v>FM: Raisement zone of Quai following joint table</v>
      </c>
    </row>
    <row r="2186">
      <c r="A2186" s="19" t="s">
        <v>1720</v>
      </c>
      <c r="B2186" s="20" t="str">
        <f>IFERROR(__xludf.DUMMYFUNCTION("GOOGLETRANSLATE(A2186, ""fr"", ""en"")"),"FM: Please intervene for the replacement of 2 HS spots on the sale surface")</f>
        <v>FM: Please intervene for the replacement of 2 HS spots on the sale surface</v>
      </c>
    </row>
    <row r="2187">
      <c r="A2187" s="19" t="s">
        <v>1721</v>
      </c>
      <c r="B2187" s="20" t="str">
        <f>IFERROR(__xludf.DUMMYFUNCTION("GOOGLETRANSLATE(A2187, ""fr"", ""en"")"),"FM: Following remote monitoring report, several cold flaws on Sunday. CFF + well closed CF +, defects coming from elsewhere.")</f>
        <v>FM: Following remote monitoring report, several cold flaws on Sunday. CFF + well closed CF +, defects coming from elsewhere.</v>
      </c>
    </row>
    <row r="2188">
      <c r="A2188" s="19" t="s">
        <v>1722</v>
      </c>
      <c r="B2188" s="20" t="str">
        <f>IFERROR(__xludf.DUMMYFUNCTION("GOOGLETRANSLATE(A2188, ""fr"", ""en"")"),"FM: Following 2 power cuts up from 2 to 5 min, around 6:30 am and around 8:00 am scheduled on 09/14. Please be present to accompany Priméo from 6:15 am and check that our installations work properly")</f>
        <v>FM: Following 2 power cuts up from 2 to 5 min, around 6:30 am and around 8:00 am scheduled on 09/14. Please be present to accompany Priméo from 6:15 am and check that our installations work properly</v>
      </c>
    </row>
    <row r="2189">
      <c r="A2189" s="19" t="s">
        <v>1723</v>
      </c>
      <c r="B2189" s="20" t="str">
        <f>IFERROR(__xludf.DUMMYFUNCTION("GOOGLETRANSLATE(A2189, ""fr"", ""en"")"),"FM: PV suite of security commission, please move the smoke detector above")</f>
        <v>FM: PV suite of security commission, please move the smoke detector above</v>
      </c>
    </row>
    <row r="2190">
      <c r="A2190" s="19" t="s">
        <v>1724</v>
      </c>
      <c r="B2190" s="20" t="str">
        <f>IFERROR(__xludf.DUMMYFUNCTION("GOOGLETRANSLATE(A2190, ""fr"", ""en"")"),"FM: Please intervene following the validation of quote n ° 22061. RPCT RIA + Fémoral control")</f>
        <v>FM: Please intervene following the validation of quote n ° 22061. RPCT RIA + Fémoral control</v>
      </c>
    </row>
    <row r="2191">
      <c r="A2191" s="19" t="s">
        <v>1423</v>
      </c>
      <c r="B2191" s="20" t="str">
        <f>IFERROR(__xludf.DUMMYFUNCTION("GOOGLETRANSLATE(A2191, ""fr"", ""en"")"),"FM display code: please put the temperature display in supermarkets according to the modop provides")</f>
        <v>FM display code: please put the temperature display in supermarkets according to the modop provides</v>
      </c>
    </row>
    <row r="2192">
      <c r="A2192" s="19" t="s">
        <v>1725</v>
      </c>
      <c r="B2192" s="20" t="str">
        <f>IFERROR(__xludf.DUMMYFUNCTION("GOOGLETRANSLATE(A2192, ""fr"", ""en"")"),"FM: The small sign above the entrance does not light up.
 Thanks for intervening.")</f>
        <v>FM: The small sign above the entrance does not light up.
 Thanks for intervening.</v>
      </c>
    </row>
    <row r="2193">
      <c r="A2193" s="19" t="s">
        <v>1726</v>
      </c>
      <c r="B2193" s="20" t="str">
        <f>IFERROR(__xludf.DUMMYFUNCTION("GOOGLETRANSLATE(A2193, ""fr"", ""en"")"),"FM: Thank you for intervening following the email of remote monitoring, defect in receipt of the GSM cyclic test.")</f>
        <v>FM: Thank you for intervening following the email of remote monitoring, defect in receipt of the GSM cyclic test.</v>
      </c>
    </row>
    <row r="2194">
      <c r="A2194" s="19" t="s">
        <v>1431</v>
      </c>
      <c r="B2194" s="20" t="str">
        <f>IFERROR(__xludf.DUMMYFUNCTION("GOOGLETRANSLATE(A2194, ""fr"", ""en"")"),"FM: Please intervene to configure the oven, contact Interway to check the connection status (see Logigram in PJ).")</f>
        <v>FM: Please intervene to configure the oven, contact Interway to check the connection status (see Logigram in PJ).</v>
      </c>
    </row>
    <row r="2195">
      <c r="A2195" s="19" t="s">
        <v>1727</v>
      </c>
      <c r="B2195" s="20" t="str">
        <f>IFERROR(__xludf.DUMMYFUNCTION("GOOGLETRANSLATE(A2195, ""fr"", ""en"")"),"FM: Thank you for intervening following the validation of quote n ° D0220805. RPCT of an outdoor camera.")</f>
        <v>FM: Thank you for intervening following the validation of quote n ° D0220805. RPCT of an outdoor camera.</v>
      </c>
    </row>
    <row r="2196">
      <c r="A2196" s="19" t="s">
        <v>1728</v>
      </c>
      <c r="B2196" s="20" t="str">
        <f>IFERROR(__xludf.DUMMYFUNCTION("GOOGLETRANSLATE(A2196, ""fr"", ""en"")"),"FM: Follow -up TV removal report, please intervene following a cold defect over 11 a.m.")</f>
        <v>FM: Follow -up TV removal report, please intervene following a cold defect over 11 a.m.</v>
      </c>
    </row>
    <row r="2197">
      <c r="A2197" s="19" t="s">
        <v>1729</v>
      </c>
      <c r="B2197" s="20" t="str">
        <f>IFERROR(__xludf.DUMMYFUNCTION("GOOGLETRANSLATE(A2197, ""fr"", ""en"")"),"FM: Following TSV report, there was a long defect that night. Please check all the cold equipment.")</f>
        <v>FM: Following TSV report, there was a long defect that night. Please check all the cold equipment.</v>
      </c>
    </row>
    <row r="2198">
      <c r="A2198" s="19" t="s">
        <v>1730</v>
      </c>
      <c r="B2198" s="20" t="str">
        <f>IFERROR(__xludf.DUMMYFUNCTION("GOOGLETRANSLATE(A2198, ""fr"", ""en"")"),"We find it hard to activate the alarm in the evening. Because this door no longer detects the alarm system")</f>
        <v>We find it hard to activate the alarm in the evening. Because this door no longer detects the alarm system</v>
      </c>
    </row>
    <row r="2199">
      <c r="A2199" s="19" t="s">
        <v>1731</v>
      </c>
      <c r="B2199" s="20" t="str">
        <f>IFERROR(__xludf.DUMMYFUNCTION("GOOGLETRANSLATE(A2199, ""fr"", ""en"")"),"Levier du Labos Pain is blocked and the syphon is not accessible.")</f>
        <v>Levier du Labos Pain is blocked and the syphon is not accessible.</v>
      </c>
    </row>
    <row r="2200">
      <c r="A2200" s="19" t="s">
        <v>1732</v>
      </c>
      <c r="B2200" s="20" t="str">
        <f>IFERROR(__xludf.DUMMYFUNCTION("GOOGLETRANSLATE(A2200, ""fr"", ""en"")"),"The levacuation channeling of the Autolaveuse is blocked.
 It is not the filter but rather inside the pipe.")</f>
        <v>The levacuation channeling of the Autolaveuse is blocked.
 It is not the filter but rather inside the pipe.</v>
      </c>
    </row>
    <row r="2201">
      <c r="A2201" s="19" t="s">
        <v>1733</v>
      </c>
      <c r="B2201" s="20" t="str">
        <f>IFERROR(__xludf.DUMMYFUNCTION("GOOGLETRANSLATE(A2201, ""fr"", ""en"")"),"FM: Following your checklist: please put a door broom to the quay pedestrian door and put a stroke of paint.")</f>
        <v>FM: Following your checklist: please put a door broom to the quay pedestrian door and put a stroke of paint.</v>
      </c>
    </row>
    <row r="2202">
      <c r="A2202" s="19" t="s">
        <v>1439</v>
      </c>
      <c r="B2202" s="20" t="str">
        <f>IFERROR(__xludf.DUMMYFUNCTION("GOOGLETRANSLATE(A2202, ""fr"", ""en"")"),"FM: cleaning 7 low window module according to July planning S30")</f>
        <v>FM: cleaning 7 low window module according to July planning S30</v>
      </c>
    </row>
    <row r="2203">
      <c r="A2203" s="19" t="s">
        <v>1734</v>
      </c>
      <c r="B2203" s="20" t="str">
        <f>IFERROR(__xludf.DUMMYFUNCTION("GOOGLETRANSLATE(A2203, ""fr"", ""en"")"),"FM: Please intervene in the cosmetic department, LEDs are HS.")</f>
        <v>FM: Please intervene in the cosmetic department, LEDs are HS.</v>
      </c>
    </row>
    <row r="2204">
      <c r="A2204" s="19" t="s">
        <v>1457</v>
      </c>
      <c r="B2204" s="20" t="str">
        <f>IFERROR(__xludf.DUMMYFUNCTION("GOOGLETRANSLATE(A2204, ""fr"", ""en"")"),"FM: Thank you for reconnecting the water heaters in the kitchens and bakery.")</f>
        <v>FM: Thank you for reconnecting the water heaters in the kitchens and bakery.</v>
      </c>
    </row>
    <row r="2205">
      <c r="A2205" s="19" t="s">
        <v>1458</v>
      </c>
      <c r="B2205" s="20" t="str">
        <f>IFERROR(__xludf.DUMMYFUNCTION("GOOGLETRANSLATE(A2205, ""fr"", ""en"")"),"FM: Control if the TGBT room is accessible from outside. If so, can we access it with the 7/7 key? If not, take the measurement of the cylinder to order. See Mail Ali from 30/12.")</f>
        <v>FM: Control if the TGBT room is accessible from outside. If so, can we access it with the 7/7 key? If not, take the measurement of the cylinder to order. See Mail Ali from 30/12.</v>
      </c>
    </row>
    <row r="2206">
      <c r="A2206" s="19" t="s">
        <v>1735</v>
      </c>
      <c r="B2206" s="20" t="str">
        <f>IFERROR(__xludf.DUMMYFUNCTION("GOOGLETRANSLATE(A2206, ""fr"", ""en"")"),"FM: Thank you for intervening, CVC overconsumption (to be pooled with maintenance if not yet carried out).")</f>
        <v>FM: Thank you for intervening, CVC overconsumption (to be pooled with maintenance if not yet carried out).</v>
      </c>
    </row>
    <row r="2207">
      <c r="A2207" s="19" t="s">
        <v>1736</v>
      </c>
      <c r="B2207" s="20" t="str">
        <f>IFERROR(__xludf.DUMMYFUNCTION("GOOGLETRANSLATE(A2207, ""fr"", ""en"")"),"FM: Thank you for intervening following the validation of quote n ° D23006. Removal of the reserve holder.")</f>
        <v>FM: Thank you for intervening following the validation of quote n ° D23006. Removal of the reserve holder.</v>
      </c>
    </row>
    <row r="2208">
      <c r="A2208" s="19" t="s">
        <v>1459</v>
      </c>
      <c r="B2208" s="20" t="str">
        <f>IFERROR(__xludf.DUMMYFUNCTION("GOOGLETRANSLATE(A2208, ""fr"", ""en"")"),"FM: Please control during your passages if the ""Welcome"" logo is hidden by a world record relay (see photo). If so, please remove the logo behind the locker.")</f>
        <v>FM: Please control during your passages if the "Welcome" logo is hidden by a world record relay (see photo). If so, please remove the logo behind the locker.</v>
      </c>
    </row>
    <row r="2209">
      <c r="A2209" s="19" t="s">
        <v>1737</v>
      </c>
      <c r="B2209" s="20" t="str">
        <f>IFERROR(__xludf.DUMMYFUNCTION("GOOGLETRANSLATE(A2209, ""fr"", ""en"")"),"FM: Thank you for intervening, a fire extinguisher is HS in reserve.")</f>
        <v>FM: Thank you for intervening, a fire extinguisher is HS in reserve.</v>
      </c>
    </row>
    <row r="2210">
      <c r="A2210" s="19" t="s">
        <v>1462</v>
      </c>
      <c r="B2210" s="20" t="str">
        <f>IFERROR(__xludf.DUMMYFUNCTION("GOOGLETRANSLATE(A2210, ""fr"", ""en"")"),"FM: Ba sheet code - Install the adhesives safety instructions.
 Deadline 04/30/2023")</f>
        <v>FM: Ba sheet code - Install the adhesives safety instructions.
 Deadline 04/30/2023</v>
      </c>
    </row>
    <row r="2211">
      <c r="A2211" s="19" t="s">
        <v>1463</v>
      </c>
      <c r="B2211" s="20" t="str">
        <f>IFERROR(__xludf.DUMMYFUNCTION("GOOGLETRANSLATE(A2211, ""fr"", ""en"")"),"FM: Victoire Video surveillance Display According to Mail d'Ali from 30/12.")</f>
        <v>FM: Victoire Video surveillance Display According to Mail d'Ali from 30/12.</v>
      </c>
    </row>
    <row r="2212">
      <c r="A2212" s="19" t="s">
        <v>1466</v>
      </c>
      <c r="B2212" s="20" t="str">
        <f>IFERROR(__xludf.DUMMYFUNCTION("GOOGLETRANSLATE(A2212, ""fr"", ""en"")"),"Various sale RMR Visual installation campaign aggressiveness price.
 To be done before S31 for the entire DR 02, or 69 SPM.
 Installation detail See PDF")</f>
        <v>Various sale RMR Visual installation campaign aggressiveness price.
 To be done before S31 for the entire DR 02, or 69 SPM.
 Installation detail See PDF</v>
      </c>
    </row>
    <row r="2213">
      <c r="A2213" s="19" t="s">
        <v>1738</v>
      </c>
      <c r="B2213" s="20" t="str">
        <f>IFERROR(__xludf.DUMMYFUNCTION("GOOGLETRANSLATE(A2213, ""fr"", ""en"")"),"FM: Follow -up TV removal report, please intervene for a cold defect that night at 10am.")</f>
        <v>FM: Follow -up TV removal report, please intervene for a cold defect that night at 10am.</v>
      </c>
    </row>
    <row r="2214">
      <c r="A2214" s="19" t="s">
        <v>1739</v>
      </c>
      <c r="B2214" s="20" t="str">
        <f>IFERROR(__xludf.DUMMYFUNCTION("GOOGLETRANSLATE(A2214, ""fr"", ""en"")"),"FM: Please provide us with 5 heaters badges for Bischheim and 4 for Hegenheim.")</f>
        <v>FM: Please provide us with 5 heaters badges for Bischheim and 4 for Hegenheim.</v>
      </c>
    </row>
    <row r="2215">
      <c r="A2215" s="19" t="s">
        <v>1740</v>
      </c>
      <c r="B2215" s="20" t="str">
        <f>IFERROR(__xludf.DUMMYFUNCTION("GOOGLETRANSLATE(A2215, ""fr"", ""en"")"),"FM: Please intervene following the validation of quote n ° FQ2305050139. RPCT of 3 engines.")</f>
        <v>FM: Please intervene following the validation of quote n ° FQ2305050139. RPCT of 3 engines.</v>
      </c>
    </row>
    <row r="2216">
      <c r="A2216" s="19" t="s">
        <v>1741</v>
      </c>
      <c r="B2216" s="20" t="str">
        <f>IFERROR(__xludf.DUMMYFUNCTION("GOOGLETRANSLATE(A2216, ""fr"", ""en"")"),"iron curtain no longer works urgent thank you")</f>
        <v>iron curtain no longer works urgent thank you</v>
      </c>
    </row>
    <row r="2217">
      <c r="A2217" s="19" t="s">
        <v>1742</v>
      </c>
      <c r="B2217" s="20" t="str">
        <f>IFERROR(__xludf.DUMMYFUNCTION("GOOGLETRANSLATE(A2217, ""fr"", ""en"")"),"FM Buee VVP: Doors replacement with Buee according to operating mode and plans")</f>
        <v>FM Buee VVP: Doors replacement with Buee according to operating mode and plans</v>
      </c>
    </row>
    <row r="2218">
      <c r="A2218" s="19" t="s">
        <v>1479</v>
      </c>
      <c r="B2218" s="20" t="str">
        <f>IFERROR(__xludf.DUMMYFUNCTION("GOOGLETRANSLATE(A2218, ""fr"", ""en"")"),"FM: Please change the DSB MDP during your next visit.")</f>
        <v>FM: Please change the DSB MDP during your next visit.</v>
      </c>
    </row>
    <row r="2219">
      <c r="A2219" s="19" t="s">
        <v>1743</v>
      </c>
      <c r="B2219" s="20" t="str">
        <f>IFERROR(__xludf.DUMMYFUNCTION("GOOGLETRANSLATE(A2219, ""fr"", ""en"")"),"FM Buee VVP: Replacement of doors with Buee according to plans and deliveries")</f>
        <v>FM Buee VVP: Replacement of doors with Buee according to plans and deliveries</v>
      </c>
    </row>
    <row r="2220">
      <c r="A2220" s="19" t="s">
        <v>1744</v>
      </c>
      <c r="B2220" s="20" t="str">
        <f>IFERROR(__xludf.DUMMYFUNCTION("GOOGLETRANSLATE(A2220, ""fr"", ""en"")"),"FM: Thank you for cutting the branches torn off and hanging in the parking lot and cutting the branches of the quay side.")</f>
        <v>FM: Thank you for cutting the branches torn off and hanging in the parking lot and cutting the branches of the quay side.</v>
      </c>
    </row>
    <row r="2221">
      <c r="A2221" s="19" t="s">
        <v>1745</v>
      </c>
      <c r="B2221" s="20" t="str">
        <f>IFERROR(__xludf.DUMMYFUNCTION("GOOGLETRANSLATE(A2221, ""fr"", ""en"")"),"FM: request following validation quote n ° D0220712. RPCT Seismic trunk.")</f>
        <v>FM: request following validation quote n ° D0220712. RPCT Seismic trunk.</v>
      </c>
    </row>
    <row r="2222">
      <c r="A2222" s="19" t="s">
        <v>1481</v>
      </c>
      <c r="B2222" s="20" t="str">
        <f>IFERROR(__xludf.DUMMYFUNCTION("GOOGLETRANSLATE(A2222, ""fr"", ""en"")"),"Hello, please find attached the summary sheet of observations following the passage of the office Veritas for the year 2022. We ask you to kindly raise observations as soon as possible and return to us as soon as the intervention is finished (s ) Document"&amp;" (s) completed (s), signed (s) and hidden by you. Sincerely.")</f>
        <v>Hello, please find attached the summary sheet of observations following the passage of the office Veritas for the year 2022. We ask you to kindly raise observations as soon as possible and return to us as soon as the intervention is finished (s ) Document (s) completed (s), signed (s) and hidden by you. Sincerely.</v>
      </c>
    </row>
    <row r="2223">
      <c r="A2223" s="19" t="s">
        <v>1746</v>
      </c>
      <c r="B2223" s="20" t="str">
        <f>IFERROR(__xludf.DUMMYFUNCTION("GOOGLETRANSLATE(A2223, ""fr"", ""en"")"),"Change social microwave oven for employees because it heats up more")</f>
        <v>Change social microwave oven for employees because it heats up more</v>
      </c>
    </row>
    <row r="2224">
      <c r="A2224" s="19" t="s">
        <v>1747</v>
      </c>
      <c r="B2224" s="20" t="str">
        <f>IFERROR(__xludf.DUMMYFUNCTION("GOOGLETRANSLATE(A2224, ""fr"", ""en"")"),"FM: Please intervene following the validation of quote n ° A7E13DV166624. Resumption of defective statements.")</f>
        <v>FM: Please intervene following the validation of quote n ° A7E13DV166624. Resumption of defective statements.</v>
      </c>
    </row>
    <row r="2225">
      <c r="A2225" s="19" t="s">
        <v>1605</v>
      </c>
      <c r="B2225" s="20" t="str">
        <f>IFERROR(__xludf.DUMMYFUNCTION("GOOGLETRANSLATE(A2225, ""fr"", ""en"")"),"FM: Please replace the headlands heads following a joint quote and joint table")</f>
        <v>FM: Please replace the headlands heads following a joint quote and joint table</v>
      </c>
    </row>
    <row r="2226">
      <c r="A2226" s="19" t="s">
        <v>1486</v>
      </c>
      <c r="B2226" s="20" t="str">
        <f>IFERROR(__xludf.DUMMYFUNCTION("GOOGLETRANSLATE(A2226, ""fr"", ""en"")"),"FM ECO ECL: extinguish COVVID counting systems at the input of SPMs. Deadline at the end of January.")</f>
        <v>FM ECO ECL: extinguish COVVID counting systems at the input of SPMs. Deadline at the end of January.</v>
      </c>
    </row>
    <row r="2227">
      <c r="A2227" s="19" t="s">
        <v>1748</v>
      </c>
      <c r="B2227" s="20" t="str">
        <f>IFERROR(__xludf.DUMMYFUNCTION("GOOGLETRANSLATE(A2227, ""fr"", ""en"")"),"VVP: We are going to add two VVP windows on 02/14, please install the power supplies and circuit breakers accordingly")</f>
        <v>VVP: We are going to add two VVP windows on 02/14, please install the power supplies and circuit breakers accordingly</v>
      </c>
    </row>
    <row r="2228">
      <c r="A2228" s="19" t="s">
        <v>1423</v>
      </c>
      <c r="B2228" s="20" t="str">
        <f>IFERROR(__xludf.DUMMYFUNCTION("GOOGLETRANSLATE(A2228, ""fr"", ""en"")"),"FM display code: please put the temperature display in supermarkets according to the modop provides")</f>
        <v>FM display code: please put the temperature display in supermarkets according to the modop provides</v>
      </c>
    </row>
    <row r="2229">
      <c r="A2229" s="19" t="s">
        <v>1749</v>
      </c>
      <c r="B2229" s="20" t="str">
        <f>IFERROR(__xludf.DUMMYFUNCTION("GOOGLETRANSLATE(A2229, ""fr"", ""en"")"),"PDR: request following validation quote in PJ. Reserve side detection radar installation.")</f>
        <v>PDR: request following validation quote in PJ. Reserve side detection radar installation.</v>
      </c>
    </row>
    <row r="2230">
      <c r="A2230" s="19" t="s">
        <v>1508</v>
      </c>
      <c r="B2230" s="20" t="str">
        <f>IFERROR(__xludf.DUMMYFUNCTION("GOOGLETRANSLATE(A2230, ""fr"", ""en"")"),"FM: Module 7: Please intervene for clean window cleaning. Do not forget to ask for the RPS and the checklist of control signed and stamped by the supermarket.")</f>
        <v>FM: Module 7: Please intervene for clean window cleaning. Do not forget to ask for the RPS and the checklist of control signed and stamped by the supermarket.</v>
      </c>
    </row>
    <row r="2231">
      <c r="A2231" s="19" t="s">
        <v>1750</v>
      </c>
      <c r="B2231" s="20" t="str">
        <f>IFERROR(__xludf.DUMMYFUNCTION("GOOGLETRANSLATE(A2231, ""fr"", ""en"")"),"FM: Hello David !! Following your checklist, please paint the wall on the door of the quay.")</f>
        <v>FM: Hello David !! Following your checklist, please paint the wall on the door of the quay.</v>
      </c>
    </row>
    <row r="2232">
      <c r="A2232" s="19" t="s">
        <v>1751</v>
      </c>
      <c r="B2232" s="20" t="str">
        <f>IFERROR(__xludf.DUMMYFUNCTION("GOOGLETRANSLATE(A2232, ""fr"", ""en"")"),"The liquid distributor for customers at the entrance to the store no longer works.")</f>
        <v>The liquid distributor for customers at the entrance to the store no longer works.</v>
      </c>
    </row>
    <row r="2233">
      <c r="A2233" s="19" t="s">
        <v>1486</v>
      </c>
      <c r="B2233" s="20" t="str">
        <f>IFERROR(__xludf.DUMMYFUNCTION("GOOGLETRANSLATE(A2233, ""fr"", ""en"")"),"FM ECO ECL: extinguish COVVID counting systems at the input of SPMs. Deadline at the end of January.")</f>
        <v>FM ECO ECL: extinguish COVVID counting systems at the input of SPMs. Deadline at the end of January.</v>
      </c>
    </row>
    <row r="2234">
      <c r="A2234" s="19" t="s">
        <v>1530</v>
      </c>
      <c r="B2234" s="20" t="str">
        <f>IFERROR(__xludf.DUMMYFUNCTION("GOOGLETRANSLATE(A2234, ""fr"", ""en"")"),"FM: Eco Lighting: adjustment of the extinction instructions, according to the following instructions: 1- SPM classified in priority 1 in the PJ table: Reluming the sales area 100% except lettering on the walls. The lettering ""special offers"" and on the "&amp;"bread ark must be on. // 2- SPM classified in prio 2 and 3 in the table in PJ: Relum only the spots on the bakery area, FL, cosmetics, boxes, fresh, frozen furniture and bins. Lettrages on the walls must remain extinguished (except ""special offers"" and "&amp;"on the bread ark). // Plan the sites according to the order of priority indicated. The reserves and social premises partially extinguished are not affected by this readjustment. On the other hand, the reserves and social premises that had not been optimiz"&amp;"ed during the first wave are to be optimized. For SPMs requiring a nacelle, please group these stores in order to optimize the rental of the nacelle, imperatively transmit the quote before intervention. Return a recap to the progress of the tour every Fri"&amp;"day to Ali and Benjamin.")</f>
        <v>FM: Eco Lighting: adjustment of the extinction instructions, according to the following instructions: 1- SPM classified in priority 1 in the PJ table: Reluming the sales area 100% except lettering on the walls. The lettering "special offers" and on the bread ark must be on. // 2- SPM classified in prio 2 and 3 in the table in PJ: Relum only the spots on the bakery area, FL, cosmetics, boxes, fresh, frozen furniture and bins. Lettrages on the walls must remain extinguished (except "special offers" and on the bread ark). // Plan the sites according to the order of priority indicated. The reserves and social premises partially extinguished are not affected by this readjustment. On the other hand, the reserves and social premises that had not been optimized during the first wave are to be optimized. For SPMs requiring a nacelle, please group these stores in order to optimize the rental of the nacelle, imperatively transmit the quote before intervention. Return a recap to the progress of the tour every Friday to Ali and Benjamin.</v>
      </c>
    </row>
    <row r="2235">
      <c r="A2235" s="19" t="s">
        <v>1752</v>
      </c>
      <c r="B2235" s="20" t="str">
        <f>IFERROR(__xludf.DUMMYFUNCTION("GOOGLETRANSLATE(A2235, ""fr"", ""en"")"),"FM: Please intervene following the validation of quote n ° 142825. RPCT of the Right Ext cylinder.")</f>
        <v>FM: Please intervene following the validation of quote n ° 142825. RPCT of the Right Ext cylinder.</v>
      </c>
    </row>
    <row r="2236">
      <c r="A2236" s="19" t="s">
        <v>1753</v>
      </c>
      <c r="B2236" s="20" t="str">
        <f>IFERROR(__xludf.DUMMYFUNCTION("GOOGLETRANSLATE(A2236, ""fr"", ""en"")"),"FM: request following validation quote n ° D220510A. Lock installation on automatic doors. End S51 deadline.")</f>
        <v>FM: request following validation quote n ° D220510A. Lock installation on automatic doors. End S51 deadline.</v>
      </c>
    </row>
    <row r="2237">
      <c r="A2237" s="19" t="s">
        <v>1528</v>
      </c>
      <c r="B2237" s="20" t="str">
        <f>IFERROR(__xludf.DUMMYFUNCTION("GOOGLETRANSLATE(A2237, ""fr"", ""en"")"),"FM: Basse window cleaning - Module 7 - S46 and 47.")</f>
        <v>FM: Basse window cleaning - Module 7 - S46 and 47.</v>
      </c>
    </row>
    <row r="2238">
      <c r="A2238" s="19" t="s">
        <v>1716</v>
      </c>
      <c r="B2238" s="20" t="str">
        <f>IFERROR(__xludf.DUMMYFUNCTION("GOOGLETRANSLATE(A2238, ""fr"", ""en"")"),"FM: Please find attached the summary sheet of observations following the passage of the Bureau Véritas for the year 2023. We ask you to clear the observations as soon as possible and to return to us as soon as the intervention is completed (S ) Document ("&amp;"s) completed (s), signed (s) and hidden by you. Sincerely. ELEC")</f>
        <v>FM: Please find attached the summary sheet of observations following the passage of the Bureau Véritas for the year 2023. We ask you to clear the observations as soon as possible and to return to us as soon as the intervention is completed (S ) Document (s) completed (s), signed (s) and hidden by you. Sincerely. ELEC</v>
      </c>
    </row>
    <row r="2239">
      <c r="A2239" s="19" t="s">
        <v>1754</v>
      </c>
      <c r="B2239" s="20" t="str">
        <f>IFERROR(__xludf.DUMMYFUNCTION("GOOGLETRANSLATE(A2239, ""fr"", ""en"")"),"FM: Please intervene following the report of remote monitoring: cold defect of more than 9 hours this night.")</f>
        <v>FM: Please intervene following the report of remote monitoring: cold defect of more than 9 hours this night.</v>
      </c>
    </row>
    <row r="2240">
      <c r="A2240" s="19" t="s">
        <v>1755</v>
      </c>
      <c r="B2240" s="20" t="str">
        <f>IFERROR(__xludf.DUMMYFUNCTION("GOOGLETRANSLATE(A2240, ""fr"", ""en"")"),"FM: Please intervene to pass the FL room in fresh room.")</f>
        <v>FM: Please intervene to pass the FL room in fresh room.</v>
      </c>
    </row>
    <row r="2241">
      <c r="A2241" s="19" t="s">
        <v>1756</v>
      </c>
      <c r="B2241" s="20" t="str">
        <f>IFERROR(__xludf.DUMMYFUNCTION("GOOGLETRANSLATE(A2241, ""fr"", ""en"")"),"FM: Please intervene on the door of the CF + quay, the door had to close and open normally.")</f>
        <v>FM: Please intervene on the door of the CF + quay, the door had to close and open normally.</v>
      </c>
    </row>
    <row r="2242">
      <c r="A2242" s="19" t="s">
        <v>1757</v>
      </c>
      <c r="B2242" s="20" t="str">
        <f>IFERROR(__xludf.DUMMYFUNCTION("GOOGLETRANSLATE(A2242, ""fr"", ""en"")"),"FM: Follow -up TV removal report, please intervene for a cold defect of more than 2 days.")</f>
        <v>FM: Follow -up TV removal report, please intervene for a cold defect of more than 2 days.</v>
      </c>
    </row>
    <row r="2243">
      <c r="A2243" s="19" t="s">
        <v>1758</v>
      </c>
      <c r="B2243" s="20" t="str">
        <f>IFERROR(__xludf.DUMMYFUNCTION("GOOGLETRANSLATE(A2243, ""fr"", ""en"")"),"FM: We inform you that we have not received the GSM cyclic test.")</f>
        <v>FM: We inform you that we have not received the GSM cyclic test.</v>
      </c>
    </row>
    <row r="2244">
      <c r="A2244" s="19" t="s">
        <v>1759</v>
      </c>
      <c r="B2244" s="20" t="str">
        <f>IFERROR(__xludf.DUMMYFUNCTION("GOOGLETRANSLATE(A2244, ""fr"", ""en"")"),"HS take that you can no longer load Mobi in reserve")</f>
        <v>HS take that you can no longer load Mobi in reserve</v>
      </c>
    </row>
    <row r="2245">
      <c r="A2245" s="19" t="s">
        <v>1760</v>
      </c>
      <c r="B2245" s="20" t="str">
        <f>IFERROR(__xludf.DUMMYFUNCTION("GOOGLETRANSLATE(A2245, ""fr"", ""en"")"),"FM: Please intervene for replacing the regulating card on the VVP n ° Li742143.")</f>
        <v>FM: Please intervene for replacing the regulating card on the VVP n ° Li742143.</v>
      </c>
    </row>
    <row r="2246">
      <c r="A2246" s="19" t="s">
        <v>1761</v>
      </c>
      <c r="B2246" s="20" t="str">
        <f>IFERROR(__xludf.DUMMYFUNCTION("GOOGLETRANSLATE(A2246, ""fr"", ""en"")"),"FM: Continue passage Rentokil, put a door broom in reserve NT05.")</f>
        <v>FM: Continue passage Rentokil, put a door broom in reserve NT05.</v>
      </c>
    </row>
    <row r="2247">
      <c r="A2247" s="19" t="s">
        <v>1762</v>
      </c>
      <c r="B2247" s="20" t="str">
        <f>IFERROR(__xludf.DUMMYFUNCTION("GOOGLETRANSLATE(A2247, ""fr"", ""en"")"),"FM: Following your checklist, please replace the broken slab in the output airlock. Repeat your stock of slabs:)")</f>
        <v>FM: Following your checklist, please replace the broken slab in the output airlock. Repeat your stock of slabs:)</v>
      </c>
    </row>
    <row r="2248">
      <c r="A2248" s="19" t="s">
        <v>1763</v>
      </c>
      <c r="B2248" s="20" t="str">
        <f>IFERROR(__xludf.DUMMYFUNCTION("GOOGLETRANSLATE(A2248, ""fr"", ""en"")"),"* It would be necessary to treat the soil with anti-messembly as well as to maintain the green spaces please.")</f>
        <v>* It would be necessary to treat the soil with anti-messembly as well as to maintain the green spaces please.</v>
      </c>
    </row>
    <row r="2249">
      <c r="A2249" s="19" t="s">
        <v>1544</v>
      </c>
      <c r="B2249" s="20" t="str">
        <f>IFERROR(__xludf.DUMMYFUNCTION("GOOGLETRANSLATE(A2249, ""fr"", ""en"")"),"FM Eco Lighting: please set up the eco lighting mode following operating mode in PJ.")</f>
        <v>FM Eco Lighting: please set up the eco lighting mode following operating mode in PJ.</v>
      </c>
    </row>
    <row r="2250">
      <c r="A2250" s="19" t="s">
        <v>1764</v>
      </c>
      <c r="B2250" s="20" t="str">
        <f>IFERROR(__xludf.DUMMYFUNCTION("GOOGLETRANSLATE(A2250, ""fr"", ""en"")"),"FM: power cuts are planned on the store on 09/14 between 6 a.m. and 8 a.m. Please send a technician from 8 a.m. for controlling the operation of cold equipment.")</f>
        <v>FM: power cuts are planned on the store on 09/14 between 6 a.m. and 8 a.m. Please send a technician from 8 a.m. for controlling the operation of cold equipment.</v>
      </c>
    </row>
    <row r="2251">
      <c r="A2251" s="19" t="s">
        <v>1765</v>
      </c>
      <c r="B2251" s="20" t="str">
        <f>IFERROR(__xludf.DUMMYFUNCTION("GOOGLETRANSLATE(A2251, ""fr"", ""en"")"),"FM: Basse window cleaning - Module 7 - S17. Immerately attach the checklists.")</f>
        <v>FM: Basse window cleaning - Module 7 - S17. Immerately attach the checklists.</v>
      </c>
    </row>
    <row r="2252">
      <c r="A2252" s="19" t="s">
        <v>1766</v>
      </c>
      <c r="B2252" s="20" t="str">
        <f>IFERROR(__xludf.DUMMYFUNCTION("GOOGLETRANSLATE(A2252, ""fr"", ""en"")"),"DEMONTER door")</f>
        <v>DEMONTER door</v>
      </c>
    </row>
    <row r="2253">
      <c r="A2253" s="19" t="s">
        <v>1767</v>
      </c>
      <c r="B2253" s="20" t="str">
        <f>IFERROR(__xludf.DUMMYFUNCTION("GOOGLETRANSLATE(A2253, ""fr"", ""en"")"),"Alarm that sounds without stop")</f>
        <v>Alarm that sounds without stop</v>
      </c>
    </row>
    <row r="2254">
      <c r="A2254" s="19" t="s">
        <v>1768</v>
      </c>
      <c r="B2254" s="20" t="str">
        <f>IFERROR(__xludf.DUMMYFUNCTION("GOOGLETRANSLATE(A2254, ""fr"", ""en"")"),"The fire cup door is triggered on its own, several times a day
 (Audit photo)")</f>
        <v>The fire cup door is triggered on its own, several times a day
 (Audit photo)</v>
      </c>
    </row>
    <row r="2255">
      <c r="A2255" s="19" t="s">
        <v>1769</v>
      </c>
      <c r="B2255" s="20" t="str">
        <f>IFERROR(__xludf.DUMMYFUNCTION("GOOGLETRANSLATE(A2255, ""fr"", ""en"")"),"Alarm of the door that sounds without stop")</f>
        <v>Alarm of the door that sounds without stop</v>
      </c>
    </row>
    <row r="2256">
      <c r="A2256" s="19" t="s">
        <v>1770</v>
      </c>
      <c r="B2256" s="20" t="str">
        <f>IFERROR(__xludf.DUMMYFUNCTION("GOOGLETRANSLATE(A2256, ""fr"", ""en"")"),"Blocked door no longer sustains. Builder's case indicates BMC Motor Fail.")</f>
        <v>Blocked door no longer sustains. Builder's case indicates BMC Motor Fail.</v>
      </c>
    </row>
    <row r="2257">
      <c r="A2257" s="21"/>
      <c r="B2257" s="20" t="str">
        <f>IFERROR(__xludf.DUMMYFUNCTION("GOOGLETRANSLATE(A2257, ""fr"", ""en"")"),"#VALUE!")</f>
        <v>#VALUE!</v>
      </c>
    </row>
    <row r="2258">
      <c r="A2258" s="19" t="s">
        <v>1771</v>
      </c>
      <c r="B2258" s="20" t="str">
        <f>IFERROR(__xludf.DUMMYFUNCTION("GOOGLETRANSLATE(A2258, ""fr"", ""en"")"),"Shop Box maintenance")</f>
        <v>Shop Box maintenance</v>
      </c>
    </row>
    <row r="2259">
      <c r="A2259" s="19" t="s">
        <v>1772</v>
      </c>
      <c r="B2259" s="20" t="str">
        <f>IFERROR(__xludf.DUMMYFUNCTION("GOOGLETRANSLATE(A2259, ""fr"", ""en"")"),"Recharge terminals HS electrical cars")</f>
        <v>Recharge terminals HS electrical cars</v>
      </c>
    </row>
    <row r="2260">
      <c r="A2260" s="19" t="s">
        <v>1773</v>
      </c>
      <c r="B2260" s="20" t="str">
        <f>IFERROR(__xludf.DUMMYFUNCTION("GOOGLETRANSLATE(A2260, ""fr"", ""en"")"),"roof leak above dry action radius")</f>
        <v>roof leak above dry action radius</v>
      </c>
    </row>
    <row r="2261">
      <c r="A2261" s="19" t="s">
        <v>1774</v>
      </c>
      <c r="B2261" s="20" t="str">
        <f>IFERROR(__xludf.DUMMYFUNCTION("GOOGLETRANSLATE(A2261, ""fr"", ""en"")"),"The roof flees in several places in the SPM when it rains (behind the boxes / in the DPH department on the cups)")</f>
        <v>The roof flees in several places in the SPM when it rains (behind the boxes / in the DPH department on the cups)</v>
      </c>
    </row>
    <row r="2262">
      <c r="A2262" s="19" t="s">
        <v>1775</v>
      </c>
      <c r="B2262" s="20" t="str">
        <f>IFERROR(__xludf.DUMMYFUNCTION("GOOGLETRANSLATE(A2262, ""fr"", ""en"")"),"Multiple leaks of the roof at cash number two.
 It has been going on since the shopping stores are opened.
 Request for urgent intervention.")</f>
        <v>Multiple leaks of the roof at cash number two.
 It has been going on since the shopping stores are opened.
 Request for urgent intervention.</v>
      </c>
    </row>
    <row r="2263">
      <c r="A2263" s="19" t="s">
        <v>1776</v>
      </c>
      <c r="B2263" s="20" t="str">
        <f>IFERROR(__xludf.DUMMYFUNCTION("GOOGLETRANSLATE(A2263, ""fr"", ""en"")"),"leak at the roof go 4")</f>
        <v>leak at the roof go 4</v>
      </c>
    </row>
    <row r="2264">
      <c r="A2264" s="19" t="s">
        <v>1777</v>
      </c>
      <c r="B2264" s="20" t="str">
        <f>IFERROR(__xludf.DUMMYFUNCTION("GOOGLETRANSLATE(A2264, ""fr"", ""en"")"),"Very important leak in the piping in the non -food reserve")</f>
        <v>Very important leak in the piping in the non -food reserve</v>
      </c>
    </row>
    <row r="2265">
      <c r="A2265" s="19" t="s">
        <v>1778</v>
      </c>
      <c r="B2265" s="20" t="str">
        <f>IFERROR(__xludf.DUMMYFUNCTION("GOOGLETRANSLATE(A2265, ""fr"", ""en"")"),"SAS leakage/Trappe desemfumage after fruit and vegetables")</f>
        <v>SAS leakage/Trappe desemfumage after fruit and vegetables</v>
      </c>
    </row>
    <row r="2266">
      <c r="A2266" s="19" t="s">
        <v>1779</v>
      </c>
      <c r="B2266" s="20" t="str">
        <f>IFERROR(__xludf.DUMMYFUNCTION("GOOGLETRANSLATE(A2266, ""fr"", ""en"")"),"SAS leak/Desemfuage hatch above box 2")</f>
        <v>SAS leak/Desemfuage hatch above box 2</v>
      </c>
    </row>
    <row r="2267">
      <c r="A2267" s="19" t="s">
        <v>1780</v>
      </c>
      <c r="B2267" s="20" t="str">
        <f>IFERROR(__xludf.DUMMYFUNCTION("GOOGLETRANSLATE(A2267, ""fr"", ""en"")"),"* Several leaks within the SPM - Mail to Karen and Adrien")</f>
        <v>* Several leaks within the SPM - Mail to Karen and Adrien</v>
      </c>
    </row>
    <row r="2268">
      <c r="A2268" s="19" t="s">
        <v>1781</v>
      </c>
      <c r="B2268" s="20" t="str">
        <f>IFERROR(__xludf.DUMMYFUNCTION("GOOGLETRANSLATE(A2268, ""fr"", ""en"")"),"leak in the water roof go 4")</f>
        <v>leak in the water roof go 4</v>
      </c>
    </row>
    <row r="2269">
      <c r="A2269" s="19" t="s">
        <v>1782</v>
      </c>
      <c r="B2269" s="20" t="str">
        <f>IFERROR(__xludf.DUMMYFUNCTION("GOOGLETRANSLATE(A2269, ""fr"", ""en"")"),"We have leaks in several places in the supermarket (DPH allée, fresh allée near Camenberts, in front of the nose 4 and 5)")</f>
        <v>We have leaks in several places in the supermarket (DPH allée, fresh allée near Camenberts, in front of the nose 4 and 5)</v>
      </c>
    </row>
    <row r="2270">
      <c r="A2270" s="19" t="s">
        <v>1783</v>
      </c>
      <c r="B2270" s="20" t="str">
        <f>IFERROR(__xludf.DUMMYFUNCTION("GOOGLETRANSLATE(A2270, ""fr"", ""en"")"),"Urgent water leak please")</f>
        <v>Urgent water leak please</v>
      </c>
    </row>
    <row r="2271">
      <c r="A2271" s="19" t="s">
        <v>1784</v>
      </c>
      <c r="B2271" s="20" t="str">
        <f>IFERROR(__xludf.DUMMYFUNCTION("GOOGLETRANSLATE(A2271, ""fr"", ""en"")"),"Floor blind")</f>
        <v>Floor blind</v>
      </c>
    </row>
    <row r="2272">
      <c r="A2272" s="19" t="s">
        <v>1785</v>
      </c>
      <c r="B2272" s="20" t="str">
        <f>IFERROR(__xludf.DUMMYFUNCTION("GOOGLETRANSLATE(A2272, ""fr"", ""en"")"),"curtain in front of cash 6 fell to the ground")</f>
        <v>curtain in front of cash 6 fell to the ground</v>
      </c>
    </row>
    <row r="2273">
      <c r="A2273" s="19" t="s">
        <v>1786</v>
      </c>
      <c r="B2273" s="20" t="str">
        <f>IFERROR(__xludf.DUMMYFUNCTION("GOOGLETRANSLATE(A2273, ""fr"", ""en"")"),"Defective sun")</f>
        <v>Defective sun</v>
      </c>
    </row>
    <row r="2274">
      <c r="A2274" s="19" t="s">
        <v>1787</v>
      </c>
      <c r="B2274" s="20" t="str">
        <f>IFERROR(__xludf.DUMMYFUNCTION("GOOGLETRANSLATE(A2274, ""fr"", ""en"")"),"A sign fell this weekend, IMS urgent (dangerous)")</f>
        <v>A sign fell this weekend, IMS urgent (dangerous)</v>
      </c>
    </row>
    <row r="2275">
      <c r="A2275" s="19" t="s">
        <v>1788</v>
      </c>
      <c r="B2275" s="20" t="str">
        <f>IFERROR(__xludf.DUMMYFUNCTION("GOOGLETRANSLATE(A2275, ""fr"", ""en"")"),"At the entrance to the supermarket, the reverse is not straight and it creates a big puddle when it rains
 With a big risk of sliding")</f>
        <v>At the entrance to the supermarket, the reverse is not straight and it creates a big puddle when it rains
 With a big risk of sliding</v>
      </c>
    </row>
    <row r="2276">
      <c r="A2276" s="21"/>
      <c r="B2276" s="20" t="str">
        <f>IFERROR(__xludf.DUMMYFUNCTION("GOOGLETRANSLATE(A2276, ""fr"", ""en"")"),"#VALUE!")</f>
        <v>#VALUE!</v>
      </c>
    </row>
    <row r="2277">
      <c r="A2277" s="19" t="s">
        <v>1789</v>
      </c>
      <c r="B2277" s="20" t="str">
        <f>IFERROR(__xludf.DUMMYFUNCTION("GOOGLETRANSLATE(A2277, ""fr"", ""en"")"),"The automatic door at the input does not work
 This is not the first intervention request
 Has the service provider ordered a room or should it be commissioned again?")</f>
        <v>The automatic door at the input does not work
 This is not the first intervention request
 Has the service provider ordered a room or should it be commissioned again?</v>
      </c>
    </row>
    <row r="2278">
      <c r="A2278" s="19" t="s">
        <v>1790</v>
      </c>
      <c r="B2278" s="20" t="str">
        <f>IFERROR(__xludf.DUMMYFUNCTION("GOOGLETRANSLATE(A2278, ""fr"", ""en"")"),"The automatic door is blocked at the input of the SPM
 with a big risk of flight through entry")</f>
        <v>The automatic door is blocked at the input of the SPM
 with a big risk of flight through entry</v>
      </c>
    </row>
    <row r="2279">
      <c r="A2279" s="19" t="s">
        <v>1791</v>
      </c>
      <c r="B2279" s="20" t="str">
        <f>IFERROR(__xludf.DUMMYFUNCTION("GOOGLETRANSLATE(A2279, ""fr"", ""en"")"),"The door continues to malfunction")</f>
        <v>The door continues to malfunction</v>
      </c>
    </row>
    <row r="2280">
      <c r="A2280" s="19" t="s">
        <v>1792</v>
      </c>
      <c r="B2280" s="20" t="str">
        <f>IFERROR(__xludf.DUMMYFUNCTION("GOOGLETRANSLATE(A2280, ""fr"", ""en"")"),"Brisee window")</f>
        <v>Brisee window</v>
      </c>
    </row>
    <row r="2281">
      <c r="A2281" s="21"/>
      <c r="B2281" s="20" t="str">
        <f>IFERROR(__xludf.DUMMYFUNCTION("GOOGLETRANSLATE(A2281, ""fr"", ""en"")"),"#VALUE!")</f>
        <v>#VALUE!</v>
      </c>
    </row>
    <row r="2282">
      <c r="A2282" s="19" t="s">
        <v>1793</v>
      </c>
      <c r="B2282" s="20" t="str">
        <f>IFERROR(__xludf.DUMMYFUNCTION("GOOGLETRANSLATE(A2282, ""fr"", ""en"")"),"The door remains in constant opening. (Set on Overture/Auto Closing)")</f>
        <v>The door remains in constant opening. (Set on Overture/Auto Closing)</v>
      </c>
    </row>
    <row r="2283">
      <c r="A2283" s="19" t="s">
        <v>1794</v>
      </c>
      <c r="B2283" s="20" t="str">
        <f>IFERROR(__xludf.DUMMYFUNCTION("GOOGLETRANSLATE(A2283, ""fr"", ""en"")"),"The door no longer opens when customers arrive in front of the door.")</f>
        <v>The door no longer opens when customers arrive in front of the door.</v>
      </c>
    </row>
    <row r="2284">
      <c r="A2284" s="19" t="s">
        <v>1795</v>
      </c>
      <c r="B2284" s="20" t="str">
        <f>IFERROR(__xludf.DUMMYFUNCTION("GOOGLETRANSLATE(A2284, ""fr"", ""en"")"),"Automatic door input in front of blocked in the open position.
 See photo of the requested posture")</f>
        <v>Automatic door input in front of blocked in the open position.
 See photo of the requested posture</v>
      </c>
    </row>
    <row r="2285">
      <c r="A2285" s="19" t="s">
        <v>1796</v>
      </c>
      <c r="B2285" s="20" t="str">
        <f>IFERROR(__xludf.DUMMYFUNCTION("GOOGLETRANSLATE(A2285, ""fr"", ""en"")"),"The opening and closing of the door is defective, while it has already been repaired several times")</f>
        <v>The opening and closing of the door is defective, while it has already been repaired several times</v>
      </c>
    </row>
    <row r="2286">
      <c r="A2286" s="19" t="s">
        <v>1797</v>
      </c>
      <c r="B2286" s="20" t="str">
        <f>IFERROR(__xludf.DUMMYFUNCTION("GOOGLETRANSLATE(A2286, ""fr"", ""en"")"),"Placement of the display is useful! In the Entrance SAS on Erratum.odm made by AT3. Finished work.")</f>
        <v>Placement of the display is useful! In the Entrance SAS on Erratum.odm made by AT3. Finished work.</v>
      </c>
    </row>
    <row r="2287">
      <c r="A2287" s="19" t="s">
        <v>1798</v>
      </c>
      <c r="B2287" s="20" t="str">
        <f>IFERROR(__xludf.DUMMYFUNCTION("GOOGLETRANSLATE(A2287, ""fr"", ""en"")"),"Automatic door outlet does not work.")</f>
        <v>Automatic door outlet does not work.</v>
      </c>
    </row>
    <row r="2288">
      <c r="A2288" s="19" t="s">
        <v>1799</v>
      </c>
      <c r="B2288" s="20" t="str">
        <f>IFERROR(__xludf.DUMMYFUNCTION("GOOGLETRANSLATE(A2288, ""fr"", ""en"")"),"Hello, the door closes anymore.
 Sincerely")</f>
        <v>Hello, the door closes anymore.
 Sincerely</v>
      </c>
    </row>
    <row r="2289">
      <c r="A2289" s="21"/>
      <c r="B2289" s="20" t="str">
        <f>IFERROR(__xludf.DUMMYFUNCTION("GOOGLETRANSLATE(A2289, ""fr"", ""en"")"),"#VALUE!")</f>
        <v>#VALUE!</v>
      </c>
    </row>
    <row r="2290">
      <c r="A2290" s="19" t="s">
        <v>1800</v>
      </c>
      <c r="B2290" s="20" t="str">
        <f>IFERROR(__xludf.DUMMYFUNCTION("GOOGLETRANSLATE(A2290, ""fr"", ""en"")"),"Automatic Porte Entrance SAS does not work.")</f>
        <v>Automatic Porte Entrance SAS does not work.</v>
      </c>
    </row>
    <row r="2291">
      <c r="A2291" s="19" t="s">
        <v>1801</v>
      </c>
      <c r="B2291" s="20" t="str">
        <f>IFERROR(__xludf.DUMMYFUNCTION("GOOGLETRANSLATE(A2291, ""fr"", ""en"")"),"HS door and anti -return")</f>
        <v>HS door and anti -return</v>
      </c>
    </row>
    <row r="2292">
      <c r="A2292" s="19" t="s">
        <v>1802</v>
      </c>
      <c r="B2292" s="20" t="str">
        <f>IFERROR(__xludf.DUMMYFUNCTION("GOOGLETRANSLATE(A2292, ""fr"", ""en"")"),"Automatic door does not work.")</f>
        <v>Automatic door does not work.</v>
      </c>
    </row>
    <row r="2293">
      <c r="A2293" s="19" t="s">
        <v>1803</v>
      </c>
      <c r="B2293" s="20" t="str">
        <f>IFERROR(__xludf.DUMMYFUNCTION("GOOGLETRANSLATE(A2293, ""fr"", ""en"")"),"HS automatic door.")</f>
        <v>HS automatic door.</v>
      </c>
    </row>
    <row r="2294">
      <c r="A2294" s="19" t="s">
        <v>1804</v>
      </c>
      <c r="B2294" s="20" t="str">
        <f>IFERROR(__xludf.DUMMYFUNCTION("GOOGLETRANSLATE(A2294, ""fr"", ""en"")"),"Automatic door without store entry does not work.")</f>
        <v>Automatic door without store entry does not work.</v>
      </c>
    </row>
    <row r="2295">
      <c r="A2295" s="19" t="s">
        <v>1805</v>
      </c>
      <c r="B2295" s="20" t="str">
        <f>IFERROR(__xludf.DUMMYFUNCTION("GOOGLETRANSLATE(A2295, ""fr"", ""en"")"),"Broken keys on the IMS auto door cylinder makes")</f>
        <v>Broken keys on the IMS auto door cylinder makes</v>
      </c>
    </row>
    <row r="2296">
      <c r="A2296" s="19" t="s">
        <v>1806</v>
      </c>
      <c r="B2296" s="20" t="str">
        <f>IFERROR(__xludf.DUMMYFUNCTION("GOOGLETRANSLATE(A2296, ""fr"", ""en"")"),"Having installed IMS bicycle car parks (AT2 can not rely on bikes are fixed on it and terminals have been stolen)")</f>
        <v>Having installed IMS bicycle car parks (AT2 can not rely on bikes are fixed on it and terminals have been stolen)</v>
      </c>
    </row>
    <row r="2297">
      <c r="A2297" s="19" t="s">
        <v>1807</v>
      </c>
      <c r="B2297" s="20" t="str">
        <f>IFERROR(__xludf.DUMMYFUNCTION("GOOGLETRANSLATE(A2297, ""fr"", ""en"")"),"The quay curtain is no longer open automatically")</f>
        <v>The quay curtain is no longer open automatically</v>
      </c>
    </row>
    <row r="2298">
      <c r="A2298" s="19" t="s">
        <v>1808</v>
      </c>
      <c r="B2298" s="20" t="str">
        <f>IFERROR(__xludf.DUMMYFUNCTION("GOOGLETRANSLATE(A2298, ""fr"", ""en"")"),"blocked evacuation")</f>
        <v>blocked evacuation</v>
      </c>
    </row>
    <row r="2299">
      <c r="A2299" s="19" t="s">
        <v>1809</v>
      </c>
      <c r="B2299" s="20" t="str">
        <f>IFERROR(__xludf.DUMMYFUNCTION("GOOGLETRANSLATE(A2299, ""fr"", ""en"")"),"The curtain no longer closes the alarm continuously sounds")</f>
        <v>The curtain no longer closes the alarm continuously sounds</v>
      </c>
    </row>
    <row r="2300">
      <c r="A2300" s="19" t="s">
        <v>1810</v>
      </c>
      <c r="B2300" s="20" t="str">
        <f>IFERROR(__xludf.DUMMYFUNCTION("GOOGLETRANSLATE(A2300, ""fr"", ""en"")"),"HS facade window and folded sheet side door on the electric electric door")</f>
        <v>HS facade window and folded sheet side door on the electric electric door</v>
      </c>
    </row>
    <row r="2301">
      <c r="A2301" s="19" t="s">
        <v>1811</v>
      </c>
      <c r="B2301" s="20" t="str">
        <f>IFERROR(__xludf.DUMMYFUNCTION("GOOGLETRANSLATE(A2301, ""fr"", ""en"")"),"Full parking cleaning requested by tatjana")</f>
        <v>Full parking cleaning requested by tatjana</v>
      </c>
    </row>
    <row r="2302">
      <c r="A2302" s="19" t="s">
        <v>1812</v>
      </c>
      <c r="B2302" s="20" t="str">
        <f>IFERROR(__xludf.DUMMYFUNCTION("GOOGLETRANSLATE(A2302, ""fr"", ""en"")"),"Twisted exit barrier.")</f>
        <v>Twisted exit barrier.</v>
      </c>
    </row>
    <row r="2303">
      <c r="A2303" s="19" t="s">
        <v>1813</v>
      </c>
      <c r="B2303" s="20" t="str">
        <f>IFERROR(__xludf.DUMMYFUNCTION("GOOGLETRANSLATE(A2303, ""fr"", ""en"")"),"Parking barrier output works but twisted.")</f>
        <v>Parking barrier output works but twisted.</v>
      </c>
    </row>
    <row r="2304">
      <c r="A2304" s="19" t="s">
        <v>1814</v>
      </c>
      <c r="B2304" s="20" t="str">
        <f>IFERROR(__xludf.DUMMYFUNCTION("GOOGLETRANSLATE(A2304, ""fr"", ""en"")"),"The parking barrier has difficulty closing it is twisted IMS made")</f>
        <v>The parking barrier has difficulty closing it is twisted IMS made</v>
      </c>
    </row>
    <row r="2305">
      <c r="A2305" s="19" t="s">
        <v>1815</v>
      </c>
      <c r="B2305" s="20" t="str">
        <f>IFERROR(__xludf.DUMMYFUNCTION("GOOGLETRANSLATE(A2305, ""fr"", ""en"")"),"Broken drain")</f>
        <v>Broken drain</v>
      </c>
    </row>
    <row r="2306">
      <c r="A2306" s="19" t="s">
        <v>1816</v>
      </c>
      <c r="B2306" s="20" t="str">
        <f>IFERROR(__xludf.DUMMYFUNCTION("GOOGLETRANSLATE(A2306, ""fr"", ""en"")"),"Laying the DIXI display on the PAB .odm made by AT3. Finished work.")</f>
        <v>Laying the DIXI display on the PAB .odm made by AT3. Finished work.</v>
      </c>
    </row>
    <row r="2307">
      <c r="A2307" s="19" t="s">
        <v>1817</v>
      </c>
      <c r="B2307" s="20" t="str">
        <f>IFERROR(__xludf.DUMMYFUNCTION("GOOGLETRANSLATE(A2307, ""fr"", ""en"")"),"Do not ask to make the ball while it is full")</f>
        <v>Do not ask to make the ball while it is full</v>
      </c>
    </row>
    <row r="2308">
      <c r="A2308" s="19" t="s">
        <v>1818</v>
      </c>
      <c r="B2308" s="20" t="str">
        <f>IFERROR(__xludf.DUMMYFUNCTION("GOOGLETRANSLATE(A2308, ""fr"", ""en"")"),"makes an unusual noise when using")</f>
        <v>makes an unusual noise when using</v>
      </c>
    </row>
    <row r="2309">
      <c r="A2309" s="19" t="s">
        <v>1819</v>
      </c>
      <c r="B2309" s="20" t="str">
        <f>IFERROR(__xludf.DUMMYFUNCTION("GOOGLETRANSLATE(A2309, ""fr"", ""en"")"),"Impossible to extract the ball, the press no longer responds and emits an unusual noise")</f>
        <v>Impossible to extract the ball, the press no longer responds and emits an unusual noise</v>
      </c>
    </row>
    <row r="2310">
      <c r="A2310" s="19" t="s">
        <v>1820</v>
      </c>
      <c r="B2310" s="20" t="str">
        <f>IFERROR(__xludf.DUMMYFUNCTION("GOOGLETRANSLATE(A2310, ""fr"", ""en"")"),"leak + very strong abnormal noise")</f>
        <v>leak + very strong abnormal noise</v>
      </c>
    </row>
    <row r="2311">
      <c r="A2311" s="19" t="s">
        <v>1821</v>
      </c>
      <c r="B2311" s="20" t="str">
        <f>IFERROR(__xludf.DUMMYFUNCTION("GOOGLETRANSLATE(A2311, ""fr"", ""en"")"),"Connection socket + Power -torn supply box .odm made by AT3. Finished work.")</f>
        <v>Connection socket + Power -torn supply box .odm made by AT3. Finished work.</v>
      </c>
    </row>
    <row r="2312">
      <c r="A2312" s="19" t="s">
        <v>1822</v>
      </c>
      <c r="B2312" s="20" t="str">
        <f>IFERROR(__xludf.DUMMYFUNCTION("GOOGLETRANSLATE(A2312, ""fr"", ""en"")"),"serious error The program cannot be starts")</f>
        <v>serious error The program cannot be starts</v>
      </c>
    </row>
    <row r="2313">
      <c r="A2313" s="19" t="s">
        <v>1823</v>
      </c>
      <c r="B2313" s="20" t="str">
        <f>IFERROR(__xludf.DUMMYFUNCTION("GOOGLETRANSLATE(A2313, ""fr"", ""en"")"),"Impossible to launch a cooking program, the following message is displayed: ""Serious error! The program cannot be started"".")</f>
        <v>Impossible to launch a cooking program, the following message is displayed: "Serious error! The program cannot be started".</v>
      </c>
    </row>
    <row r="2314">
      <c r="A2314" s="19" t="s">
        <v>1824</v>
      </c>
      <c r="B2314" s="20" t="str">
        <f>IFERROR(__xludf.DUMMYFUNCTION("GOOGLETRANSLATE(A2314, ""fr"", ""en"")"),"Progrome error message may be starting")</f>
        <v>Progrome error message may be starting</v>
      </c>
    </row>
    <row r="2315">
      <c r="A2315" s="19" t="s">
        <v>1825</v>
      </c>
      <c r="B2315" s="20" t="str">
        <f>IFERROR(__xludf.DUMMYFUNCTION("GOOGLETRANSLATE(A2315, ""fr"", ""en"")"),"does not want to overwhelm")</f>
        <v>does not want to overwhelm</v>
      </c>
    </row>
    <row r="2316">
      <c r="A2316" s="19" t="s">
        <v>1826</v>
      </c>
      <c r="B2316" s="20" t="str">
        <f>IFERROR(__xludf.DUMMYFUNCTION("GOOGLETRANSLATE(A2316, ""fr"", ""en"")"),"Urgent cleaning of ext/int/int")</f>
        <v>Urgent cleaning of ext/int/int</v>
      </c>
    </row>
    <row r="2317">
      <c r="A2317" s="19" t="s">
        <v>1827</v>
      </c>
      <c r="B2317" s="20" t="str">
        <f>IFERROR(__xludf.DUMMYFUNCTION("GOOGLETRANSLATE(A2317, ""fr"", ""en"")"),"Installation of 4 piles and 4 late mowing sign on the different green spaces of the parking lot .odm made by AT3.")</f>
        <v>Installation of 4 piles and 4 late mowing sign on the different green spaces of the parking lot .odm made by AT3.</v>
      </c>
    </row>
    <row r="2318">
      <c r="A2318" s="19" t="s">
        <v>1828</v>
      </c>
      <c r="B2318" s="20" t="str">
        <f>IFERROR(__xludf.DUMMYFUNCTION("GOOGLETRANSLATE(A2318, ""fr"", ""en"")"),"Removing the old work sign and installation of the new sign on the parking entrance gate. Odm made by AT3. Finished work.")</f>
        <v>Removing the old work sign and installation of the new sign on the parking entrance gate. Odm made by AT3. Finished work.</v>
      </c>
    </row>
    <row r="2319">
      <c r="A2319" s="19" t="s">
        <v>1829</v>
      </c>
      <c r="B2319" s="20" t="str">
        <f>IFERROR(__xludf.DUMMYFUNCTION("GOOGLETRANSLATE(A2319, ""fr"", ""en"")"),"Glue green space to the Lidl brand in SAS")</f>
        <v>Glue green space to the Lidl brand in SAS</v>
      </c>
    </row>
    <row r="2320">
      <c r="A2320" s="19" t="s">
        <v>1830</v>
      </c>
      <c r="B2320" s="20" t="str">
        <f>IFERROR(__xludf.DUMMYFUNCTION("GOOGLETRANSLATE(A2320, ""fr"", ""en"")"),"Installation of stickers on the 3 Schneider terminals. For info no abb terminals installed .odm made by AT3. Finished work.")</f>
        <v>Installation of stickers on the 3 Schneider terminals. For info no abb terminals installed .odm made by AT3. Finished work.</v>
      </c>
    </row>
    <row r="2321">
      <c r="A2321" s="19" t="s">
        <v>1831</v>
      </c>
      <c r="B2321" s="20" t="str">
        <f>IFERROR(__xludf.DUMMYFUNCTION("GOOGLETRANSLATE(A2321, ""fr"", ""en"")"),"Play TG flavors of the missing world (has been broken)")</f>
        <v>Play TG flavors of the missing world (has been broken)</v>
      </c>
    </row>
    <row r="2322">
      <c r="A2322" s="19" t="s">
        <v>1832</v>
      </c>
      <c r="B2322" s="20" t="str">
        <f>IFERROR(__xludf.DUMMYFUNCTION("GOOGLETRANSLATE(A2322, ""fr"", ""en"")"),"The panel was accident")</f>
        <v>The panel was accident</v>
      </c>
    </row>
    <row r="2323">
      <c r="A2323" s="19" t="s">
        <v>1833</v>
      </c>
      <c r="B2323" s="20" t="str">
        <f>IFERROR(__xludf.DUMMYFUNCTION("GOOGLETRANSLATE(A2323, ""fr"", ""en"")"),"Bread Price Display Payroll + store schedules at the store entrance, broken.
 We already have the spare panels in store, we just need someone to install them.")</f>
        <v>Bread Price Display Payroll + store schedules at the store entrance, broken.
 We already have the spare panels in store, we just need someone to install them.</v>
      </c>
    </row>
    <row r="2324">
      <c r="A2324" s="19" t="s">
        <v>1834</v>
      </c>
      <c r="B2324" s="20" t="str">
        <f>IFERROR(__xludf.DUMMYFUNCTION("GOOGLETRANSLATE(A2324, ""fr"", ""en"")"),"Signaling in the underground car park which displays complete locations with a red cross while the parking lot is empty.")</f>
        <v>Signaling in the underground car park which displays complete locations with a red cross while the parking lot is empty.</v>
      </c>
    </row>
    <row r="2325">
      <c r="A2325" s="19" t="s">
        <v>1835</v>
      </c>
      <c r="B2325" s="20" t="str">
        <f>IFERROR(__xludf.DUMMYFUNCTION("GOOGLETRANSLATE(A2325, ""fr"", ""en"")"),"AFDFICHE signaling a complete parking while it is empty.")</f>
        <v>AFDFICHE signaling a complete parking while it is empty.</v>
      </c>
    </row>
    <row r="2326">
      <c r="A2326" s="19" t="s">
        <v>1836</v>
      </c>
      <c r="B2326" s="20" t="str">
        <f>IFERROR(__xludf.DUMMYFUNCTION("GOOGLETRANSLATE(A2326, ""fr"", ""en"")"),"* The parking signaling displays a complete parking while it is empty. CH: Benj made an email to Adrien, waiting for his return")</f>
        <v>* The parking signaling displays a complete parking while it is empty. CH: Benj made an email to Adrien, waiting for his return</v>
      </c>
    </row>
    <row r="2327">
      <c r="A2327" s="19" t="s">
        <v>1837</v>
      </c>
      <c r="B2327" s="20" t="str">
        <f>IFERROR(__xludf.DUMMYFUNCTION("GOOGLETRANSLATE(A2327, ""fr"", ""en"")"),"* The light panel at the entrance to the car park displays zero places available while it is empty.")</f>
        <v>* The light panel at the entrance to the car park displays zero places available while it is empty.</v>
      </c>
    </row>
    <row r="2328">
      <c r="A2328" s="19" t="s">
        <v>1838</v>
      </c>
      <c r="B2328" s="20" t="str">
        <f>IFERROR(__xludf.DUMMYFUNCTION("GOOGLETRANSLATE(A2328, ""fr"", ""en"")"),"* The light panels inside the car park display red crosses (no place available while the parling is empty.")</f>
        <v>* The light panels inside the car park display red crosses (no place available while the parling is empty.</v>
      </c>
    </row>
    <row r="2329">
      <c r="A2329" s="19" t="s">
        <v>1839</v>
      </c>
      <c r="B2329" s="20" t="str">
        <f>IFERROR(__xludf.DUMMYFUNCTION("GOOGLETRANSLATE(A2329, ""fr"", ""en"")"),"Laying an ashtray in front of the door of the platform. Odm made by AT3. Finished work.")</f>
        <v>Laying an ashtray in front of the door of the platform. Odm made by AT3. Finished work.</v>
      </c>
    </row>
    <row r="2330">
      <c r="A2330" s="19" t="s">
        <v>1840</v>
      </c>
      <c r="B2330" s="20" t="str">
        <f>IFERROR(__xludf.DUMMYFUNCTION("GOOGLETRANSLATE(A2330, ""fr"", ""en"")"),"Installation of 7 posts with electric vehicle sign on the outskirts of the parking lot .odm made by AT3. Finished work.")</f>
        <v>Installation of 7 posts with electric vehicle sign on the outskirts of the parking lot .odm made by AT3. Finished work.</v>
      </c>
    </row>
    <row r="2331">
      <c r="A2331" s="19" t="s">
        <v>1841</v>
      </c>
      <c r="B2331" s="20" t="str">
        <f>IFERROR(__xludf.DUMMYFUNCTION("GOOGLETRANSLATE(A2331, ""fr"", ""en"")"),"Bikes torn bikes (on the store in front store entrance)")</f>
        <v>Bikes torn bikes (on the store in front store entrance)</v>
      </c>
    </row>
    <row r="2332">
      <c r="A2332" s="19" t="s">
        <v>1842</v>
      </c>
      <c r="B2332" s="20" t="str">
        <f>IFERROR(__xludf.DUMMYFUNCTION("GOOGLETRANSLATE(A2332, ""fr"", ""en"")"),"Carrying bikes outside the broken store.")</f>
        <v>Carrying bikes outside the broken store.</v>
      </c>
    </row>
    <row r="2333">
      <c r="A2333" s="19" t="s">
        <v>1843</v>
      </c>
      <c r="B2333" s="20" t="str">
        <f>IFERROR(__xludf.DUMMYFUNCTION("GOOGLETRANSLATE(A2333, ""fr"", ""en"")"),"IMS makes a bicycle terminal is HS torn off from the ground and the other three are set up. It must be fixed the four. (You must straighten the necklace from a terminal and fix all the terminals with diameter diameter and length 20.)")</f>
        <v>IMS makes a bicycle terminal is HS torn off from the ground and the other three are set up. It must be fixed the four. (You must straighten the necklace from a terminal and fix all the terminals with diameter diameter and length 20.)</v>
      </c>
    </row>
    <row r="2334">
      <c r="A2334" s="19" t="s">
        <v>1844</v>
      </c>
      <c r="B2334" s="20" t="str">
        <f>IFERROR(__xludf.DUMMYFUNCTION("GOOGLETRANSLATE(A2334, ""fr"", ""en"")"),"Porte du SAS Entrance store does not work.")</f>
        <v>Porte du SAS Entrance store does not work.</v>
      </c>
    </row>
    <row r="2335">
      <c r="A2335" s="19" t="s">
        <v>1845</v>
      </c>
      <c r="B2335" s="20" t="str">
        <f>IFERROR(__xludf.DUMMYFUNCTION("GOOGLETRANSLATE(A2335, ""fr"", ""en"")"),"Automatic black curtain of the reserve at the store no longer sustains")</f>
        <v>Automatic black curtain of the reserve at the store no longer sustains</v>
      </c>
    </row>
    <row r="2336">
      <c r="A2336" s="19" t="s">
        <v>1846</v>
      </c>
      <c r="B2336" s="20" t="str">
        <f>IFERROR(__xludf.DUMMYFUNCTION("GOOGLETRANSLATE(A2336, ""fr"", ""en"")"),"Registered ""BMC Motor Fail"". The door remains the obligation to go around the reserve")</f>
        <v>Registered "BMC Motor Fail". The door remains the obligation to go around the reserve</v>
      </c>
    </row>
    <row r="2337">
      <c r="A2337" s="19" t="s">
        <v>1847</v>
      </c>
      <c r="B2337" s="20" t="str">
        <f>IFERROR(__xludf.DUMMYFUNCTION("GOOGLETRANSLATE(A2337, ""fr"", ""en"")"),"HS output automatic door")</f>
        <v>HS output automatic door</v>
      </c>
    </row>
    <row r="2338">
      <c r="A2338" s="19" t="s">
        <v>1848</v>
      </c>
      <c r="B2338" s="20" t="str">
        <f>IFERROR(__xludf.DUMMYFUNCTION("GOOGLETRANSLATE(A2338, ""fr"", ""en"")"),"Automatic door input does not work.")</f>
        <v>Automatic door input does not work.</v>
      </c>
    </row>
    <row r="2339">
      <c r="A2339" s="19" t="s">
        <v>1849</v>
      </c>
      <c r="B2339" s="20" t="str">
        <f>IFERROR(__xludf.DUMMYFUNCTION("GOOGLETRANSLATE(A2339, ""fr"", ""en"")"),"Porte works but an Escoutic Cable hanging.")</f>
        <v>Porte works but an Escoutic Cable hanging.</v>
      </c>
    </row>
    <row r="2340">
      <c r="A2340" s="19" t="s">
        <v>1850</v>
      </c>
      <c r="B2340" s="20" t="str">
        <f>IFERROR(__xludf.DUMMYFUNCTION("GOOGLETRANSLATE(A2340, ""fr"", ""en"")"),"EAS terminals do not work. No alarm when you go out through the entrance to the store.")</f>
        <v>EAS terminals do not work. No alarm when you go out through the entrance to the store.</v>
      </c>
    </row>
    <row r="2341">
      <c r="A2341" s="19" t="s">
        <v>1851</v>
      </c>
      <c r="B2341" s="20" t="str">
        <f>IFERROR(__xludf.DUMMYFUNCTION("GOOGLETRANSLATE(A2341, ""fr"", ""en"")"),"The sausage axis has been moved, so it would be necessary to move the PLV sausages. THANKS")</f>
        <v>The sausage axis has been moved, so it would be necessary to move the PLV sausages. THANKS</v>
      </c>
    </row>
    <row r="2342">
      <c r="A2342" s="19" t="s">
        <v>1852</v>
      </c>
      <c r="B2342" s="20" t="str">
        <f>IFERROR(__xludf.DUMMYFUNCTION("GOOGLETRANSLATE(A2342, ""fr"", ""en"")"),"Fix the facade panel holding cables")</f>
        <v>Fix the facade panel holding cables</v>
      </c>
    </row>
    <row r="2343">
      <c r="A2343" s="19" t="s">
        <v>1853</v>
      </c>
      <c r="B2343" s="20" t="str">
        <f>IFERROR(__xludf.DUMMYFUNCTION("GOOGLETRANSLATE(A2343, ""fr"", ""en"")"),"Following the passage of the preventor chain of the cold, it lacks the synoptic plane (plan in the event of a cold alarm) near the Dixell")</f>
        <v>Following the passage of the preventor chain of the cold, it lacks the synoptic plane (plan in the event of a cold alarm) near the Dixell</v>
      </c>
    </row>
    <row r="2344">
      <c r="A2344" s="19" t="s">
        <v>1854</v>
      </c>
      <c r="B2344" s="20" t="str">
        <f>IFERROR(__xludf.DUMMYFUNCTION("GOOGLETRANSLATE(A2344, ""fr"", ""en"")"),"Schedule display panels+ bread prices etc ... broken (4 in all)
 Bas cables also.")</f>
        <v>Schedule display panels+ bread prices etc ... broken (4 in all)
 Bas cables also.</v>
      </c>
    </row>
    <row r="2345">
      <c r="A2345" s="19" t="s">
        <v>1855</v>
      </c>
      <c r="B2345" s="20" t="str">
        <f>IFERROR(__xludf.DUMMYFUNCTION("GOOGLETRANSLATE(A2345, ""fr"", ""en"")"),"Lack of video surveillance posters on the conveyor door and the driver door according to the audit.")</f>
        <v>Lack of video surveillance posters on the conveyor door and the driver door according to the audit.</v>
      </c>
    </row>
    <row r="2346">
      <c r="A2346" s="19" t="s">
        <v>1856</v>
      </c>
      <c r="B2346" s="20" t="str">
        <f>IFERROR(__xludf.DUMMYFUNCTION("GOOGLETRANSLATE(A2346, ""fr"", ""en"")"),"A support to the price of the bread is broken at the entrance to the store.")</f>
        <v>A support to the price of the bread is broken at the entrance to the store.</v>
      </c>
    </row>
    <row r="2347">
      <c r="A2347" s="19" t="s">
        <v>1857</v>
      </c>
      <c r="B2347" s="20" t="str">
        <f>IFERROR(__xludf.DUMMYFUNCTION("GOOGLETRANSLATE(A2347, ""fr"", ""en"")"),"Plinth that takes off at the level of the frozen island.")</f>
        <v>Plinth that takes off at the level of the frozen island.</v>
      </c>
    </row>
    <row r="2348">
      <c r="A2348" s="19" t="s">
        <v>1858</v>
      </c>
      <c r="B2348" s="20" t="str">
        <f>IFERROR(__xludf.DUMMYFUNCTION("GOOGLETRANSLATE(A2348, ""fr"", ""en"")"),"Broken bakery entrance door.")</f>
        <v>Broken bakery entrance door.</v>
      </c>
    </row>
    <row r="2349">
      <c r="A2349" s="19" t="s">
        <v>1859</v>
      </c>
      <c r="B2349" s="20" t="str">
        <f>IFERROR(__xludf.DUMMYFUNCTION("GOOGLETRANSLATE(A2349, ""fr"", ""en"")"),"Piece of the Facade of Off Bread Mobilier.")</f>
        <v>Piece of the Facade of Off Bread Mobilier.</v>
      </c>
    </row>
    <row r="2350">
      <c r="A2350" s="19" t="s">
        <v>1860</v>
      </c>
      <c r="B2350" s="20" t="str">
        <f>IFERROR(__xludf.DUMMYFUNCTION("GOOGLETRANSLATE(A2350, ""fr"", ""en"")"),"The soap dispenser is defective and does not work
 (Audit photo)")</f>
        <v>The soap dispenser is defective and does not work
 (Audit photo)</v>
      </c>
    </row>
    <row r="2351">
      <c r="A2351" s="19" t="s">
        <v>1861</v>
      </c>
      <c r="B2351" s="20" t="str">
        <f>IFERROR(__xludf.DUMMYFUNCTION("GOOGLETRANSLATE(A2351, ""fr"", ""en"")"),"a separator is missing in a bread window
 (Audit photo)")</f>
        <v>a separator is missing in a bread window
 (Audit photo)</v>
      </c>
    </row>
    <row r="2352">
      <c r="A2352" s="19" t="s">
        <v>1862</v>
      </c>
      <c r="B2352" s="20" t="str">
        <f>IFERROR(__xludf.DUMMYFUNCTION("GOOGLETRANSLATE(A2352, ""fr"", ""en"")"),"The door of the FL room no longer closes automatically, you have to close it manually with each passage")</f>
        <v>The door of the FL room no longer closes automatically, you have to close it manually with each passage</v>
      </c>
    </row>
    <row r="2353">
      <c r="A2353" s="19" t="s">
        <v>1863</v>
      </c>
      <c r="B2353" s="20" t="str">
        <f>IFERROR(__xludf.DUMMYFUNCTION("GOOGLETRANSLATE(A2353, ""fr"", ""en"")"),"Access to the reserve is blocked because the store-store-reserve separator door does not work")</f>
        <v>Access to the reserve is blocked because the store-store-reserve separator door does not work</v>
      </c>
    </row>
    <row r="2354">
      <c r="A2354" s="19" t="s">
        <v>1864</v>
      </c>
      <c r="B2354" s="20" t="str">
        <f>IFERROR(__xludf.DUMMYFUNCTION("GOOGLETRANSLATE(A2354, ""fr"", ""en"")"),"The opening is not connected to the badge, you have to badger then open with the button while, normally the door opens in badge, which triggers alarms, and some drivers do not include and set off the door for the Open manually suddenly, risk of derailing "&amp;"its cables")</f>
        <v>The opening is not connected to the badge, you have to badger then open with the button while, normally the door opens in badge, which triggers alarms, and some drivers do not include and set off the door for the Open manually suddenly, risk of derailing its cables</v>
      </c>
    </row>
    <row r="2355">
      <c r="A2355" s="19" t="s">
        <v>1865</v>
      </c>
      <c r="B2355" s="20" t="str">
        <f>IFERROR(__xludf.DUMMYFUNCTION("GOOGLETRANSLATE(A2355, ""fr"", ""en"")"),"The opening of this door only works manually")</f>
        <v>The opening of this door only works manually</v>
      </c>
    </row>
    <row r="2356">
      <c r="A2356" s="19" t="s">
        <v>1866</v>
      </c>
      <c r="B2356" s="20" t="str">
        <f>IFERROR(__xludf.DUMMYFUNCTION("GOOGLETRANSLATE(A2356, ""fr"", ""en"")"),"At the request of the RM: for info: roller shutters of Nok in default .ims made by AT3.")</f>
        <v>At the request of the RM: for info: roller shutters of Nok in default .ims made by AT3.</v>
      </c>
    </row>
    <row r="2357">
      <c r="A2357" s="19" t="s">
        <v>1867</v>
      </c>
      <c r="B2357" s="20" t="str">
        <f>IFERROR(__xludf.DUMMYFUNCTION("GOOGLETRANSLATE(A2357, ""fr"", ""en"")"),"The opening is defective and yet it has already been repaired")</f>
        <v>The opening is defective and yet it has already been repaired</v>
      </c>
    </row>
    <row r="2358">
      <c r="A2358" s="19" t="s">
        <v>1868</v>
      </c>
      <c r="B2358" s="20" t="str">
        <f>IFERROR(__xludf.DUMMYFUNCTION("GOOGLETRANSLATE(A2358, ""fr"", ""en"")"),"Do not open with the badge")</f>
        <v>Do not open with the badge</v>
      </c>
    </row>
    <row r="2359">
      <c r="A2359" s="19" t="s">
        <v>1869</v>
      </c>
      <c r="B2359" s="20" t="str">
        <f>IFERROR(__xludf.DUMMYFUNCTION("GOOGLETRANSLATE(A2359, ""fr"", ""en"")"),"Open door impossible to close it, even manually.
 urgent please")</f>
        <v>Open door impossible to close it, even manually.
 urgent please</v>
      </c>
    </row>
    <row r="2360">
      <c r="A2360" s="19" t="s">
        <v>1870</v>
      </c>
      <c r="B2360" s="20" t="str">
        <f>IFERROR(__xludf.DUMMYFUNCTION("GOOGLETRANSLATE(A2360, ""fr"", ""en"")"),"Abimes Abimee Pulley Square Cable")</f>
        <v>Abimes Abimee Pulley Square Cable</v>
      </c>
    </row>
    <row r="2361">
      <c r="A2361" s="19" t="s">
        <v>1871</v>
      </c>
      <c r="B2361" s="20" t="str">
        <f>IFERROR(__xludf.DUMMYFUNCTION("GOOGLETRANSLATE(A2361, ""fr"", ""en"")"),"urgent urgent urgent")</f>
        <v>urgent urgent urgent</v>
      </c>
    </row>
    <row r="2362">
      <c r="A2362" s="19" t="s">
        <v>1872</v>
      </c>
      <c r="B2362" s="20" t="str">
        <f>IFERROR(__xludf.DUMMYFUNCTION("GOOGLETRANSLATE(A2362, ""fr"", ""en"")"),"Door door HS. intervene in emergency please.")</f>
        <v>Door door HS. intervene in emergency please.</v>
      </c>
    </row>
    <row r="2363">
      <c r="A2363" s="19" t="s">
        <v>1873</v>
      </c>
      <c r="B2363" s="20" t="str">
        <f>IFERROR(__xludf.DUMMYFUNCTION("GOOGLETRANSLATE(A2363, ""fr"", ""en"")"),"The key no longer runs in the lock and the gates open without keys")</f>
        <v>The key no longer runs in the lock and the gates open without keys</v>
      </c>
    </row>
    <row r="2364">
      <c r="A2364" s="19" t="s">
        <v>1874</v>
      </c>
      <c r="B2364" s="20" t="str">
        <f>IFERROR(__xludf.DUMMYFUNCTION("GOOGLETRANSLATE(A2364, ""fr"", ""en"")"),"Broken key inside the roasted door.")</f>
        <v>Broken key inside the roasted door.</v>
      </c>
    </row>
    <row r="2365">
      <c r="A2365" s="19" t="s">
        <v>1875</v>
      </c>
      <c r="B2365" s="20" t="str">
        <f>IFERROR(__xludf.DUMMYFUNCTION("GOOGLETRANSLATE(A2365, ""fr"", ""en"")"),"Failive delivery wrap.")</f>
        <v>Failive delivery wrap.</v>
      </c>
    </row>
    <row r="2366">
      <c r="A2366" s="19" t="s">
        <v>1876</v>
      </c>
      <c r="B2366" s="20" t="str">
        <f>IFERROR(__xludf.DUMMYFUNCTION("GOOGLETRANSLATE(A2366, ""fr"", ""en"")"),"Disassembly of the steel protection of the drawing valve in the reserve. Discovering a visit hatch to access the drawing tap. Fixing of the display Place .odm .odm made by AT3. Finished work.")</f>
        <v>Disassembly of the steel protection of the drawing valve in the reserve. Discovering a visit hatch to access the drawing tap. Fixing of the display Place .odm .odm made by AT3. Finished work.</v>
      </c>
    </row>
    <row r="2367">
      <c r="A2367" s="19" t="s">
        <v>1877</v>
      </c>
      <c r="B2367" s="20" t="str">
        <f>IFERROR(__xludf.DUMMYFUNCTION("GOOGLETRANSLATE(A2367, ""fr"", ""en"")"),"Replace the protective cover of the IS cans at the parking lot")</f>
        <v>Replace the protective cover of the IS cans at the parking lot</v>
      </c>
    </row>
    <row r="2368">
      <c r="A2368" s="19" t="s">
        <v>1878</v>
      </c>
      <c r="B2368" s="20" t="str">
        <f>IFERROR(__xludf.DUMMYFUNCTION("GOOGLETRANSLATE(A2368, ""fr"", ""en"")"),"fix the yellow terminal on the floor to the quay")</f>
        <v>fix the yellow terminal on the floor to the quay</v>
      </c>
    </row>
    <row r="2369">
      <c r="A2369" s="19" t="s">
        <v>1879</v>
      </c>
      <c r="B2369" s="20" t="str">
        <f>IFERROR(__xludf.DUMMYFUNCTION("GOOGLETRANSLATE(A2369, ""fr"", ""en"")"),"Remove the pallets to stick the heavy pallet posters at the quay and clean the broken window on the front Check Social door locks and check outline parking.")</f>
        <v>Remove the pallets to stick the heavy pallet posters at the quay and clean the broken window on the front Check Social door locks and check outline parking.</v>
      </c>
    </row>
    <row r="2370">
      <c r="A2370" s="19" t="s">
        <v>1880</v>
      </c>
      <c r="B2370" s="20" t="str">
        <f>IFERROR(__xludf.DUMMYFUNCTION("GOOGLETRANSLATE(A2370, ""fr"", ""en"")"),"Install mosses at the ladder ch reserve")</f>
        <v>Install mosses at the ladder ch reserve</v>
      </c>
    </row>
    <row r="2371">
      <c r="A2371" s="19" t="s">
        <v>1881</v>
      </c>
      <c r="B2371" s="20" t="str">
        <f>IFERROR(__xludf.DUMMYFUNCTION("GOOGLETRANSLATE(A2371, ""fr"", ""en"")"),"Set neighbor mousse around reserve ladders")</f>
        <v>Set neighbor mousse around reserve ladders</v>
      </c>
    </row>
    <row r="2372">
      <c r="A2372" s="19" t="s">
        <v>1882</v>
      </c>
      <c r="B2372" s="20" t="str">
        <f>IFERROR(__xludf.DUMMYFUNCTION("GOOGLETRANSLATE(A2372, ""fr"", ""en"")"),"HS socket")</f>
        <v>HS socket</v>
      </c>
    </row>
    <row r="2373">
      <c r="A2373" s="19" t="s">
        <v>1883</v>
      </c>
      <c r="B2373" s="20" t="str">
        <f>IFERROR(__xludf.DUMMYFUNCTION("GOOGLETRANSLATE(A2373, ""fr"", ""en"")"),"Transpalette has a problem in terms of taking
 Impossible to load it - it sparks in terms of taking")</f>
        <v>Transpalette has a problem in terms of taking
 Impossible to load it - it sparks in terms of taking</v>
      </c>
    </row>
    <row r="2374">
      <c r="A2374" s="19" t="s">
        <v>1884</v>
      </c>
      <c r="B2374" s="20" t="str">
        <f>IFERROR(__xludf.DUMMYFUNCTION("GOOGLETRANSLATE(A2374, ""fr"", ""en"")"),"Electric transpalette is blocked
 We manage to light it but it goes out directly and it is impossible to move it
 Is it possible to receive another please? While waiting for repair")</f>
        <v>Electric transpalette is blocked
 We manage to light it but it goes out directly and it is impossible to move it
 Is it possible to receive another please? While waiting for repair</v>
      </c>
    </row>
    <row r="2375">
      <c r="A2375" s="19" t="s">
        <v>1885</v>
      </c>
      <c r="B2375" s="20" t="str">
        <f>IFERROR(__xludf.DUMMYFUNCTION("GOOGLETRANSLATE(A2375, ""fr"", ""en"")"),"Bo and internet dysonter when it is plugged into a socket")</f>
        <v>Bo and internet dysonter when it is plugged into a socket</v>
      </c>
    </row>
    <row r="2376">
      <c r="A2376" s="19" t="s">
        <v>1886</v>
      </c>
      <c r="B2376" s="20" t="str">
        <f>IFERROR(__xludf.DUMMYFUNCTION("GOOGLETRANSLATE(A2376, ""fr"", ""en"")"),"The Palette draw no longer loads")</f>
        <v>The Palette draw no longer loads</v>
      </c>
    </row>
    <row r="2377">
      <c r="A2377" s="19" t="s">
        <v>1887</v>
      </c>
      <c r="B2377" s="20" t="str">
        <f>IFERROR(__xludf.DUMMYFUNCTION("GOOGLETRANSLATE(A2377, ""fr"", ""en"")"),"broken loading")</f>
        <v>broken loading</v>
      </c>
    </row>
    <row r="2378">
      <c r="A2378" s="19" t="s">
        <v>1888</v>
      </c>
      <c r="B2378" s="20" t="str">
        <f>IFERROR(__xludf.DUMMYFUNCTION("GOOGLETRANSLATE(A2378, ""fr"", ""en"")"),"The charge was crushed + the Urgense Stop Pusher button is broken.
 If return to Dr of the Transpalette, can we provide another in offening?
 We would only have 3 in stores.
 THANKS")</f>
        <v>The charge was crushed + the Urgense Stop Pusher button is broken.
 If return to Dr of the Transpalette, can we provide another in offening?
 We would only have 3 in stores.
 THANKS</v>
      </c>
    </row>
    <row r="2379">
      <c r="A2379" s="19" t="s">
        <v>1889</v>
      </c>
      <c r="B2379" s="20" t="str">
        <f>IFERROR(__xludf.DUMMYFUNCTION("GOOGLETRANSLATE(A2379, ""fr"", ""en"")"),"2 Tire pal hs return with the truck from the Daujourdhui")</f>
        <v>2 Tire pal hs return with the truck from the Daujourdhui</v>
      </c>
    </row>
    <row r="2380">
      <c r="A2380" s="19" t="s">
        <v>1890</v>
      </c>
      <c r="B2380" s="20" t="str">
        <f>IFERROR(__xludf.DUMMYFUNCTION("GOOGLETRANSLATE(A2380, ""fr"", ""en"")"),"HS socket
 Can you teach us a PAL draw because the 2 HS ticks to the truck this afternoon.")</f>
        <v>HS socket
 Can you teach us a PAL draw because the 2 HS ticks to the truck this afternoon.</v>
      </c>
    </row>
    <row r="2381">
      <c r="A2381" s="19" t="s">
        <v>1891</v>
      </c>
      <c r="B2381" s="20" t="str">
        <f>IFERROR(__xludf.DUMMYFUNCTION("GOOGLETRANSLATE(A2381, ""fr"", ""en"")"),"HS electric socket")</f>
        <v>HS electric socket</v>
      </c>
    </row>
    <row r="2382">
      <c r="A2382" s="19" t="s">
        <v>1892</v>
      </c>
      <c r="B2382" s="20" t="str">
        <f>IFERROR(__xludf.DUMMYFUNCTION("GOOGLETRANSLATE(A2382, ""fr"", ""en"")"),"Do not load when it is plugged in. Be careful, this is the good series of series because no linen on the defective shootpal.")</f>
        <v>Do not load when it is plugged in. Be careful, this is the good series of series because no linen on the defective shootpal.</v>
      </c>
    </row>
    <row r="2383">
      <c r="A2383" s="19" t="s">
        <v>1893</v>
      </c>
      <c r="B2383" s="20" t="str">
        <f>IFERROR(__xludf.DUMMYFUNCTION("GOOGLETRANSLATE(A2383, ""fr"", ""en"")"),"Electric Bassee socket. Sending to the truck today on February 10")</f>
        <v>Electric Bassee socket. Sending to the truck today on February 10</v>
      </c>
    </row>
    <row r="2384">
      <c r="A2384" s="19" t="s">
        <v>1894</v>
      </c>
      <c r="B2384" s="20" t="str">
        <f>IFERROR(__xludf.DUMMYFUNCTION("GOOGLETRANSLATE(A2384, ""fr"", ""en"")"),"The tirepalette is no longer recharged")</f>
        <v>The tirepalette is no longer recharged</v>
      </c>
    </row>
    <row r="2385">
      <c r="A2385" s="19" t="s">
        <v>1895</v>
      </c>
      <c r="B2385" s="20" t="str">
        <f>IFERROR(__xludf.DUMMYFUNCTION("GOOGLETRANSLATE(A2385, ""fr"", ""en"")"),"The Tire PAL is out of service. It makes the electrical system disabled. seen with electrician.")</f>
        <v>The Tire PAL is out of service. It makes the electrical system disabled. seen with electrician.</v>
      </c>
    </row>
    <row r="2386">
      <c r="A2386" s="19" t="s">
        <v>1882</v>
      </c>
      <c r="B2386" s="20" t="str">
        <f>IFERROR(__xludf.DUMMYFUNCTION("GOOGLETRANSLATE(A2386, ""fr"", ""en"")"),"HS socket")</f>
        <v>HS socket</v>
      </c>
    </row>
    <row r="2387">
      <c r="A2387" s="19" t="s">
        <v>1896</v>
      </c>
      <c r="B2387" s="20" t="str">
        <f>IFERROR(__xludf.DUMMYFUNCTION("GOOGLETRANSLATE(A2387, ""fr"", ""en"")"),"The cracks nefunct more or badly + oil leakage")</f>
        <v>The cracks nefunct more or badly + oil leakage</v>
      </c>
    </row>
    <row r="2388">
      <c r="A2388" s="19" t="s">
        <v>1897</v>
      </c>
      <c r="B2388" s="20" t="str">
        <f>IFERROR(__xludf.DUMMYFUNCTION("GOOGLETRANSLATE(A2388, ""fr"", ""en"")"),"broken charging plug")</f>
        <v>broken charging plug</v>
      </c>
    </row>
    <row r="2389">
      <c r="A2389" s="19" t="s">
        <v>1898</v>
      </c>
      <c r="B2389" s="20" t="str">
        <f>IFERROR(__xludf.DUMMYFUNCTION("GOOGLETRANSLATE(A2389, ""fr"", ""en"")"),"HS gerbeer is only skating, too difficult to discharge the. Camion and very dangerous!")</f>
        <v>HS gerbeer is only skating, too difficult to discharge the. Camion and very dangerous!</v>
      </c>
    </row>
    <row r="2390">
      <c r="A2390" s="19" t="s">
        <v>1899</v>
      </c>
      <c r="B2390" s="20" t="str">
        <f>IFERROR(__xludf.DUMMYFUNCTION("GOOGLETRANSLATE(A2390, ""fr"", ""en"")"),"Once the code has entered the transpalette is")</f>
        <v>Once the code has entered the transpalette is</v>
      </c>
    </row>
    <row r="2391">
      <c r="A2391" s="19" t="s">
        <v>1900</v>
      </c>
      <c r="B2391" s="20" t="str">
        <f>IFERROR(__xludf.DUMMYFUNCTION("GOOGLETRANSLATE(A2391, ""fr"", ""en"")"),"Key to open and clean the lost bread slicer")</f>
        <v>Key to open and clean the lost bread slicer</v>
      </c>
    </row>
    <row r="2392">
      <c r="A2392" s="19" t="s">
        <v>1901</v>
      </c>
      <c r="B2392" s="20" t="str">
        <f>IFERROR(__xludf.DUMMYFUNCTION("GOOGLETRANSLATE(A2392, ""fr"", ""en"")"),"The shootpal is a clak then go out. No longer load. no more battery.")</f>
        <v>The shootpal is a clak then go out. No longer load. no more battery.</v>
      </c>
    </row>
    <row r="2393">
      <c r="A2393" s="19" t="s">
        <v>1902</v>
      </c>
      <c r="B2393" s="20" t="str">
        <f>IFERROR(__xludf.DUMMYFUNCTION("GOOGLETRANSLATE(A2393, ""fr"", ""en"")"),"The wreath does not hold the load (about 20 minutes with full load.")</f>
        <v>The wreath does not hold the load (about 20 minutes with full load.</v>
      </c>
    </row>
    <row r="2394">
      <c r="A2394" s="19" t="s">
        <v>1903</v>
      </c>
      <c r="B2394" s="20" t="str">
        <f>IFERROR(__xludf.DUMMYFUNCTION("GOOGLETRANSLATE(A2394, ""fr"", ""en"")"),"These are wreaths
 The battery no longer holds the load
 Obliges to keep the truck driver to wait and to charge so that you can finish uploading the entire truck")</f>
        <v>These are wreaths
 The battery no longer holds the load
 Obliges to keep the truck driver to wait and to charge so that you can finish uploading the entire truck</v>
      </c>
    </row>
    <row r="2395">
      <c r="A2395" s="21"/>
      <c r="B2395" s="20" t="str">
        <f>IFERROR(__xludf.DUMMYFUNCTION("GOOGLETRANSLATE(A2395, ""fr"", ""en"")"),"#VALUE!")</f>
        <v>#VALUE!</v>
      </c>
    </row>
    <row r="2396">
      <c r="A2396" s="19" t="s">
        <v>1904</v>
      </c>
      <c r="B2396" s="20" t="str">
        <f>IFERROR(__xludf.DUMMYFUNCTION("GOOGLETRANSLATE(A2396, ""fr"", ""en"")"),"brush")</f>
        <v>brush</v>
      </c>
    </row>
    <row r="2397">
      <c r="A2397" s="19" t="s">
        <v>1905</v>
      </c>
      <c r="B2397" s="20" t="str">
        <f>IFERROR(__xludf.DUMMYFUNCTION("GOOGLETRANSLATE(A2397, ""fr"", ""en"")"),"Rainwater lifting station (WC and Autolaveuse power supply) does not work, I went to the city network. (no water at the toilet when station en route)")</f>
        <v>Rainwater lifting station (WC and Autolaveuse power supply) does not work, I went to the city network. (no water at the toilet when station en route)</v>
      </c>
    </row>
    <row r="2398">
      <c r="A2398" s="19" t="s">
        <v>1906</v>
      </c>
      <c r="B2398" s="20" t="str">
        <f>IFERROR(__xludf.DUMMYFUNCTION("GOOGLETRANSLATE(A2398, ""fr"", ""en"")"),"no longer comes out of water and sucks very badly")</f>
        <v>no longer comes out of water and sucks very badly</v>
      </c>
    </row>
    <row r="2399">
      <c r="A2399" s="19" t="s">
        <v>1907</v>
      </c>
      <c r="B2399" s="20" t="str">
        <f>IFERROR(__xludf.DUMMYFUNCTION("GOOGLETRANSLATE(A2399, ""fr"", ""en"")"),"sucks very badly and no longer comes out of water")</f>
        <v>sucks very badly and no longer comes out of water</v>
      </c>
    </row>
    <row r="2400">
      <c r="A2400" s="19" t="s">
        <v>1908</v>
      </c>
      <c r="B2400" s="20" t="str">
        <f>IFERROR(__xludf.DUMMYFUNCTION("GOOGLETRANSLATE(A2400, ""fr"", ""en"")"),"The Autolaveuse only leaves the water on the left side
 We have changed the wheel, however and this does not solve the problem
 The store is very dirty, is it possible to have a loan of loan please?")</f>
        <v>The Autolaveuse only leaves the water on the left side
 We have changed the wheel, however and this does not solve the problem
 The store is very dirty, is it possible to have a loan of loan please?</v>
      </c>
    </row>
    <row r="2401">
      <c r="A2401" s="19" t="s">
        <v>1909</v>
      </c>
      <c r="B2401" s="20" t="str">
        <f>IFERROR(__xludf.DUMMYFUNCTION("GOOGLETRANSLATE(A2401, ""fr"", ""en"")"),"The wheel of the Autolaveuse is broken")</f>
        <v>The wheel of the Autolaveuse is broken</v>
      </c>
    </row>
    <row r="2402">
      <c r="A2402" s="19" t="s">
        <v>1910</v>
      </c>
      <c r="B2402" s="20" t="str">
        <f>IFERROR(__xludf.DUMMYFUNCTION("GOOGLETRANSLATE(A2402, ""fr"", ""en"")"),"Roulette on the broken side")</f>
        <v>Roulette on the broken side</v>
      </c>
    </row>
    <row r="2403">
      <c r="A2403" s="19" t="s">
        <v>1911</v>
      </c>
      <c r="B2403" s="20" t="str">
        <f>IFERROR(__xludf.DUMMYFUNCTION("GOOGLETRANSLATE(A2403, ""fr"", ""en"")"),"A signs brush dysfunction which makes large streaks in SPM
 Is it possible to have one quickly (for the visit of Emmanuel Solofrizzo on Thursday) please")</f>
        <v>A signs brush dysfunction which makes large streaks in SPM
 Is it possible to have one quickly (for the visit of Emmanuel Solofrizzo on Thursday) please</v>
      </c>
    </row>
    <row r="2404">
      <c r="A2404" s="19" t="s">
        <v>1912</v>
      </c>
      <c r="B2404" s="20" t="str">
        <f>IFERROR(__xludf.DUMMYFUNCTION("GOOGLETRANSLATE(A2404, ""fr"", ""en"")"),"Only one of the brush turns and the raclette is to be changed")</f>
        <v>Only one of the brush turns and the raclette is to be changed</v>
      </c>
    </row>
    <row r="2405">
      <c r="A2405" s="19" t="s">
        <v>1913</v>
      </c>
      <c r="B2405" s="20" t="str">
        <f>IFERROR(__xludf.DUMMYFUNCTION("GOOGLETRANSLATE(A2405, ""fr"", ""en"")"),"The machine does not spit water")</f>
        <v>The machine does not spit water</v>
      </c>
    </row>
    <row r="2406">
      <c r="A2406" s="19" t="s">
        <v>1914</v>
      </c>
      <c r="B2406" s="20" t="str">
        <f>IFERROR(__xludf.DUMMYFUNCTION("GOOGLETRANSLATE(A2406, ""fr"", ""en"")"),"Array raclette and front vacuum cleaner")</f>
        <v>Array raclette and front vacuum cleaner</v>
      </c>
    </row>
    <row r="2407">
      <c r="A2407" s="19" t="s">
        <v>1915</v>
      </c>
      <c r="B2407" s="20" t="str">
        <f>IFERROR(__xludf.DUMMYFUNCTION("GOOGLETRANSLATE(A2407, ""fr"", ""en"")"),"The joint at the level of the brush was able to break")</f>
        <v>The joint at the level of the brush was able to break</v>
      </c>
    </row>
    <row r="2408">
      <c r="A2408" s="19" t="s">
        <v>1916</v>
      </c>
      <c r="B2408" s="20" t="str">
        <f>IFERROR(__xludf.DUMMYFUNCTION("GOOGLETRANSLATE(A2408, ""fr"", ""en"")"),"Urgent The anti-intrusion alarm is no longer activated. The store remains without alarm all night.")</f>
        <v>Urgent The anti-intrusion alarm is no longer activated. The store remains without alarm all night.</v>
      </c>
    </row>
    <row r="2409">
      <c r="A2409" s="19" t="s">
        <v>1917</v>
      </c>
      <c r="B2409" s="20" t="str">
        <f>IFERROR(__xludf.DUMMYFUNCTION("GOOGLETRANSLATE(A2409, ""fr"", ""en"")"),"The signal no longer rings when a customer leaves through the entrance
 Risk of DI for SPM
 RVS request")</f>
        <v>The signal no longer rings when a customer leaves through the entrance
 Risk of DI for SPM
 RVS request</v>
      </c>
    </row>
    <row r="2410">
      <c r="A2410" s="19" t="s">
        <v>1918</v>
      </c>
      <c r="B2410" s="20" t="str">
        <f>IFERROR(__xludf.DUMMYFUNCTION("GOOGLETRANSLATE(A2410, ""fr"", ""en"")"),"The box does not indicate an area to inhibit the closure of the impossible store to put the alarm using the badge provided for this purpose. We have only closed only for 2 days using the key to the first door of the store. As a result, the light remains a"&amp;"lumees as well as the alarm is not activated.")</f>
        <v>The box does not indicate an area to inhibit the closure of the impossible store to put the alarm using the badge provided for this purpose. We have only closed only for 2 days using the key to the first door of the store. As a result, the light remains alumees as well as the alarm is not activated.</v>
      </c>
    </row>
    <row r="2411">
      <c r="A2411" s="19" t="s">
        <v>1919</v>
      </c>
      <c r="B2411" s="20" t="str">
        <f>IFERROR(__xludf.DUMMYFUNCTION("GOOGLETRANSLATE(A2411, ""fr"", ""en"")"),"The alarm box does not indicate any zone to inhibit the store closed, however, we cannot activate the alarm using the badge provided for this purpose. The light therefore remains aluminated all night and the alarm is not active, we only close the key to t"&amp;"he store's entrance door to help.")</f>
        <v>The alarm box does not indicate any zone to inhibit the store closed, however, we cannot activate the alarm using the badge provided for this purpose. The light therefore remains aluminated all night and the alarm is not active, we only close the key to the store's entrance door to help.</v>
      </c>
    </row>
    <row r="2412">
      <c r="A2412" s="19" t="s">
        <v>1920</v>
      </c>
      <c r="B2412" s="20" t="str">
        <f>IFERROR(__xludf.DUMMYFUNCTION("GOOGLETRANSLATE(A2412, ""fr"", ""en"")"),"The door alarm declined when there is wind")</f>
        <v>The door alarm declined when there is wind</v>
      </c>
    </row>
    <row r="2413">
      <c r="A2413" s="19" t="s">
        <v>1921</v>
      </c>
      <c r="B2413" s="20" t="str">
        <f>IFERROR(__xludf.DUMMYFUNCTION("GOOGLETRANSLATE(A2413, ""fr"", ""en"")"),"Please assign the badge number: 1592015748 to Malik Abdelli DS de Delle 4046 framing badge")</f>
        <v>Please assign the badge number: 1592015748 to Malik Abdelli DS de Delle 4046 framing badge</v>
      </c>
    </row>
    <row r="2414">
      <c r="A2414" s="19" t="s">
        <v>1922</v>
      </c>
      <c r="B2414" s="20" t="str">
        <f>IFERROR(__xludf.DUMMYFUNCTION("GOOGLETRANSLATE(A2414, ""fr"", ""en"")"),"The door at the entrance is defective and the alarm system no longer works. In other words, if a customer leaves through the entrance, the alarm no longer rings.")</f>
        <v>The door at the entrance is defective and the alarm system no longer works. In other words, if a customer leaves through the entrance, the alarm no longer rings.</v>
      </c>
    </row>
    <row r="2415">
      <c r="A2415" s="19" t="s">
        <v>1923</v>
      </c>
      <c r="B2415" s="20" t="str">
        <f>IFERROR(__xludf.DUMMYFUNCTION("GOOGLETRANSLATE(A2415, ""fr"", ""en"")"),"Alarm well put in the evening but appears to be not put in the power plant.")</f>
        <v>Alarm well put in the evening but appears to be not put in the power plant.</v>
      </c>
    </row>
    <row r="2416">
      <c r="A2416" s="19" t="s">
        <v>1924</v>
      </c>
      <c r="B2416" s="20" t="str">
        <f>IFERROR(__xludf.DUMMYFUNCTION("GOOGLETRANSLATE(A2416, ""fr"", ""en"")"),"Unable to connect via camera
 + screen turned off at the input
 + New entrants badges configuration (5)")</f>
        <v>Unable to connect via camera
 + screen turned off at the input
 + New entrants badges configuration (5)</v>
      </c>
    </row>
    <row r="2417">
      <c r="A2417" s="19" t="s">
        <v>1925</v>
      </c>
      <c r="B2417" s="20" t="str">
        <f>IFERROR(__xludf.DUMMYFUNCTION("GOOGLETRANSLATE(A2417, ""fr"", ""en"")"),"Unable to connect to the system
 The legal service of the head office called because a customer slipped in front of the SPM or, the latter made two identical declarations in 2 years and they ask us to check the cameras because they are considering an """&amp;"insurance scam""
 So the di is quite urgent ...")</f>
        <v>Unable to connect to the system
 The legal service of the head office called because a customer slipped in front of the SPM or, the latter made two identical declarations in 2 years and they ask us to check the cameras because they are considering an "insurance scam"
 So the di is quite urgent ...</v>
      </c>
    </row>
    <row r="2418">
      <c r="A2418" s="19" t="s">
        <v>1926</v>
      </c>
      <c r="B2418" s="20" t="str">
        <f>IFERROR(__xludf.DUMMYFUNCTION("GOOGLETRANSLATE(A2418, ""fr"", ""en"")"),"Urgent because requisition of the gendarmerie
 Unable to consult the video surveillance")</f>
        <v>Urgent because requisition of the gendarmerie
 Unable to consult the video surveillance</v>
      </c>
    </row>
    <row r="2419">
      <c r="A2419" s="19" t="s">
        <v>1927</v>
      </c>
      <c r="B2419" s="20" t="str">
        <f>IFERROR(__xludf.DUMMYFUNCTION("GOOGLETRANSLATE(A2419, ""fr"", ""en"")"),"The dysfunction system
 The gendarmes need 1/11 video.")</f>
        <v>The dysfunction system
 The gendarmes need 1/11 video.</v>
      </c>
    </row>
    <row r="2420">
      <c r="A2420" s="19" t="s">
        <v>1928</v>
      </c>
      <c r="B2420" s="20" t="str">
        <f>IFERROR(__xludf.DUMMYFUNCTION("GOOGLETRANSLATE(A2420, ""fr"", ""en"")"),"Videoprotection box does not close")</f>
        <v>Videoprotection box does not close</v>
      </c>
    </row>
    <row r="2421">
      <c r="A2421" s="19" t="s">
        <v>1929</v>
      </c>
      <c r="B2421" s="20" t="str">
        <f>IFERROR(__xludf.DUMMYFUNCTION("GOOGLETRANSLATE(A2421, ""fr"", ""en"")"),"The video surveillance system malfunctions each time we need it
 Flight today at 2:45 p.m. by the entrance to the SPM
 We need the cameras to file the gendarmerie complaint")</f>
        <v>The video surveillance system malfunctions each time we need it
 Flight today at 2:45 p.m. by the entrance to the SPM
 We need the cameras to file the gendarmerie complaint</v>
      </c>
    </row>
    <row r="2422">
      <c r="A2422" s="19" t="s">
        <v>1930</v>
      </c>
      <c r="B2422" s="20" t="str">
        <f>IFERROR(__xludf.DUMMYFUNCTION("GOOGLETRANSLATE(A2422, ""fr"", ""en"")"),"CONTROL OF THE CASES VISUAL ON THE LIVE MODE. PAS of views on the boxes in live mode.odm made by AT3. Finished work.")</f>
        <v>CONTROL OF THE CASES VISUAL ON THE LIVE MODE. PAS of views on the boxes in live mode.odm made by AT3. Finished work.</v>
      </c>
    </row>
    <row r="2423">
      <c r="A2423" s="19" t="s">
        <v>1931</v>
      </c>
      <c r="B2423" s="20" t="str">
        <f>IFERROR(__xludf.DUMMYFUNCTION("GOOGLETRANSLATE(A2423, ""fr"", ""en"")"),"At the request of the FM: control of video surveillance .odm made by AT3. Finished work.")</f>
        <v>At the request of the FM: control of video surveillance .odm made by AT3. Finished work.</v>
      </c>
    </row>
    <row r="2424">
      <c r="A2424" s="19" t="s">
        <v>1932</v>
      </c>
      <c r="B2424" s="20" t="str">
        <f>IFERROR(__xludf.DUMMYFUNCTION("GOOGLETRANSLATE(A2424, ""fr"", ""en"")"),"Front door of the video protection box in the technical room is not closed
 URGENT")</f>
        <v>Front door of the video protection box in the technical room is not closed
 URGENT</v>
      </c>
    </row>
    <row r="2425">
      <c r="A2425" s="19" t="s">
        <v>1933</v>
      </c>
      <c r="B2425" s="20" t="str">
        <f>IFERROR(__xludf.DUMMYFUNCTION("GOOGLETRANSLATE(A2425, ""fr"", ""en"")"),"Live and dsb.rreur video surveillance control. Finished work.")</f>
        <v>Live and dsb.rreur video surveillance control. Finished work.</v>
      </c>
    </row>
    <row r="2426">
      <c r="A2426" s="19" t="s">
        <v>1934</v>
      </c>
      <c r="B2426" s="20" t="str">
        <f>IFERROR(__xludf.DUMMYFUNCTION("GOOGLETRANSLATE(A2426, ""fr"", ""en"")"),"Request for repairing the video surveillance system
 Physical and racist aggression on the supermarket director at 3 p.m.")</f>
        <v>Request for repairing the video surveillance system
 Physical and racist aggression on the supermarket director at 3 p.m.</v>
      </c>
    </row>
    <row r="2427">
      <c r="A2427" s="19" t="s">
        <v>1935</v>
      </c>
      <c r="B2427" s="20" t="str">
        <f>IFERROR(__xludf.DUMMYFUNCTION("GOOGLETRANSLATE(A2427, ""fr"", ""en"")"),"*No activation of video surveillance lecran according to the audit. / AE: unreachable SPM, RVS return waiting for explanation")</f>
        <v>*No activation of video surveillance lecran according to the audit. / AE: unreachable SPM, RVS return waiting for explanation</v>
      </c>
    </row>
    <row r="2428">
      <c r="A2428" s="19" t="s">
        <v>1936</v>
      </c>
      <c r="B2428" s="20" t="str">
        <f>IFERROR(__xludf.DUMMYFUNCTION("GOOGLETRANSLATE(A2428, ""fr"", ""en"")"),"A SCO window is cracked.")</f>
        <v>A SCO window is cracked.</v>
      </c>
    </row>
    <row r="2429">
      <c r="A2429" s="19" t="s">
        <v>1937</v>
      </c>
      <c r="B2429" s="20" t="str">
        <f>IFERROR(__xludf.DUMMYFUNCTION("GOOGLETRANSLATE(A2429, ""fr"", ""en"")"),"Blocked staff toilets, water goes up the flushing")</f>
        <v>Blocked staff toilets, water goes up the flushing</v>
      </c>
    </row>
    <row r="2430">
      <c r="A2430" s="19" t="s">
        <v>1938</v>
      </c>
      <c r="B2430" s="20" t="str">
        <f>IFERROR(__xludf.DUMMYFUNCTION("GOOGLETRANSLATE(A2430, ""fr"", ""en"")"),"Fault E3 microwave HS.odm made by AT3. Finished work.")</f>
        <v>Fault E3 microwave HS.odm made by AT3. Finished work.</v>
      </c>
    </row>
    <row r="2431">
      <c r="A2431" s="19" t="s">
        <v>1939</v>
      </c>
      <c r="B2431" s="20" t="str">
        <f>IFERROR(__xludf.DUMMYFUNCTION("GOOGLETRANSLATE(A2431, ""fr"", ""en"")"),"I had to cut the store's water supply valve. Just after the counter we have a big water leak. An element of pipeline seems broken.
 Its is located in the preliminary room.
 URGENT
 You can reach us to the store to tell us if we leave the valve open to pow"&amp;"er the Mag with water?")</f>
        <v>I had to cut the store's water supply valve. Just after the counter we have a big water leak. An element of pipeline seems broken.
 Its is located in the preliminary room.
 URGENT
 You can reach us to the store to tell us if we leave the valve open to power the Mag with water?</v>
      </c>
    </row>
    <row r="2432">
      <c r="A2432" s="19" t="s">
        <v>1940</v>
      </c>
      <c r="B2432" s="20" t="str">
        <f>IFERROR(__xludf.DUMMYFUNCTION("GOOGLETRANSLATE(A2432, ""fr"", ""en"")"),"Error display E3. Cassee door. does not work anymore.")</f>
        <v>Error display E3. Cassee door. does not work anymore.</v>
      </c>
    </row>
    <row r="2433">
      <c r="A2433" s="19" t="s">
        <v>1941</v>
      </c>
      <c r="B2433" s="20" t="str">
        <f>IFERROR(__xludf.DUMMYFUNCTION("GOOGLETRANSLATE(A2433, ""fr"", ""en"")"),"Unlock the V2 sink")</f>
        <v>Unlock the V2 sink</v>
      </c>
    </row>
    <row r="2434">
      <c r="A2434" s="21"/>
      <c r="B2434" s="20" t="str">
        <f>IFERROR(__xludf.DUMMYFUNCTION("GOOGLETRANSLATE(A2434, ""fr"", ""en"")"),"#VALUE!")</f>
        <v>#VALUE!</v>
      </c>
    </row>
    <row r="2435">
      <c r="A2435" s="19" t="s">
        <v>1942</v>
      </c>
      <c r="B2435" s="20" t="str">
        <f>IFERROR(__xludf.DUMMYFUNCTION("GOOGLETRANSLATE(A2435, ""fr"", ""en"")"),"Podium has replaced at the Patisserie level")</f>
        <v>Podium has replaced at the Patisserie level</v>
      </c>
    </row>
    <row r="2436">
      <c r="A2436" s="19" t="s">
        <v>1943</v>
      </c>
      <c r="B2436" s="20" t="str">
        <f>IFERROR(__xludf.DUMMYFUNCTION("GOOGLETRANSLATE(A2436, ""fr"", ""en"")"),"broken podium
 Following Friday's meeting we took pictures of the podium in order to receive the exact reference of the podium to install because there is a TG game glued
 And we have the visit of Solofrizzo on Friday")</f>
        <v>broken podium
 Following Friday's meeting we took pictures of the podium in order to receive the exact reference of the podium to install because there is a TG game glued
 And we have the visit of Solofrizzo on Friday</v>
      </c>
    </row>
    <row r="2437">
      <c r="A2437" s="19" t="s">
        <v>1944</v>
      </c>
      <c r="B2437" s="20" t="str">
        <f>IFERROR(__xludf.DUMMYFUNCTION("GOOGLETRANSLATE(A2437, ""fr"", ""en"")"),"PLV Lettrages
 They fell in SPM and available in reserve")</f>
        <v>PLV Lettrages
 They fell in SPM and available in reserve</v>
      </c>
    </row>
    <row r="2438">
      <c r="A2438" s="19" t="s">
        <v>1945</v>
      </c>
      <c r="B2438" s="20" t="str">
        <f>IFERROR(__xludf.DUMMYFUNCTION("GOOGLETRANSLATE(A2438, ""fr"", ""en"")"),"Is it possible to change the podiums for the management visit Thursday please?")</f>
        <v>Is it possible to change the podiums for the management visit Thursday please?</v>
      </c>
    </row>
    <row r="2439">
      <c r="A2439" s="19" t="s">
        <v>1946</v>
      </c>
      <c r="B2439" s="20" t="str">
        <f>IFERROR(__xludf.DUMMYFUNCTION("GOOGLETRANSLATE(A2439, ""fr"", ""en"")"),"Laying green energy stickers in the entrance to the Mag. Odm made by AT3. Finished work.")</f>
        <v>Laying green energy stickers in the entrance to the Mag. Odm made by AT3. Finished work.</v>
      </c>
    </row>
    <row r="2440">
      <c r="A2440" s="19" t="s">
        <v>1947</v>
      </c>
      <c r="B2440" s="20" t="str">
        <f>IFERROR(__xludf.DUMMYFUNCTION("GOOGLETRANSLATE(A2440, ""fr"", ""en"")"),"broken cabinet podium fl")</f>
        <v>broken cabinet podium fl</v>
      </c>
    </row>
    <row r="2441">
      <c r="A2441" s="19" t="s">
        <v>1948</v>
      </c>
      <c r="B2441" s="20" t="str">
        <f>IFERROR(__xludf.DUMMYFUNCTION("GOOGLETRANSLATE(A2441, ""fr"", ""en"")"),"broken podium
 One of the podium is glued to a TG cheek so impossible to change without the intervention of MSK")</f>
        <v>broken podium
 One of the podium is glued to a TG cheek so impossible to change without the intervention of MSK</v>
      </c>
    </row>
    <row r="2442">
      <c r="A2442" s="19" t="s">
        <v>1949</v>
      </c>
      <c r="B2442" s="20" t="str">
        <f>IFERROR(__xludf.DUMMYFUNCTION("GOOGLETRANSLATE(A2442, ""fr"", ""en"")"),"broken fl. (left angle)")</f>
        <v>broken fl. (left angle)</v>
      </c>
    </row>
    <row r="2443">
      <c r="A2443" s="19" t="s">
        <v>1950</v>
      </c>
      <c r="B2443" s="20" t="str">
        <f>IFERROR(__xludf.DUMMYFUNCTION("GOOGLETRANSLATE(A2443, ""fr"", ""en"")"),"Frozen metal rule on a dry podium")</f>
        <v>Frozen metal rule on a dry podium</v>
      </c>
    </row>
    <row r="2444">
      <c r="A2444" s="19" t="s">
        <v>1951</v>
      </c>
      <c r="B2444" s="20" t="str">
        <f>IFERROR(__xludf.DUMMYFUNCTION("GOOGLETRANSLATE(A2444, ""fr"", ""en"")"),"broken dry podium. Impossible to change ourselves fixed with side cheek.")</f>
        <v>broken dry podium. Impossible to change ourselves fixed with side cheek.</v>
      </c>
    </row>
    <row r="2445">
      <c r="A2445" s="19" t="s">
        <v>1952</v>
      </c>
      <c r="B2445" s="20" t="str">
        <f>IFERROR(__xludf.DUMMYFUNCTION("GOOGLETRANSLATE(A2445, ""fr"", ""en"")"),"Absence of a metal rule on a dry podium (season flavors)")</f>
        <v>Absence of a metal rule on a dry podium (season flavors)</v>
      </c>
    </row>
    <row r="2446">
      <c r="A2446" s="19" t="s">
        <v>1953</v>
      </c>
      <c r="B2446" s="20" t="str">
        <f>IFERROR(__xludf.DUMMYFUNCTION("GOOGLETRANSLATE(A2446, ""fr"", ""en"")"),"broken podium")</f>
        <v>broken podium</v>
      </c>
    </row>
    <row r="2447">
      <c r="A2447" s="21"/>
      <c r="B2447" s="20" t="str">
        <f>IFERROR(__xludf.DUMMYFUNCTION("GOOGLETRANSLATE(A2447, ""fr"", ""en"")"),"#VALUE!")</f>
        <v>#VALUE!</v>
      </c>
    </row>
    <row r="2448">
      <c r="A2448" s="21"/>
      <c r="B2448" s="20" t="str">
        <f>IFERROR(__xludf.DUMMYFUNCTION("GOOGLETRANSLATE(A2448, ""fr"", ""en"")"),"#VALUE!")</f>
        <v>#VALUE!</v>
      </c>
    </row>
    <row r="2449">
      <c r="A2449" s="19" t="s">
        <v>1954</v>
      </c>
      <c r="B2449" s="20" t="str">
        <f>IFERROR(__xludf.DUMMYFUNCTION("GOOGLETRANSLATE(A2449, ""fr"", ""en"")"),"Damaged FL podium.")</f>
        <v>Damaged FL podium.</v>
      </c>
    </row>
    <row r="2450">
      <c r="A2450" s="19" t="s">
        <v>1955</v>
      </c>
      <c r="B2450" s="20" t="str">
        <f>IFERROR(__xludf.DUMMYFUNCTION("GOOGLETRANSLATE(A2450, ""fr"", ""en"")"),"1/2 podium inclined if dd next to it with straight notch for organic axis. (not sponsible on Consomag with organic covering)
 Ref Consotage without organic dressing: 11604485")</f>
        <v>1/2 podium inclined if dd next to it with straight notch for organic axis. (not sponsible on Consomag with organic covering)
 Ref Consotage without organic dressing: 11604485</v>
      </c>
    </row>
    <row r="2451">
      <c r="A2451" s="19" t="s">
        <v>1956</v>
      </c>
      <c r="B2451" s="20" t="str">
        <f>IFERROR(__xludf.DUMMYFUNCTION("GOOGLETRANSLATE(A2451, ""fr"", ""en"")"),"Broken FL podium")</f>
        <v>Broken FL podium</v>
      </c>
    </row>
    <row r="2452">
      <c r="A2452" s="19" t="s">
        <v>1957</v>
      </c>
      <c r="B2452" s="20" t="str">
        <f>IFERROR(__xludf.DUMMYFUNCTION("GOOGLETRANSLATE(A2452, ""fr"", ""en"")"),"Dry podium with broken right return.")</f>
        <v>Dry podium with broken right return.</v>
      </c>
    </row>
    <row r="2453">
      <c r="A2453" s="19" t="s">
        <v>1958</v>
      </c>
      <c r="B2453" s="20" t="str">
        <f>IFERROR(__xludf.DUMMYFUNCTION("GOOGLETRANSLATE(A2453, ""fr"", ""en"")"),"Play axis Saveurs du Monde TG Rériere broken.")</f>
        <v>Play axis Saveurs du Monde TG Rériere broken.</v>
      </c>
    </row>
    <row r="2454">
      <c r="A2454" s="19" t="s">
        <v>1959</v>
      </c>
      <c r="B2454" s="20" t="str">
        <f>IFERROR(__xludf.DUMMYFUNCTION("GOOGLETRANSLATE(A2454, ""fr"", ""en"")"),"Replace the two HS radiators (the control cards are grilled) in the men/woman locker room see with FM if at2 must order them. AT2 disconnected them. You have to control radiators without just LCD screen with an adjustable thermostat.")</f>
        <v>Replace the two HS radiators (the control cards are grilled) in the men/woman locker room see with FM if at2 must order them. AT2 disconnected them. You have to control radiators without just LCD screen with an adjustable thermostat.</v>
      </c>
    </row>
    <row r="2455">
      <c r="A2455" s="19" t="s">
        <v>1960</v>
      </c>
      <c r="B2455" s="20" t="str">
        <f>IFERROR(__xludf.DUMMYFUNCTION("GOOGLETRANSLATE(A2455, ""fr"", ""en"")"),"toilet clog the water goes up qd we pull the flush")</f>
        <v>toilet clog the water goes up qd we pull the flush</v>
      </c>
    </row>
    <row r="2456">
      <c r="A2456" s="19" t="s">
        <v>1961</v>
      </c>
      <c r="B2456" s="20" t="str">
        <f>IFERROR(__xludf.DUMMYFUNCTION("GOOGLETRANSLATE(A2456, ""fr"", ""en"")"),"Important water leak on the water supply Ria. Purge of driving before dismantling of the bridle .odm made by AT3. Finished work.")</f>
        <v>Important water leak on the water supply Ria. Purge of driving before dismantling of the bridle .odm made by AT3. Finished work.</v>
      </c>
    </row>
    <row r="2457">
      <c r="A2457" s="21"/>
      <c r="B2457" s="20" t="str">
        <f>IFERROR(__xludf.DUMMYFUNCTION("GOOGLETRANSLATE(A2457, ""fr"", ""en"")"),"#VALUE!")</f>
        <v>#VALUE!</v>
      </c>
    </row>
    <row r="2458">
      <c r="A2458" s="19" t="s">
        <v>1962</v>
      </c>
      <c r="B2458" s="20" t="str">
        <f>IFERROR(__xludf.DUMMYFUNCTION("GOOGLETRANSLATE(A2458, ""fr"", ""en"")"),"urgent. leak!!!")</f>
        <v>urgent. leak!!!</v>
      </c>
    </row>
    <row r="2459">
      <c r="A2459" s="19" t="s">
        <v>1963</v>
      </c>
      <c r="B2459" s="20" t="str">
        <f>IFERROR(__xludf.DUMMYFUNCTION("GOOGLETRANSLATE(A2459, ""fr"", ""en"")"),"There is a very important leak that flows into the socials that start to be flooded
 We put a seal that we have to change every 20 minutes
 It is very urgent please")</f>
        <v>There is a very important leak that flows into the socials that start to be flooded
 We put a seal that we have to change every 20 minutes
 It is very urgent please</v>
      </c>
    </row>
    <row r="2460">
      <c r="A2460" s="19" t="s">
        <v>1964</v>
      </c>
      <c r="B2460" s="20" t="str">
        <f>IFERROR(__xludf.DUMMYFUNCTION("GOOGLETRANSLATE(A2460, ""fr"", ""en"")"),"Sweating spout on missing hydroalcoholic gel dispenser. Odm made by AT3. Finished work.")</f>
        <v>Sweating spout on missing hydroalcoholic gel dispenser. Odm made by AT3. Finished work.</v>
      </c>
    </row>
    <row r="2461">
      <c r="A2461" s="19" t="s">
        <v>1965</v>
      </c>
      <c r="B2461" s="20" t="str">
        <f>IFERROR(__xludf.DUMMYFUNCTION("GOOGLETRANSLATE(A2461, ""fr"", ""en"")"),"Wc customer and blocked staff")</f>
        <v>Wc customer and blocked staff</v>
      </c>
    </row>
    <row r="2462">
      <c r="A2462" s="19" t="s">
        <v>1966</v>
      </c>
      <c r="B2462" s="20" t="str">
        <f>IFERROR(__xludf.DUMMYFUNCTION("GOOGLETRANSLATE(A2462, ""fr"", ""en"")"),"For info: salaried toilets + client client toilets .at3 Try with chemical unblocker Nok.Magasin recent still under warranty because sudden pipe obstructed by rest of site cement.")</f>
        <v>For info: salaried toilets + client client toilets .at3 Try with chemical unblocker Nok.Magasin recent still under warranty because sudden pipe obstructed by rest of site cement.</v>
      </c>
    </row>
    <row r="2463">
      <c r="A2463" s="19" t="s">
        <v>1967</v>
      </c>
      <c r="B2463" s="20" t="str">
        <f>IFERROR(__xludf.DUMMYFUNCTION("GOOGLETRANSLATE(A2463, ""fr"", ""en"")"),"Wc customer and blocked staff")</f>
        <v>Wc customer and blocked staff</v>
      </c>
    </row>
    <row r="2464">
      <c r="A2464" s="19" t="s">
        <v>1968</v>
      </c>
      <c r="B2464" s="20" t="str">
        <f>IFERROR(__xludf.DUMMYFUNCTION("GOOGLETRANSLATE(A2464, ""fr"", ""en"")"),"Client and client toilet")</f>
        <v>Client and client toilet</v>
      </c>
    </row>
    <row r="2465">
      <c r="A2465" s="19" t="s">
        <v>1967</v>
      </c>
      <c r="B2465" s="20" t="str">
        <f>IFERROR(__xludf.DUMMYFUNCTION("GOOGLETRANSLATE(A2465, ""fr"", ""en"")"),"Wc customer and blocked staff")</f>
        <v>Wc customer and blocked staff</v>
      </c>
    </row>
    <row r="2466">
      <c r="A2466" s="19" t="s">
        <v>1969</v>
      </c>
      <c r="B2466" s="20" t="str">
        <f>IFERROR(__xludf.DUMMYFUNCTION("GOOGLETRANSLATE(A2466, ""fr"", ""en"")"),"Radiators of men and women men and women temperature high 40 ° and impossible to adjust.
 Risk of suffocation")</f>
        <v>Radiators of men and women men and women temperature high 40 ° and impossible to adjust.
 Risk of suffocation</v>
      </c>
    </row>
    <row r="2467">
      <c r="A2467" s="19" t="s">
        <v>1970</v>
      </c>
      <c r="B2467" s="20" t="str">
        <f>IFERROR(__xludf.DUMMYFUNCTION("GOOGLETRANSLATE(A2467, ""fr"", ""en"")"),"All the fire -covered doors have triggered and impossible to reactivate them")</f>
        <v>All the fire -covered doors have triggered and impossible to reactivate them</v>
      </c>
    </row>
    <row r="2468">
      <c r="A2468" s="19" t="s">
        <v>1971</v>
      </c>
      <c r="B2468" s="20" t="str">
        <f>IFERROR(__xludf.DUMMYFUNCTION("GOOGLETRANSLATE(A2468, ""fr"", ""en"")"),"Failure to closure on Fire Fire Porte Grangled in the reserve .odm made by AT3. Finished work.")</f>
        <v>Failure to closure on Fire Fire Porte Grangled in the reserve .odm made by AT3. Finished work.</v>
      </c>
    </row>
    <row r="2469">
      <c r="A2469" s="19" t="s">
        <v>1972</v>
      </c>
      <c r="B2469" s="20" t="str">
        <f>IFERROR(__xludf.DUMMYFUNCTION("GOOGLETRANSLATE(A2469, ""fr"", ""en"")"),"The radiators in the Entrance SAS blow hot air as well as in the store. Fresh furniture flee again and heat in store is excessive 24.6 °! (see photo taken in the checkout)")</f>
        <v>The radiators in the Entrance SAS blow hot air as well as in the store. Fresh furniture flee again and heat in store is excessive 24.6 °! (see photo taken in the checkout)</v>
      </c>
    </row>
    <row r="2470">
      <c r="A2470" s="19" t="s">
        <v>1973</v>
      </c>
      <c r="B2470" s="20" t="str">
        <f>IFERROR(__xludf.DUMMYFUNCTION("GOOGLETRANSLATE(A2470, ""fr"", ""en"")"),"Not for the radiator but for the air conditioning absent.
 The temperature in the store is more than 28 degrees (photo)
 IT'S UNBEARABLE !
 Whether for the staff and even in the checkout (photo) for customers who complain about being in a sauna whether fo"&amp;"r material, leaks for fresh furniture, stinging -loss etc ...
 But also for the FL goods (freshness?)
 And also for the fresh pallets which are treated in stores and which remains more minutes under this heat while putting them in the shelves ...
 Thank y"&amp;"ou for the water packs at our disposal but this heat has become unbearable.")</f>
        <v>Not for the radiator but for the air conditioning absent.
 The temperature in the store is more than 28 degrees (photo)
 IT'S UNBEARABLE !
 Whether for the staff and even in the checkout (photo) for customers who complain about being in a sauna whether for material, leaks for fresh furniture, stinging -loss etc ...
 But also for the FL goods (freshness?)
 And also for the fresh pallets which are treated in stores and which remains more minutes under this heat while putting them in the shelves ...
 Thank you for the water packs at our disposal but this heat has become unbearable.</v>
      </c>
    </row>
    <row r="2471">
      <c r="A2471" s="19" t="s">
        <v>1974</v>
      </c>
      <c r="B2471" s="20" t="str">
        <f>IFERROR(__xludf.DUMMYFUNCTION("GOOGLETRANSLATE(A2471, ""fr"", ""en"")"),"Reinforcement of the extinguisher to its support.odm made by AT3. Finished work.")</f>
        <v>Reinforcement of the extinguisher to its support.odm made by AT3. Finished work.</v>
      </c>
    </row>
    <row r="2472">
      <c r="A2472" s="19" t="s">
        <v>1975</v>
      </c>
      <c r="B2472" s="20" t="str">
        <f>IFERROR(__xludf.DUMMYFUNCTION("GOOGLETRANSLATE(A2472, ""fr"", ""en"")"),"Underground parking extinguisher used.")</f>
        <v>Underground parking extinguisher used.</v>
      </c>
    </row>
    <row r="2473">
      <c r="A2473" s="19" t="s">
        <v>1976</v>
      </c>
      <c r="B2473" s="20" t="str">
        <f>IFERROR(__xludf.DUMMYFUNCTION("GOOGLETRANSLATE(A2473, ""fr"", ""en"")"),"Replace the Grille du Boite is A7 parking")</f>
        <v>Replace the Grille du Boite is A7 parking</v>
      </c>
    </row>
    <row r="2474">
      <c r="A2474" s="19" t="s">
        <v>1977</v>
      </c>
      <c r="B2474" s="20" t="str">
        <f>IFERROR(__xludf.DUMMYFUNCTION("GOOGLETRANSLATE(A2474, ""fr"", ""en"")"),"RIA which flees on the sales surface.")</f>
        <v>RIA which flees on the sales surface.</v>
      </c>
    </row>
    <row r="2475">
      <c r="A2475" s="19" t="s">
        <v>1978</v>
      </c>
      <c r="B2475" s="20" t="str">
        <f>IFERROR(__xludf.DUMMYFUNCTION("GOOGLETRANSLATE(A2475, ""fr"", ""en"")"),"Is it possible to commission the service provider for badges of
 Aurélie Vigot EP
 Ajla Sulejmanovic CCA
 Please please do not delete this request, they need doors access")</f>
        <v>Is it possible to commission the service provider for badges of
 Aurélie Vigot EP
 Ajla Sulejmanovic CCA
 Please please do not delete this request, they need doors access</v>
      </c>
    </row>
    <row r="2476">
      <c r="A2476" s="19" t="s">
        <v>1979</v>
      </c>
      <c r="B2476" s="20" t="str">
        <f>IFERROR(__xludf.DUMMYFUNCTION("GOOGLETRANSLATE(A2476, ""fr"", ""en"")"),"Is it possible to commission the service provider to configure SPM badges please")</f>
        <v>Is it possible to commission the service provider to configure SPM badges please</v>
      </c>
    </row>
    <row r="2477">
      <c r="A2477" s="21"/>
      <c r="B2477" s="20" t="str">
        <f>IFERROR(__xludf.DUMMYFUNCTION("GOOGLETRANSLATE(A2477, ""fr"", ""en"")"),"#VALUE!")</f>
        <v>#VALUE!</v>
      </c>
    </row>
    <row r="2478">
      <c r="A2478" s="19" t="s">
        <v>1980</v>
      </c>
      <c r="B2478" s="20" t="str">
        <f>IFERROR(__xludf.DUMMYFUNCTION("GOOGLETRANSLATE(A2478, ""fr"", ""en"")"),"Ria badly attached to the wall")</f>
        <v>Ria badly attached to the wall</v>
      </c>
    </row>
    <row r="2479">
      <c r="A2479" s="19" t="s">
        <v>1981</v>
      </c>
      <c r="B2479" s="20" t="str">
        <f>IFERROR(__xludf.DUMMYFUNCTION("GOOGLETRANSLATE(A2479, ""fr"", ""en"")"),"A new EP needs a badge with access to the door
 A new CCA
 We do not have the software in order to give the codes directly
 Is it possible to commission the service provider please?")</f>
        <v>A new EP needs a badge with access to the door
 A new CCA
 We do not have the software in order to give the codes directly
 Is it possible to commission the service provider please?</v>
      </c>
    </row>
    <row r="2480">
      <c r="A2480" s="19" t="s">
        <v>1982</v>
      </c>
      <c r="B2480" s="20" t="str">
        <f>IFERROR(__xludf.DUMMYFUNCTION("GOOGLETRANSLATE(A2480, ""fr"", ""en"")"),"Fire alarm test on 06/30 at 8:15 am, reset in stride.
 From the alarm boxes (see photo) on the social have a red light and bipe at regular intervals.
 + The gateway to the social no longer has a badge to open, the badge box remains on the green")</f>
        <v>Fire alarm test on 06/30 at 8:15 am, reset in stride.
 From the alarm boxes (see photo) on the social have a red light and bipe at regular intervals.
 + The gateway to the social no longer has a badge to open, the badge box remains on the green</v>
      </c>
    </row>
    <row r="2481">
      <c r="A2481" s="19" t="s">
        <v>1983</v>
      </c>
      <c r="B2481" s="20" t="str">
        <f>IFERROR(__xludf.DUMMYFUNCTION("GOOGLETRANSLATE(A2481, ""fr"", ""en"")"),"Implementation of documents accessibility in the .odm safety register tabs made by AT3. Finished work.")</f>
        <v>Implementation of documents accessibility in the .odm safety register tabs made by AT3. Finished work.</v>
      </c>
    </row>
    <row r="2482">
      <c r="A2482" s="19" t="s">
        <v>1984</v>
      </c>
      <c r="B2482" s="20" t="str">
        <f>IFERROR(__xludf.DUMMYFUNCTION("GOOGLETRANSLATE(A2482, ""fr"", ""en"")"),"Go down the Skydom in Mag and reserve")</f>
        <v>Go down the Skydom in Mag and reserve</v>
      </c>
    </row>
    <row r="2483">
      <c r="A2483" s="19" t="s">
        <v>1985</v>
      </c>
      <c r="B2483" s="20" t="str">
        <f>IFERROR(__xludf.DUMMYFUNCTION("GOOGLETRANSLATE(A2483, ""fr"", ""en"")"),"Electric reserve sockets no longer recharge the electric drawing. Unable to use them
 The driver was unable to decload the electric trans pale
 URGENT
 Please")</f>
        <v>Electric reserve sockets no longer recharge the electric drawing. Unable to use them
 The driver was unable to decload the electric trans pale
 URGENT
 Please</v>
      </c>
    </row>
    <row r="2484">
      <c r="A2484" s="19" t="s">
        <v>1986</v>
      </c>
      <c r="B2484" s="20" t="str">
        <f>IFERROR(__xludf.DUMMYFUNCTION("GOOGLETRANSLATE(A2484, ""fr"", ""en"")"),"At the request of the FM: disjunct the voltage regulator .odm made by AT3. Finished work.")</f>
        <v>At the request of the FM: disjunct the voltage regulator .odm made by AT3. Finished work.</v>
      </c>
    </row>
    <row r="2485">
      <c r="A2485" s="19" t="s">
        <v>1987</v>
      </c>
      <c r="B2485" s="20" t="str">
        <f>IFERROR(__xludf.DUMMYFUNCTION("GOOGLETRANSLATE(A2485, ""fr"", ""en"")"),"At the request of Maud RM (IMS made by AT3) the taking of transparent currents Nok. After the words of the RM Maud, the electricians would have told him that it was a transpalette that would make the circuit breaker disjuncted but according to Maud would "&amp;"do with all the transpalets. It is an urgency to be able to restore recharging from Transpalette in this quay area.")</f>
        <v>At the request of Maud RM (IMS made by AT3) the taking of transparent currents Nok. After the words of the RM Maud, the electricians would have told him that it was a transpalette that would make the circuit breaker disjuncted but according to Maud would do with all the transpalets. It is an urgency to be able to restore recharging from Transpalette in this quay area.</v>
      </c>
    </row>
    <row r="2486">
      <c r="A2486" s="19" t="s">
        <v>1988</v>
      </c>
      <c r="B2486" s="20" t="str">
        <f>IFERROR(__xludf.DUMMYFUNCTION("GOOGLETRANSLATE(A2486, ""fr"", ""en"")"),"Electric wardrobe BO PC circuit breaker
 Urgent please")</f>
        <v>Electric wardrobe BO PC circuit breaker
 Urgent please</v>
      </c>
    </row>
    <row r="2487">
      <c r="A2487" s="19" t="s">
        <v>1989</v>
      </c>
      <c r="B2487" s="20" t="str">
        <f>IFERROR(__xludf.DUMMYFUNCTION("GOOGLETRANSLATE(A2487, ""fr"", ""en"")"),"Fix the toilet switch")</f>
        <v>Fix the toilet switch</v>
      </c>
    </row>
    <row r="2488">
      <c r="A2488" s="19" t="s">
        <v>1990</v>
      </c>
      <c r="B2488" s="20" t="str">
        <f>IFERROR(__xludf.DUMMYFUNCTION("GOOGLETRANSLATE(A2488, ""fr"", ""en"")"),"URGENT
 The power outlet on which the SCO 83 is branch no longer works. Impossible to turn on the car box
 =&gt; No fence last night since we can not take up the cash register and no fence is also this evening ...")</f>
        <v>URGENT
 The power outlet on which the SCO 83 is branch no longer works. Impossible to turn on the car box
 =&gt; No fence last night since we can not take up the cash register and no fence is also this evening ...</v>
      </c>
    </row>
    <row r="2489">
      <c r="A2489" s="19" t="s">
        <v>1991</v>
      </c>
      <c r="B2489" s="20" t="str">
        <f>IFERROR(__xludf.DUMMYFUNCTION("GOOGLETRANSLATE(A2489, ""fr"", ""en"")"),"Installation of a stop for the room door in reserve and painting Galva.odm made by AT3.")</f>
        <v>Installation of a stop for the room door in reserve and painting Galva.odm made by AT3.</v>
      </c>
    </row>
    <row r="2490">
      <c r="A2490" s="19" t="s">
        <v>1992</v>
      </c>
      <c r="B2490" s="20" t="str">
        <f>IFERROR(__xludf.DUMMYFUNCTION("GOOGLETRANSLATE(A2490, ""fr"", ""en"")"),"Replacement of cylinder on ABB terminal and on the divisional table .odm made by AT3.")</f>
        <v>Replacement of cylinder on ABB terminal and on the divisional table .odm made by AT3.</v>
      </c>
    </row>
    <row r="2491">
      <c r="A2491" s="19" t="s">
        <v>1993</v>
      </c>
      <c r="B2491" s="20" t="str">
        <f>IFERROR(__xludf.DUMMYFUNCTION("GOOGLETRANSLATE(A2491, ""fr"", ""en"")"),"At the request of the FM: control of the various access to the social .odm made by AT3. Finished work.")</f>
        <v>At the request of the FM: control of the various access to the social .odm made by AT3. Finished work.</v>
      </c>
    </row>
    <row r="2492">
      <c r="A2492" s="19" t="s">
        <v>1994</v>
      </c>
      <c r="B2492" s="20" t="str">
        <f>IFERROR(__xludf.DUMMYFUNCTION("GOOGLETRANSLATE(A2492, ""fr"", ""en"")"),"No linen on the FL door
 It is the door fl in the quay side which malfunctions
 It only opens manually and does not answer when you want to open it via the automatic button (the same for closing, it therefore closes therefore automatically)")</f>
        <v>No linen on the FL door
 It is the door fl in the quay side which malfunctions
 It only opens manually and does not answer when you want to open it via the automatic button (the same for closing, it therefore closes therefore automatically)</v>
      </c>
    </row>
    <row r="2493">
      <c r="A2493" s="19" t="s">
        <v>1995</v>
      </c>
      <c r="B2493" s="20" t="str">
        <f>IFERROR(__xludf.DUMMYFUNCTION("GOOGLETRANSLATE(A2493, ""fr"", ""en"")"),"Sun sham torn .odm made by AT3. Finished work.")</f>
        <v>Sun sham torn .odm made by AT3. Finished work.</v>
      </c>
    </row>
    <row r="2494">
      <c r="A2494" s="19" t="s">
        <v>1996</v>
      </c>
      <c r="B2494" s="20" t="str">
        <f>IFERROR(__xludf.DUMMYFUNCTION("GOOGLETRANSLATE(A2494, ""fr"", ""en"")"),"Urgent: conveyor door that does not lock, we operate to open it from the outside just by pushing (it is under alarm) but not ""swarming""")</f>
        <v>Urgent: conveyor door that does not lock, we operate to open it from the outside just by pushing (it is under alarm) but not "swarming"</v>
      </c>
    </row>
    <row r="2495">
      <c r="A2495" s="19" t="s">
        <v>1997</v>
      </c>
      <c r="B2495" s="20" t="str">
        <f>IFERROR(__xludf.DUMMYFUNCTION("GOOGLETRANSLATE(A2495, ""fr"", ""en"")"),"Quai driver door. Does not open from the outside.
 Very urgent because the driver of this night will not be able to deposit the FL/VV.")</f>
        <v>Quai driver door. Does not open from the outside.
 Very urgent because the driver of this night will not be able to deposit the FL/VV.</v>
      </c>
    </row>
    <row r="2496">
      <c r="A2496" s="19" t="s">
        <v>1998</v>
      </c>
      <c r="B2496" s="20" t="str">
        <f>IFERROR(__xludf.DUMMYFUNCTION("GOOGLETRANSLATE(A2496, ""fr"", ""en"")"),"Problem with the alarm of the conveyor door, it sounds all the termps (either door adjustment, or problem with the magnet that allows the alarm does not sound)")</f>
        <v>Problem with the alarm of the conveyor door, it sounds all the termps (either door adjustment, or problem with the magnet that allows the alarm does not sound)</v>
      </c>
    </row>
    <row r="2497">
      <c r="A2497" s="19" t="s">
        <v>1999</v>
      </c>
      <c r="B2497" s="20" t="str">
        <f>IFERROR(__xludf.DUMMYFUNCTION("GOOGLETRANSLATE(A2497, ""fr"", ""en"")"),"At the request of the RM Léa. Porter of the external CFN tasted.odm made by AT3. Finished work")</f>
        <v>At the request of the RM Léa. Porter of the external CFN tasted.odm made by AT3. Finished work</v>
      </c>
    </row>
    <row r="2498">
      <c r="A2498" s="19" t="s">
        <v>2000</v>
      </c>
      <c r="B2498" s="20" t="str">
        <f>IFERROR(__xludf.DUMMYFUNCTION("GOOGLETRANSLATE(A2498, ""fr"", ""en"")"),"Absence of stop on the roof access door. Finished work.")</f>
        <v>Absence of stop on the roof access door. Finished work.</v>
      </c>
    </row>
    <row r="2499">
      <c r="A2499" s="19" t="s">
        <v>2001</v>
      </c>
      <c r="B2499" s="20" t="str">
        <f>IFERROR(__xludf.DUMMYFUNCTION("GOOGLETRANSLATE(A2499, ""fr"", ""en"")"),"The reserve door towards the break room no longer boils, poses a problem for the night alarm.
 THANKS")</f>
        <v>The reserve door towards the break room no longer boils, poses a problem for the night alarm.
 THANKS</v>
      </c>
    </row>
    <row r="2500">
      <c r="A2500" s="19" t="s">
        <v>2002</v>
      </c>
      <c r="B2500" s="20" t="str">
        <f>IFERROR(__xludf.DUMMYFUNCTION("GOOGLETRANSLATE(A2500, ""fr"", ""en"")"),"The door of the reserve overlooking the social is always open without passing the badge")</f>
        <v>The door of the reserve overlooking the social is always open without passing the badge</v>
      </c>
    </row>
    <row r="2501">
      <c r="A2501" s="19" t="s">
        <v>2003</v>
      </c>
      <c r="B2501" s="20" t="str">
        <f>IFERROR(__xludf.DUMMYFUNCTION("GOOGLETRANSLATE(A2501, ""fr"", ""en"")"),"At the request of the RM: stainless steel plate on the social entrance door which takes off .odm done by AT3.")</f>
        <v>At the request of the RM: stainless steel plate on the social entrance door which takes off .odm done by AT3.</v>
      </c>
    </row>
    <row r="2502">
      <c r="A2502" s="19" t="s">
        <v>2004</v>
      </c>
      <c r="B2502" s="20" t="str">
        <f>IFERROR(__xludf.DUMMYFUNCTION("GOOGLETRANSLATE(A2502, ""fr"", ""en"")"),"Stop closure on IS facing the defective box .odm made by AT3. Finished work.")</f>
        <v>Stop closure on IS facing the defective box .odm made by AT3. Finished work.</v>
      </c>
    </row>
    <row r="2503">
      <c r="A2503" s="19" t="s">
        <v>2005</v>
      </c>
      <c r="B2503" s="20" t="str">
        <f>IFERROR(__xludf.DUMMYFUNCTION("GOOGLETRANSLATE(A2503, ""fr"", ""en"")"),"Installation of stickers information relating to video surveillance on the conveyor door is on the door of quay.odm made by AT3. Finished work.")</f>
        <v>Installation of stickers information relating to video surveillance on the conveyor door is on the door of quay.odm made by AT3. Finished work.</v>
      </c>
    </row>
    <row r="2504">
      <c r="A2504" s="19" t="s">
        <v>2006</v>
      </c>
      <c r="B2504" s="20" t="str">
        <f>IFERROR(__xludf.DUMMYFUNCTION("GOOGLETRANSLATE(A2504, ""fr"", ""en"")"),"Repair the handle of the door on rue Mayor Sorgus.")</f>
        <v>Repair the handle of the door on rue Mayor Sorgus.</v>
      </c>
    </row>
    <row r="2505">
      <c r="A2505" s="19" t="s">
        <v>2007</v>
      </c>
      <c r="B2505" s="20" t="str">
        <f>IFERROR(__xludf.DUMMYFUNCTION("GOOGLETRANSLATE(A2505, ""fr"", ""en"")"),"Porte from the outbreak of the car park does not open.")</f>
        <v>Porte from the outbreak of the car park does not open.</v>
      </c>
    </row>
    <row r="2506">
      <c r="A2506" s="19" t="s">
        <v>2008</v>
      </c>
      <c r="B2506" s="20" t="str">
        <f>IFERROR(__xludf.DUMMYFUNCTION("GOOGLETRANSLATE(A2506, ""fr"", ""en"")"),"The trap located next to the ball press is broken and is no longer in conformity, request for replacement")</f>
        <v>The trap located next to the ball press is broken and is no longer in conformity, request for replacement</v>
      </c>
    </row>
    <row r="2507">
      <c r="A2507" s="19" t="s">
        <v>2009</v>
      </c>
      <c r="B2507" s="20" t="str">
        <f>IFERROR(__xludf.DUMMYFUNCTION("GOOGLETRANSLATE(A2507, ""fr"", ""en"")"),"Supply of a telescopic bar and its brush at the CM and deposited in the material premises of the reserve .odm made by AT3. Finished work.")</f>
        <v>Supply of a telescopic bar and its brush at the CM and deposited in the material premises of the reserve .odm made by AT3. Finished work.</v>
      </c>
    </row>
    <row r="2508">
      <c r="A2508" s="19" t="s">
        <v>2010</v>
      </c>
      <c r="B2508" s="20" t="str">
        <f>IFERROR(__xludf.DUMMYFUNCTION("GOOGLETRANSLATE(A2508, ""fr"", ""en"")"),"Urgent two mice stick in the trap")</f>
        <v>Urgent two mice stick in the trap</v>
      </c>
    </row>
    <row r="2509">
      <c r="A2509" s="19" t="s">
        <v>2011</v>
      </c>
      <c r="B2509" s="20" t="str">
        <f>IFERROR(__xludf.DUMMYFUNCTION("GOOGLETRANSLATE(A2509, ""fr"", ""en"")"),"Hello, we always find mouse droppings as well as snacks nibbled in the aisles: cakes/choco/pastries/petfood.")</f>
        <v>Hello, we always find mouse droppings as well as snacks nibbled in the aisles: cakes/choco/pastries/petfood.</v>
      </c>
    </row>
    <row r="2510">
      <c r="A2510" s="19" t="s">
        <v>2012</v>
      </c>
      <c r="B2510" s="20" t="str">
        <f>IFERROR(__xludf.DUMMYFUNCTION("GOOGLETRANSLATE(A2510, ""fr"", ""en"")"),"Fix the grid to the Drycolor room and clog the holes around the electric cables and a reserve ramp for harmful")</f>
        <v>Fix the grid to the Drycolor room and clog the holes around the electric cables and a reserve ramp for harmful</v>
      </c>
    </row>
    <row r="2511">
      <c r="A2511" s="19" t="s">
        <v>2013</v>
      </c>
      <c r="B2511" s="20" t="str">
        <f>IFERROR(__xludf.DUMMYFUNCTION("GOOGLETRANSLATE(A2511, ""fr"", ""en"")"),"UVC and boxes plagued by mice in the aisle of cakes/choco cereal and pastries. Roded leaflets also in cash number 5.")</f>
        <v>UVC and boxes plagued by mice in the aisle of cakes/choco cereal and pastries. Roded leaflets also in cash number 5.</v>
      </c>
    </row>
    <row r="2512">
      <c r="A2512" s="19" t="s">
        <v>2014</v>
      </c>
      <c r="B2512" s="20" t="str">
        <f>IFERROR(__xludf.DUMMYFUNCTION("GOOGLETRANSLATE(A2512, ""fr"", ""en"")"),"Harmful in the morted boxes at rats+ mice seen in the store.")</f>
        <v>Harmful in the morted boxes at rats+ mice seen in the store.</v>
      </c>
    </row>
    <row r="2513">
      <c r="A2513" s="19" t="s">
        <v>2015</v>
      </c>
      <c r="B2513" s="20" t="str">
        <f>IFERROR(__xludf.DUMMYFUNCTION("GOOGLETRANSLATE(A2513, ""fr"", ""en"")"),"HS harmful box in reservation side quay")</f>
        <v>HS harmful box in reservation side quay</v>
      </c>
    </row>
    <row r="2514">
      <c r="A2514" s="19" t="s">
        <v>2016</v>
      </c>
      <c r="B2514" s="20" t="str">
        <f>IFERROR(__xludf.DUMMYFUNCTION("GOOGLETRANSLATE(A2514, ""fr"", ""en"")"),"Mouse present in the traps, mice was also seen in reserve as well as in sales surface.")</f>
        <v>Mouse present in the traps, mice was also seen in reserve as well as in sales surface.</v>
      </c>
    </row>
    <row r="2515">
      <c r="A2515" s="19" t="s">
        <v>2017</v>
      </c>
      <c r="B2515" s="20" t="str">
        <f>IFERROR(__xludf.DUMMYFUNCTION("GOOGLETRANSLATE(A2515, ""fr"", ""en"")"),"Following the passage of the deractors there are of this 2 weeks, there are always UVCs plagued by the mice at the level of the pastry and cakes Aini only advertising tracas in cash number 5.")</f>
        <v>Following the passage of the deractors there are of this 2 weeks, there are always UVCs plagued by the mice at the level of the pastry and cakes Aini only advertising tracas in cash number 5.</v>
      </c>
    </row>
    <row r="2516">
      <c r="A2516" s="19" t="s">
        <v>2018</v>
      </c>
      <c r="B2516" s="20" t="str">
        <f>IFERROR(__xludf.DUMMYFUNCTION("GOOGLETRANSLATE(A2516, ""fr"", ""en"")"),"The joint of the quay and torn curtain which leaves one day and the mice can pass")</f>
        <v>The joint of the quay and torn curtain which leaves one day and the mice can pass</v>
      </c>
    </row>
    <row r="2517">
      <c r="A2517" s="21"/>
      <c r="B2517" s="20" t="str">
        <f>IFERROR(__xludf.DUMMYFUNCTION("GOOGLETRANSLATE(A2517, ""fr"", ""en"")"),"#VALUE!")</f>
        <v>#VALUE!</v>
      </c>
    </row>
    <row r="2518">
      <c r="A2518" s="19" t="s">
        <v>2019</v>
      </c>
      <c r="B2518" s="20" t="str">
        <f>IFERROR(__xludf.DUMMYFUNCTION("GOOGLETRANSLATE(A2518, ""fr"", ""en"")"),"Broken harmful box.")</f>
        <v>Broken harmful box.</v>
      </c>
    </row>
    <row r="2519">
      <c r="A2519" s="19" t="s">
        <v>2020</v>
      </c>
      <c r="B2519" s="20" t="str">
        <f>IFERROR(__xludf.DUMMYFUNCTION("GOOGLETRANSLATE(A2519, ""fr"", ""en"")"),"Close the holes to the oven drain hose to avoid mouse nests")</f>
        <v>Close the holes to the oven drain hose to avoid mouse nests</v>
      </c>
    </row>
    <row r="2520">
      <c r="A2520" s="19" t="s">
        <v>2021</v>
      </c>
      <c r="B2520" s="20" t="str">
        <f>IFERROR(__xludf.DUMMYFUNCTION("GOOGLETRANSLATE(A2520, ""fr"", ""en"")"),"A mouse nest is formed in the evacuation of ovens from the ovens and a mouse and blocked in the AT2 trap to plug the holes.
 Replace the mouse trap")</f>
        <v>A mouse nest is formed in the evacuation of ovens from the ovens and a mouse and blocked in the AT2 trap to plug the holes.
 Replace the mouse trap</v>
      </c>
    </row>
    <row r="2521">
      <c r="A2521" s="19" t="s">
        <v>2022</v>
      </c>
      <c r="B2521" s="20" t="str">
        <f>IFERROR(__xludf.DUMMYFUNCTION("GOOGLETRANSLATE(A2521, ""fr"", ""en"")"),"Wet FP slab in Labe Pain.odm made by AT3. Finished work.")</f>
        <v>Wet FP slab in Labe Pain.odm made by AT3. Finished work.</v>
      </c>
    </row>
    <row r="2522">
      <c r="A2522" s="19" t="s">
        <v>2023</v>
      </c>
      <c r="B2522" s="20" t="str">
        <f>IFERROR(__xludf.DUMMYFUNCTION("GOOGLETRANSLATE(A2522, ""fr"", ""en"")"),"Replacement of false ceiling slab in the lab (already replacing recently by AT3) roof leak. Bread. ODM made by AT3. Finished work.")</f>
        <v>Replacement of false ceiling slab in the lab (already replacing recently by AT3) roof leak. Bread. ODM made by AT3. Finished work.</v>
      </c>
    </row>
    <row r="2523">
      <c r="A2523" s="19" t="s">
        <v>2024</v>
      </c>
      <c r="B2523" s="20" t="str">
        <f>IFERROR(__xludf.DUMMYFUNCTION("GOOGLETRANSLATE(A2523, ""fr"", ""en"")"),"Replace the FP LED tiles by AT2 with an FP E5 slab isolate the electric cables")</f>
        <v>Replace the FP LED tiles by AT2 with an FP E5 slab isolate the electric cables</v>
      </c>
    </row>
    <row r="2524">
      <c r="A2524" s="19" t="s">
        <v>2025</v>
      </c>
      <c r="B2524" s="20" t="str">
        <f>IFERROR(__xludf.DUMMYFUNCTION("GOOGLETRANSLATE(A2524, ""fr"", ""en"")"),"Moisture tasks on 2 false ceiling slabs in the break room.")</f>
        <v>Moisture tasks on 2 false ceiling slabs in the break room.</v>
      </c>
    </row>
    <row r="2525">
      <c r="A2525" s="19" t="s">
        <v>2026</v>
      </c>
      <c r="B2525" s="20" t="str">
        <f>IFERROR(__xludf.DUMMYFUNCTION("GOOGLETRANSLATE(A2525, ""fr"", ""en"")"),"Large water leak in ceiling above the fl. Emergency intervention please.")</f>
        <v>Large water leak in ceiling above the fl. Emergency intervention please.</v>
      </c>
    </row>
    <row r="2526">
      <c r="A2526" s="19" t="s">
        <v>2027</v>
      </c>
      <c r="B2526" s="20" t="str">
        <f>IFERROR(__xludf.DUMMYFUNCTION("GOOGLETRANSLATE(A2526, ""fr"", ""en"")"),"Ceiling leak in the MAG at the TG FL, no possible photos")</f>
        <v>Ceiling leak in the MAG at the TG FL, no possible photos</v>
      </c>
    </row>
    <row r="2527">
      <c r="A2527" s="19" t="s">
        <v>2028</v>
      </c>
      <c r="B2527" s="20" t="str">
        <f>IFERROR(__xludf.DUMMYFUNCTION("GOOGLETRANSLATE(A2527, ""fr"", ""en"")"),"Water leak in the break in break room. (Impossible to take a photo, Bug Mobi)")</f>
        <v>Water leak in the break in break room. (Impossible to take a photo, Bug Mobi)</v>
      </c>
    </row>
    <row r="2528">
      <c r="A2528" s="19" t="s">
        <v>2029</v>
      </c>
      <c r="B2528" s="20" t="str">
        <f>IFERROR(__xludf.DUMMYFUNCTION("GOOGLETRANSLATE(A2528, ""fr"", ""en"")"),"A tile is broken on the sales area between the VV and the NF")</f>
        <v>A tile is broken on the sales area between the VV and the NF</v>
      </c>
    </row>
    <row r="2529">
      <c r="A2529" s="19" t="s">
        <v>2030</v>
      </c>
      <c r="B2529" s="20" t="str">
        <f>IFERROR(__xludf.DUMMYFUNCTION("GOOGLETRANSLATE(A2529, ""fr"", ""en"")"),"It rains in reserve !!
 Big leak that floods the reserve !!!
 URGENT!!!!")</f>
        <v>It rains in reserve !!
 Big leak that floods the reserve !!!
 URGENT!!!!</v>
      </c>
    </row>
    <row r="2530">
      <c r="A2530" s="19" t="s">
        <v>2031</v>
      </c>
      <c r="B2530" s="20" t="str">
        <f>IFERROR(__xludf.DUMMYFUNCTION("GOOGLETRANSLATE(A2530, ""fr"", ""en"")"),"Replacement of electrodes on the defibrillator. ODM made by AT3. Finished work.")</f>
        <v>Replacement of electrodes on the defibrillator. ODM made by AT3. Finished work.</v>
      </c>
    </row>
    <row r="2531">
      <c r="A2531" s="19" t="s">
        <v>2032</v>
      </c>
      <c r="B2531" s="20" t="str">
        <f>IFERROR(__xludf.DUMMYFUNCTION("GOOGLETRANSLATE(A2531, ""fr"", ""en"")"),"Fleeing")</f>
        <v>Fleeing</v>
      </c>
    </row>
    <row r="2532">
      <c r="A2532" s="19" t="s">
        <v>2033</v>
      </c>
      <c r="B2532" s="20" t="str">
        <f>IFERROR(__xludf.DUMMYFUNCTION("GOOGLETRANSLATE(A2532, ""fr"", ""en"")"),"Fix the green dressing box in V2")</f>
        <v>Fix the green dressing box in V2</v>
      </c>
    </row>
    <row r="2533">
      <c r="A2533" s="19" t="s">
        <v>2034</v>
      </c>
      <c r="B2533" s="20" t="str">
        <f>IFERROR(__xludf.DUMMYFUNCTION("GOOGLETRANSLATE(A2533, ""fr"", ""en"")"),"Install a fence in local Drycolor")</f>
        <v>Install a fence in local Drycolor</v>
      </c>
    </row>
    <row r="2534">
      <c r="A2534" s="19" t="s">
        <v>2035</v>
      </c>
      <c r="B2534" s="20" t="str">
        <f>IFERROR(__xludf.DUMMYFUNCTION("GOOGLETRANSLATE(A2534, ""fr"", ""en"")"),"Plinth in the broken bread lab.")</f>
        <v>Plinth in the broken bread lab.</v>
      </c>
    </row>
    <row r="2535">
      <c r="A2535" s="19" t="s">
        <v>2036</v>
      </c>
      <c r="B2535" s="20" t="str">
        <f>IFERROR(__xludf.DUMMYFUNCTION("GOOGLETRANSLATE(A2535, ""fr"", ""en"")"),"Wall tiles + broken bakery plinth")</f>
        <v>Wall tiles + broken bakery plinth</v>
      </c>
    </row>
    <row r="2536">
      <c r="A2536" s="19" t="s">
        <v>2037</v>
      </c>
      <c r="B2536" s="20" t="str">
        <f>IFERROR(__xludf.DUMMYFUNCTION("GOOGLETRANSLATE(A2536, ""fr"", ""en"")"),"Broken bakery wall tiles.")</f>
        <v>Broken bakery wall tiles.</v>
      </c>
    </row>
    <row r="2537">
      <c r="A2537" s="19" t="s">
        <v>2038</v>
      </c>
      <c r="B2537" s="20" t="str">
        <f>IFERROR(__xludf.DUMMYFUNCTION("GOOGLETRANSLATE(A2537, ""fr"", ""en"")"),"*Following the passing of the air conditioning installers a few months ago, they did not repain the walls and ceilings. - For Adrien")</f>
        <v>*Following the passing of the air conditioning installers a few months ago, they did not repain the walls and ceilings. - For Adrien</v>
      </c>
    </row>
    <row r="2538">
      <c r="A2538" s="19" t="s">
        <v>2039</v>
      </c>
      <c r="B2538" s="20" t="str">
        <f>IFERROR(__xludf.DUMMYFUNCTION("GOOGLETRANSLATE(A2538, ""fr"", ""en"")"),"Various sale RMR to do, re -put the Erratum Enthus")</f>
        <v>Various sale RMR to do, re -put the Erratum Enthus</v>
      </c>
    </row>
    <row r="2539">
      <c r="A2539" s="19" t="s">
        <v>2040</v>
      </c>
      <c r="B2539" s="20" t="str">
        <f>IFERROR(__xludf.DUMMYFUNCTION("GOOGLETRANSLATE(A2539, ""fr"", ""en"")"),"Missing curtain following thunderstorms")</f>
        <v>Missing curtain following thunderstorms</v>
      </c>
    </row>
    <row r="2540">
      <c r="A2540" s="19" t="s">
        <v>2041</v>
      </c>
      <c r="B2540" s="20" t="str">
        <f>IFERROR(__xludf.DUMMYFUNCTION("GOOGLETRANSLATE(A2540, ""fr"", ""en"")"),"Sale to be made on weekdays 34 (imperatively)
 For :
 - Recover equipment from the Consomag cell
 - In the SPM reserve, mount 8 axes (feet, upright, 2 spacers per axis and gray background)
 For information :
 - the material will be available to th"&amp;"e consomag cell,
 90 180 cm amounts
 90 20 cm TEGO enhancement
 400 gray background
 160 63.5cm spacers
 90 feet of 67 cm
 10 screw sachets to mount the axes
 - SPMs will indicate or install the axes in reserve.
 - In PJ the note (to allow you a better un"&amp;"derstanding of the project)")</f>
        <v>Sale to be made on weekdays 34 (imperatively)
 For :
 - Recover equipment from the Consomag cell
 - In the SPM reserve, mount 8 axes (feet, upright, 2 spacers per axis and gray background)
 For information :
 - the material will be available to the consomag cell,
 90 180 cm amounts
 90 20 cm TEGO enhancement
 400 gray background
 160 63.5cm spacers
 90 feet of 67 cm
 10 screw sachets to mount the axes
 - SPMs will indicate or install the axes in reserve.
 - In PJ the note (to allow you a better understanding of the project)</v>
      </c>
    </row>
    <row r="2541">
      <c r="A2541" s="19" t="s">
        <v>2042</v>
      </c>
      <c r="B2541" s="20" t="str">
        <f>IFERROR(__xludf.DUMMYFUNCTION("GOOGLETRANSLATE(A2541, ""fr"", ""en"")"),"Various sale RMR installation ESL AF/NF TO TO MAKE 9/08/2023 2 people from 9:30 a.m. to 5:30 p.m. End time to be defined again according to workload.")</f>
        <v>Various sale RMR installation ESL AF/NF TO TO MAKE 9/08/2023 2 people from 9:30 a.m. to 5:30 p.m. End time to be defined again according to workload.</v>
      </c>
    </row>
    <row r="2542">
      <c r="A2542" s="19" t="s">
        <v>2043</v>
      </c>
      <c r="B2542" s="20" t="str">
        <f>IFERROR(__xludf.DUMMYFUNCTION("GOOGLETRANSLATE(A2542, ""fr"", ""en"")"),"AT3 CHECK LIST quarterly 4046")</f>
        <v>AT3 CHECK LIST quarterly 4046</v>
      </c>
    </row>
    <row r="2543">
      <c r="A2543" s="19" t="s">
        <v>2044</v>
      </c>
      <c r="B2543" s="20" t="str">
        <f>IFERROR(__xludf.DUMMYFUNCTION("GOOGLETRANSLATE(A2543, ""fr"", ""en"")"),"At3 checklist 4046")</f>
        <v>At3 checklist 4046</v>
      </c>
    </row>
    <row r="2544">
      <c r="A2544" s="19" t="s">
        <v>2045</v>
      </c>
      <c r="B2544" s="20" t="str">
        <f>IFERROR(__xludf.DUMMYFUNCTION("GOOGLETRANSLATE(A2544, ""fr"", ""en"")"),"Sale Wednesday May 25, 2022 (imperative),
 For :
 - Recover the tarpaulin opening on Sundays at the consomag cell
 - Place the tarpaulin along the road (see photo)
 For information :
 - The tarpaulin will be delivered to the consomag cell on Tuesd"&amp;"ay May 24
 - You provide the Heras barriers and studs")</f>
        <v>Sale Wednesday May 25, 2022 (imperative),
 For :
 - Recover the tarpaulin opening on Sundays at the consomag cell
 - Place the tarpaulin along the road (see photo)
 For information :
 - The tarpaulin will be delivered to the consomag cell on Tuesday May 24
 - You provide the Heras barriers and studs</v>
      </c>
    </row>
    <row r="2545">
      <c r="A2545" s="19" t="s">
        <v>2046</v>
      </c>
      <c r="B2545" s="20" t="str">
        <f>IFERROR(__xludf.DUMMYFUNCTION("GOOGLETRANSLATE(A2545, ""fr"", ""en"")"),"Sale tour implantation")</f>
        <v>Sale tour implantation</v>
      </c>
    </row>
    <row r="2546">
      <c r="A2546" s="19" t="s">
        <v>2047</v>
      </c>
      <c r="B2546" s="20" t="str">
        <f>IFERROR(__xludf.DUMMYFUNCTION("GOOGLETRANSLATE(A2546, ""fr"", ""en"")"),"AT3 quarterly checklist 4046")</f>
        <v>AT3 quarterly checklist 4046</v>
      </c>
    </row>
    <row r="2547">
      <c r="A2547" s="19" t="s">
        <v>2048</v>
      </c>
      <c r="B2547" s="20" t="str">
        <f>IFERROR(__xludf.DUMMYFUNCTION("GOOGLETRANSLATE(A2547, ""fr"", ""en"")"),"Sale before Friday April 14, 2022
 For :
 - In the CF- of the V2, put 6 axes on the left and 6 axes on the right.
 - Put two shelves by axes in 60 cm
 For information :
 - It takes 12 axes in all with the existing
 - The axes must be refocused in "&amp;"the room also, and not at the bottom side of the cold room.
 - Take all the material at the Consomag cell,
 - No podiums to set up
 - Double spacers to set up
 - The SPM is informed
 - No melamine to set up
 - Put strips of banks in place")</f>
        <v>Sale before Friday April 14, 2022
 For :
 - In the CF- of the V2, put 6 axes on the left and 6 axes on the right.
 - Put two shelves by axes in 60 cm
 For information :
 - It takes 12 axes in all with the existing
 - The axes must be refocused in the room also, and not at the bottom side of the cold room.
 - Take all the material at the Consomag cell,
 - No podiums to set up
 - Double spacers to set up
 - The SPM is informed
 - No melamine to set up
 - Put strips of banks in place</v>
      </c>
    </row>
    <row r="2548">
      <c r="A2548" s="19" t="s">
        <v>2049</v>
      </c>
      <c r="B2548" s="20" t="str">
        <f>IFERROR(__xludf.DUMMYFUNCTION("GOOGLETRANSLATE(A2548, ""fr"", ""en"")"),"Sale before the start, S17.
 For :
 - implantation DD PDT Fresh side
 - Control the operation of LED’s FL
 - Perform SAFT SECURNITY TO STRAY MANAGEMENT")</f>
        <v>Sale before the start, S17.
 For :
 - implantation DD PDT Fresh side
 - Control the operation of LED’s FL
 - Perform SAFT SECURNITY TO STRAY MANAGEMENT</v>
      </c>
    </row>
    <row r="2549">
      <c r="A2549" s="19" t="s">
        <v>2047</v>
      </c>
      <c r="B2549" s="20" t="str">
        <f>IFERROR(__xludf.DUMMYFUNCTION("GOOGLETRANSLATE(A2549, ""fr"", ""en"")"),"AT3 quarterly checklist 4046")</f>
        <v>AT3 quarterly checklist 4046</v>
      </c>
    </row>
    <row r="2550">
      <c r="A2550" s="19" t="s">
        <v>2050</v>
      </c>
      <c r="B2550" s="20" t="str">
        <f>IFERROR(__xludf.DUMMYFUNCTION("GOOGLETRANSLATE(A2550, ""fr"", ""en"")"),"Sale to be made on 05/10/2022. Seasonal reimplantation.")</f>
        <v>Sale to be made on 05/10/2022. Seasonal reimplantation.</v>
      </c>
    </row>
    <row r="2551">
      <c r="A2551" s="19" t="s">
        <v>2044</v>
      </c>
      <c r="B2551" s="20" t="str">
        <f>IFERROR(__xludf.DUMMYFUNCTION("GOOGLETRANSLATE(A2551, ""fr"", ""en"")"),"At3 checklist 4046")</f>
        <v>At3 checklist 4046</v>
      </c>
    </row>
    <row r="2552">
      <c r="A2552" s="19" t="s">
        <v>2044</v>
      </c>
      <c r="B2552" s="20" t="str">
        <f>IFERROR(__xludf.DUMMYFUNCTION("GOOGLETRANSLATE(A2552, ""fr"", ""en"")"),"At3 checklist 4046")</f>
        <v>At3 checklist 4046</v>
      </c>
    </row>
    <row r="2553">
      <c r="A2553" s="19" t="s">
        <v>925</v>
      </c>
      <c r="B2553" s="20" t="str">
        <f>IFERROR(__xludf.DUMMYFUNCTION("GOOGLETRANSLATE(A2553, ""fr"", ""en"")"),"Sale cleaning parking lots on Friday March 4, 2022")</f>
        <v>Sale cleaning parking lots on Friday March 4, 2022</v>
      </c>
    </row>
    <row r="2554">
      <c r="A2554" s="19" t="s">
        <v>2043</v>
      </c>
      <c r="B2554" s="20" t="str">
        <f>IFERROR(__xludf.DUMMYFUNCTION("GOOGLETRANSLATE(A2554, ""fr"", ""en"")"),"AT3 CHECK LIST quarterly 4046")</f>
        <v>AT3 CHECK LIST quarterly 4046</v>
      </c>
    </row>
    <row r="2555">
      <c r="A2555" s="19" t="s">
        <v>933</v>
      </c>
      <c r="B2555" s="20" t="str">
        <f>IFERROR(__xludf.DUMMYFUNCTION("GOOGLETRANSLATE(A2555, ""fr"", ""en"")"),"MCM 2022 tour sale")</f>
        <v>MCM 2022 tour sale</v>
      </c>
    </row>
    <row r="2556">
      <c r="A2556" s="19" t="s">
        <v>935</v>
      </c>
      <c r="B2556" s="20" t="str">
        <f>IFERROR(__xludf.DUMMYFUNCTION("GOOGLETRANSLATE(A2556, ""fr"", ""en"")"),"MAJ SALE CONCEPT CO")</f>
        <v>MAJ SALE CONCEPT CO</v>
      </c>
    </row>
    <row r="2557">
      <c r="A2557" s="19" t="s">
        <v>939</v>
      </c>
      <c r="B2557" s="20" t="str">
        <f>IFERROR(__xludf.DUMMYFUNCTION("GOOGLETRANSLATE(A2557, ""fr"", ""en"")"),"Sale cleaning of car parks on Friday February 18. Attention visit planned on the SPM 234, 2820, 3862 and 4046, prioritize these 4 SPMs, please present to you on the first at 6 a.m., the SPM 234 will have to be done after the other 3.")</f>
        <v>Sale cleaning of car parks on Friday February 18. Attention visit planned on the SPM 234, 2820, 3862 and 4046, prioritize these 4 SPMs, please present to you on the first at 6 a.m., the SPM 234 will have to be done after the other 3.</v>
      </c>
    </row>
    <row r="2558">
      <c r="A2558" s="19" t="s">
        <v>2051</v>
      </c>
      <c r="B2558" s="20" t="str">
        <f>IFERROR(__xludf.DUMMYFUNCTION("GOOGLETRANSLATE(A2558, ""fr"", ""en"")"),"Sale before February 18, 2022
 To: Install two side distribution grids in bread axes
 For info: you take the equipment in DR")</f>
        <v>Sale before February 18, 2022
 To: Install two side distribution grids in bread axes
 For info: you take the equipment in DR</v>
      </c>
    </row>
    <row r="2559">
      <c r="A2559" s="19" t="s">
        <v>2052</v>
      </c>
      <c r="B2559" s="20" t="str">
        <f>IFERROR(__xludf.DUMMYFUNCTION("GOOGLETRANSLATE(A2559, ""fr"", ""en"")"),"Sale HS Fund Care Capis N ° 7")</f>
        <v>Sale HS Fund Care Capis N ° 7</v>
      </c>
    </row>
    <row r="2560">
      <c r="A2560" s="19" t="s">
        <v>2053</v>
      </c>
      <c r="B2560" s="20" t="str">
        <f>IFERROR(__xludf.DUMMYFUNCTION("GOOGLETRANSLATE(A2560, ""fr"", ""en"")"),"Sale (work to be carried out at the Consomag cell), Thursday, February 17, 2022,
 To: set up 36 Food action tables")</f>
        <v>Sale (work to be carried out at the Consomag cell), Thursday, February 17, 2022,
 To: set up 36 Food action tables</v>
      </c>
    </row>
    <row r="2561">
      <c r="A2561" s="19" t="s">
        <v>2054</v>
      </c>
      <c r="B2561" s="20" t="str">
        <f>IFERROR(__xludf.DUMMYFUNCTION("GOOGLETRANSLATE(A2561, ""fr"", ""en"")"),"Sale, (for visit, urgent)
 For: different concept points")</f>
        <v>Sale, (for visit, urgent)
 For: different concept points</v>
      </c>
    </row>
    <row r="2562">
      <c r="A2562" s="19" t="s">
        <v>2055</v>
      </c>
      <c r="B2562" s="20" t="str">
        <f>IFERROR(__xludf.DUMMYFUNCTION("GOOGLETRANSLATE(A2562, ""fr"", ""en"")"),"Sale for:
 - Set up 10x fresh bdr for toblerone (price display from above)
 - Set up 10x Sonoma OS Surg stickers + 6x Stop Family OS + Support
 - set up 1x Electric terminal cover parking
 - Put Covid Rouge adhesive to the boxes
 - Put 1 side grid, side"&amp;" distribution for bakery
 - Lying the mela TG from the dry island (140 cm currently)
 For info: the equipment will be put to the quay today")</f>
        <v>Sale for:
 - Set up 10x fresh bdr for toblerone (price display from above)
 - Set up 10x Sonoma OS Surg stickers + 6x Stop Family OS + Support
 - set up 1x Electric terminal cover parking
 - Put Covid Rouge adhesive to the boxes
 - Put 1 side grid, side distribution for bakery
 - Lying the mela TG from the dry island (140 cm currently)
 For info: the equipment will be put to the quay today</v>
      </c>
    </row>
    <row r="2563">
      <c r="A2563" s="19" t="s">
        <v>2056</v>
      </c>
      <c r="B2563" s="20" t="str">
        <f>IFERROR(__xludf.DUMMYFUNCTION("GOOGLETRANSLATE(A2563, ""fr"", ""en"")"),"At the request of the DR. Remise of the keys to the RM Léa .odm made by AT3. Finished work.")</f>
        <v>At the request of the DR. Remise of the keys to the RM Léa .odm made by AT3. Finished work.</v>
      </c>
    </row>
    <row r="2564">
      <c r="A2564" s="19" t="s">
        <v>2047</v>
      </c>
      <c r="B2564" s="20" t="str">
        <f>IFERROR(__xludf.DUMMYFUNCTION("GOOGLETRANSLATE(A2564, ""fr"", ""en"")"),"AT3 quarterly checklist 4046")</f>
        <v>AT3 quarterly checklist 4046</v>
      </c>
    </row>
    <row r="2565">
      <c r="A2565" s="19" t="s">
        <v>2044</v>
      </c>
      <c r="B2565" s="20" t="str">
        <f>IFERROR(__xludf.DUMMYFUNCTION("GOOGLETRANSLATE(A2565, ""fr"", ""en"")"),"At3 checklist 4046")</f>
        <v>At3 checklist 4046</v>
      </c>
    </row>
    <row r="2566">
      <c r="A2566" s="19" t="s">
        <v>2057</v>
      </c>
      <c r="B2566" s="20" t="str">
        <f>IFERROR(__xludf.DUMMYFUNCTION("GOOGLETRANSLATE(A2566, ""fr"", ""en"")"),"The morning voice to announce the opening of the store is shifted: it announces the opening of the store at 8:40 am")</f>
        <v>The morning voice to announce the opening of the store is shifted: it announces the opening of the store at 8:40 am</v>
      </c>
    </row>
    <row r="2567">
      <c r="A2567" s="19" t="s">
        <v>1066</v>
      </c>
      <c r="B2567" s="20" t="str">
        <f>IFERROR(__xludf.DUMMYFUNCTION("GOOGLETRANSLATE(A2567, ""fr"", ""en"")"),"NF return")</f>
        <v>NF return</v>
      </c>
    </row>
    <row r="2568">
      <c r="A2568" s="19" t="s">
        <v>2058</v>
      </c>
      <c r="B2568" s="20" t="str">
        <f>IFERROR(__xludf.DUMMYFUNCTION("GOOGLETRANSLATE(A2568, ""fr"", ""en"")"),"Tournate sale
 For :
 - Make SPM turned before 19/08.
 For information :
 - The equipment will be delivered to Baume Les Dames from 25/07
 - The equipment necessary for frozen as well as fresh adhesives will be delivered later. An email will be sent"&amp;" to you from the moment it is available in Baume le Dames.
 - The list of SPMs and points to be performed are in PJ")</f>
        <v>Tournate sale
 For :
 - Make SPM turned before 19/08.
 For information :
 - The equipment will be delivered to Baume Les Dames from 25/07
 - The equipment necessary for frozen as well as fresh adhesives will be delivered later. An email will be sent to you from the moment it is available in Baume le Dames.
 - The list of SPMs and points to be performed are in PJ</v>
      </c>
    </row>
    <row r="2569">
      <c r="A2569" s="19" t="s">
        <v>1066</v>
      </c>
      <c r="B2569" s="20" t="str">
        <f>IFERROR(__xludf.DUMMYFUNCTION("GOOGLETRANSLATE(A2569, ""fr"", ""en"")"),"NF return")</f>
        <v>NF return</v>
      </c>
    </row>
    <row r="2570">
      <c r="A2570" s="19" t="s">
        <v>2059</v>
      </c>
      <c r="B2570" s="20" t="str">
        <f>IFERROR(__xludf.DUMMYFUNCTION("GOOGLETRANSLATE(A2570, ""fr"", ""en"")"),"At3 check list 4046")</f>
        <v>At3 check list 4046</v>
      </c>
    </row>
    <row r="2571">
      <c r="A2571" s="19" t="s">
        <v>2043</v>
      </c>
      <c r="B2571" s="20" t="str">
        <f>IFERROR(__xludf.DUMMYFUNCTION("GOOGLETRANSLATE(A2571, ""fr"", ""en"")"),"AT3 CHECK LIST quarterly 4046")</f>
        <v>AT3 CHECK LIST quarterly 4046</v>
      </c>
    </row>
    <row r="2572">
      <c r="A2572" s="19" t="s">
        <v>2060</v>
      </c>
      <c r="B2572" s="20" t="str">
        <f>IFERROR(__xludf.DUMMYFUNCTION("GOOGLETRANSLATE(A2572, ""fr"", ""en"")"),"Return NF 3 Europe Pallets")</f>
        <v>Return NF 3 Europe Pallets</v>
      </c>
    </row>
    <row r="2573">
      <c r="A2573" s="19" t="s">
        <v>2061</v>
      </c>
      <c r="B2573" s="20" t="str">
        <f>IFERROR(__xludf.DUMMYFUNCTION("GOOGLETRANSLATE(A2573, ""fr"", ""en"")"),"* We always have a leak in aisle 4
 Roof leak on tablets dishwasher / KN 02/14: transmitted to Adrien")</f>
        <v>* We always have a leak in aisle 4
 Roof leak on tablets dishwasher / KN 02/14: transmitted to Adrien</v>
      </c>
    </row>
    <row r="2574">
      <c r="A2574" s="19" t="s">
        <v>2044</v>
      </c>
      <c r="B2574" s="20" t="str">
        <f>IFERROR(__xludf.DUMMYFUNCTION("GOOGLETRANSLATE(A2574, ""fr"", ""en"")"),"At3 checklist 4046")</f>
        <v>At3 checklist 4046</v>
      </c>
    </row>
    <row r="2575">
      <c r="A2575" s="19" t="s">
        <v>2043</v>
      </c>
      <c r="B2575" s="20" t="str">
        <f>IFERROR(__xludf.DUMMYFUNCTION("GOOGLETRANSLATE(A2575, ""fr"", ""en"")"),"AT3 CHECK LIST quarterly 4046")</f>
        <v>AT3 CHECK LIST quarterly 4046</v>
      </c>
    </row>
    <row r="2576">
      <c r="A2576" s="19" t="s">
        <v>2062</v>
      </c>
      <c r="B2576" s="20" t="str">
        <f>IFERROR(__xludf.DUMMYFUNCTION("GOOGLETRANSLATE(A2576, ""fr"", ""en"")"),"as soon as possible
 For :
 -Ret the tarpaulin ""opening Sunday"" and tarpaulin support")</f>
        <v>as soon as possible
 For :
 -Ret the tarpaulin "opening Sunday" and tarpaulin support</v>
      </c>
    </row>
    <row r="2577">
      <c r="A2577" s="21"/>
      <c r="B2577" s="20" t="str">
        <f>IFERROR(__xludf.DUMMYFUNCTION("GOOGLETRANSLATE(A2577, ""fr"", ""en"")"),"#VALUE!")</f>
        <v>#VALUE!</v>
      </c>
    </row>
    <row r="2578">
      <c r="A2578" s="19" t="s">
        <v>2043</v>
      </c>
      <c r="B2578" s="20" t="str">
        <f>IFERROR(__xludf.DUMMYFUNCTION("GOOGLETRANSLATE(A2578, ""fr"", ""en"")"),"AT3 CHECK LIST quarterly 4046")</f>
        <v>AT3 CHECK LIST quarterly 4046</v>
      </c>
    </row>
    <row r="2579">
      <c r="A2579" s="19" t="s">
        <v>1126</v>
      </c>
      <c r="B2579" s="20" t="str">
        <f>IFERROR(__xludf.DUMMYFUNCTION("GOOGLETRANSLATE(A2579, ""fr"", ""en"")"),"Update of the safety register in tab 40 with the accessibility.odm document made by AT3. Finished work.")</f>
        <v>Update of the safety register in tab 40 with the accessibility.odm document made by AT3. Finished work.</v>
      </c>
    </row>
    <row r="2580">
      <c r="A2580" s="19" t="s">
        <v>2059</v>
      </c>
      <c r="B2580" s="20" t="str">
        <f>IFERROR(__xludf.DUMMYFUNCTION("GOOGLETRANSLATE(A2580, ""fr"", ""en"")"),"At3 check list 4046")</f>
        <v>At3 check list 4046</v>
      </c>
    </row>
    <row r="2581">
      <c r="A2581" s="19" t="s">
        <v>2063</v>
      </c>
      <c r="B2581" s="20" t="str">
        <f>IFERROR(__xludf.DUMMYFUNCTION("GOOGLETRANSLATE(A2581, ""fr"", ""en"")"),"Check, quarterly list")</f>
        <v>Check, quarterly list</v>
      </c>
    </row>
    <row r="2582">
      <c r="A2582" s="19" t="s">
        <v>2064</v>
      </c>
      <c r="B2582" s="20" t="str">
        <f>IFERROR(__xludf.DUMMYFUNCTION("GOOGLETRANSLATE(A2582, ""fr"", ""en"")"),"Quarterly check list")</f>
        <v>Quarterly check list</v>
      </c>
    </row>
    <row r="2583">
      <c r="A2583" s="19" t="s">
        <v>859</v>
      </c>
      <c r="B2583" s="20" t="str">
        <f>IFERROR(__xludf.DUMMYFUNCTION("GOOGLETRANSLATE(A2583, ""fr"", ""en"")"),"Sale cleaning of parking lots on Monday August 21, 2023")</f>
        <v>Sale cleaning of parking lots on Monday August 21, 2023</v>
      </c>
    </row>
    <row r="2584">
      <c r="A2584" s="19" t="s">
        <v>860</v>
      </c>
      <c r="B2584" s="20" t="str">
        <f>IFERROR(__xludf.DUMMYFUNCTION("GOOGLETRANSLATE(A2584, ""fr"", ""en"")"),"Sale cleaning of parking lots on Monday July 24, 2023")</f>
        <v>Sale cleaning of parking lots on Monday July 24, 2023</v>
      </c>
    </row>
    <row r="2585">
      <c r="A2585" s="19" t="s">
        <v>865</v>
      </c>
      <c r="B2585" s="20" t="str">
        <f>IFERROR(__xludf.DUMMYFUNCTION("GOOGLETRANSLATE(A2585, ""fr"", ""en"")"),"Sale cleaning of the parking lot Friday July 21, 2023")</f>
        <v>Sale cleaning of the parking lot Friday July 21, 2023</v>
      </c>
    </row>
    <row r="2586">
      <c r="A2586" s="19" t="s">
        <v>2065</v>
      </c>
      <c r="B2586" s="20" t="str">
        <f>IFERROR(__xludf.DUMMYFUNCTION("GOOGLETRANSLATE(A2586, ""fr"", ""en"")"),"Divert control, check key box at the office,")</f>
        <v>Divert control, check key box at the office,</v>
      </c>
    </row>
    <row r="2587">
      <c r="A2587" s="19" t="s">
        <v>2066</v>
      </c>
      <c r="B2587" s="20" t="str">
        <f>IFERROR(__xludf.DUMMYFUNCTION("GOOGLETRANSLATE(A2587, ""fr"", ""en"")"),"Work carried out with FM fence Drycolor, door brooms,")</f>
        <v>Work carried out with FM fence Drycolor, door brooms,</v>
      </c>
    </row>
    <row r="2588">
      <c r="A2588" s="19" t="s">
        <v>866</v>
      </c>
      <c r="B2588" s="20" t="str">
        <f>IFERROR(__xludf.DUMMYFUNCTION("GOOGLETRANSLATE(A2588, ""fr"", ""en"")"),"Sale cleaning parking lots on Friday August 18, 2023")</f>
        <v>Sale cleaning parking lots on Friday August 18, 2023</v>
      </c>
    </row>
    <row r="2589">
      <c r="A2589" s="19" t="s">
        <v>864</v>
      </c>
      <c r="B2589" s="20" t="str">
        <f>IFERROR(__xludf.DUMMYFUNCTION("GOOGLETRANSLATE(A2589, ""fr"", ""en"")"),"Sale cleaning of parking lots on Monday July 17, 2023")</f>
        <v>Sale cleaning of parking lots on Monday July 17, 2023</v>
      </c>
    </row>
    <row r="2590">
      <c r="A2590" s="19" t="s">
        <v>869</v>
      </c>
      <c r="B2590" s="20" t="str">
        <f>IFERROR(__xludf.DUMMYFUNCTION("GOOGLETRANSLATE(A2590, ""fr"", ""en"")"),"Sale cleaning parking lots on Monday April 4, 2022")</f>
        <v>Sale cleaning parking lots on Monday April 4, 2022</v>
      </c>
    </row>
    <row r="2591">
      <c r="A2591" s="19" t="s">
        <v>872</v>
      </c>
      <c r="B2591" s="20" t="str">
        <f>IFERROR(__xludf.DUMMYFUNCTION("GOOGLETRANSLATE(A2591, ""fr"", ""en"")"),"Sale cleaning of parking lots on Friday, May 6, 2022")</f>
        <v>Sale cleaning of parking lots on Friday, May 6, 2022</v>
      </c>
    </row>
    <row r="2592">
      <c r="A2592" s="19" t="s">
        <v>874</v>
      </c>
      <c r="B2592" s="20" t="str">
        <f>IFERROR(__xludf.DUMMYFUNCTION("GOOGLETRANSLATE(A2592, ""fr"", ""en"")"),"Sale cleaning parking lots on Monday, May 23, 2022")</f>
        <v>Sale cleaning parking lots on Monday, May 23, 2022</v>
      </c>
    </row>
    <row r="2593">
      <c r="A2593" s="19" t="s">
        <v>875</v>
      </c>
      <c r="B2593" s="20" t="str">
        <f>IFERROR(__xludf.DUMMYFUNCTION("GOOGLETRANSLATE(A2593, ""fr"", ""en"")"),"Sale cleaning parking lots on Monday May 2, 2022")</f>
        <v>Sale cleaning parking lots on Monday May 2, 2022</v>
      </c>
    </row>
    <row r="2594">
      <c r="A2594" s="19" t="s">
        <v>877</v>
      </c>
      <c r="B2594" s="20" t="str">
        <f>IFERROR(__xludf.DUMMYFUNCTION("GOOGLETRANSLATE(A2594, ""fr"", ""en"")"),"Sale cleaning parking lots on Monday May 9, 2022")</f>
        <v>Sale cleaning parking lots on Monday May 9, 2022</v>
      </c>
    </row>
    <row r="2595">
      <c r="A2595" s="19" t="s">
        <v>878</v>
      </c>
      <c r="B2595" s="20" t="str">
        <f>IFERROR(__xludf.DUMMYFUNCTION("GOOGLETRANSLATE(A2595, ""fr"", ""en"")"),"Sale cleaning of parking lots on Friday May 20, 2022")</f>
        <v>Sale cleaning of parking lots on Friday May 20, 2022</v>
      </c>
    </row>
    <row r="2596">
      <c r="A2596" s="19" t="s">
        <v>879</v>
      </c>
      <c r="B2596" s="20" t="str">
        <f>IFERROR(__xludf.DUMMYFUNCTION("GOOGLETRANSLATE(A2596, ""fr"", ""en"")"),"Sale cleaning of parking lots on Monday April 25, 2022")</f>
        <v>Sale cleaning of parking lots on Monday April 25, 2022</v>
      </c>
    </row>
    <row r="2597">
      <c r="A2597" s="19" t="s">
        <v>880</v>
      </c>
      <c r="B2597" s="20" t="str">
        <f>IFERROR(__xludf.DUMMYFUNCTION("GOOGLETRANSLATE(A2597, ""fr"", ""en"")"),"Sale cleaning parking lots on Friday April 1, 2022")</f>
        <v>Sale cleaning parking lots on Friday April 1, 2022</v>
      </c>
    </row>
    <row r="2598">
      <c r="A2598" s="19" t="s">
        <v>885</v>
      </c>
      <c r="B2598" s="20" t="str">
        <f>IFERROR(__xludf.DUMMYFUNCTION("GOOGLETRANSLATE(A2598, ""fr"", ""en"")"),"Sale cleaning parking lots on Monday May 30, 2022")</f>
        <v>Sale cleaning parking lots on Monday May 30, 2022</v>
      </c>
    </row>
    <row r="2599">
      <c r="A2599" s="19" t="s">
        <v>887</v>
      </c>
      <c r="B2599" s="20" t="str">
        <f>IFERROR(__xludf.DUMMYFUNCTION("GOOGLETRANSLATE(A2599, ""fr"", ""en"")"),"Sale cleaning of parking lots on Friday April 29, 2022")</f>
        <v>Sale cleaning of parking lots on Friday April 29, 2022</v>
      </c>
    </row>
    <row r="2600">
      <c r="A2600" s="19" t="s">
        <v>889</v>
      </c>
      <c r="B2600" s="20" t="str">
        <f>IFERROR(__xludf.DUMMYFUNCTION("GOOGLETRANSLATE(A2600, ""fr"", ""en"")"),"Sale cleaning parking lots on Friday May 27, 2022")</f>
        <v>Sale cleaning parking lots on Friday May 27, 2022</v>
      </c>
    </row>
    <row r="2601">
      <c r="A2601" s="19" t="s">
        <v>891</v>
      </c>
      <c r="B2601" s="20" t="str">
        <f>IFERROR(__xludf.DUMMYFUNCTION("GOOGLETRANSLATE(A2601, ""fr"", ""en"")"),"Sale cleaning parking lots on Friday April 8, 2022")</f>
        <v>Sale cleaning parking lots on Friday April 8, 2022</v>
      </c>
    </row>
    <row r="2602">
      <c r="A2602" s="19" t="s">
        <v>888</v>
      </c>
      <c r="B2602" s="20" t="str">
        <f>IFERROR(__xludf.DUMMYFUNCTION("GOOGLETRANSLATE(A2602, ""fr"", ""en"")"),"Sale cleaning of parking lots on Friday April 22, 2022")</f>
        <v>Sale cleaning of parking lots on Friday April 22, 2022</v>
      </c>
    </row>
    <row r="2603">
      <c r="A2603" s="19" t="s">
        <v>890</v>
      </c>
      <c r="B2603" s="20" t="str">
        <f>IFERROR(__xludf.DUMMYFUNCTION("GOOGLETRANSLATE(A2603, ""fr"", ""en"")"),"Sale cleaning parking lots on Friday May 13, 2022")</f>
        <v>Sale cleaning parking lots on Friday May 13, 2022</v>
      </c>
    </row>
    <row r="2604">
      <c r="A2604" s="19" t="s">
        <v>868</v>
      </c>
      <c r="B2604" s="20" t="str">
        <f>IFERROR(__xludf.DUMMYFUNCTION("GOOGLETRANSLATE(A2604, ""fr"", ""en"")"),"Sale cleaning parking lots on Monday May 16, 2022")</f>
        <v>Sale cleaning parking lots on Monday May 16, 2022</v>
      </c>
    </row>
    <row r="2605">
      <c r="A2605" s="19" t="s">
        <v>2067</v>
      </c>
      <c r="B2605" s="20" t="str">
        <f>IFERROR(__xludf.DUMMYFUNCTION("GOOGLETRANSLATE(A2605, ""fr"", ""en"")"),"Sale Monday, May 23, 2022, from 12:15 p.m. to 3.30 p.m., 2 people
 For: implantation of the frozen in SPM.
 For info: establishment present on site")</f>
        <v>Sale Monday, May 23, 2022, from 12:15 p.m. to 3.30 p.m., 2 people
 For: implantation of the frozen in SPM.
 For info: establishment present on site</v>
      </c>
    </row>
    <row r="2606">
      <c r="A2606" s="19" t="s">
        <v>2068</v>
      </c>
      <c r="B2606" s="20" t="str">
        <f>IFERROR(__xludf.DUMMYFUNCTION("GOOGLETRANSLATE(A2606, ""fr"", ""en"")"),"Check list, install a parking bin, check the social heating,")</f>
        <v>Check list, install a parking bin, check the social heating,</v>
      </c>
    </row>
    <row r="2607">
      <c r="A2607" s="19" t="s">
        <v>2069</v>
      </c>
      <c r="B2607" s="20" t="str">
        <f>IFERROR(__xludf.DUMMYFUNCTION("GOOGLETRANSLATE(A2607, ""fr"", ""en"")"),"SALE SPM 4047 Schiltigheim, between 04/25/2022 and 04/29/2022
 For :
 - Mount 3 axes in RT 2 for the equipment in reserve
 - Disassemble the shelves above frozen bins in the V2
 For information :
 - Material to recover at the cell from 04/22
 - th"&amp;"e SPM is informed and will indicate the location where the axes (preferably close to the ovens)
 - Remove the shelves present above frozen bins in the V2
 - 2 shelves per 60cm axis
 - Podiums to set up
 - amounts and feet to set up
 - Double spacers to se"&amp;"t up
 - Gray background to be set up
 - melamine to set up
 - Put strips of banks in place
 - Arrange the equipment on the axes once mounted (follow the PLO of the PJ)
 Please send a photo of the intervention completed by email to laura.jung@lidl.fr")</f>
        <v>SALE SPM 4047 Schiltigheim, between 04/25/2022 and 04/29/2022
 For :
 - Mount 3 axes in RT 2 for the equipment in reserve
 - Disassemble the shelves above frozen bins in the V2
 For information :
 - Material to recover at the cell from 04/22
 - the SPM is informed and will indicate the location where the axes (preferably close to the ovens)
 - Remove the shelves present above frozen bins in the V2
 - 2 shelves per 60cm axis
 - Podiums to set up
 - amounts and feet to set up
 - Double spacers to set up
 - Gray background to be set up
 - melamine to set up
 - Put strips of banks in place
 - Arrange the equipment on the axes once mounted (follow the PLO of the PJ)
 Please send a photo of the intervention completed by email to laura.jung@lidl.fr</v>
      </c>
    </row>
    <row r="2608">
      <c r="A2608" s="19" t="s">
        <v>2070</v>
      </c>
      <c r="B2608" s="20" t="str">
        <f>IFERROR(__xludf.DUMMYFUNCTION("GOOGLETRANSLATE(A2608, ""fr"", ""en"")"),"Sale, Thursday April 28, 2022, from 5.30 p.m., 3 people
 For :
 - Implementation of costs (seasonal and implant modification)
 - Update of visuals on fresh doors
 For information :
 - An establishment will be present
 - Some additional tasks can be "&amp;"requested (cleaning of fresh windows, etc.) by the AIP")</f>
        <v>Sale, Thursday April 28, 2022, from 5.30 p.m., 3 people
 For :
 - Implementation of costs (seasonal and implant modification)
 - Update of visuals on fresh doors
 For information :
 - An establishment will be present
 - Some additional tasks can be requested (cleaning of fresh windows, etc.) by the AIP</v>
      </c>
    </row>
    <row r="2609">
      <c r="A2609" s="19" t="s">
        <v>2071</v>
      </c>
      <c r="B2609" s="20" t="str">
        <f>IFERROR(__xludf.DUMMYFUNCTION("GOOGLETRANSLATE(A2609, ""fr"", ""en"")"),"Sale to be made on 07/10/2022. Seasonal reimplantation.")</f>
        <v>Sale to be made on 07/10/2022. Seasonal reimplantation.</v>
      </c>
    </row>
    <row r="2610">
      <c r="A2610" s="19" t="s">
        <v>897</v>
      </c>
      <c r="B2610" s="20" t="str">
        <f>IFERROR(__xludf.DUMMYFUNCTION("GOOGLETRANSLATE(A2610, ""fr"", ""en"")"),"Sale - Cleaning of car parks on Friday September 30, 2022")</f>
        <v>Sale - Cleaning of car parks on Friday September 30, 2022</v>
      </c>
    </row>
    <row r="2611">
      <c r="A2611" s="19" t="s">
        <v>2072</v>
      </c>
      <c r="B2611" s="20" t="str">
        <f>IFERROR(__xludf.DUMMYFUNCTION("GOOGLETRANSLATE(A2611, ""fr"", ""en"")"),"Check List quarterly and Document Accessibility in the red workbook.")</f>
        <v>Check List quarterly and Document Accessibility in the red workbook.</v>
      </c>
    </row>
    <row r="2612">
      <c r="A2612" s="19" t="s">
        <v>898</v>
      </c>
      <c r="B2612" s="20" t="str">
        <f>IFERROR(__xludf.DUMMYFUNCTION("GOOGLETRANSLATE(A2612, ""fr"", ""en"")"),"Sale cleaning of parking lots on Wednesday October 7, 2022")</f>
        <v>Sale cleaning of parking lots on Wednesday October 7, 2022</v>
      </c>
    </row>
    <row r="2613">
      <c r="A2613" s="19" t="s">
        <v>901</v>
      </c>
      <c r="B2613" s="20" t="str">
        <f>IFERROR(__xludf.DUMMYFUNCTION("GOOGLETRANSLATE(A2613, ""fr"", ""en"")"),"Sale cleaning of parking lots on Friday September 2, 2022")</f>
        <v>Sale cleaning of parking lots on Friday September 2, 2022</v>
      </c>
    </row>
    <row r="2614">
      <c r="A2614" s="19" t="s">
        <v>902</v>
      </c>
      <c r="B2614" s="20" t="str">
        <f>IFERROR(__xludf.DUMMYFUNCTION("GOOGLETRANSLATE(A2614, ""fr"", ""en"")"),"Sale cleaning of parking lots on Friday March 25, 2022")</f>
        <v>Sale cleaning of parking lots on Friday March 25, 2022</v>
      </c>
    </row>
    <row r="2615">
      <c r="A2615" s="19" t="s">
        <v>2073</v>
      </c>
      <c r="B2615" s="20" t="str">
        <f>IFERROR(__xludf.DUMMYFUNCTION("GOOGLETRANSLATE(A2615, ""fr"", ""en"")"),"Leak in the fresh furniture that we see every morning")</f>
        <v>Leak in the fresh furniture that we see every morning</v>
      </c>
    </row>
    <row r="2616">
      <c r="A2616" s="19" t="s">
        <v>904</v>
      </c>
      <c r="B2616" s="20" t="str">
        <f>IFERROR(__xludf.DUMMYFUNCTION("GOOGLETRANSLATE(A2616, ""fr"", ""en"")"),"Sale cleaning parking lots on Monday March 28, 2022")</f>
        <v>Sale cleaning parking lots on Monday March 28, 2022</v>
      </c>
    </row>
    <row r="2617">
      <c r="A2617" s="19" t="s">
        <v>2074</v>
      </c>
      <c r="B2617" s="20" t="str">
        <f>IFERROR(__xludf.DUMMYFUNCTION("GOOGLETRANSLATE(A2617, ""fr"", ""en"")"),"AT2 check list and divert verification")</f>
        <v>AT2 check list and divert verification</v>
      </c>
    </row>
    <row r="2618">
      <c r="A2618" s="21"/>
      <c r="B2618" s="20" t="str">
        <f>IFERROR(__xludf.DUMMYFUNCTION("GOOGLETRANSLATE(A2618, ""fr"", ""en"")"),"#VALUE!")</f>
        <v>#VALUE!</v>
      </c>
    </row>
    <row r="2619">
      <c r="A2619" s="19" t="s">
        <v>914</v>
      </c>
      <c r="B2619" s="20" t="str">
        <f>IFERROR(__xludf.DUMMYFUNCTION("GOOGLETRANSLATE(A2619, ""fr"", ""en"")"),"Sale cleaning of parking lots on Friday June 24, 2022")</f>
        <v>Sale cleaning of parking lots on Friday June 24, 2022</v>
      </c>
    </row>
    <row r="2620">
      <c r="A2620" s="19" t="s">
        <v>922</v>
      </c>
      <c r="B2620" s="20" t="str">
        <f>IFERROR(__xludf.DUMMYFUNCTION("GOOGLETRANSLATE(A2620, ""fr"", ""en"")"),"Sale cleaning parking lots on Friday February 4, 2022")</f>
        <v>Sale cleaning parking lots on Friday February 4, 2022</v>
      </c>
    </row>
    <row r="2621">
      <c r="A2621" s="19" t="s">
        <v>923</v>
      </c>
      <c r="B2621" s="20" t="str">
        <f>IFERROR(__xludf.DUMMYFUNCTION("GOOGLETRANSLATE(A2621, ""fr"", ""en"")"),"Sale cleaning parking lots on Monday March 7, 2022")</f>
        <v>Sale cleaning parking lots on Monday March 7, 2022</v>
      </c>
    </row>
    <row r="2622">
      <c r="A2622" s="19" t="s">
        <v>924</v>
      </c>
      <c r="B2622" s="20" t="str">
        <f>IFERROR(__xludf.DUMMYFUNCTION("GOOGLETRANSLATE(A2622, ""fr"", ""en"")"),"Sale cleaning parking lots on Friday March 18, 2022")</f>
        <v>Sale cleaning parking lots on Friday March 18, 2022</v>
      </c>
    </row>
    <row r="2623">
      <c r="A2623" s="19" t="s">
        <v>928</v>
      </c>
      <c r="B2623" s="20" t="str">
        <f>IFERROR(__xludf.DUMMYFUNCTION("GOOGLETRANSLATE(A2623, ""fr"", ""en"")"),"Sale cleaning parking lots on Monday March 21, 2022")</f>
        <v>Sale cleaning parking lots on Monday March 21, 2022</v>
      </c>
    </row>
    <row r="2624">
      <c r="A2624" s="19" t="s">
        <v>929</v>
      </c>
      <c r="B2624" s="20" t="str">
        <f>IFERROR(__xludf.DUMMYFUNCTION("GOOGLETRANSLATE(A2624, ""fr"", ""en"")"),"Sale cleaning of parking lots on Monday March 14, 2022")</f>
        <v>Sale cleaning of parking lots on Monday March 14, 2022</v>
      </c>
    </row>
    <row r="2625">
      <c r="A2625" s="19" t="s">
        <v>2075</v>
      </c>
      <c r="B2625" s="20" t="str">
        <f>IFERROR(__xludf.DUMMYFUNCTION("GOOGLETRANSLATE(A2625, ""fr"", ""en"")"),"HSQE poster
 Close the V2 oven pipe
 Greeting spray on door
 Quarterly check list")</f>
        <v>HSQE poster
 Close the V2 oven pipe
 Greeting spray on door
 Quarterly check list</v>
      </c>
    </row>
    <row r="2626">
      <c r="A2626" s="19" t="s">
        <v>931</v>
      </c>
      <c r="B2626" s="20" t="str">
        <f>IFERROR(__xludf.DUMMYFUNCTION("GOOGLETRANSLATE(A2626, ""fr"", ""en"")"),"Sale cleaning of parking lots on Friday March 11, 2022")</f>
        <v>Sale cleaning of parking lots on Friday March 11, 2022</v>
      </c>
    </row>
    <row r="2627">
      <c r="A2627" s="19" t="s">
        <v>934</v>
      </c>
      <c r="B2627" s="20" t="str">
        <f>IFERROR(__xludf.DUMMYFUNCTION("GOOGLETRANSLATE(A2627, ""fr"", ""en"")"),"Sale cleaning parking lots on Friday February 11, 2022")</f>
        <v>Sale cleaning parking lots on Friday February 11, 2022</v>
      </c>
    </row>
    <row r="2628">
      <c r="A2628" s="19" t="s">
        <v>933</v>
      </c>
      <c r="B2628" s="20" t="str">
        <f>IFERROR(__xludf.DUMMYFUNCTION("GOOGLETRANSLATE(A2628, ""fr"", ""en"")"),"MCM 2022 tour sale")</f>
        <v>MCM 2022 tour sale</v>
      </c>
    </row>
    <row r="2629">
      <c r="A2629" s="19" t="s">
        <v>2076</v>
      </c>
      <c r="B2629" s="20" t="str">
        <f>IFERROR(__xludf.DUMMYFUNCTION("GOOGLETRANSLATE(A2629, ""fr"", ""en"")"),"Sale, before Friday March 18, 2022
 For :
 - In the CF- de la V2, put 5 axes on the left and 5 axes on the right
 - Put two shelves by axes in 60 cm
 For information :
 - It takes 10 axes in all with the existing
 - Take all the material at the Co"&amp;"nsomag cell,
 - No podiums to set up
 - Double spacers to set up
 - The SPM is informed
 - No melamine to set up
 - Put strips of banks in place")</f>
        <v>Sale, before Friday March 18, 2022
 For :
 - In the CF- de la V2, put 5 axes on the left and 5 axes on the right
 - Put two shelves by axes in 60 cm
 For information :
 - It takes 10 axes in all with the existing
 - Take all the material at the Consomag cell,
 - No podiums to set up
 - Double spacers to set up
 - The SPM is informed
 - No melamine to set up
 - Put strips of banks in place</v>
      </c>
    </row>
    <row r="2630">
      <c r="A2630" s="19" t="s">
        <v>936</v>
      </c>
      <c r="B2630" s="20" t="str">
        <f>IFERROR(__xludf.DUMMYFUNCTION("GOOGLETRANSLATE(A2630, ""fr"", ""en"")"),"Sale cleaning of parking lots on Monday, February 14, 2022")</f>
        <v>Sale cleaning of parking lots on Monday, February 14, 2022</v>
      </c>
    </row>
    <row r="2631">
      <c r="A2631" s="19" t="s">
        <v>940</v>
      </c>
      <c r="B2631" s="20" t="str">
        <f>IFERROR(__xludf.DUMMYFUNCTION("GOOGLETRANSLATE(A2631, ""fr"", ""en"")"),"Sale cleaning parking lots on Friday February 25, 2022")</f>
        <v>Sale cleaning parking lots on Friday February 25, 2022</v>
      </c>
    </row>
    <row r="2632">
      <c r="A2632" s="19" t="s">
        <v>941</v>
      </c>
      <c r="B2632" s="20" t="str">
        <f>IFERROR(__xludf.DUMMYFUNCTION("GOOGLETRANSLATE(A2632, ""fr"", ""en"")"),"Sale cleaning of parking lots on Monday, February 21, 2022")</f>
        <v>Sale cleaning of parking lots on Monday, February 21, 2022</v>
      </c>
    </row>
    <row r="2633">
      <c r="A2633" s="19" t="s">
        <v>939</v>
      </c>
      <c r="B2633" s="20" t="str">
        <f>IFERROR(__xludf.DUMMYFUNCTION("GOOGLETRANSLATE(A2633, ""fr"", ""en"")"),"Sale cleaning of car parks on Friday February 18. Attention visit planned on the SPM 234, 2820, 3862 and 4046, prioritize these 4 SPMs, please present to you on the first at 6 a.m., the SPM 234 will have to be done after the other 3.")</f>
        <v>Sale cleaning of car parks on Friday February 18. Attention visit planned on the SPM 234, 2820, 3862 and 4046, prioritize these 4 SPMs, please present to you on the first at 6 a.m., the SPM 234 will have to be done after the other 3.</v>
      </c>
    </row>
    <row r="2634">
      <c r="A2634" s="19" t="s">
        <v>943</v>
      </c>
      <c r="B2634" s="20" t="str">
        <f>IFERROR(__xludf.DUMMYFUNCTION("GOOGLETRANSLATE(A2634, ""fr"", ""en"")"),"Sale cleaning of parking lots on Monday, February 28, 2022")</f>
        <v>Sale cleaning of parking lots on Monday, February 28, 2022</v>
      </c>
    </row>
    <row r="2635">
      <c r="A2635" s="19" t="s">
        <v>945</v>
      </c>
      <c r="B2635" s="20" t="str">
        <f>IFERROR(__xludf.DUMMYFUNCTION("GOOGLETRANSLATE(A2635, ""fr"", ""en"")"),"Sale cleaning of parking lots on Monday September 19, 2022")</f>
        <v>Sale cleaning of parking lots on Monday September 19, 2022</v>
      </c>
    </row>
    <row r="2636">
      <c r="A2636" s="19" t="s">
        <v>935</v>
      </c>
      <c r="B2636" s="20" t="str">
        <f>IFERROR(__xludf.DUMMYFUNCTION("GOOGLETRANSLATE(A2636, ""fr"", ""en"")"),"MAJ SALE CONCEPT CO")</f>
        <v>MAJ SALE CONCEPT CO</v>
      </c>
    </row>
    <row r="2637">
      <c r="A2637" s="19" t="s">
        <v>2077</v>
      </c>
      <c r="B2637" s="20" t="str">
        <f>IFERROR(__xludf.DUMMYFUNCTION("GOOGLETRANSLATE(A2637, ""fr"", ""en"")"),"Sale of as possible
 For: setting up three ""starting keys"" ELP 240 cart
 For info: you take the initial keys to the consomag cell")</f>
        <v>Sale of as possible
 For: setting up three "starting keys" ELP 240 cart
 For info: you take the initial keys to the consomag cell</v>
      </c>
    </row>
    <row r="2638">
      <c r="A2638" s="19" t="s">
        <v>2078</v>
      </c>
      <c r="B2638" s="20" t="str">
        <f>IFERROR(__xludf.DUMMYFUNCTION("GOOGLETRANSLATE(A2638, ""fr"", ""en"")"),"Sale of as possible
 For: Implementation of a soap distributor in the V2
 For info: take the soap carrier at the consomag cell")</f>
        <v>Sale of as possible
 For: Implementation of a soap distributor in the V2
 For info: take the soap carrier at the consomag cell</v>
      </c>
    </row>
    <row r="2639">
      <c r="A2639" s="19" t="s">
        <v>951</v>
      </c>
      <c r="B2639" s="20" t="str">
        <f>IFERROR(__xludf.DUMMYFUNCTION("GOOGLETRANSLATE(A2639, ""fr"", ""en"")"),"Sale cleaning of parking lots on Monday August 29, 2022")</f>
        <v>Sale cleaning of parking lots on Monday August 29, 2022</v>
      </c>
    </row>
    <row r="2640">
      <c r="A2640" s="19" t="s">
        <v>952</v>
      </c>
      <c r="B2640" s="20" t="str">
        <f>IFERROR(__xludf.DUMMYFUNCTION("GOOGLETRANSLATE(A2640, ""fr"", ""en"")"),"Sale cleaning of parking lots on Friday August 26, 2022")</f>
        <v>Sale cleaning of parking lots on Friday August 26, 2022</v>
      </c>
    </row>
    <row r="2641">
      <c r="A2641" s="19" t="s">
        <v>2079</v>
      </c>
      <c r="B2641" s="20" t="str">
        <f>IFERROR(__xludf.DUMMYFUNCTION("GOOGLETRANSLATE(A2641, ""fr"", ""en"")"),"AT2: Install a mini borne in the quay to protect the door of the premises from the ventilateur groups, various controls, stick the video surveillance, install a smooth PVC to protect the water meter door")</f>
        <v>AT2: Install a mini borne in the quay to protect the door of the premises from the ventilateur groups, various controls, stick the video surveillance, install a smooth PVC to protect the water meter door</v>
      </c>
    </row>
    <row r="2642">
      <c r="A2642" s="19" t="s">
        <v>953</v>
      </c>
      <c r="B2642" s="20" t="str">
        <f>IFERROR(__xludf.DUMMYFUNCTION("GOOGLETRANSLATE(A2642, ""fr"", ""en"")"),"Sale cleaning of parking lots on Monday, February 7, 2022")</f>
        <v>Sale cleaning of parking lots on Monday, February 7, 2022</v>
      </c>
    </row>
    <row r="2643">
      <c r="A2643" s="19" t="s">
        <v>954</v>
      </c>
      <c r="B2643" s="20" t="str">
        <f>IFERROR(__xludf.DUMMYFUNCTION("GOOGLETRANSLATE(A2643, ""fr"", ""en"")"),"Sale cleaning parking lots on Monday January 31, 2022")</f>
        <v>Sale cleaning parking lots on Monday January 31, 2022</v>
      </c>
    </row>
    <row r="2644">
      <c r="A2644" s="19" t="s">
        <v>956</v>
      </c>
      <c r="B2644" s="20" t="str">
        <f>IFERROR(__xludf.DUMMYFUNCTION("GOOGLETRANSLATE(A2644, ""fr"", ""en"")"),"Sale cleaning of parking lots on Monday January 10, 2022")</f>
        <v>Sale cleaning of parking lots on Monday January 10, 2022</v>
      </c>
    </row>
    <row r="2645">
      <c r="A2645" s="19" t="s">
        <v>957</v>
      </c>
      <c r="B2645" s="20" t="str">
        <f>IFERROR(__xludf.DUMMYFUNCTION("GOOGLETRANSLATE(A2645, ""fr"", ""en"")"),"Sale cleaning of parking lots on Monday, January 24, 2022")</f>
        <v>Sale cleaning of parking lots on Monday, January 24, 2022</v>
      </c>
    </row>
    <row r="2646">
      <c r="A2646" s="19" t="s">
        <v>2080</v>
      </c>
      <c r="B2646" s="20" t="str">
        <f>IFERROR(__xludf.DUMMYFUNCTION("GOOGLETRANSLATE(A2646, ""fr"", ""en"")"),"FL revision sale, shelves fixings, PDT displacement")</f>
        <v>FL revision sale, shelves fixings, PDT displacement</v>
      </c>
    </row>
    <row r="2647">
      <c r="A2647" s="19" t="s">
        <v>960</v>
      </c>
      <c r="B2647" s="20" t="str">
        <f>IFERROR(__xludf.DUMMYFUNCTION("GOOGLETRANSLATE(A2647, ""fr"", ""en"")"),"Sale cleaning parking lots on Monday January 17, 2022")</f>
        <v>Sale cleaning parking lots on Monday January 17, 2022</v>
      </c>
    </row>
    <row r="2648">
      <c r="A2648" s="19" t="s">
        <v>962</v>
      </c>
      <c r="B2648" s="20" t="str">
        <f>IFERROR(__xludf.DUMMYFUNCTION("GOOGLETRANSLATE(A2648, ""fr"", ""en"")"),"Sale cleaning parking lots on Friday August 12, 2022")</f>
        <v>Sale cleaning parking lots on Friday August 12, 2022</v>
      </c>
    </row>
    <row r="2649">
      <c r="A2649" s="19" t="s">
        <v>963</v>
      </c>
      <c r="B2649" s="20" t="str">
        <f>IFERROR(__xludf.DUMMYFUNCTION("GOOGLETRANSLATE(A2649, ""fr"", ""en"")"),"Sale cleaning of the Verdredi parking lots August 19, 2022")</f>
        <v>Sale cleaning of the Verdredi parking lots August 19, 2022</v>
      </c>
    </row>
    <row r="2650">
      <c r="A2650" s="19" t="s">
        <v>964</v>
      </c>
      <c r="B2650" s="20" t="str">
        <f>IFERROR(__xludf.DUMMYFUNCTION("GOOGLETRANSLATE(A2650, ""fr"", ""en"")"),"Sale cleaning of parking lots on Monday August 22, 2022")</f>
        <v>Sale cleaning of parking lots on Monday August 22, 2022</v>
      </c>
    </row>
    <row r="2651">
      <c r="A2651" s="19" t="s">
        <v>2081</v>
      </c>
      <c r="B2651" s="20" t="str">
        <f>IFERROR(__xludf.DUMMYFUNCTION("GOOGLETRANSLATE(A2651, ""fr"", ""en"")"),"Touring sale for:
 - Make SPM turned before 19/08.
 For information :
 - Take all the material at the Consomag cell from 07/22
 - The equipment necessary for frozen as well as fresh adhesives will be delivered later. An email will be sent to you from "&amp;"the moment it is available at Conomag.
 - The list of SPMs and points to be performed are in PJ")</f>
        <v>Touring sale for:
 - Make SPM turned before 19/08.
 For information :
 - Take all the material at the Consomag cell from 07/22
 - The equipment necessary for frozen as well as fresh adhesives will be delivered later. An email will be sent to you from the moment it is available at Conomag.
 - The list of SPMs and points to be performed are in PJ</v>
      </c>
    </row>
    <row r="2652">
      <c r="A2652" s="19" t="s">
        <v>2082</v>
      </c>
      <c r="B2652" s="20" t="str">
        <f>IFERROR(__xludf.DUMMYFUNCTION("GOOGLETRANSLATE(A2652, ""fr"", ""en"")"),"At2 check list, replace tube and insect plate, fix with padlock the chain to the stairs, Verifeir the lock is")</f>
        <v>At2 check list, replace tube and insect plate, fix with padlock the chain to the stairs, Verifeir the lock is</v>
      </c>
    </row>
    <row r="2653">
      <c r="A2653" s="19" t="s">
        <v>969</v>
      </c>
      <c r="B2653" s="20" t="str">
        <f>IFERROR(__xludf.DUMMYFUNCTION("GOOGLETRANSLATE(A2653, ""fr"", ""en"")"),"Sale cleaning parking lots on Friday January 7, 2022")</f>
        <v>Sale cleaning parking lots on Friday January 7, 2022</v>
      </c>
    </row>
    <row r="2654">
      <c r="A2654" s="19" t="s">
        <v>973</v>
      </c>
      <c r="B2654" s="20" t="str">
        <f>IFERROR(__xludf.DUMMYFUNCTION("GOOGLETRANSLATE(A2654, ""fr"", ""en"")"),"Sale cleaning parking lots on Friday January 21, 2022")</f>
        <v>Sale cleaning parking lots on Friday January 21, 2022</v>
      </c>
    </row>
    <row r="2655">
      <c r="A2655" s="19" t="s">
        <v>974</v>
      </c>
      <c r="B2655" s="20" t="str">
        <f>IFERROR(__xludf.DUMMYFUNCTION("GOOGLETRANSLATE(A2655, ""fr"", ""en"")"),"Sale cleaning parking lots on Friday January 14, 2022")</f>
        <v>Sale cleaning parking lots on Friday January 14, 2022</v>
      </c>
    </row>
    <row r="2656">
      <c r="A2656" s="19" t="s">
        <v>975</v>
      </c>
      <c r="B2656" s="20" t="str">
        <f>IFERROR(__xludf.DUMMYFUNCTION("GOOGLETRANSLATE(A2656, ""fr"", ""en"")"),"Sale cleaning parking lots on Friday January 28, 2022")</f>
        <v>Sale cleaning parking lots on Friday January 28, 2022</v>
      </c>
    </row>
    <row r="2657">
      <c r="A2657" s="19" t="s">
        <v>2083</v>
      </c>
      <c r="B2657" s="20" t="str">
        <f>IFERROR(__xludf.DUMMYFUNCTION("GOOGLETRANSLATE(A2657, ""fr"", ""en"")"),"Sale of as possible
 For :
 - Paste the parking adhesive 6 m to the right of the delivery door delivery (street side), on the facade (easily recognizable location)
 - Paste on the facade side of the SPM access door, on the windows, to indicate on both s"&amp;"ides of the door access to the SPM.
 - Paste the two adhesives on the basement, above the two trash cans on the left and to the right of the automatic body
 - Paste the trash panels on the basement, near the two trash cans next to the Caddies racks.
 If i"&amp;"n doubt contact me.
 For info: adhesives are available to the consomag cell")</f>
        <v>Sale of as possible
 For :
 - Paste the parking adhesive 6 m to the right of the delivery door delivery (street side), on the facade (easily recognizable location)
 - Paste on the facade side of the SPM access door, on the windows, to indicate on both sides of the door access to the SPM.
 - Paste the two adhesives on the basement, above the two trash cans on the left and to the right of the automatic body
 - Paste the trash panels on the basement, near the two trash cans next to the Caddies racks.
 If in doubt contact me.
 For info: adhesives are available to the consomag cell</v>
      </c>
    </row>
    <row r="2658">
      <c r="A2658" s="19" t="s">
        <v>2084</v>
      </c>
      <c r="B2658" s="20" t="str">
        <f>IFERROR(__xludf.DUMMYFUNCTION("GOOGLETRANSLATE(A2658, ""fr"", ""en"")"),"Quarterly check list, displays charging station, fix the stour blocks in the floor parking,")</f>
        <v>Quarterly check list, displays charging station, fix the stour blocks in the floor parking,</v>
      </c>
    </row>
    <row r="2659">
      <c r="A2659" s="19" t="s">
        <v>2064</v>
      </c>
      <c r="B2659" s="20" t="str">
        <f>IFERROR(__xludf.DUMMYFUNCTION("GOOGLETRANSLATE(A2659, ""fr"", ""en"")"),"Quarterly check list")</f>
        <v>Quarterly check list</v>
      </c>
    </row>
    <row r="2660">
      <c r="A2660" s="19" t="s">
        <v>2085</v>
      </c>
      <c r="B2660" s="20" t="str">
        <f>IFERROR(__xludf.DUMMYFUNCTION("GOOGLETRANSLATE(A2660, ""fr"", ""en"")"),"Various sale RMR as possible
 For :
 -Recuperate all caddies (racing trucks) which are at the bottom of the underground car park (compared to pedestrian access to the floor)
 -Dispress caddies to the consomag cell
 For information :
 -Well validate which "&amp;"are to be taken with the RM")</f>
        <v>Various sale RMR as possible
 For :
 -Recuperate all caddies (racing trucks) which are at the bottom of the underground car park (compared to pedestrian access to the floor)
 -Dispress caddies to the consomag cell
 For information :
 -Well validate which are to be taken with the RM</v>
      </c>
    </row>
    <row r="2661">
      <c r="A2661" s="19" t="s">
        <v>978</v>
      </c>
      <c r="B2661" s="20" t="str">
        <f>IFERROR(__xludf.DUMMYFUNCTION("GOOGLETRANSLATE(A2661, ""fr"", ""en"")"),"Sale cleaning of parking lots on Monday May 22, 2023")</f>
        <v>Sale cleaning of parking lots on Monday May 22, 2023</v>
      </c>
    </row>
    <row r="2662">
      <c r="A2662" s="19" t="s">
        <v>2086</v>
      </c>
      <c r="B2662" s="20" t="str">
        <f>IFERROR(__xludf.DUMMYFUNCTION("GOOGLETRANSLATE(A2662, ""fr"", ""en"")"),"Various RMR sale to do as soon as possible
 For :
 -Recuber 40 grind racing trucks with ERGO 240 L handle at the Consomag cell
 -Pot in the field parking lot of the FISCHER SPM
 -Ramper all racks except that at the bottom of the parking lot
 For informati"&amp;"on :
 -The carts are available to the consomag cell")</f>
        <v>Various RMR sale to do as soon as possible
 For :
 -Recuber 40 grind racing trucks with ERGO 240 L handle at the Consomag cell
 -Pot in the field parking lot of the FISCHER SPM
 -Ramper all racks except that at the bottom of the parking lot
 For information :
 -The carts are available to the consomag cell</v>
      </c>
    </row>
    <row r="2663">
      <c r="A2663" s="19" t="s">
        <v>981</v>
      </c>
      <c r="B2663" s="20" t="str">
        <f>IFERROR(__xludf.DUMMYFUNCTION("GOOGLETRANSLATE(A2663, ""fr"", ""en"")"),"Sale cleaning of car parks on Friday June 17, 2022")</f>
        <v>Sale cleaning of car parks on Friday June 17, 2022</v>
      </c>
    </row>
    <row r="2664">
      <c r="A2664" s="19" t="s">
        <v>982</v>
      </c>
      <c r="B2664" s="20" t="str">
        <f>IFERROR(__xludf.DUMMYFUNCTION("GOOGLETRANSLATE(A2664, ""fr"", ""en"")"),"Sale cleaning of parking lots on Friday August 5, 2022")</f>
        <v>Sale cleaning of parking lots on Friday August 5, 2022</v>
      </c>
    </row>
    <row r="2665">
      <c r="A2665" s="19" t="s">
        <v>983</v>
      </c>
      <c r="B2665" s="20" t="str">
        <f>IFERROR(__xludf.DUMMYFUNCTION("GOOGLETRANSLATE(A2665, ""fr"", ""en"")"),"Sale cleaning parking lots on Friday July 22, 2022")</f>
        <v>Sale cleaning parking lots on Friday July 22, 2022</v>
      </c>
    </row>
    <row r="2666">
      <c r="A2666" s="19" t="s">
        <v>984</v>
      </c>
      <c r="B2666" s="20" t="str">
        <f>IFERROR(__xludf.DUMMYFUNCTION("GOOGLETRANSLATE(A2666, ""fr"", ""en"")"),"Sale cleaning of parking lots on Monday August 01, 2022")</f>
        <v>Sale cleaning of parking lots on Monday August 01, 2022</v>
      </c>
    </row>
    <row r="2667">
      <c r="A2667" s="19" t="s">
        <v>986</v>
      </c>
      <c r="B2667" s="20" t="str">
        <f>IFERROR(__xludf.DUMMYFUNCTION("GOOGLETRANSLATE(A2667, ""fr"", ""en"")"),"Sale cleaning of parking lots Monday, June 20, 2022")</f>
        <v>Sale cleaning of parking lots Monday, June 20, 2022</v>
      </c>
    </row>
    <row r="2668">
      <c r="A2668" s="19" t="s">
        <v>987</v>
      </c>
      <c r="B2668" s="20" t="str">
        <f>IFERROR(__xludf.DUMMYFUNCTION("GOOGLETRANSLATE(A2668, ""fr"", ""en"")"),"Sale cleaning of parking lots on Monday August 8, 2022")</f>
        <v>Sale cleaning of parking lots on Monday August 8, 2022</v>
      </c>
    </row>
    <row r="2669">
      <c r="A2669" s="19" t="s">
        <v>989</v>
      </c>
      <c r="B2669" s="20" t="str">
        <f>IFERROR(__xludf.DUMMYFUNCTION("GOOGLETRANSLATE(A2669, ""fr"", ""en"")"),"Sale cleaning parking lots on Friday July 1, 2022")</f>
        <v>Sale cleaning parking lots on Friday July 1, 2022</v>
      </c>
    </row>
    <row r="2670">
      <c r="A2670" s="19" t="s">
        <v>2087</v>
      </c>
      <c r="B2670" s="20" t="str">
        <f>IFERROR(__xludf.DUMMYFUNCTION("GOOGLETRANSLATE(A2670, ""fr"", ""en"")"),"Sale of as possible
 To: Dress 5 DIXI decarton Rolls with the recycling cardboard panels, fix them using cable greenhouses.
 FYI: you collect the panels and cable greenhouses from the Consomag cell")</f>
        <v>Sale of as possible
 To: Dress 5 DIXI decarton Rolls with the recycling cardboard panels, fix them using cable greenhouses.
 FYI: you collect the panels and cable greenhouses from the Consomag cell</v>
      </c>
    </row>
    <row r="2671">
      <c r="A2671" s="19" t="s">
        <v>993</v>
      </c>
      <c r="B2671" s="20" t="str">
        <f>IFERROR(__xludf.DUMMYFUNCTION("GOOGLETRANSLATE(A2671, ""fr"", ""en"")"),"Sale cleaning parking lots on Friday July 29, 2022")</f>
        <v>Sale cleaning parking lots on Friday July 29, 2022</v>
      </c>
    </row>
    <row r="2672">
      <c r="A2672" s="19" t="s">
        <v>994</v>
      </c>
      <c r="B2672" s="20" t="str">
        <f>IFERROR(__xludf.DUMMYFUNCTION("GOOGLETRANSLATE(A2672, ""fr"", ""en"")"),"Sale cleaning of parking lots on Monday July 11, 2022")</f>
        <v>Sale cleaning of parking lots on Monday July 11, 2022</v>
      </c>
    </row>
    <row r="2673">
      <c r="A2673" s="19" t="s">
        <v>995</v>
      </c>
      <c r="B2673" s="20" t="str">
        <f>IFERROR(__xludf.DUMMYFUNCTION("GOOGLETRANSLATE(A2673, ""fr"", ""en"")"),"Sale cleaning parking lots on Friday July 15, 2022")</f>
        <v>Sale cleaning parking lots on Friday July 15, 2022</v>
      </c>
    </row>
    <row r="2674">
      <c r="A2674" s="19" t="s">
        <v>998</v>
      </c>
      <c r="B2674" s="20" t="str">
        <f>IFERROR(__xludf.DUMMYFUNCTION("GOOGLETRANSLATE(A2674, ""fr"", ""en"")"),"Sale cleaning parking lots on Monday, June 27, 2022")</f>
        <v>Sale cleaning parking lots on Monday, June 27, 2022</v>
      </c>
    </row>
    <row r="2675">
      <c r="A2675" s="19" t="s">
        <v>997</v>
      </c>
      <c r="B2675" s="20" t="str">
        <f>IFERROR(__xludf.DUMMYFUNCTION("GOOGLETRANSLATE(A2675, ""fr"", ""en"")"),"Sale cleaning of parking lots on Monday July 18, 2022")</f>
        <v>Sale cleaning of parking lots on Monday July 18, 2022</v>
      </c>
    </row>
    <row r="2676">
      <c r="A2676" s="19" t="s">
        <v>999</v>
      </c>
      <c r="B2676" s="20" t="str">
        <f>IFERROR(__xludf.DUMMYFUNCTION("GOOGLETRANSLATE(A2676, ""fr"", ""en"")"),"Sale cleaning parking lots on Monday July 4, 2022")</f>
        <v>Sale cleaning parking lots on Monday July 4, 2022</v>
      </c>
    </row>
    <row r="2677">
      <c r="A2677" s="19" t="s">
        <v>1001</v>
      </c>
      <c r="B2677" s="20" t="str">
        <f>IFERROR(__xludf.DUMMYFUNCTION("GOOGLETRANSLATE(A2677, ""fr"", ""en"")"),"Sale cleaning parking lots on Friday July 8, 2022")</f>
        <v>Sale cleaning parking lots on Friday July 8, 2022</v>
      </c>
    </row>
    <row r="2678">
      <c r="A2678" s="19" t="s">
        <v>1000</v>
      </c>
      <c r="B2678" s="20" t="str">
        <f>IFERROR(__xludf.DUMMYFUNCTION("GOOGLETRANSLATE(A2678, ""fr"", ""en"")"),"Sale cleaning of parking lots on Monday July 25, 2022")</f>
        <v>Sale cleaning of parking lots on Monday July 25, 2022</v>
      </c>
    </row>
    <row r="2679">
      <c r="A2679" s="21"/>
      <c r="B2679" s="20" t="str">
        <f>IFERROR(__xludf.DUMMYFUNCTION("GOOGLETRANSLATE(A2679, ""fr"", ""en"")"),"#VALUE!")</f>
        <v>#VALUE!</v>
      </c>
    </row>
    <row r="2680">
      <c r="A2680" s="21"/>
      <c r="B2680" s="20" t="str">
        <f>IFERROR(__xludf.DUMMYFUNCTION("GOOGLETRANSLATE(A2680, ""fr"", ""en"")"),"#VALUE!")</f>
        <v>#VALUE!</v>
      </c>
    </row>
    <row r="2681">
      <c r="A2681" s="21"/>
      <c r="B2681" s="20" t="str">
        <f>IFERROR(__xludf.DUMMYFUNCTION("GOOGLETRANSLATE(A2681, ""fr"", ""en"")"),"#VALUE!")</f>
        <v>#VALUE!</v>
      </c>
    </row>
    <row r="2682">
      <c r="A2682" s="19" t="s">
        <v>2088</v>
      </c>
      <c r="B2682" s="20" t="str">
        <f>IFERROR(__xludf.DUMMYFUNCTION("GOOGLETRANSLATE(A2682, ""fr"", ""en"")"),"Various control and cut the air curtain to the entrance and adjust the presence detector in reserve")</f>
        <v>Various control and cut the air curtain to the entrance and adjust the presence detector in reserve</v>
      </c>
    </row>
    <row r="2683">
      <c r="A2683" s="19" t="s">
        <v>2089</v>
      </c>
      <c r="B2683" s="20" t="str">
        <f>IFERROR(__xludf.DUMMYFUNCTION("GOOGLETRANSLATE(A2683, ""fr"", ""en"")"),"Sale of season, Tuesday, June 14, from 7:30 p.m., 6 people
 For :
 - dry seasonal implementation
 - any work requested by the establishment
 For information :
 - An establishment will be on site
 - Provide equipment (mela cut,….)")</f>
        <v>Sale of season, Tuesday, June 14, from 7:30 p.m., 6 people
 For :
 - dry seasonal implementation
 - any work requested by the establishment
 For information :
 - An establishment will be on site
 - Provide equipment (mela cut,….)</v>
      </c>
    </row>
    <row r="2684">
      <c r="A2684" s="19" t="s">
        <v>2090</v>
      </c>
      <c r="B2684" s="20" t="str">
        <f>IFERROR(__xludf.DUMMYFUNCTION("GOOGLETRANSLATE(A2684, ""fr"", ""en"")"),"Sale to be made before Friday, June 17,
 For :
 - Recover the oven B5/B10 (the one on the left of the three)
 - Recover 4 Rolls Pain B5/B10
 - Place everything at the Consomag cell, Technical Service side
 For info: SPM and RVS informed")</f>
        <v>Sale to be made before Friday, June 17,
 For :
 - Recover the oven B5/B10 (the one on the left of the three)
 - Recover 4 Rolls Pain B5/B10
 - Place everything at the Consomag cell, Technical Service side
 For info: SPM and RVS informed</v>
      </c>
    </row>
    <row r="2685">
      <c r="A2685" s="19" t="s">
        <v>1018</v>
      </c>
      <c r="B2685" s="20" t="str">
        <f>IFERROR(__xludf.DUMMYFUNCTION("GOOGLETRANSLATE(A2685, ""fr"", ""en"")"),"Sale cleaning of parking lots on Monday June 13, 2022")</f>
        <v>Sale cleaning of parking lots on Monday June 13, 2022</v>
      </c>
    </row>
    <row r="2686">
      <c r="A2686" s="19" t="s">
        <v>1020</v>
      </c>
      <c r="B2686" s="20" t="str">
        <f>IFERROR(__xludf.DUMMYFUNCTION("GOOGLETRANSLATE(A2686, ""fr"", ""en"")"),"Sale cleaning parking lots on Friday June 3, 2022")</f>
        <v>Sale cleaning parking lots on Friday June 3, 2022</v>
      </c>
    </row>
    <row r="2687">
      <c r="A2687" s="19" t="s">
        <v>1022</v>
      </c>
      <c r="B2687" s="20" t="str">
        <f>IFERROR(__xludf.DUMMYFUNCTION("GOOGLETRANSLATE(A2687, ""fr"", ""en"")"),"Sale cleaning of parking lots on Friday June 10, 2022")</f>
        <v>Sale cleaning of parking lots on Friday June 10, 2022</v>
      </c>
    </row>
    <row r="2688">
      <c r="A2688" s="19" t="s">
        <v>2091</v>
      </c>
      <c r="B2688" s="20" t="str">
        <f>IFERROR(__xludf.DUMMYFUNCTION("GOOGLETRANSLATE(A2688, ""fr"", ""en"")"),"Sale to be made before June 10, 2022
 For :
 - Set up right above the slopes of the SAS Entrance, the green adhesive 100 % green electricity
 - Cut the front magnets in the fresh snacking
 - Set up two clips of angles for VVP window panel
 - Update adhe"&amp;"sives semi circle fresh door
 - Set up 1 panel Surg Family Pizza Family + Support
 - set up 2 panels Surg Family Ice + Support
 - Set up 7 adhesive kits plays TG Skylight
 - Set up a Bio Bio Segmentation Allées (Magnetic Gray Background)
 - Move the half "&amp;"-moon sausage (above the family)
 - set up 3 half moon brewer + supports
 - Set up 1 half a baby moon + supports
 - Replace Podium dry alcohol and petfood
 - 10 strips of banks sticker Tables Action Food to replace
 - 2 podium FL to be rejected
 For inf"&amp;"o: the material will be available to the consomag cell")</f>
        <v>Sale to be made before June 10, 2022
 For :
 - Set up right above the slopes of the SAS Entrance, the green adhesive 100 % green electricity
 - Cut the front magnets in the fresh snacking
 - Set up two clips of angles for VVP window panel
 - Update adhesives semi circle fresh door
 - Set up 1 panel Surg Family Pizza Family + Support
 - set up 2 panels Surg Family Ice + Support
 - Set up 7 adhesive kits plays TG Skylight
 - Set up a Bio Bio Segmentation Allées (Magnetic Gray Background)
 - Move the half -moon sausage (above the family)
 - set up 3 half moon brewer + supports
 - Set up 1 half a baby moon + supports
 - Replace Podium dry alcohol and petfood
 - 10 strips of banks sticker Tables Action Food to replace
 - 2 podium FL to be rejected
 For info: the material will be available to the consomag cell</v>
      </c>
    </row>
    <row r="2689">
      <c r="A2689" s="19" t="s">
        <v>2092</v>
      </c>
      <c r="B2689" s="20" t="str">
        <f>IFERROR(__xludf.DUMMYFUNCTION("GOOGLETRANSLATE(A2689, ""fr"", ""en"")"),"Check list, put the entry hatch, install a sale thermometer, set up a camera at the staircase, install a protective grid stour outdown, replace the cylinder Local door bikes, deposit Perche")</f>
        <v>Check list, put the entry hatch, install a sale thermometer, set up a camera at the staircase, install a protective grid stour outdown, replace the cylinder Local door bikes, deposit Perche</v>
      </c>
    </row>
    <row r="2690">
      <c r="A2690" s="19" t="s">
        <v>1029</v>
      </c>
      <c r="B2690" s="20" t="str">
        <f>IFERROR(__xludf.DUMMYFUNCTION("GOOGLETRANSLATE(A2690, ""fr"", ""en"")"),"Sale cleaning parking lots on Friday September 16, 2022")</f>
        <v>Sale cleaning parking lots on Friday September 16, 2022</v>
      </c>
    </row>
    <row r="2691">
      <c r="A2691" s="19" t="s">
        <v>2093</v>
      </c>
      <c r="B2691" s="20" t="str">
        <f>IFERROR(__xludf.DUMMYFUNCTION("GOOGLETRANSLATE(A2691, ""fr"", ""en"")"),"Information note on videosurveillance displayed in a break room. (for sale)")</f>
        <v>Information note on videosurveillance displayed in a break room. (for sale)</v>
      </c>
    </row>
    <row r="2692">
      <c r="A2692" s="19" t="s">
        <v>2094</v>
      </c>
      <c r="B2692" s="20" t="str">
        <f>IFERROR(__xludf.DUMMYFUNCTION("GOOGLETRANSLATE(A2692, ""fr"", ""en"")"),"Monday 28, Tuesday 29 and Wednesday 30 November 2022 (imperative)
 For :
 -Recure before intervening on the 1st SPM, 40 feet of 67 cm Tego, 20 circle adhesives and 20 rectangle adhesive for TG cheeks
 -Lend on the SPMs and go up to the location (see table"&amp;" below) the TG furniture (available in the SPM reserve)
 -Loine the 4 adhesives on the cheeks (two adhesives x two cheeks)
 -Men on the shelves (hole 8-15-22-29)
 -Place in place a 1.80 m tg melamine in TG, replacing that in place (mela available on the p"&amp;"alette)
 -Put the two local corner panels in the triangle (on the front faces of the triangle and not at the back) panels in a box
 -Remit the visuals on the palette to the SPM (in a card, brown visuals, local corner)
 For information :
 -The equipment pa"&amp;"llets of each SPM will be placed on Friday 25/11
 -The RVS are informed
 -We contacted the SPMs for the location
 -in the case of a problem contact me")</f>
        <v>Monday 28, Tuesday 29 and Wednesday 30 November 2022 (imperative)
 For :
 -Recure before intervening on the 1st SPM, 40 feet of 67 cm Tego, 20 circle adhesives and 20 rectangle adhesive for TG cheeks
 -Lend on the SPMs and go up to the location (see table below) the TG furniture (available in the SPM reserve)
 -Loine the 4 adhesives on the cheeks (two adhesives x two cheeks)
 -Men on the shelves (hole 8-15-22-29)
 -Place in place a 1.80 m tg melamine in TG, replacing that in place (mela available on the palette)
 -Put the two local corner panels in the triangle (on the front faces of the triangle and not at the back) panels in a box
 -Remit the visuals on the palette to the SPM (in a card, brown visuals, local corner)
 For information :
 -The equipment pallets of each SPM will be placed on Friday 25/11
 -The RVS are informed
 -We contacted the SPMs for the location
 -in the case of a problem contact me</v>
      </c>
    </row>
    <row r="2693">
      <c r="A2693" s="19" t="s">
        <v>1034</v>
      </c>
      <c r="B2693" s="20" t="str">
        <f>IFERROR(__xludf.DUMMYFUNCTION("GOOGLETRANSLATE(A2693, ""fr"", ""en"")"),"Sale cleaning parking lots of sale December 2, 2022")</f>
        <v>Sale cleaning parking lots of sale December 2, 2022</v>
      </c>
    </row>
    <row r="2694">
      <c r="A2694" s="19" t="s">
        <v>1035</v>
      </c>
      <c r="B2694" s="20" t="str">
        <f>IFERROR(__xludf.DUMMYFUNCTION("GOOGLETRANSLATE(A2694, ""fr"", ""en"")"),"Sale cleaning of parking lots on Monday May 15, 2023")</f>
        <v>Sale cleaning of parking lots on Monday May 15, 2023</v>
      </c>
    </row>
    <row r="2695">
      <c r="A2695" s="19" t="s">
        <v>1039</v>
      </c>
      <c r="B2695" s="20" t="str">
        <f>IFERROR(__xludf.DUMMYFUNCTION("GOOGLETRANSLATE(A2695, ""fr"", ""en"")"),"Sale cleaning of parking lots on Monday September 5, 2022")</f>
        <v>Sale cleaning of parking lots on Monday September 5, 2022</v>
      </c>
    </row>
    <row r="2696">
      <c r="A2696" s="19" t="s">
        <v>1041</v>
      </c>
      <c r="B2696" s="20" t="str">
        <f>IFERROR(__xludf.DUMMYFUNCTION("GOOGLETRANSLATE(A2696, ""fr"", ""en"")"),"Sale cleaning parking lots on Monday October 10, 2022")</f>
        <v>Sale cleaning parking lots on Monday October 10, 2022</v>
      </c>
    </row>
    <row r="2697">
      <c r="A2697" s="19" t="s">
        <v>1042</v>
      </c>
      <c r="B2697" s="20" t="str">
        <f>IFERROR(__xludf.DUMMYFUNCTION("GOOGLETRANSLATE(A2697, ""fr"", ""en"")"),"Sale cleaning parking lots on Monday October 3, 2022")</f>
        <v>Sale cleaning parking lots on Monday October 3, 2022</v>
      </c>
    </row>
    <row r="2698">
      <c r="A2698" s="19" t="s">
        <v>1043</v>
      </c>
      <c r="B2698" s="20" t="str">
        <f>IFERROR(__xludf.DUMMYFUNCTION("GOOGLETRANSLATE(A2698, ""fr"", ""en"")"),"Sale cleaning parking lots on Friday 23 September 2022")</f>
        <v>Sale cleaning parking lots on Friday 23 September 2022</v>
      </c>
    </row>
    <row r="2699">
      <c r="A2699" s="19" t="s">
        <v>1044</v>
      </c>
      <c r="B2699" s="20" t="str">
        <f>IFERROR(__xludf.DUMMYFUNCTION("GOOGLETRANSLATE(A2699, ""fr"", ""en"")"),"Sale cleaning of parking lots on Monday September 12, 2022")</f>
        <v>Sale cleaning of parking lots on Monday September 12, 2022</v>
      </c>
    </row>
    <row r="2700">
      <c r="A2700" s="19" t="s">
        <v>2095</v>
      </c>
      <c r="B2700" s="20" t="str">
        <f>IFERROR(__xludf.DUMMYFUNCTION("GOOGLETRANSLATE(A2700, ""fr"", ""en"")"),"The Dysfunction Presence Report light")</f>
        <v>The Dysfunction Presence Report light</v>
      </c>
    </row>
    <row r="2701">
      <c r="A2701" s="19" t="s">
        <v>2096</v>
      </c>
      <c r="B2701" s="20" t="str">
        <f>IFERROR(__xludf.DUMMYFUNCTION("GOOGLETRANSLATE(A2701, ""fr"", ""en"")"),"Slipping floor in the Negative Chamber")</f>
        <v>Slipping floor in the Negative Chamber</v>
      </c>
    </row>
    <row r="2702">
      <c r="A2702" s="19" t="s">
        <v>2097</v>
      </c>
      <c r="B2702" s="20" t="str">
        <f>IFERROR(__xludf.DUMMYFUNCTION("GOOGLETRANSLATE(A2702, ""fr"", ""en"")"),"2 Porte de CFN tagged, one or the closing opening no longer worked. Odm made by AT3. Finished work.")</f>
        <v>2 Porte de CFN tagged, one or the closing opening no longer worked. Odm made by AT3. Finished work.</v>
      </c>
    </row>
    <row r="2703">
      <c r="A2703" s="19" t="s">
        <v>2098</v>
      </c>
      <c r="B2703" s="20" t="str">
        <f>IFERROR(__xludf.DUMMYFUNCTION("GOOGLETRANSLATE(A2703, ""fr"", ""en"")"),"We had a long cold alarm on the CF-
 Correct temperature to date but intervention request to ensure the proper functioning")</f>
        <v>We had a long cold alarm on the CF-
 Correct temperature to date but intervention request to ensure the proper functioning</v>
      </c>
    </row>
    <row r="2704">
      <c r="A2704" s="19" t="s">
        <v>2099</v>
      </c>
      <c r="B2704" s="20" t="str">
        <f>IFERROR(__xludf.DUMMYFUNCTION("GOOGLETRANSLATE(A2704, ""fr"", ""en"")"),"The first door opens only manually, the cable to let go")</f>
        <v>The first door opens only manually, the cable to let go</v>
      </c>
    </row>
    <row r="2705">
      <c r="A2705" s="19" t="s">
        <v>2100</v>
      </c>
      <c r="B2705" s="20" t="str">
        <f>IFERROR(__xludf.DUMMYFUNCTION("GOOGLETRANSLATE(A2705, ""fr"", ""en"")"),"Bug on the door that gives FL in the fridge.
 When it opens it, it affects the count of 10 seconds before closing then closes, unless you go through the door (there is a laser beam I think that prevents the door from closing on someone) at this moment It "&amp;"is defaulting and remains open generating an alarm.")</f>
        <v>Bug on the door that gives FL in the fridge.
 When it opens it, it affects the count of 10 seconds before closing then closes, unless you go through the door (there is a laser beam I think that prevents the door from closing on someone) at this moment It is defaulting and remains open generating an alarm.</v>
      </c>
    </row>
    <row r="2706">
      <c r="A2706" s="19" t="s">
        <v>2101</v>
      </c>
      <c r="B2706" s="20" t="str">
        <f>IFERROR(__xludf.DUMMYFUNCTION("GOOGLETRANSLATE(A2706, ""fr"", ""en"")"),"Door out of the rails, does not close. Urgent please")</f>
        <v>Door out of the rails, does not close. Urgent please</v>
      </c>
    </row>
    <row r="2707">
      <c r="A2707" s="19" t="s">
        <v>2102</v>
      </c>
      <c r="B2707" s="20" t="str">
        <f>IFERROR(__xludf.DUMMYFUNCTION("GOOGLETRANSLATE(A2707, ""fr"", ""en"")"),"Temperature ok -24, but light that clognote. Not all fans are active in the cold room.")</f>
        <v>Temperature ok -24, but light that clognote. Not all fans are active in the cold room.</v>
      </c>
    </row>
    <row r="2708">
      <c r="A2708" s="19" t="s">
        <v>2103</v>
      </c>
      <c r="B2708" s="20" t="str">
        <f>IFERROR(__xludf.DUMMYFUNCTION("GOOGLETRANSLATE(A2708, ""fr"", ""en"")"),"Installation of the Light Business Report display of the CFN.ODM made by AT3. Finished work.")</f>
        <v>Installation of the Light Business Report display of the CFN.ODM made by AT3. Finished work.</v>
      </c>
    </row>
    <row r="2709">
      <c r="A2709" s="19" t="s">
        <v>2104</v>
      </c>
      <c r="B2709" s="20" t="str">
        <f>IFERROR(__xludf.DUMMYFUNCTION("GOOGLETRANSLATE(A2709, ""fr"", ""en"")"),"The door of the room no longer closes properly, it is at an angle. This leads to degreation in the bedroom (water flowing on the ground) + fans of fans.")</f>
        <v>The door of the room no longer closes properly, it is at an angle. This leads to degreation in the bedroom (water flowing on the ground) + fans of fans.</v>
      </c>
    </row>
    <row r="2710">
      <c r="A2710" s="19" t="s">
        <v>493</v>
      </c>
      <c r="B2710" s="20" t="str">
        <f>IFERROR(__xludf.DUMMYFUNCTION("GOOGLETRANSLATE(A2710, ""fr"", ""en"")"),"ice intake")</f>
        <v>ice intake</v>
      </c>
    </row>
    <row r="2711">
      <c r="A2711" s="19" t="s">
        <v>493</v>
      </c>
      <c r="B2711" s="20" t="str">
        <f>IFERROR(__xludf.DUMMYFUNCTION("GOOGLETRANSLATE(A2711, ""fr"", ""en"")"),"ice intake")</f>
        <v>ice intake</v>
      </c>
    </row>
    <row r="2712">
      <c r="A2712" s="19" t="s">
        <v>2105</v>
      </c>
      <c r="B2712" s="20" t="str">
        <f>IFERROR(__xludf.DUMMYFUNCTION("GOOGLETRANSLATE(A2712, ""fr"", ""en"")"),"Cold alarm scrutiny lit in permance while everything is OK.")</f>
        <v>Cold alarm scrutiny lit in permance while everything is OK.</v>
      </c>
    </row>
    <row r="2713">
      <c r="A2713" s="19" t="s">
        <v>2106</v>
      </c>
      <c r="B2713" s="20" t="str">
        <f>IFERROR(__xludf.DUMMYFUNCTION("GOOGLETRANSLATE(A2713, ""fr"", ""en"")"),"Ice taking in the CF-")</f>
        <v>Ice taking in the CF-</v>
      </c>
    </row>
    <row r="2714">
      <c r="A2714" s="19" t="s">
        <v>2107</v>
      </c>
      <c r="B2714" s="20" t="str">
        <f>IFERROR(__xludf.DUMMYFUNCTION("GOOGLETRANSLATE(A2714, ""fr"", ""en"")"),"Insuportable carpet noise")</f>
        <v>Insuportable carpet noise</v>
      </c>
    </row>
    <row r="2715">
      <c r="A2715" s="19" t="s">
        <v>2108</v>
      </c>
      <c r="B2715" s="20" t="str">
        <f>IFERROR(__xludf.DUMMYFUNCTION("GOOGLETRANSLATE(A2715, ""fr"", ""en"")"),"carpet does not function")</f>
        <v>carpet does not function</v>
      </c>
    </row>
    <row r="2716">
      <c r="A2716" s="19" t="s">
        <v>2109</v>
      </c>
      <c r="B2716" s="20" t="str">
        <f>IFERROR(__xludf.DUMMYFUNCTION("GOOGLETRANSLATE(A2716, ""fr"", ""en"")"),"The rug of cash 4 does not work.")</f>
        <v>The rug of cash 4 does not work.</v>
      </c>
    </row>
    <row r="2717">
      <c r="A2717" s="19" t="s">
        <v>2110</v>
      </c>
      <c r="B2717" s="20" t="str">
        <f>IFERROR(__xludf.DUMMYFUNCTION("GOOGLETRANSLATE(A2717, ""fr"", ""en"")"),"The checkout carpet no longer works")</f>
        <v>The checkout carpet no longer works</v>
      </c>
    </row>
    <row r="2718">
      <c r="A2718" s="19" t="s">
        <v>2111</v>
      </c>
      <c r="B2718" s="20" t="str">
        <f>IFERROR(__xludf.DUMMYFUNCTION("GOOGLETRANSLATE(A2718, ""fr"", ""en"")"),"The carpet no longer advances")</f>
        <v>The carpet no longer advances</v>
      </c>
    </row>
    <row r="2719">
      <c r="A2719" s="19" t="s">
        <v>2112</v>
      </c>
      <c r="B2719" s="20" t="str">
        <f>IFERROR(__xludf.DUMMYFUNCTION("GOOGLETRANSLATE(A2719, ""fr"", ""en"")"),"PC is no longer back to the photo")</f>
        <v>PC is no longer back to the photo</v>
      </c>
    </row>
    <row r="2720">
      <c r="A2720" s="19" t="s">
        <v>2113</v>
      </c>
      <c r="B2720" s="20" t="str">
        <f>IFERROR(__xludf.DUMMYFUNCTION("GOOGLETRANSLATE(A2720, ""fr"", ""en"")"),"cashier no longer rumors")</f>
        <v>cashier no longer rumors</v>
      </c>
    </row>
    <row r="2721">
      <c r="A2721" s="19" t="s">
        <v>2114</v>
      </c>
      <c r="B2721" s="20" t="str">
        <f>IFERROR(__xludf.DUMMYFUNCTION("GOOGLETRANSLATE(A2721, ""fr"", ""en"")"),"Following the expansion and enlargement of the cosmetic bone axis, we should move the half moon ""special offer and add one because we put it on two axes. If possible send us an additional orange dressing for melamine and shores of banks.
 LED lights do n"&amp;"ot also work.
 THANKS")</f>
        <v>Following the expansion and enlargement of the cosmetic bone axis, we should move the half moon "special offer and add one because we put it on two axes. If possible send us an additional orange dressing for melamine and shores of banks.
 LED lights do not also work.
 THANKS</v>
      </c>
    </row>
    <row r="2722">
      <c r="A2722" s="19" t="s">
        <v>2115</v>
      </c>
      <c r="B2722" s="20" t="str">
        <f>IFERROR(__xludf.DUMMYFUNCTION("GOOGLETRANSLATE(A2722, ""fr"", ""en"")"),"does not work anymore")</f>
        <v>does not work anymore</v>
      </c>
    </row>
    <row r="2723">
      <c r="A2723" s="19" t="s">
        <v>2116</v>
      </c>
      <c r="B2723" s="20" t="str">
        <f>IFERROR(__xludf.DUMMYFUNCTION("GOOGLETRANSLATE(A2723, ""fr"", ""en"")"),"Since the passage of technicians in S06, customers can no longer recharge their cars. The terminals do not indicate a defect and seem to work, but at the time when the users connect their cars, the current is not transmitted to the vehicle battery")</f>
        <v>Since the passage of technicians in S06, customers can no longer recharge their cars. The terminals do not indicate a defect and seem to work, but at the time when the users connect their cars, the current is not transmitted to the vehicle battery</v>
      </c>
    </row>
    <row r="2724">
      <c r="A2724" s="19" t="s">
        <v>2115</v>
      </c>
      <c r="B2724" s="20" t="str">
        <f>IFERROR(__xludf.DUMMYFUNCTION("GOOGLETRANSLATE(A2724, ""fr"", ""en"")"),"does not work anymore")</f>
        <v>does not work anymore</v>
      </c>
    </row>
    <row r="2725">
      <c r="A2725" s="19" t="s">
        <v>2117</v>
      </c>
      <c r="B2725" s="20" t="str">
        <f>IFERROR(__xludf.DUMMYFUNCTION("GOOGLETRANSLATE(A2725, ""fr"", ""en"")"),"Replacement of tubes and self -adhesive plates for insect destructive. Oodm made by AT3. Finished work")</f>
        <v>Replacement of tubes and self -adhesive plates for insect destructive. Oodm made by AT3. Finished work</v>
      </c>
    </row>
    <row r="2726">
      <c r="A2726" s="19" t="s">
        <v>2118</v>
      </c>
      <c r="B2726" s="20" t="str">
        <f>IFERROR(__xludf.DUMMYFUNCTION("GOOGLETRANSLATE(A2726, ""fr"", ""en"")"),"Request for cleaning parking + rack a caddies in anticipation of the visit of Friedrich Fuchs (Friday 18/02/2022)")</f>
        <v>Request for cleaning parking + rack a caddies in anticipation of the visit of Friedrich Fuchs (Friday 18/02/2022)</v>
      </c>
    </row>
    <row r="2727">
      <c r="A2727" s="19" t="s">
        <v>2119</v>
      </c>
      <c r="B2727" s="20" t="str">
        <f>IFERROR(__xludf.DUMMYFUNCTION("GOOGLETRANSLATE(A2727, ""fr"", ""en"")"),"The painters put resin on the ground in computer bay, this morning, SECURITE concpet to enter the room without knowing it, the resin was cool and suddenly I have traces of steps in the SPM and reserve which does not do not go to the autolaveuse")</f>
        <v>The painters put resin on the ground in computer bay, this morning, SECURITE concpet to enter the room without knowing it, the resin was cool and suddenly I have traces of steps in the SPM and reserve which does not do not go to the autolaveuse</v>
      </c>
    </row>
    <row r="2728">
      <c r="A2728" s="19" t="s">
        <v>2120</v>
      </c>
      <c r="B2728" s="20" t="str">
        <f>IFERROR(__xludf.DUMMYFUNCTION("GOOGLETRANSLATE(A2728, ""fr"", ""en"")"),"Checking at the FM request for entry airlock dirt residues and in the Ras.odm bread lab by AT3. Finished work.")</f>
        <v>Checking at the FM request for entry airlock dirt residues and in the Ras.odm bread lab by AT3. Finished work.</v>
      </c>
    </row>
    <row r="2729">
      <c r="A2729" s="19" t="s">
        <v>2121</v>
      </c>
      <c r="B2729" s="20" t="str">
        <f>IFERROR(__xludf.DUMMYFUNCTION("GOOGLETRANSLATE(A2729, ""fr"", ""en"")"),"Small spout of the broken hydroalcoholic gel distributor .odm made by AT3. Finished work.")</f>
        <v>Small spout of the broken hydroalcoholic gel distributor .odm made by AT3. Finished work.</v>
      </c>
    </row>
    <row r="2730">
      <c r="A2730" s="19" t="s">
        <v>2122</v>
      </c>
      <c r="B2730" s="20" t="str">
        <f>IFERROR(__xludf.DUMMYFUNCTION("GOOGLETRANSLATE(A2730, ""fr"", ""en"")"),"Place the explanation of the Leon.odm tablet made by AT3. Finished work.")</f>
        <v>Place the explanation of the Leon.odm tablet made by AT3. Finished work.</v>
      </c>
    </row>
    <row r="2731">
      <c r="A2731" s="19" t="s">
        <v>2123</v>
      </c>
      <c r="B2731" s="20" t="str">
        <f>IFERROR(__xludf.DUMMYFUNCTION("GOOGLETRANSLATE(A2731, ""fr"", ""en"")"),"Customers complain that they cannot activate their LIDL + card and/or access the application, in store because there is no network or wifi.")</f>
        <v>Customers complain that they cannot activate their LIDL + card and/or access the application, in store because there is no network or wifi.</v>
      </c>
    </row>
    <row r="2732">
      <c r="A2732" s="19" t="s">
        <v>2124</v>
      </c>
      <c r="B2732" s="20" t="str">
        <f>IFERROR(__xludf.DUMMYFUNCTION("GOOGLETRANSLATE(A2732, ""fr"", ""en"")"),"Impossible to enter the ""leave"" application A message displays ""current maintenance"".
 This item does not exist in SSP.")</f>
        <v>Impossible to enter the "leave" application A message displays "current maintenance".
 This item does not exist in SSP.</v>
      </c>
    </row>
    <row r="2733">
      <c r="A2733" s="19" t="s">
        <v>2125</v>
      </c>
      <c r="B2733" s="20" t="str">
        <f>IFERROR(__xludf.DUMMYFUNCTION("GOOGLETRANSLATE(A2733, ""fr"", ""en"")"),"2 wheel loosened on the stainless steel Charriot in Labe Pain.odm made by AT3. Finished work.")</f>
        <v>2 wheel loosened on the stainless steel Charriot in Labe Pain.odm made by AT3. Finished work.</v>
      </c>
    </row>
    <row r="2734">
      <c r="A2734" s="19" t="s">
        <v>2126</v>
      </c>
      <c r="B2734" s="20" t="str">
        <f>IFERROR(__xludf.DUMMYFUNCTION("GOOGLETRANSLATE(A2734, ""fr"", ""en"")"),"Impossible to push the lower plate shelf into the ovens")</f>
        <v>Impossible to push the lower plate shelf into the ovens</v>
      </c>
    </row>
    <row r="2735">
      <c r="A2735" s="19" t="s">
        <v>2127</v>
      </c>
      <c r="B2735" s="20" t="str">
        <f>IFERROR(__xludf.DUMMYFUNCTION("GOOGLETRANSLATE(A2735, ""fr"", ""en"")"),"Broken wheel on the Decoration Rolls
 THANKS")</f>
        <v>Broken wheel on the Decoration Rolls
 THANKS</v>
      </c>
    </row>
    <row r="2736">
      <c r="A2736" s="19" t="s">
        <v>2128</v>
      </c>
      <c r="B2736" s="20" t="str">
        <f>IFERROR(__xludf.DUMMYFUNCTION("GOOGLETRANSLATE(A2736, ""fr"", ""en"")"),"Bas du Rolls Casse")</f>
        <v>Bas du Rolls Casse</v>
      </c>
    </row>
    <row r="2737">
      <c r="A2737" s="19" t="s">
        <v>2129</v>
      </c>
      <c r="B2737" s="20" t="str">
        <f>IFERROR(__xludf.DUMMYFUNCTION("GOOGLETRANSLATE(A2737, ""fr"", ""en"")"),"Rolls two -wheeled deflected rear furniture.")</f>
        <v>Rolls two -wheeled deflected rear furniture.</v>
      </c>
    </row>
    <row r="2738">
      <c r="A2738" s="19" t="s">
        <v>2130</v>
      </c>
      <c r="B2738" s="20" t="str">
        <f>IFERROR(__xludf.DUMMYFUNCTION("GOOGLETRANSLATE(A2738, ""fr"", ""en"")"),"Broken bakery plinth
 (I made it pass on ""tiles"" because there is no ""plinth"" item)")</f>
        <v>Broken bakery plinth
 (I made it pass on "tiles" because there is no "plinth" item)</v>
      </c>
    </row>
    <row r="2739">
      <c r="A2739" s="19" t="s">
        <v>2131</v>
      </c>
      <c r="B2739" s="20" t="str">
        <f>IFERROR(__xludf.DUMMYFUNCTION("GOOGLETRANSLATE(A2739, ""fr"", ""en"")"),"At the request of the FM: checked and take photos of the SV lighting and in the reserve and in cash. Odm made by AT3.")</f>
        <v>At the request of the FM: checked and take photos of the SV lighting and in the reserve and in cash. Odm made by AT3.</v>
      </c>
    </row>
    <row r="2740">
      <c r="A2740" s="19" t="s">
        <v>2132</v>
      </c>
      <c r="B2740" s="20" t="str">
        <f>IFERROR(__xludf.DUMMYFUNCTION("GOOGLETRANSLATE(A2740, ""fr"", ""en"")"),"Lighting of the HS Viennoiseries Rasinage. Finished work.")</f>
        <v>Lighting of the HS Viennoiseries Rasinage. Finished work.</v>
      </c>
    </row>
    <row r="2741">
      <c r="A2741" s="19" t="s">
        <v>2133</v>
      </c>
      <c r="B2741" s="20" t="str">
        <f>IFERROR(__xludf.DUMMYFUNCTION("GOOGLETRANSLATE(A2741, ""fr"", ""en"")"),"Change of neon tubes, starters, glu plates on the two insect distributors in the Bread lab. ODM made by AT3. Finished work.")</f>
        <v>Change of neon tubes, starters, glu plates on the two insect distributors in the Bread lab. ODM made by AT3. Finished work.</v>
      </c>
    </row>
    <row r="2742">
      <c r="A2742" s="19" t="s">
        <v>2134</v>
      </c>
      <c r="B2742" s="20" t="str">
        <f>IFERROR(__xludf.DUMMYFUNCTION("GOOGLETRANSLATE(A2742, ""fr"", ""en"")"),"The window flows.")</f>
        <v>The window flows.</v>
      </c>
    </row>
    <row r="2743">
      <c r="A2743" s="19" t="s">
        <v>2135</v>
      </c>
      <c r="B2743" s="20" t="str">
        <f>IFERROR(__xludf.DUMMYFUNCTION("GOOGLETRANSLATE(A2743, ""fr"", ""en"")"),"Some furniture has water leaks
 + Prio 1 cold alarm")</f>
        <v>Some furniture has water leaks
 + Prio 1 cold alarm</v>
      </c>
    </row>
    <row r="2744">
      <c r="A2744" s="19" t="s">
        <v>2136</v>
      </c>
      <c r="B2744" s="20" t="str">
        <f>IFERROR(__xludf.DUMMYFUNCTION("GOOGLETRANSLATE(A2744, ""fr"", ""en"")"),"The provider intervened following a cold defect
 We have emptied the furniture
 To date, the temperature is correct that said we do not know if we can fill the furniture or not
 We have no instructions for the provider")</f>
        <v>The provider intervened following a cold defect
 We have emptied the furniture
 To date, the temperature is correct that said we do not know if we can fill the furniture or not
 We have no instructions for the provider</v>
      </c>
    </row>
    <row r="2745">
      <c r="A2745" s="19" t="s">
        <v>2137</v>
      </c>
      <c r="B2745" s="20" t="str">
        <f>IFERROR(__xludf.DUMMYFUNCTION("GOOGLETRANSLATE(A2745, ""fr"", ""en"")"),"The glass was broken")</f>
        <v>The glass was broken</v>
      </c>
    </row>
    <row r="2746">
      <c r="A2746" s="19" t="s">
        <v>2138</v>
      </c>
      <c r="B2746" s="20" t="str">
        <f>IFERROR(__xludf.DUMMYFUNCTION("GOOGLETRANSLATE(A2746, ""fr"", ""en"")"),"We have received the door from the frozen furniture, you can trigger the intervention for its replacement
 THANKS")</f>
        <v>We have received the door from the frozen furniture, you can trigger the intervention for its replacement
 THANKS</v>
      </c>
    </row>
    <row r="2747">
      <c r="A2747" s="19" t="s">
        <v>2139</v>
      </c>
      <c r="B2747" s="20" t="str">
        <f>IFERROR(__xludf.DUMMYFUNCTION("GOOGLETRANSLATE(A2747, ""fr"", ""en"")"),"water flows from the furniture
 See with the service provider before the compressor is defective")</f>
        <v>water flows from the furniture
 See with the service provider before the compressor is defective</v>
      </c>
    </row>
    <row r="2748">
      <c r="A2748" s="19" t="s">
        <v>2140</v>
      </c>
      <c r="B2748" s="20" t="str">
        <f>IFERROR(__xludf.DUMMYFUNCTION("GOOGLETRANSLATE(A2748, ""fr"", ""en"")"),"No more link with BO. The thermometre display is extinguished which creates an active alarm.")</f>
        <v>No more link with BO. The thermometre display is extinguished which creates an active alarm.</v>
      </c>
    </row>
    <row r="2749">
      <c r="A2749" s="19" t="s">
        <v>2141</v>
      </c>
      <c r="B2749" s="20" t="str">
        <f>IFERROR(__xludf.DUMMYFUNCTION("GOOGLETRANSLATE(A2749, ""fr"", ""en"")"),"The service provider intervened at the start of the week but did not repair anything ...
 He told us that he would go back the next day but ras to date
 And visit chain of the cold therefore red item on this piece of furniture")</f>
        <v>The service provider intervened at the start of the week but did not repair anything ...
 He told us that he would go back the next day but ras to date
 And visit chain of the cold therefore red item on this piece of furniture</v>
      </c>
    </row>
    <row r="2750">
      <c r="A2750" s="19" t="s">
        <v>2142</v>
      </c>
      <c r="B2750" s="20" t="str">
        <f>IFERROR(__xludf.DUMMYFUNCTION("GOOGLETRANSLATE(A2750, ""fr"", ""en"")"),"Defined for 16 minutes at 2:44 am that night. request for the vérification of the window by a technician")</f>
        <v>Defined for 16 minutes at 2:44 am that night. request for the vérification of the window by a technician</v>
      </c>
    </row>
    <row r="2751">
      <c r="A2751" s="19" t="s">
        <v>2143</v>
      </c>
      <c r="B2751" s="20" t="str">
        <f>IFERROR(__xludf.DUMMYFUNCTION("GOOGLETRANSLATE(A2751, ""fr"", ""en"")"),"High temperature showcase.
 Intervention this morning on the piece of furniture, the temperature does not hold after shelving of the products.
 Adre. 109 ADR. 129")</f>
        <v>High temperature showcase.
 Intervention this morning on the piece of furniture, the temperature does not hold after shelving of the products.
 Adre. 109 ADR. 129</v>
      </c>
    </row>
    <row r="2752">
      <c r="A2752" s="19" t="s">
        <v>2144</v>
      </c>
      <c r="B2752" s="20" t="str">
        <f>IFERROR(__xludf.DUMMYFUNCTION("GOOGLETRANSLATE(A2752, ""fr"", ""en"")"),"VERY BRISE VITRE VITER VITER TRANS FROM GREST VERY DISHIGRIEUX MAKE TO FRANCE URGENT")</f>
        <v>VERY BRISE VITRE VITER VITER TRANS FROM GREST VERY DISHIGRIEUX MAKE TO FRANCE URGENT</v>
      </c>
    </row>
    <row r="2753">
      <c r="A2753" s="21"/>
      <c r="B2753" s="20" t="str">
        <f>IFERROR(__xludf.DUMMYFUNCTION("GOOGLETRANSLATE(A2753, ""fr"", ""en"")"),"#VALUE!")</f>
        <v>#VALUE!</v>
      </c>
    </row>
    <row r="2754">
      <c r="A2754" s="19" t="s">
        <v>2145</v>
      </c>
      <c r="B2754" s="20" t="str">
        <f>IFERROR(__xludf.DUMMYFUNCTION("GOOGLETRANSLATE(A2754, ""fr"", ""en"")"),"The door has been changed and the seal was bad thus, there has been a trip in ice for a long time
 The provider had spent one evening but was called in on -call and told us that he would come back
 To date, no news
 and visit RVR this day therefore recove"&amp;"ry please")</f>
        <v>The door has been changed and the seal was bad thus, there has been a trip in ice for a long time
 The provider had spent one evening but was called in on -call and told us that he would come back
 To date, no news
 and visit RVR this day therefore recovery please</v>
      </c>
    </row>
    <row r="2755">
      <c r="A2755" s="19" t="s">
        <v>2146</v>
      </c>
      <c r="B2755" s="20" t="str">
        <f>IFERROR(__xludf.DUMMYFUNCTION("GOOGLETRANSLATE(A2755, ""fr"", ""en"")"),"Magnet exit from his door seal .odm door made by AT3. Finished work.")</f>
        <v>Magnet exit from his door seal .odm door made by AT3. Finished work.</v>
      </c>
    </row>
    <row r="2756">
      <c r="A2756" s="19" t="s">
        <v>2147</v>
      </c>
      <c r="B2756" s="20" t="str">
        <f>IFERROR(__xludf.DUMMYFUNCTION("GOOGLETRANSLATE(A2756, ""fr"", ""en"")"),"Defective door seal.")</f>
        <v>Defective door seal.</v>
      </c>
    </row>
    <row r="2757">
      <c r="A2757" s="19" t="s">
        <v>2148</v>
      </c>
      <c r="B2757" s="20" t="str">
        <f>IFERROR(__xludf.DUMMYFUNCTION("GOOGLETRANSLATE(A2757, ""fr"", ""en"")"),"broken tg door.")</f>
        <v>broken tg door.</v>
      </c>
    </row>
    <row r="2758">
      <c r="A2758" s="19" t="s">
        <v>2149</v>
      </c>
      <c r="B2758" s="20" t="str">
        <f>IFERROR(__xludf.DUMMYFUNCTION("GOOGLETRANSLATE(A2758, ""fr"", ""en"")"),"Ice taking on door.")</f>
        <v>Ice taking on door.</v>
      </c>
    </row>
    <row r="2759">
      <c r="A2759" s="19" t="s">
        <v>2150</v>
      </c>
      <c r="B2759" s="20" t="str">
        <f>IFERROR(__xludf.DUMMYFUNCTION("GOOGLETRANSLATE(A2759, ""fr"", ""en"")"),"Following a door of the door of an Surg piece of furniture 2 weeks ago, it is made of ice.")</f>
        <v>Following a door of the door of an Surg piece of furniture 2 weeks ago, it is made of ice.</v>
      </c>
    </row>
    <row r="2760">
      <c r="A2760" s="19" t="s">
        <v>2151</v>
      </c>
      <c r="B2760" s="20" t="str">
        <f>IFERROR(__xludf.DUMMYFUNCTION("GOOGLETRANSLATE(A2760, ""fr"", ""en"")"),"Greeting of the frozen furniture after changing the broken glass.")</f>
        <v>Greeting of the frozen furniture after changing the broken glass.</v>
      </c>
    </row>
    <row r="2761">
      <c r="A2761" s="19" t="s">
        <v>2152</v>
      </c>
      <c r="B2761" s="20" t="str">
        <f>IFERROR(__xludf.DUMMYFUNCTION("GOOGLETRANSLATE(A2761, ""fr"", ""en"")"),"Defecious door join")</f>
        <v>Defecious door join</v>
      </c>
    </row>
    <row r="2762">
      <c r="A2762" s="19" t="s">
        <v>2153</v>
      </c>
      <c r="B2762" s="20" t="str">
        <f>IFERROR(__xludf.DUMMYFUNCTION("GOOGLETRANSLATE(A2762, ""fr"", ""en"")"),"Beginning of ice taking furniture 121 to 125")</f>
        <v>Beginning of ice taking furniture 121 to 125</v>
      </c>
    </row>
    <row r="2763">
      <c r="A2763" s="21"/>
      <c r="B2763" s="20" t="str">
        <f>IFERROR(__xludf.DUMMYFUNCTION("GOOGLETRANSLATE(A2763, ""fr"", ""en"")"),"#VALUE!")</f>
        <v>#VALUE!</v>
      </c>
    </row>
    <row r="2764">
      <c r="A2764" s="19" t="s">
        <v>2154</v>
      </c>
      <c r="B2764" s="20" t="str">
        <f>IFERROR(__xludf.DUMMYFUNCTION("GOOGLETRANSLATE(A2764, ""fr"", ""en"")"),"Cassement seal")</f>
        <v>Cassement seal</v>
      </c>
    </row>
    <row r="2765">
      <c r="A2765" s="21"/>
      <c r="B2765" s="20" t="str">
        <f>IFERROR(__xludf.DUMMYFUNCTION("GOOGLETRANSLATE(A2765, ""fr"", ""en"")"),"#VALUE!")</f>
        <v>#VALUE!</v>
      </c>
    </row>
    <row r="2766">
      <c r="A2766" s="19" t="s">
        <v>2155</v>
      </c>
      <c r="B2766" s="20" t="str">
        <f>IFERROR(__xludf.DUMMYFUNCTION("GOOGLETRANSLATE(A2766, ""fr"", ""en"")"),"Surgeled glass (Skylight) broken.")</f>
        <v>Surgeled glass (Skylight) broken.</v>
      </c>
    </row>
    <row r="2767">
      <c r="A2767" s="19" t="s">
        <v>2156</v>
      </c>
      <c r="B2767" s="20" t="str">
        <f>IFERROR(__xludf.DUMMYFUNCTION("GOOGLETRANSLATE(A2767, ""fr"", ""en"")"),"Ice -taking in a frozen furniture surely due to a door sealing problem.")</f>
        <v>Ice -taking in a frozen furniture surely due to a door sealing problem.</v>
      </c>
    </row>
    <row r="2768">
      <c r="A2768" s="19" t="s">
        <v>2157</v>
      </c>
      <c r="B2768" s="20" t="str">
        <f>IFERROR(__xludf.DUMMYFUNCTION("GOOGLETRANSLATE(A2768, ""fr"", ""en"")"),"in cold default for 8 a.m. (probe problem)")</f>
        <v>in cold default for 8 a.m. (probe problem)</v>
      </c>
    </row>
    <row r="2769">
      <c r="A2769" s="19" t="s">
        <v>2158</v>
      </c>
      <c r="B2769" s="20" t="str">
        <f>IFERROR(__xludf.DUMMYFUNCTION("GOOGLETRANSLATE(A2769, ""fr"", ""en"")"),"Defective door seal")</f>
        <v>Defective door seal</v>
      </c>
    </row>
    <row r="2770">
      <c r="A2770" s="19" t="s">
        <v>2159</v>
      </c>
      <c r="B2770" s="20" t="str">
        <f>IFERROR(__xludf.DUMMYFUNCTION("GOOGLETRANSLATE(A2770, ""fr"", ""en"")"),"Ice taking.")</f>
        <v>Ice taking.</v>
      </c>
    </row>
    <row r="2771">
      <c r="A2771" s="19" t="s">
        <v>2160</v>
      </c>
      <c r="B2771" s="20" t="str">
        <f>IFERROR(__xludf.DUMMYFUNCTION("GOOGLETRANSLATE(A2771, ""fr"", ""en"")"),"The furniture no longer produces cold temperature poster a -4
 Heart temperature -10")</f>
        <v>The furniture no longer produces cold temperature poster a -4
 Heart temperature -10</v>
      </c>
    </row>
    <row r="2772">
      <c r="A2772" s="19" t="s">
        <v>2161</v>
      </c>
      <c r="B2772" s="20" t="str">
        <f>IFERROR(__xludf.DUMMYFUNCTION("GOOGLETRANSLATE(A2772, ""fr"", ""en"")"),"Water puddle every morning near a frozen furniture. Surely due to the evening defrosting.")</f>
        <v>Water puddle every morning near a frozen furniture. Surely due to the evening defrosting.</v>
      </c>
    </row>
    <row r="2773">
      <c r="A2773" s="19" t="s">
        <v>2162</v>
      </c>
      <c r="B2773" s="20" t="str">
        <f>IFERROR(__xludf.DUMMYFUNCTION("GOOGLETRANSLATE(A2773, ""fr"", ""en"")"),"At the request of the FM: sealed in an envelope and put in it the keys to the Baie Info video box then place it in the strong trunk and take a photo.")</f>
        <v>At the request of the FM: sealed in an envelope and put in it the keys to the Baie Info video box then place it in the strong trunk and take a photo.</v>
      </c>
    </row>
    <row r="2774">
      <c r="A2774" s="19" t="s">
        <v>2163</v>
      </c>
      <c r="B2774" s="20" t="str">
        <f>IFERROR(__xludf.DUMMYFUNCTION("GOOGLETRANSLATE(A2774, ""fr"", ""en"")"),"Malik DM badge creation at 4046
 The number being on the old DI without photo
 THANKS")</f>
        <v>Malik DM badge creation at 4046
 The number being on the old DI without photo
 THANKS</v>
      </c>
    </row>
    <row r="2775">
      <c r="A2775" s="19" t="s">
        <v>2164</v>
      </c>
      <c r="B2775" s="20" t="str">
        <f>IFERROR(__xludf.DUMMYFUNCTION("GOOGLETRANSLATE(A2775, ""fr"", ""en"")"),"We have new employees who do not have access to social
 Jennifer Barthelet (return from matt leave)
 Kevin Litzler
 Laura Montac (Mat leave)
 Pinar Mete (Mutation)
 Is it possible to involve the service provider please?
 And I think the cameras don't wo"&amp;"rk")</f>
        <v>We have new employees who do not have access to social
 Jennifer Barthelet (return from matt leave)
 Kevin Litzler
 Laura Montac (Mat leave)
 Pinar Mete (Mutation)
 Is it possible to involve the service provider please?
 And I think the cameras don't work</v>
      </c>
    </row>
    <row r="2776">
      <c r="A2776" s="19" t="s">
        <v>2165</v>
      </c>
      <c r="B2776" s="20" t="str">
        <f>IFERROR(__xludf.DUMMYFUNCTION("GOOGLETRANSLATE(A2776, ""fr"", ""en"")"),"Lock on the small HS DNS electric cabinet The Info.odm room made by AT3.")</f>
        <v>Lock on the small HS DNS electric cabinet The Info.odm room made by AT3.</v>
      </c>
    </row>
    <row r="2777">
      <c r="A2777" s="19" t="s">
        <v>2166</v>
      </c>
      <c r="B2777" s="20" t="str">
        <f>IFERROR(__xludf.DUMMYFUNCTION("GOOGLETRANSLATE(A2777, ""fr"", ""en"")"),"Replace the key box at the office")</f>
        <v>Replace the key box at the office</v>
      </c>
    </row>
    <row r="2778">
      <c r="A2778" s="19" t="s">
        <v>2167</v>
      </c>
      <c r="B2778" s="20" t="str">
        <f>IFERROR(__xludf.DUMMYFUNCTION("GOOGLETRANSLATE(A2778, ""fr"", ""en"")"),"Good morning,
 I lost my supervisory local access badge, can you configure me the attached badge please.
 badge number: 0001214759284
 Name: Ucmaz
 First name: Denis
 Post: AMG")</f>
        <v>Good morning,
 I lost my supervisory local access badge, can you configure me the attached badge please.
 badge number: 0001214759284
 Name: Ucmaz
 First name: Denis
 Post: AMG</v>
      </c>
    </row>
    <row r="2779">
      <c r="A2779" s="19" t="s">
        <v>2168</v>
      </c>
      <c r="B2779" s="20" t="str">
        <f>IFERROR(__xludf.DUMMYFUNCTION("GOOGLETRANSLATE(A2779, ""fr"", ""en"")"),"1 badge to go into ""framing"" mode (alarm, dock holder, etc.). Badge number: 0001215445988. Name: Boukraa Mohamed
 Function: Supermarket manager.")</f>
        <v>1 badge to go into "framing" mode (alarm, dock holder, etc.). Badge number: 0001215445988. Name: Boukraa Mohamed
 Function: Supermarket manager.</v>
      </c>
    </row>
    <row r="2780">
      <c r="A2780" s="19" t="s">
        <v>2169</v>
      </c>
      <c r="B2780" s="20" t="str">
        <f>IFERROR(__xludf.DUMMYFUNCTION("GOOGLETRANSLATE(A2780, ""fr"", ""en"")"),"Good morning,
 We would need 2 supermarket keys:
 1 For the supermarket manager: Boukraa Mohamed (broken key)
 1 for the CCA Brander Cathy because a lost key.")</f>
        <v>Good morning,
 We would need 2 supermarket keys:
 1 For the supermarket manager: Boukraa Mohamed (broken key)
 1 for the CCA Brander Cathy because a lost key.</v>
      </c>
    </row>
    <row r="2781">
      <c r="A2781" s="19" t="s">
        <v>2170</v>
      </c>
      <c r="B2781" s="20" t="str">
        <f>IFERROR(__xludf.DUMMYFUNCTION("GOOGLETRANSLATE(A2781, ""fr"", ""en"")"),"Good morning,
 Can you activate these emergency badges for local access. These are 10 -digit black badges as well as 9 -digit white badges that should be configured.
 -Lan -black badges has 10 digits:
 FEUGEY LUDOVIC. Supervisor: 1214736804
 Ba Khady: E"&amp;"P: 1652253738
 Wander Mike: EP: 1652215610
 Makiwa Cynthia: EP: 1591578692
 -Ar 9 digits white badges:
 Drews Cassandra: EP: 996717028
 Taherjouyan Fatemeh: EP: 997984164
 DAAM RABIA: EP: 904378666
 Jadallah Khalil: EP: 998494948
 Peter Rachel: EP: 9977"&amp;"97236")</f>
        <v>Good morning,
 Can you activate these emergency badges for local access. These are 10 -digit black badges as well as 9 -digit white badges that should be configured.
 -Lan -black badges has 10 digits:
 FEUGEY LUDOVIC. Supervisor: 1214736804
 Ba Khady: EP: 1652253738
 Wander Mike: EP: 1652215610
 Makiwa Cynthia: EP: 1591578692
 -Ar 9 digits white badges:
 Drews Cassandra: EP: 996717028
 Taherjouyan Fatemeh: EP: 997984164
 DAAM RABIA: EP: 904378666
 Jadallah Khalil: EP: 998494948
 Peter Rachel: EP: 997797236</v>
      </c>
    </row>
    <row r="2782">
      <c r="A2782" s="19" t="s">
        <v>2171</v>
      </c>
      <c r="B2782" s="20" t="str">
        <f>IFERROR(__xludf.DUMMYFUNCTION("GOOGLETRANSLATE(A2782, ""fr"", ""en"")"),"The social gateway no longer opens with badges.")</f>
        <v>The social gateway no longer opens with badges.</v>
      </c>
    </row>
    <row r="2783">
      <c r="A2783" s="19" t="s">
        <v>2172</v>
      </c>
      <c r="B2783" s="20" t="str">
        <f>IFERROR(__xludf.DUMMYFUNCTION("GOOGLETRANSLATE(A2783, ""fr"", ""en"")"),"Sale Code ASAison Night surveillance of April 28, 2022. Seasonal implementation work")</f>
        <v>Sale Code ASAison Night surveillance of April 28, 2022. Seasonal implementation work</v>
      </c>
    </row>
    <row r="2784">
      <c r="A2784" s="19" t="s">
        <v>2173</v>
      </c>
      <c r="B2784" s="20" t="str">
        <f>IFERROR(__xludf.DUMMYFUNCTION("GOOGLETRANSLATE(A2784, ""fr"", ""en"")"),"Sale Code Season Surveillance of the Night of June 14, 2022. Seasonal implementation work")</f>
        <v>Sale Code Season Surveillance of the Night of June 14, 2022. Seasonal implementation work</v>
      </c>
    </row>
    <row r="2785">
      <c r="A2785" s="19" t="s">
        <v>2174</v>
      </c>
      <c r="B2785" s="20" t="str">
        <f>IFERROR(__xludf.DUMMYFUNCTION("GOOGLETRANSLATE(A2785, ""fr"", ""en"")"),"HS.ODM LED ramp lighting made by AT3. Finished work.")</f>
        <v>HS.ODM LED ramp lighting made by AT3. Finished work.</v>
      </c>
    </row>
    <row r="2786">
      <c r="A2786" s="21"/>
      <c r="B2786" s="20" t="str">
        <f>IFERROR(__xludf.DUMMYFUNCTION("GOOGLETRANSLATE(A2786, ""fr"", ""en"")"),"#VALUE!")</f>
        <v>#VALUE!</v>
      </c>
    </row>
    <row r="2787">
      <c r="A2787" s="19" t="s">
        <v>2175</v>
      </c>
      <c r="B2787" s="20" t="str">
        <f>IFERROR(__xludf.DUMMYFUNCTION("GOOGLETRANSLATE(A2787, ""fr"", ""en"")"),"Laying the display on the Abb.odm terminal made by AT3. Finished work")</f>
        <v>Laying the display on the Abb.odm terminal made by AT3. Finished work</v>
      </c>
    </row>
    <row r="2788">
      <c r="A2788" s="19" t="s">
        <v>2176</v>
      </c>
      <c r="B2788" s="20" t="str">
        <f>IFERROR(__xludf.DUMMYFUNCTION("GOOGLETRANSLATE(A2788, ""fr"", ""en"")"),"Water pipe to fill the broken car washer too short to be used")</f>
        <v>Water pipe to fill the broken car washer too short to be used</v>
      </c>
    </row>
    <row r="2789">
      <c r="A2789" s="19" t="s">
        <v>2177</v>
      </c>
      <c r="B2789" s="20" t="str">
        <f>IFERROR(__xludf.DUMMYFUNCTION("GOOGLETRANSLATE(A2789, ""fr"", ""en"")"),"At the request of the DR: verification of the vvp.odm lighting wiring made by AT3. Finished work.")</f>
        <v>At the request of the DR: verification of the vvp.odm lighting wiring made by AT3. Finished work.</v>
      </c>
    </row>
    <row r="2790">
      <c r="A2790" s="19" t="s">
        <v>2178</v>
      </c>
      <c r="B2790" s="20" t="str">
        <f>IFERROR(__xludf.DUMMYFUNCTION("GOOGLETRANSLATE(A2790, ""fr"", ""en"")"),"The VVP window in the rear TG is broken")</f>
        <v>The VVP window in the rear TG is broken</v>
      </c>
    </row>
    <row r="2791">
      <c r="A2791" s="19" t="s">
        <v>2179</v>
      </c>
      <c r="B2791" s="20" t="str">
        <f>IFERROR(__xludf.DUMMYFUNCTION("GOOGLETRANSLATE(A2791, ""fr"", ""en"")"),"Mally configured window. It does not open properly and it pushes the window next door.")</f>
        <v>Mally configured window. It does not open properly and it pushes the window next door.</v>
      </c>
    </row>
    <row r="2792">
      <c r="A2792" s="19" t="s">
        <v>2180</v>
      </c>
      <c r="B2792" s="20" t="str">
        <f>IFERROR(__xludf.DUMMYFUNCTION("GOOGLETRANSLATE(A2792, ""fr"", ""en"")"),"Fatal EURROR CODE 9023
 Customer service told us that we need the key to the boot to solve the problem, the trunk is pending unusable.
 urgent")</f>
        <v>Fatal EURROR CODE 9023
 Customer service told us that we need the key to the boot to solve the problem, the trunk is pending unusable.
 urgent</v>
      </c>
    </row>
    <row r="2793">
      <c r="A2793" s="19" t="s">
        <v>2181</v>
      </c>
      <c r="B2793" s="20" t="str">
        <f>IFERROR(__xludf.DUMMYFUNCTION("GOOGLETRANSLATE(A2793, ""fr"", ""en"")"),"When picking up with the conveyors, the recap ticklet is not released which has generated a bad trunk edition.")</f>
        <v>When picking up with the conveyors, the recap ticklet is not released which has generated a bad trunk edition.</v>
      </c>
    </row>
    <row r="2794">
      <c r="A2794" s="19" t="s">
        <v>2182</v>
      </c>
      <c r="B2794" s="20" t="str">
        <f>IFERROR(__xludf.DUMMYFUNCTION("GOOGLETRANSLATE(A2794, ""fr"", ""en"")"),"The Code button does not light up and therefore impossible to open the door to recover conveyors pocket")</f>
        <v>The Code button does not light up and therefore impossible to open the door to recover conveyors pocket</v>
      </c>
    </row>
    <row r="2795">
      <c r="A2795" s="19" t="s">
        <v>2183</v>
      </c>
      <c r="B2795" s="20" t="str">
        <f>IFERROR(__xludf.DUMMYFUNCTION("GOOGLETRANSLATE(A2795, ""fr"", ""en"")"),"During the background pickup with the conveyors, the tick of the sag's bag does not come out, and the auto trunk does not row up, which generates an edition trunk at more than 66 ....")</f>
        <v>During the background pickup with the conveyors, the tick of the sag's bag does not come out, and the auto trunk does not row up, which generates an edition trunk at more than 66 ....</v>
      </c>
    </row>
    <row r="2796">
      <c r="A2796" s="19" t="s">
        <v>2184</v>
      </c>
      <c r="B2796" s="20" t="str">
        <f>IFERROR(__xludf.DUMMYFUNCTION("GOOGLETRANSLATE(A2796, ""fr"", ""en"")"),"Momtant of the bag poured to the conveyor not withdrawing from the trunk, which gives a false edition trunk")</f>
        <v>Momtant of the bag poured to the conveyor not withdrawing from the trunk, which gives a false edition trunk</v>
      </c>
    </row>
    <row r="2797">
      <c r="A2797" s="19" t="s">
        <v>2185</v>
      </c>
      <c r="B2797" s="20" t="str">
        <f>IFERROR(__xludf.DUMMYFUNCTION("GOOGLETRANSLATE(A2797, ""fr"", ""en"")"),"screen freezes, forced to disconnect and reconnect so that it restarts")</f>
        <v>screen freezes, forced to disconnect and reconnect so that it restarts</v>
      </c>
    </row>
    <row r="2798">
      <c r="A2798" s="19" t="s">
        <v>2186</v>
      </c>
      <c r="B2798" s="20" t="str">
        <f>IFERROR(__xludf.DUMMYFUNCTION("GOOGLETRANSLATE(A2798, ""fr"", ""en"")"),"blocked pieces impossible to go out")</f>
        <v>blocked pieces impossible to go out</v>
      </c>
    </row>
    <row r="2799">
      <c r="A2799" s="19" t="s">
        <v>2187</v>
      </c>
      <c r="B2799" s="20" t="str">
        <f>IFERROR(__xludf.DUMMYFUNCTION("GOOGLETRANSLATE(A2799, ""fr"", ""en"")"),"URGENT
 The screen is displayed black, we have very big difficulties in recovering the boxes.")</f>
        <v>URGENT
 The screen is displayed black, we have very big difficulties in recovering the boxes.</v>
      </c>
    </row>
    <row r="2800">
      <c r="A2800" s="19" t="s">
        <v>2188</v>
      </c>
      <c r="B2800" s="20" t="str">
        <f>IFERROR(__xludf.DUMMYFUNCTION("GOOGLETRANSLATE(A2800, ""fr"", ""en"")"),"We have a problem with the trunk
 The company's technician intervened and asked us to involve an electrician (see GLORY report)
 The bag is filled with 100% and we encounter withdrawal problems")</f>
        <v>We have a problem with the trunk
 The company's technician intervened and asked us to involve an electrician (see GLORY report)
 The bag is filled with 100% and we encounter withdrawal problems</v>
      </c>
    </row>
    <row r="2801">
      <c r="A2801" s="19" t="s">
        <v>2189</v>
      </c>
      <c r="B2801" s="20" t="str">
        <f>IFERROR(__xludf.DUMMYFUNCTION("GOOGLETRANSLATE(A2801, ""fr"", ""en"")"),"Following the passage of the electrician,
 Thank you for urgently commissioning the alarmist for the trunk.
 and the Video Surveillance system is disconnected -and salaried badge to create
 URGENT")</f>
        <v>Following the passage of the electrician,
 Thank you for urgently commissioning the alarmist for the trunk.
 and the Video Surveillance system is disconnected -and salaried badge to create
 URGENT</v>
      </c>
    </row>
    <row r="2802">
      <c r="A2802" s="19" t="s">
        <v>2190</v>
      </c>
      <c r="B2802" s="20" t="str">
        <f>IFERROR(__xludf.DUMMYFUNCTION("GOOGLETRANSLATE(A2802, ""fr"", ""en"")"),"Keyboard no longer responds and when it works impossible to take a box.
 URGENT !")</f>
        <v>Keyboard no longer responds and when it works impossible to take a box.
 URGENT !</v>
      </c>
    </row>
    <row r="2803">
      <c r="A2803" s="19" t="s">
        <v>2191</v>
      </c>
      <c r="B2803" s="20" t="str">
        <f>IFERROR(__xludf.DUMMYFUNCTION("GOOGLETRANSLATE(A2803, ""fr"", ""en"")"),"Urgent the trunk is blocking
 The assistance service wishes the Dallas key
 We cannot close - give boxes etc ...")</f>
        <v>Urgent the trunk is blocking
 The assistance service wishes the Dallas key
 We cannot close - give boxes etc ...</v>
      </c>
    </row>
    <row r="2804">
      <c r="A2804" s="19" t="s">
        <v>2192</v>
      </c>
      <c r="B2804" s="20" t="str">
        <f>IFERROR(__xludf.DUMMYFUNCTION("GOOGLETRANSLATE(A2804, ""fr"", ""en"")"),"We have missed the conveyors and the bag is filled
 Is it possible to obtain a double of the Dallas key please because we have a problem with the trunk with a gap of € 66,760 because IT the old bag is not paid")</f>
        <v>We have missed the conveyors and the bag is filled
 Is it possible to obtain a double of the Dallas key please because we have a problem with the trunk with a gap of € 66,760 because IT the old bag is not paid</v>
      </c>
    </row>
    <row r="2805">
      <c r="A2805" s="19" t="s">
        <v>2193</v>
      </c>
      <c r="B2805" s="20" t="str">
        <f>IFERROR(__xludf.DUMMYFUNCTION("GOOGLETRANSLATE(A2805, ""fr"", ""en"")"),"Beug often stops on your own, we are forced to turn it on an inspection and to do urgently please thank you.")</f>
        <v>Beug often stops on your own, we are forced to turn it on an inspection and to do urgently please thank you.</v>
      </c>
    </row>
    <row r="2806">
      <c r="A2806" s="19" t="s">
        <v>2194</v>
      </c>
      <c r="B2806" s="20" t="str">
        <f>IFERROR(__xludf.DUMMYFUNCTION("GOOGLETRANSLATE(A2806, ""fr"", ""en"")"),"Box block CF Photo")</f>
        <v>Box block CF Photo</v>
      </c>
    </row>
    <row r="2807">
      <c r="A2807" s="19" t="s">
        <v>2195</v>
      </c>
      <c r="B2807" s="20" t="str">
        <f>IFERROR(__xludf.DUMMYFUNCTION("GOOGLETRANSLATE(A2807, ""fr"", ""en"")"),"Replace by AT2 the key box of the office")</f>
        <v>Replace by AT2 the key box of the office</v>
      </c>
    </row>
    <row r="2808">
      <c r="A2808" s="19" t="s">
        <v>2196</v>
      </c>
      <c r="B2808" s="20" t="str">
        <f>IFERROR(__xludf.DUMMYFUNCTION("GOOGLETRANSLATE(A2808, ""fr"", ""en"")"),"unusable")</f>
        <v>unusable</v>
      </c>
    </row>
    <row r="2809">
      <c r="A2809" s="19" t="s">
        <v>2197</v>
      </c>
      <c r="B2809" s="20" t="str">
        <f>IFERROR(__xludf.DUMMYFUNCTION("GOOGLETRANSLATE(A2809, ""fr"", ""en"")"),"HS chest, the ticket part no longer answers.
 I stopped then restart, disconnect then rebranch but it does not work.
 Impossible to be able to access inside the trunk also.")</f>
        <v>HS chest, the ticket part no longer answers.
 I stopped then restart, disconnect then rebranch but it does not work.
 Impossible to be able to access inside the trunk also.</v>
      </c>
    </row>
    <row r="2810">
      <c r="A2810" s="19" t="s">
        <v>2198</v>
      </c>
      <c r="B2810" s="20" t="str">
        <f>IFERROR(__xludf.DUMMYFUNCTION("GOOGLETRANSLATE(A2810, ""fr"", ""en"")"),"The automatic trunk no longer takes the tickets during the samples, the tickets are all blocking.
 After offset all the tickets to block a test was redone but the problem persists the auto trunk does not accept tickets during the samples.")</f>
        <v>The automatic trunk no longer takes the tickets during the samples, the tickets are all blocking.
 After offset all the tickets to block a test was redone but the problem persists the auto trunk does not accept tickets during the samples.</v>
      </c>
    </row>
    <row r="2811">
      <c r="A2811" s="19" t="s">
        <v>2199</v>
      </c>
      <c r="B2811" s="20" t="str">
        <f>IFERROR(__xludf.DUMMYFUNCTION("GOOGLETRANSLATE(A2811, ""fr"", ""en"")"),"No possible interaction with the automatic trunk")</f>
        <v>No possible interaction with the automatic trunk</v>
      </c>
    </row>
    <row r="2812">
      <c r="A2812" s="19" t="s">
        <v>2200</v>
      </c>
      <c r="B2812" s="20" t="str">
        <f>IFERROR(__xludf.DUMMYFUNCTION("GOOGLETRANSLATE(A2812, ""fr"", ""en"")"),"The trunk is unusable: error message during the self -test ""automaton currently occupied ...""")</f>
        <v>The trunk is unusable: error message during the self -test "automaton currently occupied ..."</v>
      </c>
    </row>
    <row r="2813">
      <c r="A2813" s="19" t="s">
        <v>2201</v>
      </c>
      <c r="B2813" s="20" t="str">
        <f>IFERROR(__xludf.DUMMYFUNCTION("GOOGLETRANSLATE(A2813, ""fr"", ""en"")"),"2 HS neons")</f>
        <v>2 HS neons</v>
      </c>
    </row>
    <row r="2814">
      <c r="A2814" s="19" t="s">
        <v>2202</v>
      </c>
      <c r="B2814" s="20" t="str">
        <f>IFERROR(__xludf.DUMMYFUNCTION("GOOGLETRANSLATE(A2814, ""fr"", ""en"")"),"Can you put a sensor peele the lighting in the middle of the reserve ... thank you")</f>
        <v>Can you put a sensor peele the lighting in the middle of the reserve ... thank you</v>
      </c>
    </row>
    <row r="2815">
      <c r="A2815" s="19" t="s">
        <v>2203</v>
      </c>
      <c r="B2815" s="20" t="str">
        <f>IFERROR(__xludf.DUMMYFUNCTION("GOOGLETRANSLATE(A2815, ""fr"", ""en"")"),"Lighting Reserve Cote Quai no longer operates DEFAUTER PERFORME")</f>
        <v>Lighting Reserve Cote Quai no longer operates DEFAUTER PERFORME</v>
      </c>
    </row>
    <row r="2816">
      <c r="A2816" s="19" t="s">
        <v>2204</v>
      </c>
      <c r="B2816" s="20" t="str">
        <f>IFERROR(__xludf.DUMMYFUNCTION("GOOGLETRANSLATE(A2816, ""fr"", ""en"")"),"* The lights are too quickly in the reserve!
 Can you miss sensors?
 Because we find ourselves in the dark and we have to make several meters to declanize the light.
 Technician cannot intervene properly.
 More risk of falling staff working in the reserve"&amp;": ball, return NF, seizure of losses etc ...")</f>
        <v>* The lights are too quickly in the reserve!
 Can you miss sensors?
 Because we find ourselves in the dark and we have to make several meters to declanize the light.
 Technician cannot intervene properly.
 More risk of falling staff working in the reserve: ball, return NF, seizure of losses etc ...</v>
      </c>
    </row>
    <row r="2817">
      <c r="A2817" s="19" t="s">
        <v>2205</v>
      </c>
      <c r="B2817" s="20" t="str">
        <f>IFERROR(__xludf.DUMMYFUNCTION("GOOGLETRANSLATE(A2817, ""fr"", ""en"")"),"Blocked door in open position")</f>
        <v>Blocked door in open position</v>
      </c>
    </row>
    <row r="2818">
      <c r="A2818" s="19" t="s">
        <v>2206</v>
      </c>
      <c r="B2818" s="20" t="str">
        <f>IFERROR(__xludf.DUMMYFUNCTION("GOOGLETRANSLATE(A2818, ""fr"", ""en"")"),"HS front door")</f>
        <v>HS front door</v>
      </c>
    </row>
    <row r="2819">
      <c r="A2819" s="19" t="s">
        <v>2207</v>
      </c>
      <c r="B2819" s="20" t="str">
        <f>IFERROR(__xludf.DUMMYFUNCTION("GOOGLETRANSLATE(A2819, ""fr"", ""en"")"),"Entrance door (SAS elevator) which creaks enormously.")</f>
        <v>Entrance door (SAS elevator) which creaks enormously.</v>
      </c>
    </row>
    <row r="2820">
      <c r="A2820" s="19" t="s">
        <v>2208</v>
      </c>
      <c r="B2820" s="20" t="str">
        <f>IFERROR(__xludf.DUMMYFUNCTION("GOOGLETRANSLATE(A2820, ""fr"", ""en"")"),"Door does not open \ Farm, door out of the rail.")</f>
        <v>Door does not open \ Farm, door out of the rail.</v>
      </c>
    </row>
    <row r="2821">
      <c r="A2821" s="19" t="s">
        <v>2209</v>
      </c>
      <c r="B2821" s="20" t="str">
        <f>IFERROR(__xludf.DUMMYFUNCTION("GOOGLETRANSLATE(A2821, ""fr"", ""en"")"),"HS door control box The door is no longer closed.")</f>
        <v>HS door control box The door is no longer closed.</v>
      </c>
    </row>
    <row r="2822">
      <c r="A2822" s="21"/>
      <c r="B2822" s="20" t="str">
        <f>IFERROR(__xludf.DUMMYFUNCTION("GOOGLETRANSLATE(A2822, ""fr"", ""en"")"),"#VALUE!")</f>
        <v>#VALUE!</v>
      </c>
    </row>
    <row r="2823">
      <c r="A2823" s="19" t="s">
        <v>1799</v>
      </c>
      <c r="B2823" s="20" t="str">
        <f>IFERROR(__xludf.DUMMYFUNCTION("GOOGLETRANSLATE(A2823, ""fr"", ""en"")"),"Hello, the door closes anymore.
 Sincerely")</f>
        <v>Hello, the door closes anymore.
 Sincerely</v>
      </c>
    </row>
    <row r="2824">
      <c r="A2824" s="19" t="s">
        <v>2210</v>
      </c>
      <c r="B2824" s="20" t="str">
        <f>IFERROR(__xludf.DUMMYFUNCTION("GOOGLETRANSLATE(A2824, ""fr"", ""en"")"),"Broken key in the barrel.")</f>
        <v>Broken key in the barrel.</v>
      </c>
    </row>
    <row r="2825">
      <c r="A2825" s="19" t="s">
        <v>2211</v>
      </c>
      <c r="B2825" s="20" t="str">
        <f>IFERROR(__xludf.DUMMYFUNCTION("GOOGLETRANSLATE(A2825, ""fr"", ""en"")"),"Automatic door input (after elevator) does not work.")</f>
        <v>Automatic door input (after elevator) does not work.</v>
      </c>
    </row>
    <row r="2826">
      <c r="A2826" s="19" t="s">
        <v>2212</v>
      </c>
      <c r="B2826" s="20" t="str">
        <f>IFERROR(__xludf.DUMMYFUNCTION("GOOGLETRANSLATE(A2826, ""fr"", ""en"")"),"A second automatic input door of the supermarket does not work. Porte side elevator)")</f>
        <v>A second automatic input door of the supermarket does not work. Porte side elevator)</v>
      </c>
    </row>
    <row r="2827">
      <c r="A2827" s="19" t="s">
        <v>2213</v>
      </c>
      <c r="B2827" s="20" t="str">
        <f>IFERROR(__xludf.DUMMYFUNCTION("GOOGLETRANSLATE(A2827, ""fr"", ""en"")"),"The supermarket automatic entrance door does not work. It works to enter but not to go out (surely a sensor problem)")</f>
        <v>The supermarket automatic entrance door does not work. It works to enter but not to go out (surely a sensor problem)</v>
      </c>
    </row>
    <row r="2828">
      <c r="A2828" s="19" t="s">
        <v>2214</v>
      </c>
      <c r="B2828" s="20" t="str">
        <f>IFERROR(__xludf.DUMMYFUNCTION("GOOGLETRANSLATE(A2828, ""fr"", ""en"")"),"The door joint is a decolle that causes an ice cream. See photo. urgent intervention. Surgele Ref Adr cabinet: 109 / ADR: 129")</f>
        <v>The door joint is a decolle that causes an ice cream. See photo. urgent intervention. Surgele Ref Adr cabinet: 109 / ADR: 129</v>
      </c>
    </row>
    <row r="2829">
      <c r="A2829" s="19" t="s">
        <v>2215</v>
      </c>
      <c r="B2829" s="20" t="str">
        <f>IFERROR(__xludf.DUMMYFUNCTION("GOOGLETRANSLATE(A2829, ""fr"", ""en"")"),"The door does not close entirely and the joint is damaged")</f>
        <v>The door does not close entirely and the joint is damaged</v>
      </c>
    </row>
    <row r="2830">
      <c r="A2830" s="19" t="s">
        <v>2216</v>
      </c>
      <c r="B2830" s="20" t="str">
        <f>IFERROR(__xludf.DUMMYFUNCTION("GOOGLETRANSLATE(A2830, ""fr"", ""en"")"),"Cold alarm
  No liaison on the furniture")</f>
        <v>Cold alarm
  No liaison on the furniture</v>
      </c>
    </row>
    <row r="2831">
      <c r="A2831" s="19" t="s">
        <v>2217</v>
      </c>
      <c r="B2831" s="20" t="str">
        <f>IFERROR(__xludf.DUMMYFUNCTION("GOOGLETRANSLATE(A2831, ""fr"", ""en"")"),"The Fresh Furniture Porte does not close properly")</f>
        <v>The Fresh Furniture Porte does not close properly</v>
      </c>
    </row>
    <row r="2832">
      <c r="A2832" s="19" t="s">
        <v>2218</v>
      </c>
      <c r="B2832" s="20" t="str">
        <f>IFERROR(__xludf.DUMMYFUNCTION("GOOGLETRANSLATE(A2832, ""fr"", ""en"")"),"6 degree furniture while the window is closed. Fan makes noise")</f>
        <v>6 degree furniture while the window is closed. Fan makes noise</v>
      </c>
    </row>
    <row r="2833">
      <c r="A2833" s="19" t="s">
        <v>2219</v>
      </c>
      <c r="B2833" s="20" t="str">
        <f>IFERROR(__xludf.DUMMYFUNCTION("GOOGLETRANSLATE(A2833, ""fr"", ""en"")"),"Not at temperature")</f>
        <v>Not at temperature</v>
      </c>
    </row>
    <row r="2834">
      <c r="A2834" s="19" t="s">
        <v>2220</v>
      </c>
      <c r="B2834" s="20" t="str">
        <f>IFERROR(__xludf.DUMMYFUNCTION("GOOGLETRANSLATE(A2834, ""fr"", ""en"")"),"Dry Cooler high alarm temperature. technician already on site")</f>
        <v>Dry Cooler high alarm temperature. technician already on site</v>
      </c>
    </row>
    <row r="2835">
      <c r="A2835" s="19" t="s">
        <v>2221</v>
      </c>
      <c r="B2835" s="20" t="str">
        <f>IFERROR(__xludf.DUMMYFUNCTION("GOOGLETRANSLATE(A2835, ""fr"", ""en"")"),"Compressor defect on a fresh furniture
 therefore Fresh sinister")</f>
        <v>Compressor defect on a fresh furniture
 therefore Fresh sinister</v>
      </c>
    </row>
    <row r="2836">
      <c r="A2836" s="19" t="s">
        <v>2222</v>
      </c>
      <c r="B2836" s="20" t="str">
        <f>IFERROR(__xludf.DUMMYFUNCTION("GOOGLETRANSLATE(A2836, ""fr"", ""en"")"),"fridge rises 11 degrees")</f>
        <v>fridge rises 11 degrees</v>
      </c>
    </row>
    <row r="2837">
      <c r="A2837" s="19" t="s">
        <v>2223</v>
      </c>
      <c r="B2837" s="20" t="str">
        <f>IFERROR(__xludf.DUMMYFUNCTION("GOOGLETRANSLATE(A2837, ""fr"", ""en"")"),"temperature too low -4.6")</f>
        <v>temperature too low -4.6</v>
      </c>
    </row>
    <row r="2838">
      <c r="A2838" s="19" t="s">
        <v>2224</v>
      </c>
      <c r="B2838" s="20" t="str">
        <f>IFERROR(__xludf.DUMMYFUNCTION("GOOGLETRANSLATE(A2838, ""fr"", ""en"")"),"too low temperature -3.5")</f>
        <v>too low temperature -3.5</v>
      </c>
    </row>
    <row r="2839">
      <c r="A2839" s="19" t="s">
        <v>2225</v>
      </c>
      <c r="B2839" s="20" t="str">
        <f>IFERROR(__xludf.DUMMYFUNCTION("GOOGLETRANSLATE(A2839, ""fr"", ""en"")"),"Following the passage of EPTA on 07/5/2022, lack of load on furniture 7
 Awaiting intervention
 Seen with AXIMA technician
 (the SPM only does claims ... every week ...)")</f>
        <v>Following the passage of EPTA on 07/5/2022, lack of load on furniture 7
 Awaiting intervention
 Seen with AXIMA technician
 (the SPM only does claims ... every week ...)</v>
      </c>
    </row>
    <row r="2840">
      <c r="A2840" s="19" t="s">
        <v>2226</v>
      </c>
      <c r="B2840" s="20" t="str">
        <f>IFERROR(__xludf.DUMMYFUNCTION("GOOGLETRANSLATE(A2840, ""fr"", ""en"")"),"cold defect
 High temperature alarm")</f>
        <v>cold defect
 High temperature alarm</v>
      </c>
    </row>
    <row r="2841">
      <c r="A2841" s="19" t="s">
        <v>2227</v>
      </c>
      <c r="B2841" s="20" t="str">
        <f>IFERROR(__xludf.DUMMYFUNCTION("GOOGLETRANSLATE(A2841, ""fr"", ""en"")"),"Fresh furniture mounted in temperature at 13 ° on 06/29/22 at 7:04 p.m.
 Claim declared on 06/30/22
 Axima contacted on 06/30/22 at 10:30 am")</f>
        <v>Fresh furniture mounted in temperature at 13 ° on 06/29/22 at 7:04 p.m.
 Claim declared on 06/30/22
 Axima contacted on 06/30/22 at 10:30 am</v>
      </c>
    </row>
    <row r="2842">
      <c r="A2842" s="21"/>
      <c r="B2842" s="20" t="str">
        <f>IFERROR(__xludf.DUMMYFUNCTION("GOOGLETRANSLATE(A2842, ""fr"", ""en"")"),"#VALUE!")</f>
        <v>#VALUE!</v>
      </c>
    </row>
    <row r="2843">
      <c r="A2843" s="19" t="s">
        <v>2228</v>
      </c>
      <c r="B2843" s="20" t="str">
        <f>IFERROR(__xludf.DUMMYFUNCTION("GOOGLETRANSLATE(A2843, ""fr"", ""en"")"),"Cold alarm triggered 18 minutes ago,
 Cold furniture left action,
 Following breakdown Tuesday evening, intervention this morning for change of room,
 The furniture is awarded at 7.8 ° C
 Axima warned by phone")</f>
        <v>Cold alarm triggered 18 minutes ago,
 Cold furniture left action,
 Following breakdown Tuesday evening, intervention this morning for change of room,
 The furniture is awarded at 7.8 ° C
 Axima warned by phone</v>
      </c>
    </row>
    <row r="2844">
      <c r="A2844" s="19" t="s">
        <v>2229</v>
      </c>
      <c r="B2844" s="20" t="str">
        <f>IFERROR(__xludf.DUMMYFUNCTION("GOOGLETRANSLATE(A2844, ""fr"", ""en"")"),"PB compressor")</f>
        <v>PB compressor</v>
      </c>
    </row>
    <row r="2845">
      <c r="A2845" s="19" t="s">
        <v>2230</v>
      </c>
      <c r="B2845" s="20" t="str">
        <f>IFERROR(__xludf.DUMMYFUNCTION("GOOGLETRANSLATE(A2845, ""fr"", ""en"")"),"Mmeuble Fresh HS")</f>
        <v>Mmeuble Fresh HS</v>
      </c>
    </row>
    <row r="2846">
      <c r="A2846" s="19" t="s">
        <v>2231</v>
      </c>
      <c r="B2846" s="20" t="str">
        <f>IFERROR(__xludf.DUMMYFUNCTION("GOOGLETRANSLATE(A2846, ""fr"", ""en"")"),"Compressor replacement
 Technicians on site")</f>
        <v>Compressor replacement
 Technicians on site</v>
      </c>
    </row>
    <row r="2847">
      <c r="A2847" s="19" t="s">
        <v>2232</v>
      </c>
      <c r="B2847" s="20" t="str">
        <f>IFERROR(__xludf.DUMMYFUNCTION("GOOGLETRANSLATE(A2847, ""fr"", ""en"")"),"PB compressor")</f>
        <v>PB compressor</v>
      </c>
    </row>
    <row r="2848">
      <c r="A2848" s="19" t="s">
        <v>2233</v>
      </c>
      <c r="B2848" s="20" t="str">
        <f>IFERROR(__xludf.DUMMYFUNCTION("GOOGLETRANSLATE(A2848, ""fr"", ""en"")"),"The furniture fan is probably taken in ice
 This is the 4th time (at least) that the provider intervenes for this piece of furniture")</f>
        <v>The furniture fan is probably taken in ice
 This is the 4th time (at least) that the provider intervenes for this piece of furniture</v>
      </c>
    </row>
    <row r="2849">
      <c r="A2849" s="19" t="s">
        <v>2234</v>
      </c>
      <c r="B2849" s="20" t="str">
        <f>IFERROR(__xludf.DUMMYFUNCTION("GOOGLETRANSLATE(A2849, ""fr"", ""en"")"),"always the ice taking that makes noise
 The service provider came 5 times I think
 And we are tired of emptying the fridge every time ...
 And, happy new year 2023 !!")</f>
        <v>always the ice taking that makes noise
 The service provider came 5 times I think
 And we are tired of emptying the fridge every time ...
 And, happy new year 2023 !!</v>
      </c>
    </row>
    <row r="2850">
      <c r="A2850" s="19" t="s">
        <v>2235</v>
      </c>
      <c r="B2850" s="20" t="str">
        <f>IFERROR(__xludf.DUMMYFUNCTION("GOOGLETRANSLATE(A2850, ""fr"", ""en"")"),"The door does not close completely")</f>
        <v>The door does not close completely</v>
      </c>
    </row>
    <row r="2851">
      <c r="A2851" s="19" t="s">
        <v>2236</v>
      </c>
      <c r="B2851" s="20" t="str">
        <f>IFERROR(__xludf.DUMMYFUNCTION("GOOGLETRANSLATE(A2851, ""fr"", ""en"")"),"Alarm triggered for more than an hour, several times yesterday. Probe and furniture to check, current temperature 3.5 ° C.")</f>
        <v>Alarm triggered for more than an hour, several times yesterday. Probe and furniture to check, current temperature 3.5 ° C.</v>
      </c>
    </row>
    <row r="2852">
      <c r="A2852" s="19" t="s">
        <v>2237</v>
      </c>
      <c r="B2852" s="20" t="str">
        <f>IFERROR(__xludf.DUMMYFUNCTION("GOOGLETRANSLATE(A2852, ""fr"", ""en"")"),"The display is HS, so it is impossible to know the temperature, except with a thermometer control")</f>
        <v>The display is HS, so it is impossible to know the temperature, except with a thermometer control</v>
      </c>
    </row>
    <row r="2853">
      <c r="A2853" s="19" t="s">
        <v>2238</v>
      </c>
      <c r="B2853" s="20" t="str">
        <f>IFERROR(__xludf.DUMMYFUNCTION("GOOGLETRANSLATE(A2853, ""fr"", ""en"")"),"We have a cold alarm 15 minutes after the technician left
 The furniture numbers do not correspond
 And, we do not have a synoptic plan to refer to refrigeration equipment")</f>
        <v>We have a cold alarm 15 minutes after the technician left
 The furniture numbers do not correspond
 And, we do not have a synoptic plan to refer to refrigeration equipment</v>
      </c>
    </row>
    <row r="2854">
      <c r="A2854" s="19" t="s">
        <v>2239</v>
      </c>
      <c r="B2854" s="20" t="str">
        <f>IFERROR(__xludf.DUMMYFUNCTION("GOOGLETRANSLATE(A2854, ""fr"", ""en"")"),"The furniture makes a lot of noise in the store. A speaker has already come the previous week but the problem persists.
 Fan probably taken in ice")</f>
        <v>The furniture makes a lot of noise in the store. A speaker has already come the previous week but the problem persists.
 Fan probably taken in ice</v>
      </c>
    </row>
    <row r="2855">
      <c r="A2855" s="19" t="s">
        <v>2240</v>
      </c>
      <c r="B2855" s="20" t="str">
        <f>IFERROR(__xludf.DUMMYFUNCTION("GOOGLETRANSLATE(A2855, ""fr"", ""en"")"),"Furniture that probably makes noise has an ice intake. Provider already taken place last week.")</f>
        <v>Furniture that probably makes noise has an ice intake. Provider already taken place last week.</v>
      </c>
    </row>
    <row r="2856">
      <c r="A2856" s="19" t="s">
        <v>2241</v>
      </c>
      <c r="B2856" s="20" t="str">
        <f>IFERROR(__xludf.DUMMYFUNCTION("GOOGLETRANSLATE(A2856, ""fr"", ""en"")"),"The furniture makes a lot of noise again
 Probably an ice cream outlet
 The service provider has already intervened twice for this piece of furniture a few weeks ago")</f>
        <v>The furniture makes a lot of noise again
 Probably an ice cream outlet
 The service provider has already intervened twice for this piece of furniture a few weeks ago</v>
      </c>
    </row>
    <row r="2857">
      <c r="A2857" s="19" t="s">
        <v>2242</v>
      </c>
      <c r="B2857" s="20" t="str">
        <f>IFERROR(__xludf.DUMMYFUNCTION("GOOGLETRANSLATE(A2857, ""fr"", ""en"")"),"The furniture makes a noise, as if the resistance was shaking and that it was going to let go soon
 Urgent please")</f>
        <v>The furniture makes a noise, as if the resistance was shaking and that it was going to let go soon
 Urgent please</v>
      </c>
    </row>
    <row r="2858">
      <c r="A2858" s="19" t="s">
        <v>2243</v>
      </c>
      <c r="B2858" s="20" t="str">
        <f>IFERROR(__xludf.DUMMYFUNCTION("GOOGLETRANSLATE(A2858, ""fr"", ""en"")"),"Ice taking for the ventilation of the furniture that makes a lot of noise
 URGENT
 The service provider has already intervened mid -week yet")</f>
        <v>Ice taking for the ventilation of the furniture that makes a lot of noise
 URGENT
 The service provider has already intervened mid -week yet</v>
      </c>
    </row>
    <row r="2859">
      <c r="A2859" s="19" t="s">
        <v>2244</v>
      </c>
      <c r="B2859" s="20" t="str">
        <f>IFERROR(__xludf.DUMMYFUNCTION("GOOGLETRANSLATE(A2859, ""fr"", ""en"")"),"PRIORAIRE 1 DRAWED ALERMM
 temperature furniture, checked several times
 intervention request because furniture for which the service provider has already intervened twice in 10 days")</f>
        <v>PRIORAIRE 1 DRAWED ALERMM
 temperature furniture, checked several times
 intervention request because furniture for which the service provider has already intervened twice in 10 days</v>
      </c>
    </row>
    <row r="2860">
      <c r="A2860" s="19" t="s">
        <v>2245</v>
      </c>
      <c r="B2860" s="20" t="str">
        <f>IFERROR(__xludf.DUMMYFUNCTION("GOOGLETRANSLATE(A2860, ""fr"", ""en"")"),"Water leaks along the fresh on several axes.")</f>
        <v>Water leaks along the fresh on several axes.</v>
      </c>
    </row>
    <row r="2861">
      <c r="A2861" s="19" t="s">
        <v>2246</v>
      </c>
      <c r="B2861" s="20" t="str">
        <f>IFERROR(__xludf.DUMMYFUNCTION("GOOGLETRANSLATE(A2861, ""fr"", ""en"")"),"HS Lighting")</f>
        <v>HS Lighting</v>
      </c>
    </row>
    <row r="2862">
      <c r="A2862" s="19" t="s">
        <v>2247</v>
      </c>
      <c r="B2862" s="20" t="str">
        <f>IFERROR(__xludf.DUMMYFUNCTION("GOOGLETRANSLATE(A2862, ""fr"", ""en"")"),"12 -degree furniture temperature.")</f>
        <v>12 -degree furniture temperature.</v>
      </c>
    </row>
    <row r="2863">
      <c r="A2863" s="19" t="s">
        <v>2248</v>
      </c>
      <c r="B2863" s="20" t="str">
        <f>IFERROR(__xludf.DUMMYFUNCTION("GOOGLETRANSLATE(A2863, ""fr"", ""en"")"),"12 -degree furniture temperature.")</f>
        <v>12 -degree furniture temperature.</v>
      </c>
    </row>
    <row r="2864">
      <c r="A2864" s="19" t="s">
        <v>2249</v>
      </c>
      <c r="B2864" s="20" t="str">
        <f>IFERROR(__xludf.DUMMYFUNCTION("GOOGLETRANSLATE(A2864, ""fr"", ""en"")"),"12 -degree furniture temperature")</f>
        <v>12 -degree furniture temperature</v>
      </c>
    </row>
    <row r="2865">
      <c r="A2865" s="21"/>
      <c r="B2865" s="20" t="str">
        <f>IFERROR(__xludf.DUMMYFUNCTION("GOOGLETRANSLATE(A2865, ""fr"", ""en"")"),"#VALUE!")</f>
        <v>#VALUE!</v>
      </c>
    </row>
    <row r="2866">
      <c r="A2866" s="19" t="s">
        <v>2250</v>
      </c>
      <c r="B2866" s="20" t="str">
        <f>IFERROR(__xludf.DUMMYFUNCTION("GOOGLETRANSLATE(A2866, ""fr"", ""en"")"),"All fresh meuibles flee.")</f>
        <v>All fresh meuibles flee.</v>
      </c>
    </row>
    <row r="2867">
      <c r="A2867" s="19" t="s">
        <v>2251</v>
      </c>
      <c r="B2867" s="20" t="str">
        <f>IFERROR(__xludf.DUMMYFUNCTION("GOOGLETRANSLATE(A2867, ""fr"", ""en"")"),"Following the passage of the preventor chain of the cold, it lacks the visible display of temperatures on fresh furniture.")</f>
        <v>Following the passage of the preventor chain of the cold, it lacks the visible display of temperatures on fresh furniture.</v>
      </c>
    </row>
    <row r="2868">
      <c r="A2868" s="19" t="s">
        <v>2252</v>
      </c>
      <c r="B2868" s="20" t="str">
        <f>IFERROR(__xludf.DUMMYFUNCTION("GOOGLETRANSLATE(A2868, ""fr"", ""en"")"),"Axima turned off two fresh furniture on 08/29 because Ice taken. They passed yesterday (30/08) at the end of the afternoon to turn it back on it, but today they are 14 degrees.")</f>
        <v>Axima turned off two fresh furniture on 08/29 because Ice taken. They passed yesterday (30/08) at the end of the afternoon to turn it back on it, but today they are 14 degrees.</v>
      </c>
    </row>
    <row r="2869">
      <c r="A2869" s="19" t="s">
        <v>2253</v>
      </c>
      <c r="B2869" s="20" t="str">
        <f>IFERROR(__xludf.DUMMYFUNCTION("GOOGLETRANSLATE(A2869, ""fr"", ""en"")"),"HS lightning on 11 fresh furniture (all fuses are noted)
 (Impossible to take a photo because bug mobi)")</f>
        <v>HS lightning on 11 fresh furniture (all fuses are noted)
 (Impossible to take a photo because bug mobi)</v>
      </c>
    </row>
    <row r="2870">
      <c r="A2870" s="19" t="s">
        <v>2254</v>
      </c>
      <c r="B2870" s="20" t="str">
        <f>IFERROR(__xludf.DUMMYFUNCTION("GOOGLETRANSLATE(A2870, ""fr"", ""en"")"),"Fresh furniture flees enormously, could you send us someone to empty them please. THANKS")</f>
        <v>Fresh furniture flees enormously, could you send us someone to empty them please. THANKS</v>
      </c>
    </row>
    <row r="2871">
      <c r="A2871" s="21"/>
      <c r="B2871" s="20" t="str">
        <f>IFERROR(__xludf.DUMMYFUNCTION("GOOGLETRANSLATE(A2871, ""fr"", ""en"")"),"#VALUE!")</f>
        <v>#VALUE!</v>
      </c>
    </row>
    <row r="2872">
      <c r="A2872" s="19" t="s">
        <v>2255</v>
      </c>
      <c r="B2872" s="20" t="str">
        <f>IFERROR(__xludf.DUMMYFUNCTION("GOOGLETRANSLATE(A2872, ""fr"", ""en"")"),"Water flows at the fresh produced cabinets for a long time, it is dangerous in summer for customers, it is necessary to take a look")</f>
        <v>Water flows at the fresh produced cabinets for a long time, it is dangerous in summer for customers, it is necessary to take a look</v>
      </c>
    </row>
    <row r="2873">
      <c r="A2873" s="19" t="s">
        <v>2256</v>
      </c>
      <c r="B2873" s="20" t="str">
        <f>IFERROR(__xludf.DUMMYFUNCTION("GOOGLETRANSLATE(A2873, ""fr"", ""en"")"),"Furniture leakage")</f>
        <v>Furniture leakage</v>
      </c>
    </row>
    <row r="2874">
      <c r="A2874" s="19" t="s">
        <v>2257</v>
      </c>
      <c r="B2874" s="20" t="str">
        <f>IFERROR(__xludf.DUMMYFUNCTION("GOOGLETRANSLATE(A2874, ""fr"", ""en"")"),"Fresh furniture that flees.")</f>
        <v>Fresh furniture that flees.</v>
      </c>
    </row>
    <row r="2875">
      <c r="A2875" s="19" t="s">
        <v>2258</v>
      </c>
      <c r="B2875" s="20" t="str">
        <f>IFERROR(__xludf.DUMMYFUNCTION("GOOGLETRANSLATE(A2875, ""fr"", ""en"")"),"HS lighting.")</f>
        <v>HS lighting.</v>
      </c>
    </row>
    <row r="2876">
      <c r="A2876" s="19" t="s">
        <v>2259</v>
      </c>
      <c r="B2876" s="20" t="str">
        <f>IFERROR(__xludf.DUMMYFUNCTION("GOOGLETRANSLATE(A2876, ""fr"", ""en"")"),"Fan noise and temperature high and unstable")</f>
        <v>Fan noise and temperature high and unstable</v>
      </c>
    </row>
    <row r="2877">
      <c r="A2877" s="19" t="s">
        <v>2260</v>
      </c>
      <c r="B2877" s="20" t="str">
        <f>IFERROR(__xludf.DUMMYFUNCTION("GOOGLETRANSLATE(A2877, ""fr"", ""en"")"),"Temperature too high.")</f>
        <v>Temperature too high.</v>
      </c>
    </row>
    <row r="2878">
      <c r="A2878" s="19" t="s">
        <v>2261</v>
      </c>
      <c r="B2878" s="20" t="str">
        <f>IFERROR(__xludf.DUMMYFUNCTION("GOOGLETRANSLATE(A2878, ""fr"", ""en"")"),"Temperature too high.")</f>
        <v>Temperature too high.</v>
      </c>
    </row>
    <row r="2879">
      <c r="A2879" s="19" t="s">
        <v>2262</v>
      </c>
      <c r="B2879" s="20" t="str">
        <f>IFERROR(__xludf.DUMMYFUNCTION("GOOGLETRANSLATE(A2879, ""fr"", ""en"")"),"Water leak in several fresh furniture.")</f>
        <v>Water leak in several fresh furniture.</v>
      </c>
    </row>
    <row r="2880">
      <c r="A2880" s="19" t="s">
        <v>2263</v>
      </c>
      <c r="B2880" s="20" t="str">
        <f>IFERROR(__xludf.DUMMYFUNCTION("GOOGLETRANSLATE(A2880, ""fr"", ""en"")"),"HS Lighting")</f>
        <v>HS Lighting</v>
      </c>
    </row>
    <row r="2881">
      <c r="A2881" s="19" t="s">
        <v>2264</v>
      </c>
      <c r="B2881" s="20" t="str">
        <f>IFERROR(__xludf.DUMMYFUNCTION("GOOGLETRANSLATE(A2881, ""fr"", ""en"")"),"Light Fresh Furniture HS (We have to raise the fuse every morning in the room TGBT)")</f>
        <v>Light Fresh Furniture HS (We have to raise the fuse every morning in the room TGBT)</v>
      </c>
    </row>
    <row r="2882">
      <c r="A2882" s="19" t="s">
        <v>2265</v>
      </c>
      <c r="B2882" s="20" t="str">
        <f>IFERROR(__xludf.DUMMYFUNCTION("GOOGLETRANSLATE(A2882, ""fr"", ""en"")"),"HS lightning on 21 fresh furniture. (All fuses are noted in the TGBT room)")</f>
        <v>HS lightning on 21 fresh furniture. (All fuses are noted in the TGBT room)</v>
      </c>
    </row>
    <row r="2883">
      <c r="A2883" s="21"/>
      <c r="B2883" s="20" t="str">
        <f>IFERROR(__xludf.DUMMYFUNCTION("GOOGLETRANSLATE(A2883, ""fr"", ""en"")"),"#VALUE!")</f>
        <v>#VALUE!</v>
      </c>
    </row>
    <row r="2884">
      <c r="A2884" s="19" t="s">
        <v>2266</v>
      </c>
      <c r="B2884" s="20" t="str">
        <f>IFERROR(__xludf.DUMMYFUNCTION("GOOGLETRANSLATE(A2884, ""fr"", ""en"")"),"leak, a danger to the client")</f>
        <v>leak, a danger to the client</v>
      </c>
    </row>
    <row r="2885">
      <c r="A2885" s="19" t="s">
        <v>2267</v>
      </c>
      <c r="B2885" s="20" t="str">
        <f>IFERROR(__xludf.DUMMYFUNCTION("GOOGLETRANSLATE(A2885, ""fr"", ""en"")"),"Water water leakage")</f>
        <v>Water water leakage</v>
      </c>
    </row>
    <row r="2886">
      <c r="A2886" s="19" t="s">
        <v>2268</v>
      </c>
      <c r="B2886" s="20" t="str">
        <f>IFERROR(__xludf.DUMMYFUNCTION("GOOGLETRANSLATE(A2886, ""fr"", ""en"")"),"2 doors on a loot magnet (pierced and riveter) .odm done by AT3.")</f>
        <v>2 doors on a loot magnet (pierced and riveter) .odm done by AT3.</v>
      </c>
    </row>
    <row r="2887">
      <c r="A2887" s="19" t="s">
        <v>2269</v>
      </c>
      <c r="B2887" s="20" t="str">
        <f>IFERROR(__xludf.DUMMYFUNCTION("GOOGLETRANSLATE(A2887, ""fr"", ""en"")"),"* Air conditioning makes a huge noise in SPM
 DR passed last year to mention the same problem
 He risks spending Friday with Mr. Solofrizzo
 (I discussed it on Friday in Reunion with Ali) - Kn See with Ali")</f>
        <v>* Air conditioning makes a huge noise in SPM
 DR passed last year to mention the same problem
 He risks spending Friday with Mr. Solofrizzo
 (I discussed it on Friday in Reunion with Ali) - Kn See with Ali</v>
      </c>
    </row>
    <row r="2888">
      <c r="A2888" s="19" t="s">
        <v>2270</v>
      </c>
      <c r="B2888" s="20" t="str">
        <f>IFERROR(__xludf.DUMMYFUNCTION("GOOGLETRANSLATE(A2888, ""fr"", ""en"")"),"At the request of the FM: Cut the supply of the hot air for the hot air. Odm done by AT3. Finished work.")</f>
        <v>At the request of the FM: Cut the supply of the hot air for the hot air. Odm done by AT3. Finished work.</v>
      </c>
    </row>
    <row r="2889">
      <c r="A2889" s="19" t="s">
        <v>2271</v>
      </c>
      <c r="B2889" s="20" t="str">
        <f>IFERROR(__xludf.DUMMYFUNCTION("GOOGLETRANSLATE(A2889, ""fr"", ""en"")"),"Sheath photo")</f>
        <v>Sheath photo</v>
      </c>
    </row>
    <row r="2890">
      <c r="A2890" s="19" t="s">
        <v>2272</v>
      </c>
      <c r="B2890" s="20" t="str">
        <f>IFERROR(__xludf.DUMMYFUNCTION("GOOGLETRANSLATE(A2890, ""fr"", ""en"")"),"Possibility to increase the heating setpoint?")</f>
        <v>Possibility to increase the heating setpoint?</v>
      </c>
    </row>
    <row r="2891">
      <c r="A2891" s="19" t="s">
        <v>2273</v>
      </c>
      <c r="B2891" s="20" t="str">
        <f>IFERROR(__xludf.DUMMYFUNCTION("GOOGLETRANSLATE(A2891, ""fr"", ""en"")"),"It is so hot inside the SPM that when we fill fresh or frozen, certain chain of the cold chain are triggered")</f>
        <v>It is so hot inside the SPM that when we fill fresh or frozen, certain chain of the cold chain are triggered</v>
      </c>
    </row>
    <row r="2892">
      <c r="A2892" s="19" t="s">
        <v>2274</v>
      </c>
      <c r="B2892" s="20" t="str">
        <f>IFERROR(__xludf.DUMMYFUNCTION("GOOGLETRANSLATE(A2892, ""fr"", ""en"")"),"The air conditioning works partially.")</f>
        <v>The air conditioning works partially.</v>
      </c>
    </row>
    <row r="2893">
      <c r="A2893" s="19" t="s">
        <v>2275</v>
      </c>
      <c r="B2893" s="20" t="str">
        <f>IFERROR(__xludf.DUMMYFUNCTION("GOOGLETRANSLATE(A2893, ""fr"", ""en"")"),"The air conditioning works partially")</f>
        <v>The air conditioning works partially</v>
      </c>
    </row>
    <row r="2894">
      <c r="A2894" s="19" t="s">
        <v>2276</v>
      </c>
      <c r="B2894" s="20" t="str">
        <f>IFERROR(__xludf.DUMMYFUNCTION("GOOGLETRANSLATE(A2894, ""fr"", ""en"")"),"Purge of the drawing tap for the winter. Odm made by AT3. Finished work.")</f>
        <v>Purge of the drawing tap for the winter. Odm made by AT3. Finished work.</v>
      </c>
    </row>
    <row r="2895">
      <c r="A2895" s="19" t="s">
        <v>2277</v>
      </c>
      <c r="B2895" s="20" t="str">
        <f>IFERROR(__xludf.DUMMYFUNCTION("GOOGLETRANSLATE(A2895, ""fr"", ""en"")"),"HS call button at level -1")</f>
        <v>HS call button at level -1</v>
      </c>
    </row>
    <row r="2896">
      <c r="A2896" s="19" t="s">
        <v>2278</v>
      </c>
      <c r="B2896" s="20" t="str">
        <f>IFERROR(__xludf.DUMMYFUNCTION("GOOGLETRANSLATE(A2896, ""fr"", ""en"")"),"Hello, it would take batteries for the SCO remote control.")</f>
        <v>Hello, it would take batteries for the SCO remote control.</v>
      </c>
    </row>
    <row r="2897">
      <c r="A2897" s="21"/>
      <c r="B2897" s="20" t="str">
        <f>IFERROR(__xludf.DUMMYFUNCTION("GOOGLETRANSLATE(A2897, ""fr"", ""en"")"),"#VALUE!")</f>
        <v>#VALUE!</v>
      </c>
    </row>
    <row r="2898">
      <c r="A2898" s="19" t="s">
        <v>2279</v>
      </c>
      <c r="B2898" s="20" t="str">
        <f>IFERROR(__xludf.DUMMYFUNCTION("GOOGLETRANSLATE(A2898, ""fr"", ""en"")"),"Manufacturing of 2 metal angles for 2 tablet facing the boxes. Odm made by AT3.")</f>
        <v>Manufacturing of 2 metal angles for 2 tablet facing the boxes. Odm made by AT3.</v>
      </c>
    </row>
    <row r="2899">
      <c r="A2899" s="19" t="s">
        <v>2280</v>
      </c>
      <c r="B2899" s="20" t="str">
        <f>IFERROR(__xludf.DUMMYFUNCTION("GOOGLETRANSLATE(A2899, ""fr"", ""en"")"),"It is very hot in SPM")</f>
        <v>It is very hot in SPM</v>
      </c>
    </row>
    <row r="2900">
      <c r="A2900" s="19" t="s">
        <v>2281</v>
      </c>
      <c r="B2900" s="20" t="str">
        <f>IFERROR(__xludf.DUMMYFUNCTION("GOOGLETRANSLATE(A2900, ""fr"", ""en"")"),"Following the audit. Take the boxes containing the CTA filter in the CTA room. Look at the filters in the room and thrown the boxes in the trash .odm made by AT3. Finished work.")</f>
        <v>Following the audit. Take the boxes containing the CTA filter in the CTA room. Look at the filters in the room and thrown the boxes in the trash .odm made by AT3. Finished work.</v>
      </c>
    </row>
    <row r="2901">
      <c r="A2901" s="19" t="s">
        <v>2282</v>
      </c>
      <c r="B2901" s="20" t="str">
        <f>IFERROR(__xludf.DUMMYFUNCTION("GOOGLETRANSLATE(A2901, ""fr"", ""en"")"),"Turn off the extra heaters and install the prefectural stop posters.")</f>
        <v>Turn off the extra heaters and install the prefectural stop posters.</v>
      </c>
    </row>
    <row r="2902">
      <c r="A2902" s="19" t="s">
        <v>2283</v>
      </c>
      <c r="B2902" s="20" t="str">
        <f>IFERROR(__xludf.DUMMYFUNCTION("GOOGLETRANSLATE(A2902, ""fr"", ""en"")"),"Water leak at the fresh cold room (unavailable photo because it is impossible with MDE because SD card unavailable).")</f>
        <v>Water leak at the fresh cold room (unavailable photo because it is impossible with MDE because SD card unavailable).</v>
      </c>
    </row>
    <row r="2903">
      <c r="A2903" s="19" t="s">
        <v>2284</v>
      </c>
      <c r="B2903" s="20" t="str">
        <f>IFERROR(__xludf.DUMMYFUNCTION("GOOGLETRANSLATE(A2903, ""fr"", ""en"")"),"Postive cold room (fresh) innunda (water leak from the ceiling), the technician passed last night (08/29) but nothing changes.
 He also turned off 2 fresh furniture because it is ice intake, still awaiting the restart of the furniture.")</f>
        <v>Postive cold room (fresh) innunda (water leak from the ceiling), the technician passed last night (08/29) but nothing changes.
 He also turned off 2 fresh furniture because it is ice intake, still awaiting the restart of the furniture.</v>
      </c>
    </row>
    <row r="2904">
      <c r="A2904" s="19" t="s">
        <v>2285</v>
      </c>
      <c r="B2904" s="20" t="str">
        <f>IFERROR(__xludf.DUMMYFUNCTION("GOOGLETRANSLATE(A2904, ""fr"", ""en"")"),"Positive cold (fresh) chanbrois fled to the ceiling. Temperature ok.")</f>
        <v>Positive cold (fresh) chanbrois fled to the ceiling. Temperature ok.</v>
      </c>
    </row>
    <row r="2905">
      <c r="A2905" s="19" t="s">
        <v>2286</v>
      </c>
      <c r="B2905" s="20" t="str">
        <f>IFERROR(__xludf.DUMMYFUNCTION("GOOGLETRANSLATE(A2905, ""fr"", ""en"")"),"Ceiling water leak in the cool cold room. According to Axima it is the air conditioning above the room that has not been connected to the right place.")</f>
        <v>Ceiling water leak in the cool cold room. According to Axima it is the air conditioning above the room that has not been connected to the right place.</v>
      </c>
    </row>
    <row r="2906">
      <c r="A2906" s="19" t="s">
        <v>2287</v>
      </c>
      <c r="B2906" s="20" t="str">
        <f>IFERROR(__xludf.DUMMYFUNCTION("GOOGLETRANSLATE(A2906, ""fr"", ""en"")"),"HS Automatic opening and closing because cut strap cut.")</f>
        <v>HS Automatic opening and closing because cut strap cut.</v>
      </c>
    </row>
    <row r="2907">
      <c r="A2907" s="19" t="s">
        <v>2288</v>
      </c>
      <c r="B2907" s="20" t="str">
        <f>IFERROR(__xludf.DUMMYFUNCTION("GOOGLETRANSLATE(A2907, ""fr"", ""en"")"),"cut belt")</f>
        <v>cut belt</v>
      </c>
    </row>
    <row r="2908">
      <c r="A2908" s="19" t="s">
        <v>2289</v>
      </c>
      <c r="B2908" s="20" t="str">
        <f>IFERROR(__xludf.DUMMYFUNCTION("GOOGLETRANSLATE(A2908, ""fr"", ""en"")"),"The door no longer closes automatically")</f>
        <v>The door no longer closes automatically</v>
      </c>
    </row>
    <row r="2909">
      <c r="A2909" s="19" t="s">
        <v>2290</v>
      </c>
      <c r="B2909" s="20" t="str">
        <f>IFERROR(__xludf.DUMMYFUNCTION("GOOGLETRANSLATE(A2909, ""fr"", ""en"")"),"The temperature in store is too high")</f>
        <v>The temperature in store is too high</v>
      </c>
    </row>
    <row r="2910">
      <c r="A2910" s="19" t="s">
        <v>2291</v>
      </c>
      <c r="B2910" s="20" t="str">
        <f>IFERROR(__xludf.DUMMYFUNCTION("GOOGLETRANSLATE(A2910, ""fr"", ""en"")"),"Too much store storm")</f>
        <v>Too much store storm</v>
      </c>
    </row>
    <row r="2911">
      <c r="A2911" s="19" t="s">
        <v>2292</v>
      </c>
      <c r="B2911" s="20" t="str">
        <f>IFERROR(__xludf.DUMMYFUNCTION("GOOGLETRANSLATE(A2911, ""fr"", ""en"")"),"It's too hot in the store!
 Impossible to work, employees complain!")</f>
        <v>It's too hot in the store!
 Impossible to work, employees complain!</v>
      </c>
    </row>
    <row r="2912">
      <c r="A2912" s="19" t="s">
        <v>2293</v>
      </c>
      <c r="B2912" s="20" t="str">
        <f>IFERROR(__xludf.DUMMYFUNCTION("GOOGLETRANSLATE(A2912, ""fr"", ""en"")"),"Good morning,
 It is very hot in the store, can you remedy thank you.")</f>
        <v>Good morning,
 It is very hot in the store, can you remedy thank you.</v>
      </c>
    </row>
    <row r="2913">
      <c r="A2913" s="19" t="s">
        <v>2294</v>
      </c>
      <c r="B2913" s="20" t="str">
        <f>IFERROR(__xludf.DUMMYFUNCTION("GOOGLETRANSLATE(A2913, ""fr"", ""en"")"),"Putting on hot air charts SAS ENTERS THE CURNCHED WORLS COLD AIR")</f>
        <v>Putting on hot air charts SAS ENTERS THE CURNCHED WORLS COLD AIR</v>
      </c>
    </row>
    <row r="2914">
      <c r="A2914" s="19" t="s">
        <v>2295</v>
      </c>
      <c r="B2914" s="20" t="str">
        <f>IFERROR(__xludf.DUMMYFUNCTION("GOOGLETRANSLATE(A2914, ""fr"", ""en"")"),"SPM light does not light up at 8:40 a.m.")</f>
        <v>SPM light does not light up at 8:40 a.m.</v>
      </c>
    </row>
    <row r="2915">
      <c r="A2915" s="19" t="s">
        <v>2296</v>
      </c>
      <c r="B2915" s="20" t="str">
        <f>IFERROR(__xludf.DUMMYFUNCTION("GOOGLETRANSLATE(A2915, ""fr"", ""en"")"),"Hello, we ask you to kindly intervene on the Schneider charging station (LFR4047EVCP02) following a fault noted on the HAS TO BE site. Thanks in advance.")</f>
        <v>Hello, we ask you to kindly intervene on the Schneider charging station (LFR4047EVCP02) following a fault noted on the HAS TO BE site. Thanks in advance.</v>
      </c>
    </row>
    <row r="2916">
      <c r="A2916" s="19" t="s">
        <v>2297</v>
      </c>
      <c r="B2916" s="20" t="str">
        <f>IFERROR(__xludf.DUMMYFUNCTION("GOOGLETRANSLATE(A2916, ""fr"", ""en"")"),"Hello, we inform you that the Schneider LFR4047EVCP02 charging station (3N214020502HB7551700017) is default.
 Please intervene for repair and program a daily reboot if it has not already been done.")</f>
        <v>Hello, we inform you that the Schneider LFR4047EVCP02 charging station (3N214020502HB7551700017) is default.
 Please intervene for repair and program a daily reboot if it has not already been done.</v>
      </c>
    </row>
    <row r="2917">
      <c r="A2917" s="19" t="s">
        <v>2298</v>
      </c>
      <c r="B2917" s="20" t="str">
        <f>IFERROR(__xludf.DUMMYFUNCTION("GOOGLETRANSLATE(A2917, ""fr"", ""en"")"),"Red light")</f>
        <v>Red light</v>
      </c>
    </row>
    <row r="2918">
      <c r="A2918" s="19" t="s">
        <v>2298</v>
      </c>
      <c r="B2918" s="20" t="str">
        <f>IFERROR(__xludf.DUMMYFUNCTION("GOOGLETRANSLATE(A2918, ""fr"", ""en"")"),"Red light")</f>
        <v>Red light</v>
      </c>
    </row>
    <row r="2919">
      <c r="A2919" s="19" t="s">
        <v>2299</v>
      </c>
      <c r="B2919" s="20" t="str">
        <f>IFERROR(__xludf.DUMMYFUNCTION("GOOGLETRANSLATE(A2919, ""fr"", ""en"")"),"Rolls up to two times")</f>
        <v>Rolls up to two times</v>
      </c>
    </row>
    <row r="2920">
      <c r="A2920" s="19" t="s">
        <v>2300</v>
      </c>
      <c r="B2920" s="20" t="str">
        <f>IFERROR(__xludf.DUMMYFUNCTION("GOOGLETRANSLATE(A2920, ""fr"", ""en"")"),"Strip of border offense (to be screwed)")</f>
        <v>Strip of border offense (to be screwed)</v>
      </c>
    </row>
    <row r="2921">
      <c r="A2921" s="19" t="s">
        <v>2301</v>
      </c>
      <c r="B2921" s="20" t="str">
        <f>IFERROR(__xludf.DUMMYFUNCTION("GOOGLETRANSLATE(A2921, ""fr"", ""en"")"),"A box with money is stuck in the box, it is impossible to take it out because it does not light up. Neither the screen, nor the scanner nor the TPE work, everything remains extinguished despite our attempts.
  -&gt; electrical problem")</f>
        <v>A box with money is stuck in the box, it is impossible to take it out because it does not light up. Neither the screen, nor the scanner nor the TPE work, everything remains extinguished despite our attempts.
  -&gt; electrical problem</v>
      </c>
    </row>
    <row r="2922">
      <c r="A2922" s="19" t="s">
        <v>2302</v>
      </c>
      <c r="B2922" s="20" t="str">
        <f>IFERROR(__xludf.DUMMYFUNCTION("GOOGLETRANSLATE(A2922, ""fr"", ""en"")"),"Fash mat crews and operates 1 time in 2")</f>
        <v>Fash mat crews and operates 1 time in 2</v>
      </c>
    </row>
    <row r="2923">
      <c r="A2923" s="19" t="s">
        <v>2303</v>
      </c>
      <c r="B2923" s="20" t="str">
        <f>IFERROR(__xludf.DUMMYFUNCTION("GOOGLETRANSLATE(A2923, ""fr"", ""en"")"),"The door closes anymore. urgent.")</f>
        <v>The door closes anymore. urgent.</v>
      </c>
    </row>
    <row r="2924">
      <c r="A2924" s="19" t="s">
        <v>2304</v>
      </c>
      <c r="B2924" s="20" t="str">
        <f>IFERROR(__xludf.DUMMYFUNCTION("GOOGLETRANSLATE(A2924, ""fr"", ""en"")"),"Caisse holder 6 To replace")</f>
        <v>Caisse holder 6 To replace</v>
      </c>
    </row>
    <row r="2925">
      <c r="A2925" s="19" t="s">
        <v>2305</v>
      </c>
      <c r="B2925" s="20" t="str">
        <f>IFERROR(__xludf.DUMMYFUNCTION("GOOGLETRANSLATE(A2925, ""fr"", ""en"")"),"HS balance
 After several attempts to solve the problem, the balance still does not work.")</f>
        <v>HS balance
 After several attempts to solve the problem, the balance still does not work.</v>
      </c>
    </row>
    <row r="2926">
      <c r="A2926" s="19" t="s">
        <v>2306</v>
      </c>
      <c r="B2926" s="20" t="str">
        <f>IFERROR(__xludf.DUMMYFUNCTION("GOOGLETRANSLATE(A2926, ""fr"", ""en"")"),"Non -initial balance of the Numero 2 box 2")</f>
        <v>Non -initial balance of the Numero 2 box 2</v>
      </c>
    </row>
    <row r="2927">
      <c r="A2927" s="19" t="s">
        <v>2307</v>
      </c>
      <c r="B2927" s="20" t="str">
        <f>IFERROR(__xludf.DUMMYFUNCTION("GOOGLETRANSLATE(A2927, ""fr"", ""en"")"),"2 broken silver boxes. closes")</f>
        <v>2 broken silver boxes. closes</v>
      </c>
    </row>
    <row r="2928">
      <c r="A2928" s="19" t="s">
        <v>2308</v>
      </c>
      <c r="B2928" s="20" t="str">
        <f>IFERROR(__xludf.DUMMYFUNCTION("GOOGLETRANSLATE(A2928, ""fr"", ""en"")"),"The checkout no longer turns
 I already tried to turn the ON/Off button + disconnect/reconnect the jack of the carpet
 Urgent: 2nd HS species box!")</f>
        <v>The checkout no longer turns
 I already tried to turn the ON/Off button + disconnect/reconnect the jack of the carpet
 Urgent: 2nd HS species box!</v>
      </c>
    </row>
    <row r="2929">
      <c r="A2929" s="19" t="s">
        <v>2309</v>
      </c>
      <c r="B2929" s="20" t="str">
        <f>IFERROR(__xludf.DUMMYFUNCTION("GOOGLETRANSLATE(A2929, ""fr"", ""en"")"),"The scanner of cash 2 no longer works neither the small scan to scan the lidl plus card")</f>
        <v>The scanner of cash 2 no longer works neither the small scan to scan the lidl plus card</v>
      </c>
    </row>
    <row r="2930">
      <c r="A2930" s="19" t="s">
        <v>2310</v>
      </c>
      <c r="B2930" s="20" t="str">
        <f>IFERROR(__xludf.DUMMYFUNCTION("GOOGLETRANSLATE(A2930, ""fr"", ""en"")"),"Photos of boxes of boxes.")</f>
        <v>Photos of boxes of boxes.</v>
      </c>
    </row>
    <row r="2931">
      <c r="A2931" s="19" t="s">
        <v>2311</v>
      </c>
      <c r="B2931" s="20" t="str">
        <f>IFERROR(__xludf.DUMMYFUNCTION("GOOGLETRANSLATE(A2931, ""fr"", ""en"")"),"Balance H.S")</f>
        <v>Balance H.S</v>
      </c>
    </row>
    <row r="2932">
      <c r="A2932" s="19" t="s">
        <v>2312</v>
      </c>
      <c r="B2932" s="20" t="str">
        <f>IFERROR(__xludf.DUMMYFUNCTION("GOOGLETRANSLATE(A2932, ""fr"", ""en"")"),"Lidl Plus HS reader")</f>
        <v>Lidl Plus HS reader</v>
      </c>
    </row>
    <row r="2933">
      <c r="A2933" s="19" t="s">
        <v>2313</v>
      </c>
      <c r="B2933" s="20" t="str">
        <f>IFERROR(__xludf.DUMMYFUNCTION("GOOGLETRANSLATE(A2933, ""fr"", ""en"")"),"the cash register block")</f>
        <v>the cash register block</v>
      </c>
    </row>
    <row r="2934">
      <c r="A2934" s="19" t="s">
        <v>2314</v>
      </c>
      <c r="B2934" s="20" t="str">
        <f>IFERROR(__xludf.DUMMYFUNCTION("GOOGLETRANSLATE(A2934, ""fr"", ""en"")"),"screen does not work")</f>
        <v>screen does not work</v>
      </c>
    </row>
    <row r="2935">
      <c r="A2935" s="19" t="s">
        <v>2315</v>
      </c>
      <c r="B2935" s="20" t="str">
        <f>IFERROR(__xludf.DUMMYFUNCTION("GOOGLETRANSLATE(A2935, ""fr"", ""en"")"),"The balance of the cash register does not stop a begg. Even after restarting the box several times.")</f>
        <v>The balance of the cash register does not stop a begg. Even after restarting the box several times.</v>
      </c>
    </row>
    <row r="2936">
      <c r="A2936" s="19" t="s">
        <v>2316</v>
      </c>
      <c r="B2936" s="20" t="str">
        <f>IFERROR(__xludf.DUMMYFUNCTION("GOOGLETRANSLATE(A2936, ""fr"", ""en"")"),"2 boxes that are no longer closed
 see attached photos
 Serie's two boxes in the photos")</f>
        <v>2 boxes that are no longer closed
 see attached photos
 Serie's two boxes in the photos</v>
      </c>
    </row>
    <row r="2937">
      <c r="A2937" s="19" t="s">
        <v>2317</v>
      </c>
      <c r="B2937" s="20" t="str">
        <f>IFERROR(__xludf.DUMMYFUNCTION("GOOGLETRANSLATE(A2937, ""fr"", ""en"")"),"We have visited the Water Service of the City of Delle which tells us that we have a huge water leak with 1000m3 of consumer water for a few days
 Urgent because they want to cut the water from the SPM
 (see with Malik at 069536666607) because on the mo"&amp;"ve this AM")</f>
        <v>We have visited the Water Service of the City of Delle which tells us that we have a huge water leak with 1000m3 of consumer water for a few days
 Urgent because they want to cut the water from the SPM
 (see with Malik at 069536666607) because on the move this AM</v>
      </c>
    </row>
    <row r="2938">
      <c r="A2938" s="19" t="s">
        <v>2318</v>
      </c>
      <c r="B2938" s="20" t="str">
        <f>IFERROR(__xludf.DUMMYFUNCTION("GOOGLETRANSLATE(A2938, ""fr"", ""en"")"),"Under warranty: we are told a water leak in the sales area above dishwasher products.
 Please intervene as part of the guarantee.
 store phone number if necessary: ​​03 63 78 01 17")</f>
        <v>Under warranty: we are told a water leak in the sales area above dishwasher products.
 Please intervene as part of the guarantee.
 store phone number if necessary: ​​03 63 78 01 17</v>
      </c>
    </row>
    <row r="2939">
      <c r="A2939" s="19" t="s">
        <v>1530</v>
      </c>
      <c r="B2939" s="20" t="str">
        <f>IFERROR(__xludf.DUMMYFUNCTION("GOOGLETRANSLATE(A2939, ""fr"", ""en"")"),"FM: Eco Lighting: adjustment of the extinction instructions, according to the following instructions: 1- SPM classified in priority 1 in the PJ table: Reluming the sales area 100% except lettering on the walls. The lettering ""special offers"" and on the "&amp;"bread ark must be on. // 2- SPM classified in prio 2 and 3 in the table in PJ: Relum only the spots on the bakery area, FL, cosmetics, boxes, fresh, frozen furniture and bins. Lettrages on the walls must remain extinguished (except ""special offers"" and "&amp;"on the bread ark). // Plan the sites according to the order of priority indicated. The reserves and social premises partially extinguished are not affected by this readjustment. On the other hand, the reserves and social premises that had not been optimiz"&amp;"ed during the first wave are to be optimized. For SPMs requiring a nacelle, please group these stores in order to optimize the rental of the nacelle, imperatively transmit the quote before intervention. Return a recap to the progress of the tour every Fri"&amp;"day to Ali and Benjamin.")</f>
        <v>FM: Eco Lighting: adjustment of the extinction instructions, according to the following instructions: 1- SPM classified in priority 1 in the PJ table: Reluming the sales area 100% except lettering on the walls. The lettering "special offers" and on the bread ark must be on. // 2- SPM classified in prio 2 and 3 in the table in PJ: Relum only the spots on the bakery area, FL, cosmetics, boxes, fresh, frozen furniture and bins. Lettrages on the walls must remain extinguished (except "special offers" and on the bread ark). // Plan the sites according to the order of priority indicated. The reserves and social premises partially extinguished are not affected by this readjustment. On the other hand, the reserves and social premises that had not been optimized during the first wave are to be optimized. For SPMs requiring a nacelle, please group these stores in order to optimize the rental of the nacelle, imperatively transmit the quote before intervention. Return a recap to the progress of the tour every Friday to Ali and Benjamin.</v>
      </c>
    </row>
    <row r="2940">
      <c r="A2940" s="19" t="s">
        <v>2319</v>
      </c>
      <c r="B2940" s="20" t="str">
        <f>IFERROR(__xludf.DUMMYFUNCTION("GOOGLETRANSLATE(A2940, ""fr"", ""en"")"),"FM: Check if the battery tray is on the shelf. If not, you have to lower the shelf and put the tank on it. PJ photos")</f>
        <v>FM: Check if the battery tray is on the shelf. If not, you have to lower the shelf and put the tank on it. PJ photos</v>
      </c>
    </row>
    <row r="2941">
      <c r="A2941" s="19" t="s">
        <v>2320</v>
      </c>
      <c r="B2941" s="20" t="str">
        <f>IFERROR(__xludf.DUMMYFUNCTION("GOOGLETRANSLATE(A2941, ""fr"", ""en"")"),"FM: Please find attached the summary sheet of observations following the passage of the Bureau Véritas for the year 2023. We ask you to clear the observations as soon as possible and to return to us as soon as the intervention is completed (S ) Document ("&amp;"s) completed (s), signed (s) and hidden by you. Sincerely. ELEC.")</f>
        <v>FM: Please find attached the summary sheet of observations following the passage of the Bureau Véritas for the year 2023. We ask you to clear the observations as soon as possible and to return to us as soon as the intervention is completed (S ) Document (s) completed (s), signed (s) and hidden by you. Sincerely. ELEC.</v>
      </c>
    </row>
    <row r="2942">
      <c r="A2942" s="19" t="s">
        <v>2321</v>
      </c>
      <c r="B2942" s="20" t="str">
        <f>IFERROR(__xludf.DUMMYFUNCTION("GOOGLETRANSLATE(A2942, ""fr"", ""en"")"),"FM: The terminals are under tension but are defective. The keys are not present in the supermarket.")</f>
        <v>FM: The terminals are under tension but are defective. The keys are not present in the supermarket.</v>
      </c>
    </row>
    <row r="2943">
      <c r="A2943" s="19" t="s">
        <v>2322</v>
      </c>
      <c r="B2943" s="20" t="str">
        <f>IFERROR(__xludf.DUMMYFUNCTION("GOOGLETRANSLATE(A2943, ""fr"", ""en"")"),"Urgent security point = risk of falls
 There is a strong ceiling leak in the FL reserve airlock
 Certainly due to the air conditioning system of SAS FL.
 See photos attached
 Please intervene quickly")</f>
        <v>Urgent security point = risk of falls
 There is a strong ceiling leak in the FL reserve airlock
 Certainly due to the air conditioning system of SAS FL.
 See photos attached
 Please intervene quickly</v>
      </c>
    </row>
    <row r="2944">
      <c r="A2944" s="19" t="s">
        <v>1390</v>
      </c>
      <c r="B2944" s="20" t="str">
        <f>IFERROR(__xludf.DUMMYFUNCTION("GOOGLETRANSLATE(A2944, ""fr"", ""en"")"),"Various RMR sale for all DR02 SPMs to do before the end S31voir Devis
 Install the Visuals of the Aggressiveness Price campaign. The detail is in the joint pdf")</f>
        <v>Various RMR sale for all DR02 SPMs to do before the end S31voir Devis
 Install the Visuals of the Aggressiveness Price campaign. The detail is in the joint pdf</v>
      </c>
    </row>
    <row r="2945">
      <c r="A2945" s="19" t="s">
        <v>2323</v>
      </c>
      <c r="B2945" s="20" t="str">
        <f>IFERROR(__xludf.DUMMYFUNCTION("GOOGLETRANSLATE(A2945, ""fr"", ""en"")"),"FM: Please intervene following the remote monitoring report, a cold defect of 5 hours on Sunday.")</f>
        <v>FM: Please intervene following the remote monitoring report, a cold defect of 5 hours on Sunday.</v>
      </c>
    </row>
    <row r="2946">
      <c r="A2946" s="19" t="s">
        <v>2324</v>
      </c>
      <c r="B2946" s="20" t="str">
        <f>IFERROR(__xludf.DUMMYFUNCTION("GOOGLETRANSLATE(A2946, ""fr"", ""en"")"),"*The voice announces the opening of the SPM at 8:45 am when it is already opened ... so problem of paracommoning")</f>
        <v>*The voice announces the opening of the SPM at 8:45 am when it is already opened ... so problem of paracommoning</v>
      </c>
    </row>
    <row r="2947">
      <c r="A2947" s="19" t="s">
        <v>2325</v>
      </c>
      <c r="B2947" s="20" t="str">
        <f>IFERROR(__xludf.DUMMYFUNCTION("GOOGLETRANSLATE(A2947, ""fr"", ""en"")"),"FM: Please intervene, VI2VI does not have access to remote servers to update. It is mandatory during the intervention to contact VI2VI to ensure that everything is OK.")</f>
        <v>FM: Please intervene, VI2VI does not have access to remote servers to update. It is mandatory during the intervention to contact VI2VI to ensure that everything is OK.</v>
      </c>
    </row>
    <row r="2948">
      <c r="A2948" s="19" t="s">
        <v>2326</v>
      </c>
      <c r="B2948" s="20" t="str">
        <f>IFERROR(__xludf.DUMMYFUNCTION("GOOGLETRANSLATE(A2948, ""fr"", ""en"")"),"FM: Check-list: Please intervene on the problem of closing of the two roasted doors of the material premises (intervention to be shared).")</f>
        <v>FM: Check-list: Please intervene on the problem of closing of the two roasted doors of the material premises (intervention to be shared).</v>
      </c>
    </row>
    <row r="2949">
      <c r="A2949" s="19" t="s">
        <v>2327</v>
      </c>
      <c r="B2949" s="20" t="str">
        <f>IFERROR(__xludf.DUMMYFUNCTION("GOOGLETRANSLATE(A2949, ""fr"", ""en"")"),"FM: Check-list: Please intervene to straighten it the ward of the quay.")</f>
        <v>FM: Check-list: Please intervene to straighten it the ward of the quay.</v>
      </c>
    </row>
    <row r="2950">
      <c r="A2950" s="19" t="s">
        <v>2328</v>
      </c>
      <c r="B2950" s="20" t="str">
        <f>IFERROR(__xludf.DUMMYFUNCTION("GOOGLETRANSLATE(A2950, ""fr"", ""en"")"),"FM: Basse window cleaning - Module 7 - S28. Immerately attach the checklists.")</f>
        <v>FM: Basse window cleaning - Module 7 - S28. Immerately attach the checklists.</v>
      </c>
    </row>
    <row r="2951">
      <c r="A2951" s="19" t="s">
        <v>2329</v>
      </c>
      <c r="B2951" s="20" t="str">
        <f>IFERROR(__xludf.DUMMYFUNCTION("GOOGLETRANSLATE(A2951, ""fr"", ""en"")"),"FM: To be pooled with another intervention in these 4 SPM: Activate Hélène Chillet's badge (Honeywell 1000602358 and Siemens badge number (ends with 58196).")</f>
        <v>FM: To be pooled with another intervention in these 4 SPM: Activate Hélène Chillet's badge (Honeywell 1000602358 and Siemens badge number (ends with 58196).</v>
      </c>
    </row>
    <row r="2952">
      <c r="A2952" s="19" t="s">
        <v>2330</v>
      </c>
      <c r="B2952" s="20" t="str">
        <f>IFERROR(__xludf.DUMMYFUNCTION("GOOGLETRANSLATE(A2952, ""fr"", ""en"")"),"FM: High window cleaning - Module 7 - S30. Immerately attach the checklists.")</f>
        <v>FM: High window cleaning - Module 7 - S30. Immerately attach the checklists.</v>
      </c>
    </row>
    <row r="2953">
      <c r="A2953" s="19" t="s">
        <v>2331</v>
      </c>
      <c r="B2953" s="20" t="str">
        <f>IFERROR(__xludf.DUMMYFUNCTION("GOOGLETRANSLATE(A2953, ""fr"", ""en"")"),"FM Please intervene under the warranty, for the BSO which is no longer fixed see photos sent by email")</f>
        <v>FM Please intervene under the warranty, for the BSO which is no longer fixed see photos sent by email</v>
      </c>
    </row>
    <row r="2954">
      <c r="A2954" s="19" t="s">
        <v>2332</v>
      </c>
      <c r="B2954" s="20" t="str">
        <f>IFERROR(__xludf.DUMMYFUNCTION("GOOGLETRANSLATE(A2954, ""fr"", ""en"")"),"FM: Please intervene the individual presence detector inside the CF does not work.")</f>
        <v>FM: Please intervene the individual presence detector inside the CF does not work.</v>
      </c>
    </row>
    <row r="2955">
      <c r="A2955" s="19" t="s">
        <v>2333</v>
      </c>
      <c r="B2955" s="20" t="str">
        <f>IFERROR(__xludf.DUMMYFUNCTION("GOOGLETRANSLATE(A2955, ""fr"", ""en"")"),"FM: Check-list: Please intervene to set a staircase walk, see photo (intervention to pool).")</f>
        <v>FM: Check-list: Please intervene to set a staircase walk, see photo (intervention to pool).</v>
      </c>
    </row>
    <row r="2956">
      <c r="A2956" s="19" t="s">
        <v>2334</v>
      </c>
      <c r="B2956" s="20" t="str">
        <f>IFERROR(__xludf.DUMMYFUNCTION("GOOGLETRANSLATE(A2956, ""fr"", ""en"")"),"FM: Thank you for sending us 5 driver badges.")</f>
        <v>FM: Thank you for sending us 5 driver badges.</v>
      </c>
    </row>
    <row r="2957">
      <c r="A2957" s="19" t="s">
        <v>2335</v>
      </c>
      <c r="B2957" s="20" t="str">
        <f>IFERROR(__xludf.DUMMYFUNCTION("GOOGLETRANSLATE(A2957, ""fr"", ""en"")"),"FM: Cleaning park with carts - 12 - S28 module. Immerately attach the checklists.")</f>
        <v>FM: Cleaning park with carts - 12 - S28 module. Immerately attach the checklists.</v>
      </c>
    </row>
    <row r="2958">
      <c r="A2958" s="19" t="s">
        <v>2336</v>
      </c>
      <c r="B2958" s="20" t="str">
        <f>IFERROR(__xludf.DUMMYFUNCTION("GOOGLETRANSLATE(A2958, ""fr"", ""en"")"),"FM Eco Eclairagve: Please set up the eco lighting mode following operating mode in PJ.")</f>
        <v>FM Eco Eclairagve: Please set up the eco lighting mode following operating mode in PJ.</v>
      </c>
    </row>
    <row r="2959">
      <c r="A2959" s="19" t="s">
        <v>1643</v>
      </c>
      <c r="B2959" s="20" t="str">
        <f>IFERROR(__xludf.DUMMYFUNCTION("GOOGLETRANSLATE(A2959, ""fr"", ""en"")"),"FM: Please intervene following a cold defect that night.")</f>
        <v>FM: Please intervene following a cold defect that night.</v>
      </c>
    </row>
    <row r="2960">
      <c r="A2960" s="19" t="s">
        <v>2337</v>
      </c>
      <c r="B2960" s="20" t="str">
        <f>IFERROR(__xludf.DUMMYFUNCTION("GOOGLETRANSLATE(A2960, ""fr"", ""en"")"),"FM: Please intervene to separate the 230 V circuit breaker from the BSO line.")</f>
        <v>FM: Please intervene to separate the 230 V circuit breaker from the BSO line.</v>
      </c>
    </row>
    <row r="2961">
      <c r="A2961" s="19" t="s">
        <v>2338</v>
      </c>
      <c r="B2961" s="20" t="str">
        <f>IFERROR(__xludf.DUMMYFUNCTION("GOOGLETRANSLATE(A2961, ""fr"", ""en"")"),"FM: Mme El Haik's email suite, please be present on 25-04-2022 at 6:00 p.m. for the voltage regulator MES. You will find below the contact details of M Antoniol of the company SA3i which is in charge of this MES. They will have to be accompanied on the fo"&amp;"llowing points: who will welcome us around 6 p.m. to do our tests on the machine without electric cut, which will allow us to cut the power supply to the store, which will have to check that everything is well restarted after the cut. Please confirm your "&amp;"presence.")</f>
        <v>FM: Mme El Haik's email suite, please be present on 25-04-2022 at 6:00 p.m. for the voltage regulator MES. You will find below the contact details of M Antoniol of the company SA3i which is in charge of this MES. They will have to be accompanied on the following points: who will welcome us around 6 p.m. to do our tests on the machine without electric cut, which will allow us to cut the power supply to the store, which will have to check that everything is well restarted after the cut. Please confirm your presence.</v>
      </c>
    </row>
    <row r="2962">
      <c r="A2962" s="19" t="s">
        <v>2339</v>
      </c>
      <c r="B2962" s="20" t="str">
        <f>IFERROR(__xludf.DUMMYFUNCTION("GOOGLETRANSLATE(A2962, ""fr"", ""en"")"),"FM: Following the remote monitoring report, please intervene following a cold defect that night.")</f>
        <v>FM: Following the remote monitoring report, please intervene following a cold defect that night.</v>
      </c>
    </row>
    <row r="2963">
      <c r="A2963" s="19" t="s">
        <v>2340</v>
      </c>
      <c r="B2963" s="20" t="str">
        <f>IFERROR(__xludf.DUMMYFUNCTION("GOOGLETRANSLATE(A2963, ""fr"", ""en"")"),"FM: Cleaning according to Module 7 BASSE S39 bass windows.")</f>
        <v>FM: Cleaning according to Module 7 BASSE S39 bass windows.</v>
      </c>
    </row>
    <row r="2964">
      <c r="A2964" s="19" t="s">
        <v>2341</v>
      </c>
      <c r="B2964" s="20" t="str">
        <f>IFERROR(__xludf.DUMMYFUNCTION("GOOGLETRANSLATE(A2964, ""fr"", ""en"")"),"FM: Following audit, the fire -covered door closes without reason.")</f>
        <v>FM: Following audit, the fire -covered door closes without reason.</v>
      </c>
    </row>
    <row r="2965">
      <c r="A2965" s="19" t="s">
        <v>2342</v>
      </c>
      <c r="B2965" s="20" t="str">
        <f>IFERROR(__xludf.DUMMYFUNCTION("GOOGLETRANSLATE(A2965, ""fr"", ""en"")"),"FM: Suite REPORT REPORT, a cold defect that night more than 5 hours.")</f>
        <v>FM: Suite REPORT REPORT, a cold defect that night more than 5 hours.</v>
      </c>
    </row>
    <row r="2966">
      <c r="A2966" s="19" t="s">
        <v>2343</v>
      </c>
      <c r="B2966" s="20" t="str">
        <f>IFERROR(__xludf.DUMMYFUNCTION("GOOGLETRANSLATE(A2966, ""fr"", ""en"")"),"FM: Please intervene following a cold defect of more than 3 hours tonight.")</f>
        <v>FM: Please intervene following a cold defect of more than 3 hours tonight.</v>
      </c>
    </row>
    <row r="2967">
      <c r="A2967" s="19" t="s">
        <v>1682</v>
      </c>
      <c r="B2967" s="20" t="str">
        <f>IFERROR(__xludf.DUMMYFUNCTION("GOOGLETRANSLATE(A2967, ""fr"", ""en"")"),"FM: Following the remote monitoring report, please intervene for two cold flaws that night.")</f>
        <v>FM: Following the remote monitoring report, please intervene for two cold flaws that night.</v>
      </c>
    </row>
    <row r="2968">
      <c r="A2968" s="19" t="s">
        <v>2344</v>
      </c>
      <c r="B2968" s="20" t="str">
        <f>IFERROR(__xludf.DUMMYFUNCTION("GOOGLETRANSLATE(A2968, ""fr"", ""en"")"),"FM: Please intervene following cold alarms that night.")</f>
        <v>FM: Please intervene following cold alarms that night.</v>
      </c>
    </row>
    <row r="2969">
      <c r="A2969" s="19" t="s">
        <v>2345</v>
      </c>
      <c r="B2969" s="20" t="str">
        <f>IFERROR(__xludf.DUMMYFUNCTION("GOOGLETRANSLATE(A2969, ""fr"", ""en"")"),"FM Please intervene under the warranty for an automatic door that does not work properly")</f>
        <v>FM Please intervene under the warranty for an automatic door that does not work properly</v>
      </c>
    </row>
    <row r="2970">
      <c r="A2970" s="19" t="s">
        <v>2346</v>
      </c>
      <c r="B2970" s="20" t="str">
        <f>IFERROR(__xludf.DUMMYFUNCTION("GOOGLETRANSLATE(A2970, ""fr"", ""en"")"),"FM: Thank you for placing the RIA and fire extinguishers protection covers")</f>
        <v>FM: Thank you for placing the RIA and fire extinguishers protection covers</v>
      </c>
    </row>
    <row r="2971">
      <c r="A2971" s="19" t="s">
        <v>2347</v>
      </c>
      <c r="B2971" s="20" t="str">
        <f>IFERROR(__xludf.DUMMYFUNCTION("GOOGLETRANSLATE(A2971, ""fr"", ""en"")"),"FM: following audit, 1 missing TPE cache.")</f>
        <v>FM: following audit, 1 missing TPE cache.</v>
      </c>
    </row>
    <row r="2972">
      <c r="A2972" s="19" t="s">
        <v>2348</v>
      </c>
      <c r="B2972" s="20" t="str">
        <f>IFERROR(__xludf.DUMMYFUNCTION("GOOGLETRANSLATE(A2972, ""fr"", ""en"")"),"FM Please intervene to modify brewing")</f>
        <v>FM Please intervene to modify brewing</v>
      </c>
    </row>
    <row r="2973">
      <c r="A2973" s="19" t="s">
        <v>2349</v>
      </c>
      <c r="B2973" s="20" t="str">
        <f>IFERROR(__xludf.DUMMYFUNCTION("GOOGLETRANSLATE(A2973, ""fr"", ""en"")"),"FM: Please intervene to replace a block of stone which is in the parking lot")</f>
        <v>FM: Please intervene to replace a block of stone which is in the parking lot</v>
      </c>
    </row>
    <row r="2974">
      <c r="A2974" s="19" t="s">
        <v>2350</v>
      </c>
      <c r="B2974" s="20" t="str">
        <f>IFERROR(__xludf.DUMMYFUNCTION("GOOGLETRANSLATE(A2974, ""fr"", ""en"")"),"FM: Thank you for intervening following a cold defect of 20 mins tonight.")</f>
        <v>FM: Thank you for intervening following a cold defect of 20 mins tonight.</v>
      </c>
    </row>
    <row r="2975">
      <c r="A2975" s="19" t="s">
        <v>2351</v>
      </c>
      <c r="B2975" s="20" t="str">
        <f>IFERROR(__xludf.DUMMYFUNCTION("GOOGLETRANSLATE(A2975, ""fr"", ""en"")"),"FM: Basse window cleaning - Module 7 - S15. Immerately attach the checklists.")</f>
        <v>FM: Basse window cleaning - Module 7 - S15. Immerately attach the checklists.</v>
      </c>
    </row>
    <row r="2976">
      <c r="A2976" s="19" t="s">
        <v>2352</v>
      </c>
      <c r="B2976" s="20" t="str">
        <f>IFERROR(__xludf.DUMMYFUNCTION("GOOGLETRANSLATE(A2976, ""fr"", ""en"")"),"FM thank you for intervening for the door of the quay which is no longer under alarm")</f>
        <v>FM thank you for intervening for the door of the quay which is no longer under alarm</v>
      </c>
    </row>
    <row r="2977">
      <c r="A2977" s="19" t="s">
        <v>1414</v>
      </c>
      <c r="B2977" s="20" t="str">
        <f>IFERROR(__xludf.DUMMYFUNCTION("GOOGLETRANSLATE(A2977, ""fr"", ""en"")"),"FM: Raisement zone of Quai following joint table")</f>
        <v>FM: Raisement zone of Quai following joint table</v>
      </c>
    </row>
    <row r="2978">
      <c r="A2978" s="19" t="s">
        <v>2353</v>
      </c>
      <c r="B2978" s="20" t="str">
        <f>IFERROR(__xludf.DUMMYFUNCTION("GOOGLETRANSLATE(A2978, ""fr"", ""en"")"),"Blocked staff toilets (WC men and women)")</f>
        <v>Blocked staff toilets (WC men and women)</v>
      </c>
    </row>
    <row r="2979">
      <c r="A2979" s="19" t="s">
        <v>1423</v>
      </c>
      <c r="B2979" s="20" t="str">
        <f>IFERROR(__xludf.DUMMYFUNCTION("GOOGLETRANSLATE(A2979, ""fr"", ""en"")"),"FM display code: please put the temperature display in supermarkets according to the modop provides")</f>
        <v>FM display code: please put the temperature display in supermarkets according to the modop provides</v>
      </c>
    </row>
    <row r="2980">
      <c r="A2980" s="19" t="s">
        <v>2354</v>
      </c>
      <c r="B2980" s="20" t="str">
        <f>IFERROR(__xludf.DUMMYFUNCTION("GOOGLETRANSLATE(A2980, ""fr"", ""en"")"),"FM: Thank you for intervening after 02/13/23 to cut the old telephone ringing following the passage of the Mobi telephony.")</f>
        <v>FM: Thank you for intervening after 02/13/23 to cut the old telephone ringing following the passage of the Mobi telephony.</v>
      </c>
    </row>
    <row r="2981">
      <c r="A2981" s="19" t="s">
        <v>2355</v>
      </c>
      <c r="B2981" s="20" t="str">
        <f>IFERROR(__xludf.DUMMYFUNCTION("GOOGLETRANSLATE(A2981, ""fr"", ""en"")"),"FM: hand towel dispenser to withdraw")</f>
        <v>FM: hand towel dispenser to withdraw</v>
      </c>
    </row>
    <row r="2982">
      <c r="A2982" s="19" t="s">
        <v>2356</v>
      </c>
      <c r="B2982" s="20" t="str">
        <f>IFERROR(__xludf.DUMMYFUNCTION("GOOGLETRANSLATE(A2982, ""fr"", ""en"")"),"FM: Central alarm circuit breaker problem")</f>
        <v>FM: Central alarm circuit breaker problem</v>
      </c>
    </row>
    <row r="2983">
      <c r="A2983" s="19" t="s">
        <v>2357</v>
      </c>
      <c r="B2983" s="20" t="str">
        <f>IFERROR(__xludf.DUMMYFUNCTION("GOOGLETRANSLATE(A2983, ""fr"", ""en"")"),"FM: Please intervene for cleaning in front of the quay. Be careful you will need a Karcher, there is a lot of mud. A earthmoving company intervened and there was a stagnant water retention for several weeks. Intervention to be pooled.")</f>
        <v>FM: Please intervene for cleaning in front of the quay. Be careful you will need a Karcher, there is a lot of mud. A earthmoving company intervened and there was a stagnant water retention for several weeks. Intervention to be pooled.</v>
      </c>
    </row>
    <row r="2984">
      <c r="A2984" s="19" t="s">
        <v>2358</v>
      </c>
      <c r="B2984" s="20" t="str">
        <f>IFERROR(__xludf.DUMMYFUNCTION("GOOGLETRANSLATE(A2984, ""fr"", ""en"")"),"Guarding: alarm problem")</f>
        <v>Guarding: alarm problem</v>
      </c>
    </row>
    <row r="2985">
      <c r="A2985" s="19" t="s">
        <v>2359</v>
      </c>
      <c r="B2985" s="20" t="str">
        <f>IFERROR(__xludf.DUMMYFUNCTION("GOOGLETRANSLATE(A2985, ""fr"", ""en"")"),"FM: There is one of the production defects in the following SPMs: Valdahon (under warranty), Delle (under warranty), Montbéliard (under warranty), Sélestat and Eckbolsheim. thanks for intervening")</f>
        <v>FM: There is one of the production defects in the following SPMs: Valdahon (under warranty), Delle (under warranty), Montbéliard (under warranty), Sélestat and Eckbolsheim. thanks for intervening</v>
      </c>
    </row>
    <row r="2986">
      <c r="A2986" s="19" t="s">
        <v>2360</v>
      </c>
      <c r="B2986" s="20" t="str">
        <f>IFERROR(__xludf.DUMMYFUNCTION("GOOGLETRANSLATE(A2986, ""fr"", ""en"")"),"FM: Suite Courrier Mairie, a large leak was noted after the water meter which supplies the SPM. Please check.")</f>
        <v>FM: Suite Courrier Mairie, a large leak was noted after the water meter which supplies the SPM. Please check.</v>
      </c>
    </row>
    <row r="2987">
      <c r="A2987" s="19" t="s">
        <v>2361</v>
      </c>
      <c r="B2987" s="20" t="str">
        <f>IFERROR(__xludf.DUMMYFUNCTION("GOOGLETRANSLATE(A2987, ""fr"", ""en"")"),"FM please intervene under the warranty for 1 default postponement in the office, it is not connected and it is on OFF, in the cupboard over -ressed on the social equipment ??")</f>
        <v>FM please intervene under the warranty for 1 default postponement in the office, it is not connected and it is on OFF, in the cupboard over -ressed on the social equipment ??</v>
      </c>
    </row>
    <row r="2988">
      <c r="A2988" s="19" t="s">
        <v>2362</v>
      </c>
      <c r="B2988" s="20" t="str">
        <f>IFERROR(__xludf.DUMMYFUNCTION("GOOGLETRANSLATE(A2988, ""fr"", ""en"")"),"FM: PDR:: Install 1 power supply to photo booth in the input airlock (work identical to Baume or Mulhouse), the device will be installed in front of the window on the outlet side (and not on the sorting furniture side). Installation in gray chute.
 Dead"&amp;"line: 24/06")</f>
        <v>FM: PDR:: Install 1 power supply to photo booth in the input airlock (work identical to Baume or Mulhouse), the device will be installed in front of the window on the outlet side (and not on the sorting furniture side). Installation in gray chute.
 Deadline: 24/06</v>
      </c>
    </row>
    <row r="2989">
      <c r="A2989" s="19" t="s">
        <v>2363</v>
      </c>
      <c r="B2989" s="20" t="str">
        <f>IFERROR(__xludf.DUMMYFUNCTION("GOOGLETRANSLATE(A2989, ""fr"", ""en"")"),"FM Please intervene under the warranty for a search for a roof leak, damp wet FP in V2 See photo+ recovery EP downhill in reserve (already commissioned in the week)")</f>
        <v>FM Please intervene under the warranty for a search for a roof leak, damp wet FP in V2 See photo+ recovery EP downhill in reserve (already commissioned in the week)</v>
      </c>
    </row>
    <row r="2990">
      <c r="A2990" s="19" t="s">
        <v>2364</v>
      </c>
      <c r="B2990" s="20" t="str">
        <f>IFERROR(__xludf.DUMMYFUNCTION("GOOGLETRANSLATE(A2990, ""fr"", ""en"")"),"The door between the FL room and fresh room is defecular following a blow.
 This works because it opens and closes but the hinged doors will soon fall because the fixation no longer holds a lot")</f>
        <v>The door between the FL room and fresh room is defecular following a blow.
 This works because it opens and closes but the hinged doors will soon fall because the fixation no longer holds a lot</v>
      </c>
    </row>
    <row r="2991">
      <c r="A2991" s="19" t="s">
        <v>2365</v>
      </c>
      <c r="B2991" s="20" t="str">
        <f>IFERROR(__xludf.DUMMYFUNCTION("GOOGLETRANSLATE(A2991, ""fr"", ""en"")"),"FM: intervention on the metal door social access of the SV and the social access door to reserve.")</f>
        <v>FM: intervention on the metal door social access of the SV and the social access door to reserve.</v>
      </c>
    </row>
    <row r="2992">
      <c r="A2992" s="19" t="s">
        <v>2366</v>
      </c>
      <c r="B2992" s="20" t="str">
        <f>IFERROR(__xludf.DUMMYFUNCTION("GOOGLETRANSLATE(A2992, ""fr"", ""en"")"),"FM Please create the badge sent by email")</f>
        <v>FM Please create the badge sent by email</v>
      </c>
    </row>
    <row r="2993">
      <c r="A2993" s="19" t="s">
        <v>2367</v>
      </c>
      <c r="B2993" s="20" t="str">
        <f>IFERROR(__xludf.DUMMYFUNCTION("GOOGLETRANSLATE(A2993, ""fr"", ""en"")"),"FM: Please check the PV installations following thunderstorms (hail). Priority check stores from 25-90-68.")</f>
        <v>FM: Please check the PV installations following thunderstorms (hail). Priority check stores from 25-90-68.</v>
      </c>
    </row>
    <row r="2994">
      <c r="A2994" s="19" t="s">
        <v>1439</v>
      </c>
      <c r="B2994" s="20" t="str">
        <f>IFERROR(__xludf.DUMMYFUNCTION("GOOGLETRANSLATE(A2994, ""fr"", ""en"")"),"FM: cleaning 7 low window module according to July planning S30")</f>
        <v>FM: cleaning 7 low window module according to July planning S30</v>
      </c>
    </row>
    <row r="2995">
      <c r="A2995" s="19" t="s">
        <v>2368</v>
      </c>
      <c r="B2995" s="20" t="str">
        <f>IFERROR(__xludf.DUMMYFUNCTION("GOOGLETRANSLATE(A2995, ""fr"", ""en"")"),"FM: Cleaning 8 High window module according to July planning S30.")</f>
        <v>FM: Cleaning 8 High window module according to July planning S30.</v>
      </c>
    </row>
    <row r="2996">
      <c r="A2996" s="19" t="s">
        <v>1457</v>
      </c>
      <c r="B2996" s="20" t="str">
        <f>IFERROR(__xludf.DUMMYFUNCTION("GOOGLETRANSLATE(A2996, ""fr"", ""en"")"),"FM: Thank you for reconnecting the water heaters in the kitchens and bakery.")</f>
        <v>FM: Thank you for reconnecting the water heaters in the kitchens and bakery.</v>
      </c>
    </row>
    <row r="2997">
      <c r="A2997" s="19" t="s">
        <v>1458</v>
      </c>
      <c r="B2997" s="20" t="str">
        <f>IFERROR(__xludf.DUMMYFUNCTION("GOOGLETRANSLATE(A2997, ""fr"", ""en"")"),"FM: Control if the TGBT room is accessible from outside. If so, can we access it with the 7/7 key? If not, take the measurement of the cylinder to order. See Mail Ali from 30/12.")</f>
        <v>FM: Control if the TGBT room is accessible from outside. If so, can we access it with the 7/7 key? If not, take the measurement of the cylinder to order. See Mail Ali from 30/12.</v>
      </c>
    </row>
    <row r="2998">
      <c r="A2998" s="19" t="s">
        <v>2369</v>
      </c>
      <c r="B2998" s="20" t="str">
        <f>IFERROR(__xludf.DUMMYFUNCTION("GOOGLETRANSLATE(A2998, ""fr"", ""en"")"),"FM: No visual on video surveillance cameras.")</f>
        <v>FM: No visual on video surveillance cameras.</v>
      </c>
    </row>
    <row r="2999">
      <c r="A2999" s="19" t="s">
        <v>2370</v>
      </c>
      <c r="B2999" s="20" t="str">
        <f>IFERROR(__xludf.DUMMYFUNCTION("GOOGLETRANSLATE(A2999, ""fr"", ""en"")"),"FM Please intervene under warranty, for a leak on the booster, see email sent today E 05-01-2023 to Yannick Burckbuchler")</f>
        <v>FM Please intervene under warranty, for a leak on the booster, see email sent today E 05-01-2023 to Yannick Burckbuchler</v>
      </c>
    </row>
    <row r="3000">
      <c r="A3000" s="19" t="s">
        <v>2371</v>
      </c>
      <c r="B3000" s="20" t="str">
        <f>IFERROR(__xludf.DUMMYFUNCTION("GOOGLETRANSLATE(A3000, ""fr"", ""en"")"),"FM: presence of water on the ground in the fries (concerns Skylight)")</f>
        <v>FM: presence of water on the ground in the fries (concerns Skylight)</v>
      </c>
    </row>
    <row r="3001">
      <c r="A3001" s="19" t="s">
        <v>1459</v>
      </c>
      <c r="B3001" s="20" t="str">
        <f>IFERROR(__xludf.DUMMYFUNCTION("GOOGLETRANSLATE(A3001, ""fr"", ""en"")"),"FM: Please control during your passages if the ""Welcome"" logo is hidden by a world record relay (see photo). If so, please remove the logo behind the locker.")</f>
        <v>FM: Please control during your passages if the "Welcome" logo is hidden by a world record relay (see photo). If so, please remove the logo behind the locker.</v>
      </c>
    </row>
    <row r="3002">
      <c r="A3002" s="19" t="s">
        <v>2372</v>
      </c>
      <c r="B3002" s="20" t="str">
        <f>IFERROR(__xludf.DUMMYFUNCTION("GOOGLETRANSLATE(A3002, ""fr"", ""en"")"),"FM: Please intervene following the attached Cythelia report: missing information")</f>
        <v>FM: Please intervene following the attached Cythelia report: missing information</v>
      </c>
    </row>
    <row r="3003">
      <c r="A3003" s="19" t="s">
        <v>2373</v>
      </c>
      <c r="B3003" s="20" t="str">
        <f>IFERROR(__xludf.DUMMYFUNCTION("GOOGLETRANSLATE(A3003, ""fr"", ""en"")"),"FM: This SPM has its Bouygues router which cuts every night, it must be badly connected. Intervene to correct the electrical connections.
 Everything must be on the corrugated current.")</f>
        <v>FM: This SPM has its Bouygues router which cuts every night, it must be badly connected. Intervene to correct the electrical connections.
 Everything must be on the corrugated current.</v>
      </c>
    </row>
    <row r="3004">
      <c r="A3004" s="19" t="s">
        <v>2374</v>
      </c>
      <c r="B3004" s="20" t="str">
        <f>IFERROR(__xludf.DUMMYFUNCTION("GOOGLETRANSLATE(A3004, ""fr"", ""en"")"),"FM: Please intervene under warranty. No data transmitted on Sundays and night. The sockets are not permanently fed.")</f>
        <v>FM: Please intervene under warranty. No data transmitted on Sundays and night. The sockets are not permanently fed.</v>
      </c>
    </row>
    <row r="3005">
      <c r="A3005" s="19" t="s">
        <v>1462</v>
      </c>
      <c r="B3005" s="20" t="str">
        <f>IFERROR(__xludf.DUMMYFUNCTION("GOOGLETRANSLATE(A3005, ""fr"", ""en"")"),"FM: Ba sheet code - Install the adhesives safety instructions.
 Deadline 04/30/2023")</f>
        <v>FM: Ba sheet code - Install the adhesives safety instructions.
 Deadline 04/30/2023</v>
      </c>
    </row>
    <row r="3006">
      <c r="A3006" s="19" t="s">
        <v>1463</v>
      </c>
      <c r="B3006" s="20" t="str">
        <f>IFERROR(__xludf.DUMMYFUNCTION("GOOGLETRANSLATE(A3006, ""fr"", ""en"")"),"FM: Victoire Video surveillance Display According to Mail d'Ali from 30/12.")</f>
        <v>FM: Victoire Video surveillance Display According to Mail d'Ali from 30/12.</v>
      </c>
    </row>
    <row r="3007">
      <c r="A3007" s="19" t="s">
        <v>1466</v>
      </c>
      <c r="B3007" s="20" t="str">
        <f>IFERROR(__xludf.DUMMYFUNCTION("GOOGLETRANSLATE(A3007, ""fr"", ""en"")"),"Various sale RMR Visual installation campaign aggressiveness price.
 To be done before S31 for the entire DR 02, or 69 SPM.
 Installation detail See PDF")</f>
        <v>Various sale RMR Visual installation campaign aggressiveness price.
 To be done before S31 for the entire DR 02, or 69 SPM.
 Installation detail See PDF</v>
      </c>
    </row>
    <row r="3008">
      <c r="A3008" s="19" t="s">
        <v>2375</v>
      </c>
      <c r="B3008" s="20" t="str">
        <f>IFERROR(__xludf.DUMMYFUNCTION("GOOGLETRANSLATE(A3008, ""fr"", ""en"")"),"FM: Thank you for intervening, a socket smokes when you unplug the throat.")</f>
        <v>FM: Thank you for intervening, a socket smokes when you unplug the throat.</v>
      </c>
    </row>
    <row r="3009">
      <c r="A3009" s="19" t="s">
        <v>2376</v>
      </c>
      <c r="B3009" s="20" t="str">
        <f>IFERROR(__xludf.DUMMYFUNCTION("GOOGLETRANSLATE(A3009, ""fr"", ""en"")"),"For concept security
 Badge registration 1591487876 in framework, Neymeyer Helene")</f>
        <v>For concept security
 Badge registration 1591487876 in framework, Neymeyer Helene</v>
      </c>
    </row>
    <row r="3010">
      <c r="A3010" s="19" t="s">
        <v>2377</v>
      </c>
      <c r="B3010" s="20" t="str">
        <f>IFERROR(__xludf.DUMMYFUNCTION("GOOGLETRANSLATE(A3010, ""fr"", ""en"")"),"FM Please intervene to brew and connect the store fixed phone See attachment")</f>
        <v>FM Please intervene to brew and connect the store fixed phone See attachment</v>
      </c>
    </row>
    <row r="3011">
      <c r="A3011" s="19" t="s">
        <v>2378</v>
      </c>
      <c r="B3011" s="20" t="str">
        <f>IFERROR(__xludf.DUMMYFUNCTION("GOOGLETRANSLATE(A3011, ""fr"", ""en"")"),"for concept security:
 Authorization for badge 996905540 badge frame
 Fatima FRIKESS RVS")</f>
        <v>for concept security:
 Authorization for badge 996905540 badge frame
 Fatima FRIKESS RVS</v>
      </c>
    </row>
    <row r="3012">
      <c r="A3012" s="19" t="s">
        <v>2379</v>
      </c>
      <c r="B3012" s="20" t="str">
        <f>IFERROR(__xludf.DUMMYFUNCTION("GOOGLETRANSLATE(A3012, ""fr"", ""en"")"),"FM: We want a supervisor for 07/05/2022. Please send us a confirmation by email.")</f>
        <v>FM: We want a supervisor for 07/05/2022. Please send us a confirmation by email.</v>
      </c>
    </row>
    <row r="3013">
      <c r="A3013" s="19" t="s">
        <v>1694</v>
      </c>
      <c r="B3013" s="20" t="str">
        <f>IFERROR(__xludf.DUMMYFUNCTION("GOOGLETRANSLATE(A3013, ""fr"", ""en"")"),"Hello, please find attached the summary sheet of observations following the passage of the office Veritas for the year 2022. We ask you to kindly raise observations as soon as possible and return to us as soon as the intervention is finished (s ) Document"&amp;" (s) completed (s), signed (s) and hidden by you. Sincerely. Rescue")</f>
        <v>Hello, please find attached the summary sheet of observations following the passage of the office Veritas for the year 2022. We ask you to kindly raise observations as soon as possible and return to us as soon as the intervention is finished (s ) Document (s) completed (s), signed (s) and hidden by you. Sincerely. Rescue</v>
      </c>
    </row>
    <row r="3014">
      <c r="A3014" s="19" t="s">
        <v>2380</v>
      </c>
      <c r="B3014" s="20" t="str">
        <f>IFERROR(__xludf.DUMMYFUNCTION("GOOGLETRANSLATE(A3014, ""fr"", ""en"")"),"FM: Please intervene to replace a broken trap in reserve on the doorstep side of the quay.")</f>
        <v>FM: Please intervene to replace a broken trap in reserve on the doorstep side of the quay.</v>
      </c>
    </row>
    <row r="3015">
      <c r="A3015" s="19" t="s">
        <v>2381</v>
      </c>
      <c r="B3015" s="20" t="str">
        <f>IFERROR(__xludf.DUMMYFUNCTION("GOOGLETRANSLATE(A3015, ""fr"", ""en"")"),"FM: Video extraction request. Date: 03/06/2023 - Timetables: from 11:23 a.m. to 11:33 a.m. - Zones: cash register n ° 7 / Supermarket / parking.")</f>
        <v>FM: Video extraction request. Date: 03/06/2023 - Timetables: from 11:23 a.m. to 11:33 a.m. - Zones: cash register n ° 7 / Supermarket / parking.</v>
      </c>
    </row>
    <row r="3016">
      <c r="A3016" s="19" t="s">
        <v>2382</v>
      </c>
      <c r="B3016" s="20" t="str">
        <f>IFERROR(__xludf.DUMMYFUNCTION("GOOGLETRANSLATE(A3016, ""fr"", ""en"")"),"FM: Please intervene following the report of remote monitoring, a cold defect that night 20 minutes.")</f>
        <v>FM: Please intervene following the report of remote monitoring, a cold defect that night 20 minutes.</v>
      </c>
    </row>
    <row r="3017">
      <c r="A3017" s="19" t="s">
        <v>2383</v>
      </c>
      <c r="B3017" s="20" t="str">
        <f>IFERROR(__xludf.DUMMYFUNCTION("GOOGLETRANSLATE(A3017, ""fr"", ""en"")"),"FM: Please intervene following a cold defect.")</f>
        <v>FM: Please intervene following a cold defect.</v>
      </c>
    </row>
    <row r="3018">
      <c r="A3018" s="19" t="s">
        <v>1486</v>
      </c>
      <c r="B3018" s="20" t="str">
        <f>IFERROR(__xludf.DUMMYFUNCTION("GOOGLETRANSLATE(A3018, ""fr"", ""en"")"),"FM ECO ECL: extinguish COVVID counting systems at the input of SPMs. Deadline at the end of January.")</f>
        <v>FM ECO ECL: extinguish COVVID counting systems at the input of SPMs. Deadline at the end of January.</v>
      </c>
    </row>
    <row r="3019">
      <c r="A3019" s="19" t="s">
        <v>1423</v>
      </c>
      <c r="B3019" s="20" t="str">
        <f>IFERROR(__xludf.DUMMYFUNCTION("GOOGLETRANSLATE(A3019, ""fr"", ""en"")"),"FM display code: please put the temperature display in supermarkets according to the modop provides")</f>
        <v>FM display code: please put the temperature display in supermarkets according to the modop provides</v>
      </c>
    </row>
    <row r="3020">
      <c r="A3020" s="19" t="s">
        <v>2384</v>
      </c>
      <c r="B3020" s="20" t="str">
        <f>IFERROR(__xludf.DUMMYFUNCTION("GOOGLETRANSLATE(A3020, ""fr"", ""en"")"),"FM: The inverters have been detected but the installation is not in service because there is a differential problem. URGENT")</f>
        <v>FM: The inverters have been detected but the installation is not in service because there is a differential problem. URGENT</v>
      </c>
    </row>
    <row r="3021">
      <c r="A3021" s="19" t="s">
        <v>1508</v>
      </c>
      <c r="B3021" s="20" t="str">
        <f>IFERROR(__xludf.DUMMYFUNCTION("GOOGLETRANSLATE(A3021, ""fr"", ""en"")"),"FM: Module 7: Please intervene for clean window cleaning. Do not forget to ask for the RPS and the checklist of control signed and stamped by the supermarket.")</f>
        <v>FM: Module 7: Please intervene for clean window cleaning. Do not forget to ask for the RPS and the checklist of control signed and stamped by the supermarket.</v>
      </c>
    </row>
    <row r="3022">
      <c r="A3022" s="19" t="s">
        <v>2385</v>
      </c>
      <c r="B3022" s="20" t="str">
        <f>IFERROR(__xludf.DUMMYFUNCTION("GOOGLETRANSLATE(A3022, ""fr"", ""en"")"),"FM: There will be a change in schedules from June 1: Open Sunday from 9 a.m. to 12 p.m. Please intervene in S22 for replacement of time information on the totem.")</f>
        <v>FM: There will be a change in schedules from June 1: Open Sunday from 9 a.m. to 12 p.m. Please intervene in S22 for replacement of time information on the totem.</v>
      </c>
    </row>
    <row r="3023">
      <c r="A3023" s="19" t="s">
        <v>2386</v>
      </c>
      <c r="B3023" s="20" t="str">
        <f>IFERROR(__xludf.DUMMYFUNCTION("GOOGLETRANSLATE(A3023, ""fr"", ""en"")"),"FM: Urgent The trunk is offline and the SPM opens this Sunday.")</f>
        <v>FM: Urgent The trunk is offline and the SPM opens this Sunday.</v>
      </c>
    </row>
    <row r="3024">
      <c r="A3024" s="19" t="s">
        <v>1486</v>
      </c>
      <c r="B3024" s="20" t="str">
        <f>IFERROR(__xludf.DUMMYFUNCTION("GOOGLETRANSLATE(A3024, ""fr"", ""en"")"),"FM ECO ECL: extinguish COVVID counting systems at the input of SPMs. Deadline at the end of January.")</f>
        <v>FM ECO ECL: extinguish COVVID counting systems at the input of SPMs. Deadline at the end of January.</v>
      </c>
    </row>
    <row r="3025">
      <c r="A3025" s="19" t="s">
        <v>2387</v>
      </c>
      <c r="B3025" s="20" t="str">
        <f>IFERROR(__xludf.DUMMYFUNCTION("GOOGLETRANSLATE(A3025, ""fr"", ""en"")"),"FM: Thank you for intervening following the intervention of the alarmist on the access door to the social. The trifle fuse has been replaced. It is the trifle that is broken.")</f>
        <v>FM: Thank you for intervening following the intervention of the alarmist on the access door to the social. The trifle fuse has been replaced. It is the trifle that is broken.</v>
      </c>
    </row>
    <row r="3026">
      <c r="A3026" s="19" t="s">
        <v>2388</v>
      </c>
      <c r="B3026" s="20" t="str">
        <f>IFERROR(__xludf.DUMMYFUNCTION("GOOGLETRANSLATE(A3026, ""fr"", ""en"")"),"FM Please intervene for several leaks on the roof, see email sent today on 05-01-2023")</f>
        <v>FM Please intervene for several leaks on the roof, see email sent today on 05-01-2023</v>
      </c>
    </row>
    <row r="3027">
      <c r="A3027" s="19" t="s">
        <v>2389</v>
      </c>
      <c r="B3027" s="20" t="str">
        <f>IFERROR(__xludf.DUMMYFUNCTION("GOOGLETRANSLATE(A3027, ""fr"", ""en"")"),"FM: Electric trial of the access door to HS social premises.")</f>
        <v>FM: Electric trial of the access door to HS social premises.</v>
      </c>
    </row>
    <row r="3028">
      <c r="A3028" s="19" t="s">
        <v>1668</v>
      </c>
      <c r="B3028" s="20" t="str">
        <f>IFERROR(__xludf.DUMMYFUNCTION("GOOGLETRANSLATE(A3028, ""fr"", ""en"")"),"FM: Please find attached the summary sheet of observations following the passage of the Bureau Véritas for the year 2023. We ask you to clear the observations as soon as possible and to return to us as soon as the intervention is completed (S ) Document ("&amp;"s) completed (s), signed (s) and hidden by you. Sincerely. Rescue means.")</f>
        <v>FM: Please find attached the summary sheet of observations following the passage of the Bureau Véritas for the year 2023. We ask you to clear the observations as soon as possible and to return to us as soon as the intervention is completed (S ) Document (s) completed (s), signed (s) and hidden by you. Sincerely. Rescue means.</v>
      </c>
    </row>
    <row r="3029">
      <c r="A3029" s="19" t="s">
        <v>2390</v>
      </c>
      <c r="B3029" s="20" t="str">
        <f>IFERROR(__xludf.DUMMYFUNCTION("GOOGLETRANSLATE(A3029, ""fr"", ""en"")"),"FM Please intervene under the warranty for I, water filters through the window in social premises + 1 bso on the curtain wall which does not go down to see photos")</f>
        <v>FM Please intervene under the warranty for I, water filters through the window in social premises + 1 bso on the curtain wall which does not go down to see photos</v>
      </c>
    </row>
    <row r="3030">
      <c r="A3030" s="19" t="s">
        <v>1528</v>
      </c>
      <c r="B3030" s="20" t="str">
        <f>IFERROR(__xludf.DUMMYFUNCTION("GOOGLETRANSLATE(A3030, ""fr"", ""en"")"),"FM: Basse window cleaning - Module 7 - S46 and 47.")</f>
        <v>FM: Basse window cleaning - Module 7 - S46 and 47.</v>
      </c>
    </row>
    <row r="3031">
      <c r="A3031" s="19" t="s">
        <v>2391</v>
      </c>
      <c r="B3031" s="20" t="str">
        <f>IFERROR(__xludf.DUMMYFUNCTION("GOOGLETRANSLATE(A3031, ""fr"", ""en"")"),"FM: Pepinieres:-S19-S20: Install the barriers on Tuesday 09/05 in the SPM 204-3713-4046-4116 according to PJ // Recover the 53 barriers on Monday 22/05 and restore them at Kiloutou Geispolsheim. Please take an RPS for each SPM.")</f>
        <v>FM: Pepinieres:-S19-S20: Install the barriers on Tuesday 09/05 in the SPM 204-3713-4046-4116 according to PJ // Recover the 53 barriers on Monday 22/05 and restore them at Kiloutou Geispolsheim. Please take an RPS for each SPM.</v>
      </c>
    </row>
    <row r="3032">
      <c r="A3032" s="19" t="s">
        <v>2392</v>
      </c>
      <c r="B3032" s="20" t="str">
        <f>IFERROR(__xludf.DUMMYFUNCTION("GOOGLETRANSLATE(A3032, ""fr"", ""en"")"),"FM: Pépinière operation from 10/05 to 20/05, customer access will be by the rear is a box. Intervene on 05/09 to deactivate the day alarm on the IS and reject on May 22 to reactivate the alarm.")</f>
        <v>FM: Pépinière operation from 10/05 to 20/05, customer access will be by the rear is a box. Intervene on 05/09 to deactivate the day alarm on the IS and reject on May 22 to reactivate the alarm.</v>
      </c>
    </row>
    <row r="3033">
      <c r="A3033" s="19" t="s">
        <v>2393</v>
      </c>
      <c r="B3033" s="20" t="str">
        <f>IFERROR(__xludf.DUMMYFUNCTION("GOOGLETRANSLATE(A3033, ""fr"", ""en"")"),"FM: Check-list suite: 7x7 cylinder to install on the gates giving access to the side of the mag.")</f>
        <v>FM: Check-list suite: 7x7 cylinder to install on the gates giving access to the side of the mag.</v>
      </c>
    </row>
    <row r="3034">
      <c r="A3034" s="19" t="s">
        <v>2394</v>
      </c>
      <c r="B3034" s="20" t="str">
        <f>IFERROR(__xludf.DUMMYFUNCTION("GOOGLETRANSLATE(A3034, ""fr"", ""en"")"),"FM: Follow -up TV removal report, please intervene following a cold defect of more than 7 hours tonight.")</f>
        <v>FM: Follow -up TV removal report, please intervene following a cold defect of more than 7 hours tonight.</v>
      </c>
    </row>
    <row r="3035">
      <c r="A3035" s="19" t="s">
        <v>2395</v>
      </c>
      <c r="B3035" s="20" t="str">
        <f>IFERROR(__xludf.DUMMYFUNCTION("GOOGLETRANSLATE(A3035, ""fr"", ""en"")"),"FM: Following Remoir surveillance report, please intervene following a cold defect of 58 mins tonight.")</f>
        <v>FM: Following Remoir surveillance report, please intervene following a cold defect of 58 mins tonight.</v>
      </c>
    </row>
    <row r="3036">
      <c r="A3036" s="19" t="s">
        <v>2396</v>
      </c>
      <c r="B3036" s="20" t="str">
        <f>IFERROR(__xludf.DUMMYFUNCTION("GOOGLETRANSLATE(A3036, ""fr"", ""en"")"),"FM: Please intervene following the report of remote monitoring, several cold flaws.")</f>
        <v>FM: Please intervene following the report of remote monitoring, several cold flaws.</v>
      </c>
    </row>
    <row r="3037">
      <c r="A3037" s="19" t="s">
        <v>2397</v>
      </c>
      <c r="B3037" s="20" t="str">
        <f>IFERROR(__xludf.DUMMYFUNCTION("GOOGLETRANSLATE(A3037, ""fr"", ""en"")"),"Air conditioning makes a funny noise in the fresh furniture")</f>
        <v>Air conditioning makes a funny noise in the fresh furniture</v>
      </c>
    </row>
    <row r="3038">
      <c r="A3038" s="19" t="s">
        <v>2398</v>
      </c>
      <c r="B3038" s="20" t="str">
        <f>IFERROR(__xludf.DUMMYFUNCTION("GOOGLETRANSLATE(A3038, ""fr"", ""en"")"),"Various RMR sale
 To be done for 03/05/2023 mount a wood structure for 4m/1m tarpaulins and put the tarpaulin to recover in Dr. Pepiniere side.
 - Everything is removed on 12/05/2023 the tarpaulin as well as the structure.
 THANKS")</f>
        <v>Various RMR sale
 To be done for 03/05/2023 mount a wood structure for 4m/1m tarpaulins and put the tarpaulin to recover in Dr. Pepiniere side.
 - Everything is removed on 12/05/2023 the tarpaulin as well as the structure.
 THANKS</v>
      </c>
    </row>
    <row r="3039">
      <c r="A3039" s="19" t="s">
        <v>2399</v>
      </c>
      <c r="B3039" s="20" t="str">
        <f>IFERROR(__xludf.DUMMYFUNCTION("GOOGLETRANSLATE(A3039, ""fr"", ""en"")"),"Various RMR sale, at the same time as the withdrawal of the nursery tarpaulin.
 -3713 MUNSTER: Place for crystalline EP + IMS which am
 4046 Delle: Place for crystalline EP
 Replacing the briefing board
 The update of fresh panels
 The update of VVP cli"&amp;"ps and magnets")</f>
        <v>Various RMR sale, at the same time as the withdrawal of the nursery tarpaulin.
 -3713 MUNSTER: Place for crystalline EP + IMS which am
 4046 Delle: Place for crystalline EP
 Replacing the briefing board
 The update of fresh panels
 The update of VVP clips and magnets</v>
      </c>
    </row>
    <row r="3040">
      <c r="A3040" s="19" t="s">
        <v>2400</v>
      </c>
      <c r="B3040" s="20" t="str">
        <f>IFERROR(__xludf.DUMMYFUNCTION("GOOGLETRANSLATE(A3040, ""fr"", ""en"")"),"FM: Check-list suite: Corner of the tablet back box: planing or placing a small corner sheet.")</f>
        <v>FM: Check-list suite: Corner of the tablet back box: planing or placing a small corner sheet.</v>
      </c>
    </row>
    <row r="3041">
      <c r="A3041" s="19" t="s">
        <v>2401</v>
      </c>
      <c r="B3041" s="20" t="str">
        <f>IFERROR(__xludf.DUMMYFUNCTION("GOOGLETRANSLATE(A3041, ""fr"", ""en"")"),"FM: CHECK-List suite: please store the watering pipe.")</f>
        <v>FM: CHECK-List suite: please store the watering pipe.</v>
      </c>
    </row>
    <row r="3042">
      <c r="A3042" s="19" t="s">
        <v>2402</v>
      </c>
      <c r="B3042" s="20" t="str">
        <f>IFERROR(__xludf.DUMMYFUNCTION("GOOGLETRANSLATE(A3042, ""fr"", ""en"")"),"FM: Check-list: Please change the damp tiles in the Bread lab.")</f>
        <v>FM: Check-list: Please change the damp tiles in the Bread lab.</v>
      </c>
    </row>
    <row r="3043">
      <c r="A3043" s="19" t="s">
        <v>2403</v>
      </c>
      <c r="B3043" s="20" t="str">
        <f>IFERROR(__xludf.DUMMYFUNCTION("GOOGLETRANSLATE(A3043, ""fr"", ""en"")"),"Does not work and we do not have the button to turn it on or turn it manually, as in other SPM
 Flight today by the entry of the SPM")</f>
        <v>Does not work and we do not have the button to turn it on or turn it manually, as in other SPM
 Flight today by the entry of the SPM</v>
      </c>
    </row>
    <row r="3044">
      <c r="A3044" s="19" t="s">
        <v>2404</v>
      </c>
      <c r="B3044" s="20" t="str">
        <f>IFERROR(__xludf.DUMMYFUNCTION("GOOGLETRANSLATE(A3044, ""fr"", ""en"")"),"FM Please intervene under the warranty to check the sockets placed in the PV room are of course the continuous current and not on the 1/3")</f>
        <v>FM Please intervene under the warranty to check the sockets placed in the PV room are of course the continuous current and not on the 1/3</v>
      </c>
    </row>
    <row r="3045">
      <c r="A3045" s="19" t="s">
        <v>2405</v>
      </c>
      <c r="B3045" s="20" t="str">
        <f>IFERROR(__xludf.DUMMYFUNCTION("GOOGLETRANSLATE(A3045, ""fr"", ""en"")"),"FM Please intervene under the warranty for riprap on the embankment that fell at the bottom of the quay see attached photo")</f>
        <v>FM Please intervene under the warranty for riprap on the embankment that fell at the bottom of the quay see attached photo</v>
      </c>
    </row>
    <row r="3046">
      <c r="A3046" s="19" t="s">
        <v>2406</v>
      </c>
      <c r="B3046" s="20" t="str">
        <f>IFERROR(__xludf.DUMMYFUNCTION("GOOGLETRANSLATE(A3046, ""fr"", ""en"")"),"FM Please intervene under the warranty, for a tailor -installed tail (1 lamp lights up the EVs) + the emergency firefighter for the PV which is lit in red See the photos in parts")</f>
        <v>FM Please intervene under the warranty, for a tailor -installed tail (1 lamp lights up the EVs) + the emergency firefighter for the PV which is lit in red See the photos in parts</v>
      </c>
    </row>
    <row r="3047">
      <c r="A3047" s="19" t="s">
        <v>2407</v>
      </c>
      <c r="B3047" s="20" t="str">
        <f>IFERROR(__xludf.DUMMYFUNCTION("GOOGLETRANSLATE(A3047, ""fr"", ""en"")"),"FM: Following TV removal report, please intervene following a defect of more than 4 p.m. this weekend.")</f>
        <v>FM: Following TV removal report, please intervene following a defect of more than 4 p.m. this weekend.</v>
      </c>
    </row>
    <row r="3048">
      <c r="A3048" s="19" t="s">
        <v>2408</v>
      </c>
      <c r="B3048" s="20" t="str">
        <f>IFERROR(__xludf.DUMMYFUNCTION("GOOGLETRANSLATE(A3048, ""fr"", ""en"")"),"We no longer have a sound signal concerning the announcement of the closure
 Very problematic on evenings and especially Sundays to inform the customers that we close the SPM")</f>
        <v>We no longer have a sound signal concerning the announcement of the closure
 Very problematic on evenings and especially Sundays to inform the customers that we close the SPM</v>
      </c>
    </row>
    <row r="3049">
      <c r="A3049" s="19" t="s">
        <v>1390</v>
      </c>
      <c r="B3049" s="20" t="str">
        <f>IFERROR(__xludf.DUMMYFUNCTION("GOOGLETRANSLATE(A3049, ""fr"", ""en"")"),"Various RMR sale for all DR02 SPMs to do before the end S31voir Devis
 Install the Visuals of the Aggressiveness Price campaign. The detail is in the joint pdf")</f>
        <v>Various RMR sale for all DR02 SPMs to do before the end S31voir Devis
 Install the Visuals of the Aggressiveness Price campaign. The detail is in the joint pdf</v>
      </c>
    </row>
    <row r="3050">
      <c r="A3050" s="19" t="s">
        <v>2409</v>
      </c>
      <c r="B3050" s="20" t="str">
        <f>IFERROR(__xludf.DUMMYFUNCTION("GOOGLETRANSLATE(A3050, ""fr"", ""en"")"),"1 recharge terminal for electrical cars does not work.")</f>
        <v>1 recharge terminal for electrical cars does not work.</v>
      </c>
    </row>
    <row r="3051">
      <c r="A3051" s="19" t="s">
        <v>2410</v>
      </c>
      <c r="B3051" s="20" t="str">
        <f>IFERROR(__xludf.DUMMYFUNCTION("GOOGLETRANSLATE(A3051, ""fr"", ""en"")"),"FM: Please intervene following the validation of quotes n ° FQ2302240187 and FQ2302240188.RPCT of damaged control boxes on the ENTER SUP SU SUS.")</f>
        <v>FM: Please intervene following the validation of quotes n ° FQ2302240187 and FQ2302240188.RPCT of damaged control boxes on the ENTER SUP SU SUS.</v>
      </c>
    </row>
    <row r="3052">
      <c r="A3052" s="19" t="s">
        <v>2411</v>
      </c>
      <c r="B3052" s="20" t="str">
        <f>IFERROR(__xludf.DUMMYFUNCTION("GOOGLETRANSLATE(A3052, ""fr"", ""en"")"),"FM: We want a supervisor for 06/22/2023. Please send us a confirmation by email.")</f>
        <v>FM: We want a supervisor for 06/22/2023. Please send us a confirmation by email.</v>
      </c>
    </row>
    <row r="3053">
      <c r="A3053" s="19" t="s">
        <v>2412</v>
      </c>
      <c r="B3053" s="20" t="str">
        <f>IFERROR(__xludf.DUMMYFUNCTION("GOOGLETRANSLATE(A3053, ""fr"", ""en"")"),"FM: Cleaning Park with carts - Module 12 - To be finished in S32. Immerately attach the checklists.")</f>
        <v>FM: Cleaning Park with carts - Module 12 - To be finished in S32. Immerately attach the checklists.</v>
      </c>
    </row>
    <row r="3054">
      <c r="A3054" s="19" t="s">
        <v>2413</v>
      </c>
      <c r="B3054" s="20" t="str">
        <f>IFERROR(__xludf.DUMMYFUNCTION("GOOGLETRANSLATE(A3054, ""fr"", ""en"")"),"FM: Thank you for putting the door broom under one of the SAS auto doors (the missing brooms is in the store material of the store, see PJ).")</f>
        <v>FM: Thank you for putting the door broom under one of the SAS auto doors (the missing brooms is in the store material of the store, see PJ).</v>
      </c>
    </row>
    <row r="3055">
      <c r="A3055" s="19" t="s">
        <v>2414</v>
      </c>
      <c r="B3055" s="20" t="str">
        <f>IFERROR(__xludf.DUMMYFUNCTION("GOOGLETRANSLATE(A3055, ""fr"", ""en"")"),"FM: Please intervene on the night of Thursday 23/02/2023 for cleaning the sales area.")</f>
        <v>FM: Please intervene on the night of Thursday 23/02/2023 for cleaning the sales area.</v>
      </c>
    </row>
    <row r="3056">
      <c r="A3056" s="19" t="s">
        <v>2415</v>
      </c>
      <c r="B3056" s="20" t="str">
        <f>IFERROR(__xludf.DUMMYFUNCTION("GOOGLETRANSLATE(A3056, ""fr"", ""en"")"),"FM: Basse window cleaning - Module 7 - S34. Immerately attach the checklists.")</f>
        <v>FM: Basse window cleaning - Module 7 - S34. Immerately attach the checklists.</v>
      </c>
    </row>
    <row r="3057">
      <c r="A3057" s="19" t="s">
        <v>2416</v>
      </c>
      <c r="B3057" s="20" t="str">
        <f>IFERROR(__xludf.DUMMYFUNCTION("GOOGLETRANSLATE(A3057, ""fr"", ""en"")"),"FM: Check if the battery tray is on the shelf. If not, you have to lower the shelf and put the tank on it. Photo in PJ.")</f>
        <v>FM: Check if the battery tray is on the shelf. If not, you have to lower the shelf and put the tank on it. Photo in PJ.</v>
      </c>
    </row>
    <row r="3058">
      <c r="A3058" s="19" t="s">
        <v>2417</v>
      </c>
      <c r="B3058" s="20" t="str">
        <f>IFERROR(__xludf.DUMMYFUNCTION("GOOGLETRANSLATE(A3058, ""fr"", ""en"")"),"FM: night guard following an attached table")</f>
        <v>FM: night guard following an attached table</v>
      </c>
    </row>
    <row r="3059">
      <c r="A3059" s="19" t="s">
        <v>2418</v>
      </c>
      <c r="B3059" s="20" t="str">
        <f>IFERROR(__xludf.DUMMYFUNCTION("GOOGLETRANSLATE(A3059, ""fr"", ""en"")"),"FM: Please intervene to connect 2 new remote controls placed by KW.")</f>
        <v>FM: Please intervene to connect 2 new remote controls placed by KW.</v>
      </c>
    </row>
    <row r="3060">
      <c r="A3060" s="19" t="s">
        <v>2419</v>
      </c>
      <c r="B3060" s="20" t="str">
        <f>IFERROR(__xludf.DUMMYFUNCTION("GOOGLETRANSLATE(A3060, ""fr"", ""en"")"),"FM: Facility Park tells us that the BS barrier must have been struck. She no longer descends into her support and slams it repeatedly and leaves the message ""open barrier"". Thanks for intervening.")</f>
        <v>FM: Facility Park tells us that the BS barrier must have been struck. She no longer descends into her support and slams it repeatedly and leaves the message "open barrier". Thanks for intervening.</v>
      </c>
    </row>
    <row r="3061">
      <c r="A3061" s="19" t="s">
        <v>2420</v>
      </c>
      <c r="B3061" s="20" t="str">
        <f>IFERROR(__xludf.DUMMYFUNCTION("GOOGLETRANSLATE(A3061, ""fr"", ""en"")"),"FM: Thank you for ironing under warranty for the extinguisher not checked in the saving room. We were not warned when the tech was on site and we could have avoided a re intervention.")</f>
        <v>FM: Thank you for ironing under warranty for the extinguisher not checked in the saving room. We were not warned when the tech was on site and we could have avoided a re intervention.</v>
      </c>
    </row>
    <row r="3062">
      <c r="A3062" s="19" t="s">
        <v>1628</v>
      </c>
      <c r="B3062" s="20" t="str">
        <f>IFERROR(__xludf.DUMMYFUNCTION("GOOGLETRANSLATE(A3062, ""fr"", ""en"")"),"2808 Wintzenheim: No connected ovens. Intervene to configure the oven and ensure that the connection is OK // 2813 KINGERSHEIM: 2 ovens / 3 not connected. Intervene to configure the oven and ensure that the connection is OK // 3445 Oberhausbergen: 1 oven "&amp;"/ 2 not connected. Intervene to configure the oven and ensure that the connection is OK // 4047 Schiltigheim Fischer: 2 IP not connected. Intervene to configure the oven and make sure the connection is ok")</f>
        <v>2808 Wintzenheim: No connected ovens. Intervene to configure the oven and ensure that the connection is OK // 2813 KINGERSHEIM: 2 ovens / 3 not connected. Intervene to configure the oven and ensure that the connection is OK // 3445 Oberhausbergen: 1 oven / 2 not connected. Intervene to configure the oven and ensure that the connection is OK // 4047 Schiltigheim Fischer: 2 IP not connected. Intervene to configure the oven and make sure the connection is ok</v>
      </c>
    </row>
    <row r="3063">
      <c r="A3063" s="19" t="s">
        <v>2421</v>
      </c>
      <c r="B3063" s="20" t="str">
        <f>IFERROR(__xludf.DUMMYFUNCTION("GOOGLETRANSLATE(A3063, ""fr"", ""en"")"),"FM: Please intervene following the validation of quote n ° FQ2305190053. RPCT of defective gridscan by a safety radar.")</f>
        <v>FM: Please intervene following the validation of quote n ° FQ2305190053. RPCT of defective gridscan by a safety radar.</v>
      </c>
    </row>
    <row r="3064">
      <c r="A3064" s="19" t="s">
        <v>2422</v>
      </c>
      <c r="B3064" s="20" t="str">
        <f>IFERROR(__xludf.DUMMYFUNCTION("GOOGLETRANSLATE(A3064, ""fr"", ""en"")"),"FM: Please intervene following the validation of quote n ° 00378906-0001. 5 rodent passages interval 1 week between the passages.")</f>
        <v>FM: Please intervene following the validation of quote n ° 00378906-0001. 5 rodent passages interval 1 week between the passages.</v>
      </c>
    </row>
    <row r="3065">
      <c r="A3065" s="19" t="s">
        <v>2423</v>
      </c>
      <c r="B3065" s="20" t="str">
        <f>IFERROR(__xludf.DUMMYFUNCTION("GOOGLETRANSLATE(A3065, ""fr"", ""en"")"),"FM: Please intervene following the report of remote monitoring, cold defect of 30 minutes.")</f>
        <v>FM: Please intervene following the report of remote monitoring, cold defect of 30 minutes.</v>
      </c>
    </row>
    <row r="3066">
      <c r="A3066" s="19" t="s">
        <v>1551</v>
      </c>
      <c r="B3066" s="20" t="str">
        <f>IFERROR(__xludf.DUMMYFUNCTION("GOOGLETRANSLATE(A3066, ""fr"", ""en"")"),"FM: Thank you for intervening on the IRVE terminals, they are defects on has been.")</f>
        <v>FM: Thank you for intervening on the IRVE terminals, they are defects on has been.</v>
      </c>
    </row>
    <row r="3067">
      <c r="A3067" s="19" t="s">
        <v>1462</v>
      </c>
      <c r="B3067" s="20" t="str">
        <f>IFERROR(__xludf.DUMMYFUNCTION("GOOGLETRANSLATE(A3067, ""fr"", ""en"")"),"FM: Ba sheet code - Install the adhesives safety instructions.
 Deadline 04/30/2023")</f>
        <v>FM: Ba sheet code - Install the adhesives safety instructions.
 Deadline 04/30/2023</v>
      </c>
    </row>
    <row r="3068">
      <c r="A3068" s="19" t="s">
        <v>2424</v>
      </c>
      <c r="B3068" s="20" t="str">
        <f>IFERROR(__xludf.DUMMYFUNCTION("GOOGLETRANSLATE(A3068, ""fr"", ""en"")"),"FM: di of regular night deratization 18/08")</f>
        <v>FM: di of regular night deratization 18/08</v>
      </c>
    </row>
    <row r="3069">
      <c r="A3069" s="19" t="s">
        <v>2425</v>
      </c>
      <c r="B3069" s="20" t="str">
        <f>IFERROR(__xludf.DUMMYFUNCTION("GOOGLETRANSLATE(A3069, ""fr"", ""en"")"),"FM: Continuation of remote monitoring, please intervene for several cold flaws that night.")</f>
        <v>FM: Continuation of remote monitoring, please intervene for several cold flaws that night.</v>
      </c>
    </row>
    <row r="3070">
      <c r="A3070" s="19" t="s">
        <v>2426</v>
      </c>
      <c r="B3070" s="20" t="str">
        <f>IFERROR(__xludf.DUMMYFUNCTION("GOOGLETRANSLATE(A3070, ""fr"", ""en"")"),"FM: Following TV removal report, please intervene for a cold defect of 30 minutes tonight.")</f>
        <v>FM: Following TV removal report, please intervene for a cold defect of 30 minutes tonight.</v>
      </c>
    </row>
    <row r="3071">
      <c r="A3071" s="19" t="s">
        <v>2427</v>
      </c>
      <c r="B3071" s="20" t="str">
        <f>IFERROR(__xludf.DUMMYFUNCTION("GOOGLETRANSLATE(A3071, ""fr"", ""en"")"),"FM: Please trap the room where the beginnings of nests see photos")</f>
        <v>FM: Please trap the room where the beginnings of nests see photos</v>
      </c>
    </row>
    <row r="3072">
      <c r="A3072" s="19" t="s">
        <v>2428</v>
      </c>
      <c r="B3072" s="20" t="str">
        <f>IFERROR(__xludf.DUMMYFUNCTION("GOOGLETRANSLATE(A3072, ""fr"", ""en"")"),"FM: Please intervene to clean the lamellae of the Drycolers, they are obstructed.")</f>
        <v>FM: Please intervene to clean the lamellae of the Drycolers, they are obstructed.</v>
      </c>
    </row>
    <row r="3073">
      <c r="A3073" s="19" t="s">
        <v>1458</v>
      </c>
      <c r="B3073" s="20" t="str">
        <f>IFERROR(__xludf.DUMMYFUNCTION("GOOGLETRANSLATE(A3073, ""fr"", ""en"")"),"FM: Control if the TGBT room is accessible from outside. If so, can we access it with the 7/7 key? If not, take the measurement of the cylinder to order. See Mail Ali from 30/12.")</f>
        <v>FM: Control if the TGBT room is accessible from outside. If so, can we access it with the 7/7 key? If not, take the measurement of the cylinder to order. See Mail Ali from 30/12.</v>
      </c>
    </row>
    <row r="3074">
      <c r="A3074" s="19" t="s">
        <v>2429</v>
      </c>
      <c r="B3074" s="20" t="str">
        <f>IFERROR(__xludf.DUMMYFUNCTION("GOOGLETRANSLATE(A3074, ""fr"", ""en"")"),"FM: cleaning covered parking R+1 - module 11 - August month. Immerately attach the checklists.")</f>
        <v>FM: cleaning covered parking R+1 - module 11 - August month. Immerately attach the checklists.</v>
      </c>
    </row>
    <row r="3075">
      <c r="A3075" s="19" t="s">
        <v>2430</v>
      </c>
      <c r="B3075" s="20" t="str">
        <f>IFERROR(__xludf.DUMMYFUNCTION("GOOGLETRANSLATE(A3075, ""fr"", ""en"")"),"FM Regul please intervene for replacing the box probe")</f>
        <v>FM Regul please intervene for replacing the box probe</v>
      </c>
    </row>
    <row r="3076">
      <c r="A3076" s="19" t="s">
        <v>2431</v>
      </c>
      <c r="B3076" s="20" t="str">
        <f>IFERROR(__xludf.DUMMYFUNCTION("GOOGLETRANSLATE(A3076, ""fr"", ""en"")"),"FM: Thank you for intervening, deactivators on auto boxes n ° 81 and n ° 84 no longer work and anti-theft detectors no longer work on all cases.")</f>
        <v>FM: Thank you for intervening, deactivators on auto boxes n ° 81 and n ° 84 no longer work and anti-theft detectors no longer work on all cases.</v>
      </c>
    </row>
    <row r="3077">
      <c r="A3077" s="19" t="s">
        <v>2432</v>
      </c>
      <c r="B3077" s="20" t="str">
        <f>IFERROR(__xludf.DUMMYFUNCTION("GOOGLETRANSLATE(A3077, ""fr"", ""en"")"),"FM: Please intervene following the validation of quote n ° 00370706-0001.
 5 passages at one week interval.")</f>
        <v>FM: Please intervene following the validation of quote n ° 00370706-0001.
 5 passages at one week interval.</v>
      </c>
    </row>
    <row r="3078">
      <c r="A3078" s="19" t="s">
        <v>2433</v>
      </c>
      <c r="B3078" s="20" t="str">
        <f>IFERROR(__xludf.DUMMYFUNCTION("GOOGLETRANSLATE(A3078, ""fr"", ""en"")"),"FM: CHECK-LIST AT: Please intervene, ""defect"" lighting located at the entrance to the CF flashes continuously.")</f>
        <v>FM: CHECK-LIST AT: Please intervene, "defect" lighting located at the entrance to the CF flashes continuously.</v>
      </c>
    </row>
    <row r="3079">
      <c r="A3079" s="19" t="s">
        <v>2434</v>
      </c>
      <c r="B3079" s="20" t="str">
        <f>IFERROR(__xludf.DUMMYFUNCTION("GOOGLETRANSLATE(A3079, ""fr"", ""en"")"),"FM: Following TV report, please intervene for a cold defect that night of half an hour.")</f>
        <v>FM: Following TV report, please intervene for a cold defect that night of half an hour.</v>
      </c>
    </row>
    <row r="3080">
      <c r="A3080" s="19" t="s">
        <v>2435</v>
      </c>
      <c r="B3080" s="20" t="str">
        <f>IFERROR(__xludf.DUMMYFUNCTION("GOOGLETRANSLATE(A3080, ""fr"", ""en"")"),"FM: Following your checklist, please straighten and re-put the Skylight's plinths.")</f>
        <v>FM: Following your checklist, please straighten and re-put the Skylight's plinths.</v>
      </c>
    </row>
    <row r="3081">
      <c r="A3081" s="19" t="s">
        <v>1571</v>
      </c>
      <c r="B3081" s="20" t="str">
        <f>IFERROR(__xludf.DUMMYFUNCTION("GOOGLETRANSLATE(A3081, ""fr"", ""en"")"),"FM: night guard for deratization. Schiltigheim on 07/10 and illzach on 07/11.")</f>
        <v>FM: night guard for deratization. Schiltigheim on 07/10 and illzach on 07/11.</v>
      </c>
    </row>
    <row r="3082">
      <c r="A3082" s="19" t="s">
        <v>1459</v>
      </c>
      <c r="B3082" s="20" t="str">
        <f>IFERROR(__xludf.DUMMYFUNCTION("GOOGLETRANSLATE(A3082, ""fr"", ""en"")"),"FM: Please control during your passages if the ""Welcome"" logo is hidden by a world record relay (see photo). If so, please remove the logo behind the locker.")</f>
        <v>FM: Please control during your passages if the "Welcome" logo is hidden by a world record relay (see photo). If so, please remove the logo behind the locker.</v>
      </c>
    </row>
    <row r="3083">
      <c r="A3083" s="19" t="s">
        <v>2436</v>
      </c>
      <c r="B3083" s="20" t="str">
        <f>IFERROR(__xludf.DUMMYFUNCTION("GOOGLETRANSLATE(A3083, ""fr"", ""en"")"),"FM: Thank you for intervening following the remote monitoring report, several small cold flaws that night.")</f>
        <v>FM: Thank you for intervening following the remote monitoring report, several small cold flaws that night.</v>
      </c>
    </row>
    <row r="3084">
      <c r="A3084" s="19" t="s">
        <v>1394</v>
      </c>
      <c r="B3084" s="20" t="str">
        <f>IFERROR(__xludf.DUMMYFUNCTION("GOOGLETRANSLATE(A3084, ""fr"", ""en"")"),"Sale cleaning of parking lots on Monday April 11, 2022")</f>
        <v>Sale cleaning of parking lots on Monday April 11, 2022</v>
      </c>
    </row>
    <row r="3085">
      <c r="A3085" s="19" t="s">
        <v>1396</v>
      </c>
      <c r="B3085" s="20" t="str">
        <f>IFERROR(__xludf.DUMMYFUNCTION("GOOGLETRANSLATE(A3085, ""fr"", ""en"")"),"Sale - Cleaning of car parks on Friday November 18, 2022")</f>
        <v>Sale - Cleaning of car parks on Friday November 18, 2022</v>
      </c>
    </row>
    <row r="3086">
      <c r="A3086" s="19" t="s">
        <v>1398</v>
      </c>
      <c r="B3086" s="20" t="str">
        <f>IFERROR(__xludf.DUMMYFUNCTION("GOOGLETRANSLATE(A3086, ""fr"", ""en"")"),"Sale - Cleaning of parking lots on Friday April 28, 2023")</f>
        <v>Sale - Cleaning of parking lots on Friday April 28, 2023</v>
      </c>
    </row>
    <row r="3087">
      <c r="A3087" s="19" t="s">
        <v>2437</v>
      </c>
      <c r="B3087" s="20" t="str">
        <f>IFERROR(__xludf.DUMMYFUNCTION("GOOGLETRANSLATE(A3087, ""fr"", ""en"")"),"FM: Please intervene to repair the Fire Cup door.")</f>
        <v>FM: Please intervene to repair the Fire Cup door.</v>
      </c>
    </row>
    <row r="3088">
      <c r="A3088" s="19" t="s">
        <v>2438</v>
      </c>
      <c r="B3088" s="20" t="str">
        <f>IFERROR(__xludf.DUMMYFUNCTION("GOOGLETRANSLATE(A3088, ""fr"", ""en"")"),"FM: Please intervene to check the seal of the CF -.")</f>
        <v>FM: Please intervene to check the seal of the CF -.</v>
      </c>
    </row>
    <row r="3089">
      <c r="A3089" s="19" t="s">
        <v>1402</v>
      </c>
      <c r="B3089" s="20" t="str">
        <f>IFERROR(__xludf.DUMMYFUNCTION("GOOGLETRANSLATE(A3089, ""fr"", ""en"")"),"Sale - Cleaning of parking lots of Wednesday, November 23, 2022")</f>
        <v>Sale - Cleaning of parking lots of Wednesday, November 23, 2022</v>
      </c>
    </row>
    <row r="3090">
      <c r="A3090" s="19" t="s">
        <v>1574</v>
      </c>
      <c r="B3090" s="20" t="str">
        <f>IFERROR(__xludf.DUMMYFUNCTION("GOOGLETRANSLATE(A3090, ""fr"", ""en"")"),"FM: Code: Connection Fours: Please intervene for the verification of the network connection.")</f>
        <v>FM: Code: Connection Fours: Please intervene for the verification of the network connection.</v>
      </c>
    </row>
    <row r="3091">
      <c r="A3091" s="19" t="s">
        <v>2439</v>
      </c>
      <c r="B3091" s="20" t="str">
        <f>IFERROR(__xludf.DUMMYFUNCTION("GOOGLETRANSLATE(A3091, ""fr"", ""en"")"),"FM: Following remote monitoring report, please intervene for several cold flaws this weekend.")</f>
        <v>FM: Following remote monitoring report, please intervene for several cold flaws this weekend.</v>
      </c>
    </row>
    <row r="3092">
      <c r="A3092" s="19" t="s">
        <v>2440</v>
      </c>
      <c r="B3092" s="20" t="str">
        <f>IFERROR(__xludf.DUMMYFUNCTION("GOOGLETRANSLATE(A3092, ""fr"", ""en"")"),"FM: Following remote monitoring report Thank you for intervening, cold defect of 34 minutes")</f>
        <v>FM: Following remote monitoring report Thank you for intervening, cold defect of 34 minutes</v>
      </c>
    </row>
    <row r="3093">
      <c r="A3093" s="19" t="s">
        <v>1403</v>
      </c>
      <c r="B3093" s="20" t="str">
        <f>IFERROR(__xludf.DUMMYFUNCTION("GOOGLETRANSLATE(A3093, ""fr"", ""en"")"),"Sale - Cleaning of parking lots on Friday October 21, 2022")</f>
        <v>Sale - Cleaning of parking lots on Friday October 21, 2022</v>
      </c>
    </row>
    <row r="3094">
      <c r="A3094" s="19" t="s">
        <v>1404</v>
      </c>
      <c r="B3094" s="20" t="str">
        <f>IFERROR(__xludf.DUMMYFUNCTION("GOOGLETRANSLATE(A3094, ""fr"", ""en"")"),"Sale - Cleaning of car parks on Friday October 14, 2022")</f>
        <v>Sale - Cleaning of car parks on Friday October 14, 2022</v>
      </c>
    </row>
    <row r="3095">
      <c r="A3095" s="19" t="s">
        <v>2441</v>
      </c>
      <c r="B3095" s="20" t="str">
        <f>IFERROR(__xludf.DUMMYFUNCTION("GOOGLETRANSLATE(A3095, ""fr"", ""en"")"),"FM: Thank you for intervening following the report of remote monitoring. Cold one hour lasting tonight.")</f>
        <v>FM: Thank you for intervening following the report of remote monitoring. Cold one hour lasting tonight.</v>
      </c>
    </row>
    <row r="3096">
      <c r="A3096" s="19" t="s">
        <v>2442</v>
      </c>
      <c r="B3096" s="20" t="str">
        <f>IFERROR(__xludf.DUMMYFUNCTION("GOOGLETRANSLATE(A3096, ""fr"", ""en"")"),"FM: Following remote monitoring report, please intervene for a cold defect of 53 mins.")</f>
        <v>FM: Following remote monitoring report, please intervene for a cold defect of 53 mins.</v>
      </c>
    </row>
    <row r="3097">
      <c r="A3097" s="19" t="s">
        <v>2443</v>
      </c>
      <c r="B3097" s="20" t="str">
        <f>IFERROR(__xludf.DUMMYFUNCTION("GOOGLETRANSLATE(A3097, ""fr"", ""en"")"),"FM: Please intervene following several cold flaws tonight.")</f>
        <v>FM: Please intervene following several cold flaws tonight.</v>
      </c>
    </row>
    <row r="3098">
      <c r="A3098" s="19" t="s">
        <v>2443</v>
      </c>
      <c r="B3098" s="20" t="str">
        <f>IFERROR(__xludf.DUMMYFUNCTION("GOOGLETRANSLATE(A3098, ""fr"", ""en"")"),"FM: Please intervene following several cold flaws tonight.")</f>
        <v>FM: Please intervene following several cold flaws tonight.</v>
      </c>
    </row>
    <row r="3099">
      <c r="A3099" s="19" t="s">
        <v>2444</v>
      </c>
      <c r="B3099" s="20" t="str">
        <f>IFERROR(__xludf.DUMMYFUNCTION("GOOGLETRANSLATE(A3099, ""fr"", ""en"")"),"FM: Evapo cf icing cf negative")</f>
        <v>FM: Evapo cf icing cf negative</v>
      </c>
    </row>
    <row r="3100">
      <c r="A3100" s="19" t="s">
        <v>2445</v>
      </c>
      <c r="B3100" s="20" t="str">
        <f>IFERROR(__xludf.DUMMYFUNCTION("GOOGLETRANSLATE(A3100, ""fr"", ""en"")"),"FM: SUITE TV REPORT. Please intervene for a cold defect that night lasting 56 minutes.")</f>
        <v>FM: SUITE TV REPORT. Please intervene for a cold defect that night lasting 56 minutes.</v>
      </c>
    </row>
    <row r="3101">
      <c r="A3101" s="19" t="s">
        <v>2446</v>
      </c>
      <c r="B3101" s="20" t="str">
        <f>IFERROR(__xludf.DUMMYFUNCTION("GOOGLETRANSLATE(A3101, ""fr"", ""en"")"),"FM: recurring problem on the auto doors of the input airlock: SPM front door: does not work. SPM exit door: open hood, very slow door opening. Porte between airlocks and SAS elevator: opens slowly and creaks a lot.")</f>
        <v>FM: recurring problem on the auto doors of the input airlock: SPM front door: does not work. SPM exit door: open hood, very slow door opening. Porte between airlocks and SAS elevator: opens slowly and creaks a lot.</v>
      </c>
    </row>
    <row r="3102">
      <c r="A3102" s="19" t="s">
        <v>2447</v>
      </c>
      <c r="B3102" s="20" t="str">
        <f>IFERROR(__xludf.DUMMYFUNCTION("GOOGLETRANSLATE(A3102, ""fr"", ""en"")"),"FM: Thank you for intervening for a MF lighting default 1. The circuit breaker is well lifted.")</f>
        <v>FM: Thank you for intervening for a MF lighting default 1. The circuit breaker is well lifted.</v>
      </c>
    </row>
    <row r="3103">
      <c r="A3103" s="19" t="s">
        <v>2448</v>
      </c>
      <c r="B3103" s="20" t="str">
        <f>IFERROR(__xludf.DUMMYFUNCTION("GOOGLETRANSLATE(A3103, ""fr"", ""en"")"),"FM: Please intervene following 1 alarm on MF.")</f>
        <v>FM: Please intervene following 1 alarm on MF.</v>
      </c>
    </row>
    <row r="3104">
      <c r="A3104" s="19" t="s">
        <v>2449</v>
      </c>
      <c r="B3104" s="20" t="str">
        <f>IFERROR(__xludf.DUMMYFUNCTION("GOOGLETRANSLATE(A3104, ""fr"", ""en"")"),"FM: Thank you for intervening following a cold defect of 46 mins tonight.")</f>
        <v>FM: Thank you for intervening following a cold defect of 46 mins tonight.</v>
      </c>
    </row>
    <row r="3105">
      <c r="A3105" s="19" t="s">
        <v>2450</v>
      </c>
      <c r="B3105" s="20" t="str">
        <f>IFERROR(__xludf.DUMMYFUNCTION("GOOGLETRANSLATE(A3105, ""fr"", ""en"")"),"FM: Please intervene following a cold defect of 50 minutes.")</f>
        <v>FM: Please intervene following a cold defect of 50 minutes.</v>
      </c>
    </row>
    <row r="3106">
      <c r="A3106" s="19" t="s">
        <v>2451</v>
      </c>
      <c r="B3106" s="20" t="str">
        <f>IFERROR(__xludf.DUMMYFUNCTION("GOOGLETRANSLATE(A3106, ""fr"", ""en"")"),"FM: Thank you for intervening following a cold default that night. And thank you for finding a lasting solution because every night there is a cold defect.")</f>
        <v>FM: Thank you for intervening following a cold default that night. And thank you for finding a lasting solution because every night there is a cold defect.</v>
      </c>
    </row>
    <row r="3107">
      <c r="A3107" s="19" t="s">
        <v>1602</v>
      </c>
      <c r="B3107" s="20" t="str">
        <f>IFERROR(__xludf.DUMMYFUNCTION("GOOGLETRANSLATE(A3107, ""fr"", ""en"")"),"FM: Following TV removal report, please intervene for a cold defect that night.")</f>
        <v>FM: Following TV removal report, please intervene for a cold defect that night.</v>
      </c>
    </row>
    <row r="3108">
      <c r="A3108" s="19" t="s">
        <v>2452</v>
      </c>
      <c r="B3108" s="20" t="str">
        <f>IFERROR(__xludf.DUMMYFUNCTION("GOOGLETRANSLATE(A3108, ""fr"", ""en"")"),"FM: Please intervene following several cold flaws tonight. FYI, the extra heaters were cut.")</f>
        <v>FM: Please intervene following several cold flaws tonight. FYI, the extra heaters were cut.</v>
      </c>
    </row>
    <row r="3109">
      <c r="A3109" s="19" t="s">
        <v>2453</v>
      </c>
      <c r="B3109" s="20" t="str">
        <f>IFERROR(__xludf.DUMMYFUNCTION("GOOGLETRANSLATE(A3109, ""fr"", ""en"")"),"FM: Please intervene following the remote monitoring report, 1 cold defect that night.")</f>
        <v>FM: Please intervene following the remote monitoring report, 1 cold defect that night.</v>
      </c>
    </row>
    <row r="3110">
      <c r="A3110" s="19" t="s">
        <v>2454</v>
      </c>
      <c r="B3110" s="20" t="str">
        <f>IFERROR(__xludf.DUMMYFUNCTION("GOOGLETRANSLATE(A3110, ""fr"", ""en"")"),"FM: Following the remote monitoring report, please intervene for a cold half-hour fault tonight.")</f>
        <v>FM: Following the remote monitoring report, please intervene for a cold half-hour fault tonight.</v>
      </c>
    </row>
    <row r="3111">
      <c r="A3111" s="19" t="s">
        <v>2455</v>
      </c>
      <c r="B3111" s="20" t="str">
        <f>IFERROR(__xludf.DUMMYFUNCTION("GOOGLETRANSLATE(A3111, ""fr"", ""en"")"),"FM: Following the remote monitoring report, cold faults took place at night. Please check all the cold equipment.")</f>
        <v>FM: Following the remote monitoring report, cold faults took place at night. Please check all the cold equipment.</v>
      </c>
    </row>
    <row r="3112">
      <c r="A3112" s="19" t="s">
        <v>2456</v>
      </c>
      <c r="B3112" s="20" t="str">
        <f>IFERROR(__xludf.DUMMYFUNCTION("GOOGLETRANSLATE(A3112, ""fr"", ""en"")"),"FM: Please intervene following the remote monitoring report. 2 alarms tonight.")</f>
        <v>FM: Please intervene following the remote monitoring report. 2 alarms tonight.</v>
      </c>
    </row>
    <row r="3113">
      <c r="A3113" s="19" t="s">
        <v>2457</v>
      </c>
      <c r="B3113" s="20" t="str">
        <f>IFERROR(__xludf.DUMMYFUNCTION("GOOGLETRANSLATE(A3113, ""fr"", ""en"")"),"FM: Please intervene following a cold defect of 53 minutes that night.")</f>
        <v>FM: Please intervene following a cold defect of 53 minutes that night.</v>
      </c>
    </row>
    <row r="3114">
      <c r="A3114" s="19" t="s">
        <v>2458</v>
      </c>
      <c r="B3114" s="20" t="str">
        <f>IFERROR(__xludf.DUMMYFUNCTION("GOOGLETRANSLATE(A3114, ""fr"", ""en"")"),"FM: replacement of a fire extinguisher with protective box in front of the ""bicycle"" room before visiting the management of 06/17 please.")</f>
        <v>FM: replacement of a fire extinguisher with protective box in front of the "bicycle" room before visiting the management of 06/17 please.</v>
      </c>
    </row>
    <row r="3115">
      <c r="A3115" s="19" t="s">
        <v>2383</v>
      </c>
      <c r="B3115" s="20" t="str">
        <f>IFERROR(__xludf.DUMMYFUNCTION("GOOGLETRANSLATE(A3115, ""fr"", ""en"")"),"FM: Please intervene following a cold defect.")</f>
        <v>FM: Please intervene following a cold defect.</v>
      </c>
    </row>
    <row r="3116">
      <c r="A3116" s="19" t="s">
        <v>2459</v>
      </c>
      <c r="B3116" s="20" t="str">
        <f>IFERROR(__xludf.DUMMYFUNCTION("GOOGLETRANSLATE(A3116, ""fr"", ""en"")"),"FM: Please intervene following a cold defect that night half an hour.")</f>
        <v>FM: Please intervene following a cold defect that night half an hour.</v>
      </c>
    </row>
    <row r="3117">
      <c r="A3117" s="19" t="s">
        <v>2460</v>
      </c>
      <c r="B3117" s="20" t="str">
        <f>IFERROR(__xludf.DUMMYFUNCTION("GOOGLETRANSLATE(A3117, ""fr"", ""en"")"),"FM: Thank you for intervening following the report of remote monitoring. 1 cold defect this night more than 1/2 hour.")</f>
        <v>FM: Thank you for intervening following the report of remote monitoring. 1 cold defect this night more than 1/2 hour.</v>
      </c>
    </row>
    <row r="3118">
      <c r="A3118" s="19" t="s">
        <v>1643</v>
      </c>
      <c r="B3118" s="20" t="str">
        <f>IFERROR(__xludf.DUMMYFUNCTION("GOOGLETRANSLATE(A3118, ""fr"", ""en"")"),"FM: Please intervene following a cold defect that night.")</f>
        <v>FM: Please intervene following a cold defect that night.</v>
      </c>
    </row>
    <row r="3119">
      <c r="A3119" s="19" t="s">
        <v>2461</v>
      </c>
      <c r="B3119" s="20" t="str">
        <f>IFERROR(__xludf.DUMMYFUNCTION("GOOGLETRANSLATE(A3119, ""fr"", ""en"")"),"FM: Di de Régul - 08/13/2022 - Lidl Val de Moder - Troubleshooting Caisse N ° 4/17/08/2022 - LIDL FISCHER - Disjunction Furniture FOLLOWS // 20/08/2022 - Lidl DRUSENHEIM - Troubleshooting Chest // 08/25/2022 - Lidl Koenigshoffen - Tundoan troubleshooting")</f>
        <v>FM: Di de Régul - 08/13/2022 - Lidl Val de Moder - Troubleshooting Caisse N ° 4/17/08/2022 - LIDL FISCHER - Disjunction Furniture FOLLOWS // 20/08/2022 - Lidl DRUSENHEIM - Troubleshooting Chest // 08/25/2022 - Lidl Koenigshoffen - Tundoan troubleshooting</v>
      </c>
    </row>
    <row r="3120">
      <c r="A3120" s="19" t="s">
        <v>2462</v>
      </c>
      <c r="B3120" s="20" t="str">
        <f>IFERROR(__xludf.DUMMYFUNCTION("GOOGLETRANSLATE(A3120, ""fr"", ""en"")"),"FM: Please intervene following several cold flaws this weekend.")</f>
        <v>FM: Please intervene following several cold flaws this weekend.</v>
      </c>
    </row>
    <row r="3121">
      <c r="A3121" s="19" t="s">
        <v>2463</v>
      </c>
      <c r="B3121" s="20" t="str">
        <f>IFERROR(__xludf.DUMMYFUNCTION("GOOGLETRANSLATE(A3121, ""fr"", ""en"")"),"FM: Please intervene on the FL part the rail and the guide wheel on the semi-auto door are to be replaced.")</f>
        <v>FM: Please intervene on the FL part the rail and the guide wheel on the semi-auto door are to be replaced.</v>
      </c>
    </row>
    <row r="3122">
      <c r="A3122" s="19" t="s">
        <v>2464</v>
      </c>
      <c r="B3122" s="20" t="str">
        <f>IFERROR(__xludf.DUMMYFUNCTION("GOOGLETRANSLATE(A3122, ""fr"", ""en"")"),"FM: Several cold defects appeared tonight. thanks for intervening")</f>
        <v>FM: Several cold defects appeared tonight. thanks for intervening</v>
      </c>
    </row>
    <row r="3123">
      <c r="A3123" s="19" t="s">
        <v>2465</v>
      </c>
      <c r="B3123" s="20" t="str">
        <f>IFERROR(__xludf.DUMMYFUNCTION("GOOGLETRANSLATE(A3123, ""fr"", ""en"")"),"FM: Please intervene for verification following several cold flaws.")</f>
        <v>FM: Please intervene for verification following several cold flaws.</v>
      </c>
    </row>
    <row r="3124">
      <c r="A3124" s="19" t="s">
        <v>2466</v>
      </c>
      <c r="B3124" s="20" t="str">
        <f>IFERROR(__xludf.DUMMYFUNCTION("GOOGLETRANSLATE(A3124, ""fr"", ""en"")"),"FM: Following the remote monitoring report. Several cold defects appeared last night. Please intervene for verification")</f>
        <v>FM: Following the remote monitoring report. Several cold defects appeared last night. Please intervene for verification</v>
      </c>
    </row>
    <row r="3125">
      <c r="A3125" s="19" t="s">
        <v>2467</v>
      </c>
      <c r="B3125" s="20" t="str">
        <f>IFERROR(__xludf.DUMMYFUNCTION("GOOGLETRANSLATE(A3125, ""fr"", ""en"")"),"FM: SKYLIGHT 133 and 134 MAUTHER MAKE TO MOVER FURNITURE 12/02 for defrosting and intervention on Monday 14/02.")</f>
        <v>FM: SKYLIGHT 133 and 134 MAUTHER MAKE TO MOVER FURNITURE 12/02 for defrosting and intervention on Monday 14/02.</v>
      </c>
    </row>
    <row r="3126">
      <c r="A3126" s="19" t="s">
        <v>2468</v>
      </c>
      <c r="B3126" s="20" t="str">
        <f>IFERROR(__xludf.DUMMYFUNCTION("GOOGLETRANSLATE(A3126, ""fr"", ""en"")"),"2 electric car charging stations in red")</f>
        <v>2 electric car charging stations in red</v>
      </c>
    </row>
    <row r="3127">
      <c r="A3127" s="19" t="s">
        <v>2469</v>
      </c>
      <c r="B3127" s="20" t="str">
        <f>IFERROR(__xludf.DUMMYFUNCTION("GOOGLETRANSLATE(A3127, ""fr"", ""en"")"),"FM: Please modify the DSB codes.")</f>
        <v>FM: Please modify the DSB codes.</v>
      </c>
    </row>
    <row r="3128">
      <c r="A3128" s="19" t="s">
        <v>1411</v>
      </c>
      <c r="B3128" s="20" t="str">
        <f>IFERROR(__xludf.DUMMYFUNCTION("GOOGLETRANSLATE(A3128, ""fr"", ""en"")"),"Sale - Cleaning of parking lots on Monday April 17, 2023")</f>
        <v>Sale - Cleaning of parking lots on Monday April 17, 2023</v>
      </c>
    </row>
    <row r="3129">
      <c r="A3129" s="19" t="s">
        <v>1414</v>
      </c>
      <c r="B3129" s="20" t="str">
        <f>IFERROR(__xludf.DUMMYFUNCTION("GOOGLETRANSLATE(A3129, ""fr"", ""en"")"),"FM: Raisement zone of Quai following joint table")</f>
        <v>FM: Raisement zone of Quai following joint table</v>
      </c>
    </row>
    <row r="3130">
      <c r="A3130" s="19" t="s">
        <v>1420</v>
      </c>
      <c r="B3130" s="20" t="str">
        <f>IFERROR(__xludf.DUMMYFUNCTION("GOOGLETRANSLATE(A3130, ""fr"", ""en"")"),"Sale - Cleaning of car parks on Friday March 31, 2023")</f>
        <v>Sale - Cleaning of car parks on Friday March 31, 2023</v>
      </c>
    </row>
    <row r="3131">
      <c r="A3131" s="19" t="s">
        <v>1421</v>
      </c>
      <c r="B3131" s="20" t="str">
        <f>IFERROR(__xludf.DUMMYFUNCTION("GOOGLETRANSLATE(A3131, ""fr"", ""en"")"),"Sale - Cleaning of parking lots on Monday April 3, 2023")</f>
        <v>Sale - Cleaning of parking lots on Monday April 3, 2023</v>
      </c>
    </row>
    <row r="3132">
      <c r="A3132" s="19" t="s">
        <v>1422</v>
      </c>
      <c r="B3132" s="20" t="str">
        <f>IFERROR(__xludf.DUMMYFUNCTION("GOOGLETRANSLATE(A3132, ""fr"", ""en"")"),"Sale - Cleaning of parking lots of Wednesday April 19, 2023")</f>
        <v>Sale - Cleaning of parking lots of Wednesday April 19, 2023</v>
      </c>
    </row>
    <row r="3133">
      <c r="A3133" s="19" t="s">
        <v>2470</v>
      </c>
      <c r="B3133" s="20" t="str">
        <f>IFERROR(__xludf.DUMMYFUNCTION("GOOGLETRANSLATE(A3133, ""fr"", ""en"")"),"FM: Breakage: Please intervene following the validation of quote n ° FQ2303200228.RPCT TRUTH TRUTH OF THE LEVAL WARDED.")</f>
        <v>FM: Breakage: Please intervene following the validation of quote n ° FQ2303200228.RPCT TRUTH TRUTH OF THE LEVAL WARDED.</v>
      </c>
    </row>
    <row r="3134">
      <c r="A3134" s="19" t="s">
        <v>1423</v>
      </c>
      <c r="B3134" s="20" t="str">
        <f>IFERROR(__xludf.DUMMYFUNCTION("GOOGLETRANSLATE(A3134, ""fr"", ""en"")"),"FM display code: please put the temperature display in supermarkets according to the modop provides")</f>
        <v>FM display code: please put the temperature display in supermarkets according to the modop provides</v>
      </c>
    </row>
    <row r="3135">
      <c r="A3135" s="19" t="s">
        <v>2471</v>
      </c>
      <c r="B3135" s="20" t="str">
        <f>IFERROR(__xludf.DUMMYFUNCTION("GOOGLETRANSLATE(A3135, ""fr"", ""en"")"),"FM: cleaning 9A module: covered parking R+1 according to August planning.")</f>
        <v>FM: cleaning 9A module: covered parking R+1 according to August planning.</v>
      </c>
    </row>
    <row r="3136">
      <c r="A3136" s="19" t="s">
        <v>2472</v>
      </c>
      <c r="B3136" s="20" t="str">
        <f>IFERROR(__xludf.DUMMYFUNCTION("GOOGLETRANSLATE(A3136, ""fr"", ""en"")"),"FM: We want a supervisor for 02/23/2023. Please send us a confirmation by email.")</f>
        <v>FM: We want a supervisor for 02/23/2023. Please send us a confirmation by email.</v>
      </c>
    </row>
    <row r="3137">
      <c r="A3137" s="19" t="s">
        <v>1426</v>
      </c>
      <c r="B3137" s="20" t="str">
        <f>IFERROR(__xludf.DUMMYFUNCTION("GOOGLETRANSLATE(A3137, ""fr"", ""en"")"),"Sale - Cleaning of parking lots on Friday March 10, 2023")</f>
        <v>Sale - Cleaning of parking lots on Friday March 10, 2023</v>
      </c>
    </row>
    <row r="3138">
      <c r="A3138" s="19" t="s">
        <v>1427</v>
      </c>
      <c r="B3138" s="20" t="str">
        <f>IFERROR(__xludf.DUMMYFUNCTION("GOOGLETRANSLATE(A3138, ""fr"", ""en"")"),"Sale - Cleaning of car parks on Friday March 24, 2023")</f>
        <v>Sale - Cleaning of car parks on Friday March 24, 2023</v>
      </c>
    </row>
    <row r="3139">
      <c r="A3139" s="19" t="s">
        <v>1429</v>
      </c>
      <c r="B3139" s="20" t="str">
        <f>IFERROR(__xludf.DUMMYFUNCTION("GOOGLETRANSLATE(A3139, ""fr"", ""en"")"),"Sale - Cleaning of car parks of Friday March 17, 2023")</f>
        <v>Sale - Cleaning of car parks of Friday March 17, 2023</v>
      </c>
    </row>
    <row r="3140">
      <c r="A3140" s="19" t="s">
        <v>2473</v>
      </c>
      <c r="B3140" s="20" t="str">
        <f>IFERROR(__xludf.DUMMYFUNCTION("GOOGLETRANSLATE(A3140, ""fr"", ""en"")"),"FM: Common intervention with IT to carry out a connection test for Connect+equipment. Tuesday March 28 at 9:30 am.")</f>
        <v>FM: Common intervention with IT to carry out a connection test for Connect+equipment. Tuesday March 28 at 9:30 am.</v>
      </c>
    </row>
    <row r="3141">
      <c r="A3141" s="19" t="s">
        <v>2474</v>
      </c>
      <c r="B3141" s="20" t="str">
        <f>IFERROR(__xludf.DUMMYFUNCTION("GOOGLETRANSLATE(A3141, ""fr"", ""en"")"),"FM Please intervene for the replacement of the box probe and sales area")</f>
        <v>FM Please intervene for the replacement of the box probe and sales area</v>
      </c>
    </row>
    <row r="3142">
      <c r="A3142" s="19" t="s">
        <v>1590</v>
      </c>
      <c r="B3142" s="20" t="str">
        <f>IFERROR(__xludf.DUMMYFUNCTION("GOOGLETRANSLATE(A3142, ""fr"", ""en"")"),"FM: Night deratization. Lidl Fischer store on 07/10/2023 and Lidl Illzach on 07/11/2023.")</f>
        <v>FM: Night deratization. Lidl Fischer store on 07/10/2023 and Lidl Illzach on 07/11/2023.</v>
      </c>
    </row>
    <row r="3143">
      <c r="A3143" s="19" t="s">
        <v>2475</v>
      </c>
      <c r="B3143" s="20" t="str">
        <f>IFERROR(__xludf.DUMMYFUNCTION("GOOGLETRANSLATE(A3143, ""fr"", ""en"")"),"At 2: HS checklist. The safety sheet has been glued, installation of an ashtray at the quay, installation PVC protection on the doors of the CTA premises, and verification of the proprietary of the defibrillator.")</f>
        <v>At 2: HS checklist. The safety sheet has been glued, installation of an ashtray at the quay, installation PVC protection on the doors of the CTA premises, and verification of the proprietary of the defibrillator.</v>
      </c>
    </row>
    <row r="3144">
      <c r="A3144" s="19" t="s">
        <v>2476</v>
      </c>
      <c r="B3144" s="20" t="str">
        <f>IFERROR(__xludf.DUMMYFUNCTION("GOOGLETRANSLATE(A3144, ""fr"", ""en"")"),"Under warranty: we are told a leak on the water evacuation network of the condensions of the 4 air conditioning tapes of the sales area. The network is to be connected to the vertical descent next to the Cold Cut Congue CTA.
 store phone number: 03 88 18 "&amp;"91 25")</f>
        <v>Under warranty: we are told a leak on the water evacuation network of the condensions of the 4 air conditioning tapes of the sales area. The network is to be connected to the vertical descent next to the Cold Cut Congue CTA.
 store phone number: 03 88 18 91 25</v>
      </c>
    </row>
    <row r="3145">
      <c r="A3145" s="19" t="s">
        <v>2477</v>
      </c>
      <c r="B3145" s="20" t="str">
        <f>IFERROR(__xludf.DUMMYFUNCTION("GOOGLETRANSLATE(A3145, ""fr"", ""en"")"),"FM: Cleaning according to Module 7 Basse S36 windows")</f>
        <v>FM: Cleaning according to Module 7 Basse S36 windows</v>
      </c>
    </row>
    <row r="3146">
      <c r="A3146" s="19" t="s">
        <v>2478</v>
      </c>
      <c r="B3146" s="20" t="str">
        <f>IFERROR(__xludf.DUMMYFUNCTION("GOOGLETRANSLATE(A3146, ""fr"", ""en"")"),"The anti -return does not work and do not sound when a customer leaves through the entrance to the store.")</f>
        <v>The anti -return does not work and do not sound when a customer leaves through the entrance to the store.</v>
      </c>
    </row>
    <row r="3147">
      <c r="A3147" s="19" t="s">
        <v>1435</v>
      </c>
      <c r="B3147" s="20" t="str">
        <f>IFERROR(__xludf.DUMMYFUNCTION("GOOGLETRANSLATE(A3147, ""fr"", ""en"")"),"Sale - Cleaning of parking lots on Monday March 20, 2023")</f>
        <v>Sale - Cleaning of parking lots on Monday March 20, 2023</v>
      </c>
    </row>
    <row r="3148">
      <c r="A3148" s="19" t="s">
        <v>2479</v>
      </c>
      <c r="B3148" s="20" t="str">
        <f>IFERROR(__xludf.DUMMYFUNCTION("GOOGLETRANSLATE(A3148, ""fr"", ""en"")"),"FM: Thank you for intervening after 02/14/23 to cut the old phone ringtone following the passage of the Mobi telephony.")</f>
        <v>FM: Thank you for intervening after 02/14/23 to cut the old phone ringtone following the passage of the Mobi telephony.</v>
      </c>
    </row>
    <row r="3149">
      <c r="A3149" s="19" t="s">
        <v>2480</v>
      </c>
      <c r="B3149" s="20" t="str">
        <f>IFERROR(__xludf.DUMMYFUNCTION("GOOGLETRANSLATE(A3149, ""fr"", ""en"")"),"FM: Please intervene following an email from remote monitoring, no transmission since 06/12.")</f>
        <v>FM: Please intervene following an email from remote monitoring, no transmission since 06/12.</v>
      </c>
    </row>
    <row r="3150">
      <c r="A3150" s="19" t="s">
        <v>2481</v>
      </c>
      <c r="B3150" s="20" t="str">
        <f>IFERROR(__xludf.DUMMYFUNCTION("GOOGLETRANSLATE(A3150, ""fr"", ""en"")"),"FM: Please intervene following the remote monitoring report for a fault that night of 15 mins.")</f>
        <v>FM: Please intervene following the remote monitoring report for a fault that night of 15 mins.</v>
      </c>
    </row>
    <row r="3151">
      <c r="A3151" s="19" t="s">
        <v>2482</v>
      </c>
      <c r="B3151" s="20" t="str">
        <f>IFERROR(__xludf.DUMMYFUNCTION("GOOGLETRANSLATE(A3151, ""fr"", ""en"")"),"FM: Thank you for removing the waste on the stairs that lead below our parking lot + cleaning")</f>
        <v>FM: Thank you for removing the waste on the stairs that lead below our parking lot + cleaning</v>
      </c>
    </row>
    <row r="3152">
      <c r="A3152" s="19" t="s">
        <v>2483</v>
      </c>
      <c r="B3152" s="20" t="str">
        <f>IFERROR(__xludf.DUMMYFUNCTION("GOOGLETRANSLATE(A3152, ""fr"", ""en"")"),"FM thank you for intervening for the barrier leaving the parking lot which remains open")</f>
        <v>FM thank you for intervening for the barrier leaving the parking lot which remains open</v>
      </c>
    </row>
    <row r="3153">
      <c r="A3153" s="19" t="s">
        <v>1424</v>
      </c>
      <c r="B3153" s="20" t="str">
        <f>IFERROR(__xludf.DUMMYFUNCTION("GOOGLETRANSLATE(A3153, ""fr"", ""en"")"),"FM: replacement electrodes defibrillator according to operating mode. Thank you for bringing the old DR electrodes back.")</f>
        <v>FM: replacement electrodes defibrillator according to operating mode. Thank you for bringing the old DR electrodes back.</v>
      </c>
    </row>
    <row r="3154">
      <c r="A3154" s="19" t="s">
        <v>1442</v>
      </c>
      <c r="B3154" s="20" t="str">
        <f>IFERROR(__xludf.DUMMYFUNCTION("GOOGLETRANSLATE(A3154, ""fr"", ""en"")"),"Sale - Cleaning of car parks on Friday February 24, 2022")</f>
        <v>Sale - Cleaning of car parks on Friday February 24, 2022</v>
      </c>
    </row>
    <row r="3155">
      <c r="A3155" s="19" t="s">
        <v>1441</v>
      </c>
      <c r="B3155" s="20" t="str">
        <f>IFERROR(__xludf.DUMMYFUNCTION("GOOGLETRANSLATE(A3155, ""fr"", ""en"")"),"Sale - Cleaning of parking lots on Monday, February 27, 2023")</f>
        <v>Sale - Cleaning of parking lots on Monday, February 27, 2023</v>
      </c>
    </row>
    <row r="3156">
      <c r="A3156" s="19" t="s">
        <v>1444</v>
      </c>
      <c r="B3156" s="20" t="str">
        <f>IFERROR(__xludf.DUMMYFUNCTION("GOOGLETRANSLATE(A3156, ""fr"", ""en"")"),"Sale - Cleaning of parking lots on Monday, February 20, 2023")</f>
        <v>Sale - Cleaning of parking lots on Monday, February 20, 2023</v>
      </c>
    </row>
    <row r="3157">
      <c r="A3157" s="19" t="s">
        <v>1446</v>
      </c>
      <c r="B3157" s="20" t="str">
        <f>IFERROR(__xludf.DUMMYFUNCTION("GOOGLETRANSLATE(A3157, ""fr"", ""en"")"),"Sale - Cleaning of parking lots on Monday March 6, 2023")</f>
        <v>Sale - Cleaning of parking lots on Monday March 6, 2023</v>
      </c>
    </row>
    <row r="3158">
      <c r="A3158" s="19" t="s">
        <v>1447</v>
      </c>
      <c r="B3158" s="20" t="str">
        <f>IFERROR(__xludf.DUMMYFUNCTION("GOOGLETRANSLATE(A3158, ""fr"", ""en"")"),"Sale - Cleaning of the parking lots of Wednesday March 1, 2023")</f>
        <v>Sale - Cleaning of the parking lots of Wednesday March 1, 2023</v>
      </c>
    </row>
    <row r="3159">
      <c r="A3159" s="19" t="s">
        <v>1445</v>
      </c>
      <c r="B3159" s="20" t="str">
        <f>IFERROR(__xludf.DUMMYFUNCTION("GOOGLETRANSLATE(A3159, ""fr"", ""en"")"),"Sale - Cleaning of parking lots on Monday January 23, 2023")</f>
        <v>Sale - Cleaning of parking lots on Monday January 23, 2023</v>
      </c>
    </row>
    <row r="3160">
      <c r="A3160" s="19" t="s">
        <v>1450</v>
      </c>
      <c r="B3160" s="20" t="str">
        <f>IFERROR(__xludf.DUMMYFUNCTION("GOOGLETRANSLATE(A3160, ""fr"", ""en"")"),"Sale - Cleaning of parking lots on Monday January 2, 2023")</f>
        <v>Sale - Cleaning of parking lots on Monday January 2, 2023</v>
      </c>
    </row>
    <row r="3161">
      <c r="A3161" s="19" t="s">
        <v>1449</v>
      </c>
      <c r="B3161" s="20" t="str">
        <f>IFERROR(__xludf.DUMMYFUNCTION("GOOGLETRANSLATE(A3161, ""fr"", ""en"")"),"Sale - cleaning of parking lots on Monday January 9, 2023")</f>
        <v>Sale - cleaning of parking lots on Monday January 9, 2023</v>
      </c>
    </row>
    <row r="3162">
      <c r="A3162" s="19" t="s">
        <v>1452</v>
      </c>
      <c r="B3162" s="20" t="str">
        <f>IFERROR(__xludf.DUMMYFUNCTION("GOOGLETRANSLATE(A3162, ""fr"", ""en"")"),"Sale - Cleaning of parking lots on Monday, February 13, 2023")</f>
        <v>Sale - Cleaning of parking lots on Monday, February 13, 2023</v>
      </c>
    </row>
    <row r="3163">
      <c r="A3163" s="19" t="s">
        <v>1486</v>
      </c>
      <c r="B3163" s="20" t="str">
        <f>IFERROR(__xludf.DUMMYFUNCTION("GOOGLETRANSLATE(A3163, ""fr"", ""en"")"),"FM ECO ECL: extinguish COVVID counting systems at the input of SPMs. Deadline at the end of January.")</f>
        <v>FM ECO ECL: extinguish COVVID counting systems at the input of SPMs. Deadline at the end of January.</v>
      </c>
    </row>
    <row r="3164">
      <c r="A3164" s="19" t="s">
        <v>1456</v>
      </c>
      <c r="B3164" s="20" t="str">
        <f>IFERROR(__xludf.DUMMYFUNCTION("GOOGLETRANSLATE(A3164, ""fr"", ""en"")"),"Sale - Cleaning of car parks on Friday February 17, 2023")</f>
        <v>Sale - Cleaning of car parks on Friday February 17, 2023</v>
      </c>
    </row>
    <row r="3165">
      <c r="A3165" s="19" t="s">
        <v>2484</v>
      </c>
      <c r="B3165" s="20" t="str">
        <f>IFERROR(__xludf.DUMMYFUNCTION("GOOGLETRANSLATE(A3165, ""fr"", ""en"")"),"FM: We had no cold flaws in January, please verify that everything works in terms of supervision + transmission of defects at Ineo remote monitoring.")</f>
        <v>FM: We had no cold flaws in January, please verify that everything works in terms of supervision + transmission of defects at Ineo remote monitoring.</v>
      </c>
    </row>
    <row r="3166">
      <c r="A3166" s="19" t="s">
        <v>2485</v>
      </c>
      <c r="B3166" s="20" t="str">
        <f>IFERROR(__xludf.DUMMYFUNCTION("GOOGLETRANSLATE(A3166, ""fr"", ""en"")"),"FM: Thank you for intervening, the exit barrier is blocked in the open position following a shock.")</f>
        <v>FM: Thank you for intervening, the exit barrier is blocked in the open position following a shock.</v>
      </c>
    </row>
    <row r="3167">
      <c r="A3167" s="19" t="s">
        <v>1463</v>
      </c>
      <c r="B3167" s="20" t="str">
        <f>IFERROR(__xludf.DUMMYFUNCTION("GOOGLETRANSLATE(A3167, ""fr"", ""en"")"),"FM: Victoire Video surveillance Display According to Mail d'Ali from 30/12.")</f>
        <v>FM: Victoire Video surveillance Display According to Mail d'Ali from 30/12.</v>
      </c>
    </row>
    <row r="3168">
      <c r="A3168" s="19" t="s">
        <v>2486</v>
      </c>
      <c r="B3168" s="20" t="str">
        <f>IFERROR(__xludf.DUMMYFUNCTION("GOOGLETRANSLATE(A3168, ""fr"", ""en"")"),"FM Please intervene to check the following points because we have recurring leaks on all MF:
 - The right positioning of the evacuation flexible.
 - Good insulation of furniture (possible to condense below if it is not the case)
 Warranty intervention")</f>
        <v>FM Please intervene to check the following points because we have recurring leaks on all MF:
 - The right positioning of the evacuation flexible.
 - Good insulation of furniture (possible to condense below if it is not the case)
 Warranty intervention</v>
      </c>
    </row>
    <row r="3169">
      <c r="A3169" s="19" t="s">
        <v>2487</v>
      </c>
      <c r="B3169" s="20" t="str">
        <f>IFERROR(__xludf.DUMMYFUNCTION("GOOGLETRANSLATE(A3169, ""fr"", ""en"")"),"FM: Basse window cleaning - Module 7 - S21. Immerately attach the checklists.")</f>
        <v>FM: Basse window cleaning - Module 7 - S21. Immerately attach the checklists.</v>
      </c>
    </row>
    <row r="3170">
      <c r="A3170" s="19" t="s">
        <v>2488</v>
      </c>
      <c r="B3170" s="20" t="str">
        <f>IFERROR(__xludf.DUMMYFUNCTION("GOOGLETRANSLATE(A3170, ""fr"", ""en"")"),"FM: Please intervene to attach the Alarm power plants to SPC Connect. These are the latest tests before national deployment, these interventions will be supported by the CSO.
 For info below the dates of passage:
 - Fegersheim on June 20
 - Lingolsheim "&amp;"on June 21
 - Meinau on June 21
 - Fisher on June 22
 - Hoenheim on June 22")</f>
        <v>FM: Please intervene to attach the Alarm power plants to SPC Connect. These are the latest tests before national deployment, these interventions will be supported by the CSO.
 For info below the dates of passage:
 - Fegersheim on June 20
 - Lingolsheim on June 21
 - Meinau on June 21
 - Fisher on June 22
 - Hoenheim on June 22</v>
      </c>
    </row>
    <row r="3171">
      <c r="A3171" s="19" t="s">
        <v>2489</v>
      </c>
      <c r="B3171" s="20" t="str">
        <f>IFERROR(__xludf.DUMMYFUNCTION("GOOGLETRANSLATE(A3171, ""fr"", ""en"")"),"FM: cleaning covered parking R+1 - module 11 - June. Immerately attach the checklists.")</f>
        <v>FM: cleaning covered parking R+1 - module 11 - June. Immerately attach the checklists.</v>
      </c>
    </row>
    <row r="3172">
      <c r="A3172" s="19" t="s">
        <v>2490</v>
      </c>
      <c r="B3172" s="20" t="str">
        <f>IFERROR(__xludf.DUMMYFUNCTION("GOOGLETRANSLATE(A3172, ""fr"", ""en"")"),"FM: Please intervene for harmful night cleaning + parking to do at the same time.")</f>
        <v>FM: Please intervene for harmful night cleaning + parking to do at the same time.</v>
      </c>
    </row>
    <row r="3173">
      <c r="A3173" s="19" t="s">
        <v>2491</v>
      </c>
      <c r="B3173" s="20" t="str">
        <f>IFERROR(__xludf.DUMMYFUNCTION("GOOGLETRANSLATE(A3173, ""fr"", ""en"")"),"FM: cleaning covered parking R+1 - 9A module - April. Immerately attach the checklists.")</f>
        <v>FM: cleaning covered parking R+1 - 9A module - April. Immerately attach the checklists.</v>
      </c>
    </row>
    <row r="3174">
      <c r="A3174" s="19" t="s">
        <v>1466</v>
      </c>
      <c r="B3174" s="20" t="str">
        <f>IFERROR(__xludf.DUMMYFUNCTION("GOOGLETRANSLATE(A3174, ""fr"", ""en"")"),"Various sale RMR Visual installation campaign aggressiveness price.
 To be done before S31 for the entire DR 02, or 69 SPM.
 Installation detail See PDF")</f>
        <v>Various sale RMR Visual installation campaign aggressiveness price.
 To be done before S31 for the entire DR 02, or 69 SPM.
 Installation detail See PDF</v>
      </c>
    </row>
    <row r="3175">
      <c r="A3175" s="19" t="s">
        <v>2492</v>
      </c>
      <c r="B3175" s="20" t="str">
        <f>IFERROR(__xludf.DUMMYFUNCTION("GOOGLETRANSLATE(A3175, ""fr"", ""en"")"),"FM: Please do a night cleaning on 07/03/2023")</f>
        <v>FM: Please do a night cleaning on 07/03/2023</v>
      </c>
    </row>
    <row r="3176">
      <c r="A3176" s="19" t="s">
        <v>2493</v>
      </c>
      <c r="B3176" s="20" t="str">
        <f>IFERROR(__xludf.DUMMYFUNCTION("GOOGLETRANSLATE(A3176, ""fr"", ""en"")"),"FM: night guard for work on fresh furniture: Montbeliard on 07/26 // Schiltigheim on 07/27 // ECKBOLSHEIM on 07/28.")</f>
        <v>FM: night guard for work on fresh furniture: Montbeliard on 07/26 // Schiltigheim on 07/27 // ECKBOLSHEIM on 07/28.</v>
      </c>
    </row>
    <row r="3177">
      <c r="A3177" s="19" t="s">
        <v>2494</v>
      </c>
      <c r="B3177" s="20" t="str">
        <f>IFERROR(__xludf.DUMMYFUNCTION("GOOGLETRANSLATE(A3177, ""fr"", ""en"")"),"Not having found an item for the recharging terminals for electrical cars, I allow myself to make a request under the item park with carts).
 2 on 4 charging stations are in red so non -functional.")</f>
        <v>Not having found an item for the recharging terminals for electrical cars, I allow myself to make a request under the item park with carts).
 2 on 4 charging stations are in red so non -functional.</v>
      </c>
    </row>
    <row r="3178">
      <c r="A3178" s="19" t="s">
        <v>2495</v>
      </c>
      <c r="B3178" s="20" t="str">
        <f>IFERROR(__xludf.DUMMYFUNCTION("GOOGLETRANSLATE(A3178, ""fr"", ""en"")"),"The heat is too high in store 27.3 degrees.
 The merchandise in particular the rotten FL quickly, the chocolate melts and so on.
 All staff feel bad! And customers complain!")</f>
        <v>The heat is too high in store 27.3 degrees.
 The merchandise in particular the rotten FL quickly, the chocolate melts and so on.
 All staff feel bad! And customers complain!</v>
      </c>
    </row>
    <row r="3179">
      <c r="A3179" s="19" t="s">
        <v>1471</v>
      </c>
      <c r="B3179" s="20" t="str">
        <f>IFERROR(__xludf.DUMMYFUNCTION("GOOGLETRANSLATE(A3179, ""fr"", ""en"")"),"Sale - Cleaning of car parks of Friday May 26, 2023")</f>
        <v>Sale - Cleaning of car parks of Friday May 26, 2023</v>
      </c>
    </row>
    <row r="3180">
      <c r="A3180" s="19" t="s">
        <v>1474</v>
      </c>
      <c r="B3180" s="20" t="str">
        <f>IFERROR(__xludf.DUMMYFUNCTION("GOOGLETRANSLATE(A3180, ""fr"", ""en"")"),"Sale - Cleaning of parking lots on Monday June 12, 2023")</f>
        <v>Sale - Cleaning of parking lots on Monday June 12, 2023</v>
      </c>
    </row>
    <row r="3181">
      <c r="A3181" s="19" t="s">
        <v>1475</v>
      </c>
      <c r="B3181" s="20" t="str">
        <f>IFERROR(__xludf.DUMMYFUNCTION("GOOGLETRANSLATE(A3181, ""fr"", ""en"")"),"Sale - Cleaning of parking lots on Monday June 5, 2023")</f>
        <v>Sale - Cleaning of parking lots on Monday June 5, 2023</v>
      </c>
    </row>
    <row r="3182">
      <c r="A3182" s="19" t="s">
        <v>1473</v>
      </c>
      <c r="B3182" s="20" t="str">
        <f>IFERROR(__xludf.DUMMYFUNCTION("GOOGLETRANSLATE(A3182, ""fr"", ""en"")"),"Sale - Cleaning of parking lots on Monday June 19, 2023")</f>
        <v>Sale - Cleaning of parking lots on Monday June 19, 2023</v>
      </c>
    </row>
    <row r="3183">
      <c r="A3183" s="19" t="s">
        <v>1476</v>
      </c>
      <c r="B3183" s="20" t="str">
        <f>IFERROR(__xludf.DUMMYFUNCTION("GOOGLETRANSLATE(A3183, ""fr"", ""en"")"),"Sale - Cleaning of parking lots on Friday June 16, 2023")</f>
        <v>Sale - Cleaning of parking lots on Friday June 16, 2023</v>
      </c>
    </row>
    <row r="3184">
      <c r="A3184" s="19" t="s">
        <v>2496</v>
      </c>
      <c r="B3184" s="20" t="str">
        <f>IFERROR(__xludf.DUMMYFUNCTION("GOOGLETRANSLATE(A3184, ""fr"", ""en"")"),"FM: broken earthenware in bakery to replace and set a smooth PVC in front // cracked resin between quay and reserve")</f>
        <v>FM: broken earthenware in bakery to replace and set a smooth PVC in front // cracked resin between quay and reserve</v>
      </c>
    </row>
    <row r="3185">
      <c r="A3185" s="19" t="s">
        <v>2497</v>
      </c>
      <c r="B3185" s="20" t="str">
        <f>IFERROR(__xludf.DUMMYFUNCTION("GOOGLETRANSLATE(A3185, ""fr"", ""en"")"),"FM: Please intervene for the replacement of two tiles at the entrance airlock. To be pooled with the intervention for 1 tile in the bakery.")</f>
        <v>FM: Please intervene for the replacement of two tiles at the entrance airlock. To be pooled with the intervention for 1 tile in the bakery.</v>
      </c>
    </row>
    <row r="3186">
      <c r="A3186" s="19" t="s">
        <v>2498</v>
      </c>
      <c r="B3186" s="20" t="str">
        <f>IFERROR(__xludf.DUMMYFUNCTION("GOOGLETRANSLATE(A3186, ""fr"", ""en"")"),"FM: cleaning 7 low window module according to July S28 planning")</f>
        <v>FM: cleaning 7 low window module according to July S28 planning</v>
      </c>
    </row>
    <row r="3187">
      <c r="A3187" s="19" t="s">
        <v>1484</v>
      </c>
      <c r="B3187" s="20" t="str">
        <f>IFERROR(__xludf.DUMMYFUNCTION("GOOGLETRANSLATE(A3187, ""fr"", ""en"")"),"Sale - Cleaning of parking lots on Friday February 3, 2023")</f>
        <v>Sale - Cleaning of parking lots on Friday February 3, 2023</v>
      </c>
    </row>
    <row r="3188">
      <c r="A3188" s="19" t="s">
        <v>1487</v>
      </c>
      <c r="B3188" s="20" t="str">
        <f>IFERROR(__xludf.DUMMYFUNCTION("GOOGLETRANSLATE(A3188, ""fr"", ""en"")"),"Sale - Cleaning of parking lots on Monday, November 21, 2022")</f>
        <v>Sale - Cleaning of parking lots on Monday, November 21, 2022</v>
      </c>
    </row>
    <row r="3189">
      <c r="A3189" s="19" t="s">
        <v>1489</v>
      </c>
      <c r="B3189" s="20" t="str">
        <f>IFERROR(__xludf.DUMMYFUNCTION("GOOGLETRANSLATE(A3189, ""fr"", ""en"")"),"Sale - Cleaning of car parks of Friday January 13, 2023")</f>
        <v>Sale - Cleaning of car parks of Friday January 13, 2023</v>
      </c>
    </row>
    <row r="3190">
      <c r="A3190" s="19" t="s">
        <v>1490</v>
      </c>
      <c r="B3190" s="20" t="str">
        <f>IFERROR(__xludf.DUMMYFUNCTION("GOOGLETRANSLATE(A3190, ""fr"", ""en"")"),"Sale - Cleaning of parking lots on Monday, December 19, 2022")</f>
        <v>Sale - Cleaning of parking lots on Monday, December 19, 2022</v>
      </c>
    </row>
    <row r="3191">
      <c r="A3191" s="19" t="s">
        <v>1494</v>
      </c>
      <c r="B3191" s="20" t="str">
        <f>IFERROR(__xludf.DUMMYFUNCTION("GOOGLETRANSLATE(A3191, ""fr"", ""en"")"),"Sale - Cleaning of parking lots on Friday January 20, 2023")</f>
        <v>Sale - Cleaning of parking lots on Friday January 20, 2023</v>
      </c>
    </row>
    <row r="3192">
      <c r="A3192" s="19" t="s">
        <v>1493</v>
      </c>
      <c r="B3192" s="20" t="str">
        <f>IFERROR(__xludf.DUMMYFUNCTION("GOOGLETRANSLATE(A3192, ""fr"", ""en"")"),"Sale - Cleaning of car parks on Friday January 6, 2023")</f>
        <v>Sale - Cleaning of car parks on Friday January 6, 2023</v>
      </c>
    </row>
    <row r="3193">
      <c r="A3193" s="19" t="s">
        <v>1495</v>
      </c>
      <c r="B3193" s="20" t="str">
        <f>IFERROR(__xludf.DUMMYFUNCTION("GOOGLETRANSLATE(A3193, ""fr"", ""en"")"),"Sale - Cleaning of parking lots on Monday October 24, 2022")</f>
        <v>Sale - Cleaning of parking lots on Monday October 24, 2022</v>
      </c>
    </row>
    <row r="3194">
      <c r="A3194" s="19" t="s">
        <v>1496</v>
      </c>
      <c r="B3194" s="20" t="str">
        <f>IFERROR(__xludf.DUMMYFUNCTION("GOOGLETRANSLATE(A3194, ""fr"", ""en"")"),"Sale - Cleaning of car parks on Friday February 10, 2023")</f>
        <v>Sale - Cleaning of car parks on Friday February 10, 2023</v>
      </c>
    </row>
    <row r="3195">
      <c r="A3195" s="19" t="s">
        <v>1497</v>
      </c>
      <c r="B3195" s="20" t="str">
        <f>IFERROR(__xludf.DUMMYFUNCTION("GOOGLETRANSLATE(A3195, ""fr"", ""en"")"),"Sale - Cleaning of parking lots on Monday, November 14, 2022")</f>
        <v>Sale - Cleaning of parking lots on Monday, November 14, 2022</v>
      </c>
    </row>
    <row r="3196">
      <c r="A3196" s="19" t="s">
        <v>1500</v>
      </c>
      <c r="B3196" s="20" t="str">
        <f>IFERROR(__xludf.DUMMYFUNCTION("GOOGLETRANSLATE(A3196, ""fr"", ""en"")"),"Sale - Cleaning of parking lots on Monday October 17, 2022")</f>
        <v>Sale - Cleaning of parking lots on Monday October 17, 2022</v>
      </c>
    </row>
    <row r="3197">
      <c r="A3197" s="19" t="s">
        <v>1501</v>
      </c>
      <c r="B3197" s="20" t="str">
        <f>IFERROR(__xludf.DUMMYFUNCTION("GOOGLETRANSLATE(A3197, ""fr"", ""en"")"),"Sale - Cleaning of parking lots on Monday, December 5, 2022")</f>
        <v>Sale - Cleaning of parking lots on Monday, December 5, 2022</v>
      </c>
    </row>
    <row r="3198">
      <c r="A3198" s="19" t="s">
        <v>1502</v>
      </c>
      <c r="B3198" s="20" t="str">
        <f>IFERROR(__xludf.DUMMYFUNCTION("GOOGLETRANSLATE(A3198, ""fr"", ""en"")"),"Sale - Cleaning of parking lots on Monday, November 7, 2022")</f>
        <v>Sale - Cleaning of parking lots on Monday, November 7, 2022</v>
      </c>
    </row>
    <row r="3199">
      <c r="A3199" s="19" t="s">
        <v>1503</v>
      </c>
      <c r="B3199" s="20" t="str">
        <f>IFERROR(__xludf.DUMMYFUNCTION("GOOGLETRANSLATE(A3199, ""fr"", ""en"")"),"Sale - Cleaning of parking lots on Monday September 26, 2022")</f>
        <v>Sale - Cleaning of parking lots on Monday September 26, 2022</v>
      </c>
    </row>
    <row r="3200">
      <c r="A3200" s="19" t="s">
        <v>1506</v>
      </c>
      <c r="B3200" s="20" t="str">
        <f>IFERROR(__xludf.DUMMYFUNCTION("GOOGLETRANSLATE(A3200, ""fr"", ""en"")"),"Sale - Cleaning of parking lots on Monday, November 28, 2022")</f>
        <v>Sale - Cleaning of parking lots on Monday, November 28, 2022</v>
      </c>
    </row>
    <row r="3201">
      <c r="A3201" s="19" t="s">
        <v>1505</v>
      </c>
      <c r="B3201" s="20" t="str">
        <f>IFERROR(__xludf.DUMMYFUNCTION("GOOGLETRANSLATE(A3201, ""fr"", ""en"")"),"Sale - Cleaning of parking lots on Monday December 12, 2022")</f>
        <v>Sale - Cleaning of parking lots on Monday December 12, 2022</v>
      </c>
    </row>
    <row r="3202">
      <c r="A3202" s="19" t="s">
        <v>2499</v>
      </c>
      <c r="B3202" s="20" t="str">
        <f>IFERROR(__xludf.DUMMYFUNCTION("GOOGLETRANSLATE(A3202, ""fr"", ""en"")"),"FM: Cleaning Module Parking to be done on 06/16, the pedestrian bands are also to be cleaned // clean the premises ""bikes"" // Clean corridor and stairs leading to the supermarket from the parking lot.")</f>
        <v>FM: Cleaning Module Parking to be done on 06/16, the pedestrian bands are also to be cleaned // clean the premises "bikes" // Clean corridor and stairs leading to the supermarket from the parking lot.</v>
      </c>
    </row>
    <row r="3203">
      <c r="A3203" s="19" t="s">
        <v>2500</v>
      </c>
      <c r="B3203" s="20" t="str">
        <f>IFERROR(__xludf.DUMMYFUNCTION("GOOGLETRANSLATE(A3203, ""fr"", ""en"")"),"FM: cleaning module parking to do on 06/16, the pedestrian bands are also to be cleaned // clean the room ""bikes"" // Clean corridor and stairs leading to the supermarket from parking // low windows //")</f>
        <v>FM: cleaning module parking to do on 06/16, the pedestrian bands are also to be cleaned // clean the room "bikes" // Clean corridor and stairs leading to the supermarket from parking // low windows //</v>
      </c>
    </row>
    <row r="3204">
      <c r="A3204" s="19" t="s">
        <v>2501</v>
      </c>
      <c r="B3204" s="20" t="str">
        <f>IFERROR(__xludf.DUMMYFUNCTION("GOOGLETRANSLATE(A3204, ""fr"", ""en"")"),"Good morning,
 Please intervene on 12-05-2022 at 8:00 p.m. for electrical work in the sales area
 Please send me a confirmation of the right consideration of this request")</f>
        <v>Good morning,
 Please intervene on 12-05-2022 at 8:00 p.m. for electrical work in the sales area
 Please send me a confirmation of the right consideration of this request</v>
      </c>
    </row>
    <row r="3205">
      <c r="A3205" s="19" t="s">
        <v>2502</v>
      </c>
      <c r="B3205" s="20" t="str">
        <f>IFERROR(__xludf.DUMMYFUNCTION("GOOGLETRANSLATE(A3205, ""fr"", ""en"")"),"FM: 9A module: Please intervene for cleaning the R+1 covered car park, cleaning with self-door-to-door machine. Do not forget to ask for the RPS and the checklist of control signed and stamped by the supermarket.")</f>
        <v>FM: 9A module: Please intervene for cleaning the R+1 covered car park, cleaning with self-door-to-door machine. Do not forget to ask for the RPS and the checklist of control signed and stamped by the supermarket.</v>
      </c>
    </row>
    <row r="3206">
      <c r="A3206" s="19" t="s">
        <v>2503</v>
      </c>
      <c r="B3206" s="20" t="str">
        <f>IFERROR(__xludf.DUMMYFUNCTION("GOOGLETRANSLATE(A3206, ""fr"", ""en"")"),"FM: Please see if an optical service is present between the telecom box and the A2.1 wardrobe. If there is no service, please do the installation and at the same time move the Cisco Btel and Box FTTH C+ SFR equipment which should normally be in the A2.1 c"&amp;"abinet. When moving the equipment, if necessary you can contact by phone Madame Anne Geffroy Project Manager IT deployment LIDL at 07.88.97.03.13 to correct the connection.")</f>
        <v>FM: Please see if an optical service is present between the telecom box and the A2.1 wardrobe. If there is no service, please do the installation and at the same time move the Cisco Btel and Box FTTH C+ SFR equipment which should normally be in the A2.1 cabinet. When moving the equipment, if necessary you can contact by phone Madame Anne Geffroy Project Manager IT deployment LIDL at 07.88.97.03.13 to correct the connection.</v>
      </c>
    </row>
    <row r="3207">
      <c r="A3207" s="19" t="s">
        <v>1508</v>
      </c>
      <c r="B3207" s="20" t="str">
        <f>IFERROR(__xludf.DUMMYFUNCTION("GOOGLETRANSLATE(A3207, ""fr"", ""en"")"),"FM: Module 7: Please intervene for clean window cleaning. Do not forget to ask for the RPS and the checklist of control signed and stamped by the supermarket.")</f>
        <v>FM: Module 7: Please intervene for clean window cleaning. Do not forget to ask for the RPS and the checklist of control signed and stamped by the supermarket.</v>
      </c>
    </row>
    <row r="3208">
      <c r="A3208" s="19" t="s">
        <v>2504</v>
      </c>
      <c r="B3208" s="20" t="str">
        <f>IFERROR(__xludf.DUMMYFUNCTION("GOOGLETRANSLATE(A3208, ""fr"", ""en"")"),"FM: Cleaning according to 7 S44-S45 low window module.")</f>
        <v>FM: Cleaning according to 7 S44-S45 low window module.</v>
      </c>
    </row>
    <row r="3209">
      <c r="A3209" s="19" t="s">
        <v>2336</v>
      </c>
      <c r="B3209" s="20" t="str">
        <f>IFERROR(__xludf.DUMMYFUNCTION("GOOGLETRANSLATE(A3209, ""fr"", ""en"")"),"FM Eco Eclairagve: Please set up the eco lighting mode following operating mode in PJ.")</f>
        <v>FM Eco Eclairagve: Please set up the eco lighting mode following operating mode in PJ.</v>
      </c>
    </row>
    <row r="3210">
      <c r="A3210" s="19" t="s">
        <v>1513</v>
      </c>
      <c r="B3210" s="20" t="str">
        <f>IFERROR(__xludf.DUMMYFUNCTION("GOOGLETRANSLATE(A3210, ""fr"", ""en"")"),"Sale - Cleaning of car parks of Friday January 27, 2023")</f>
        <v>Sale - Cleaning of car parks of Friday January 27, 2023</v>
      </c>
    </row>
    <row r="3211">
      <c r="A3211" s="19" t="s">
        <v>1514</v>
      </c>
      <c r="B3211" s="20" t="str">
        <f>IFERROR(__xludf.DUMMYFUNCTION("GOOGLETRANSLATE(A3211, ""fr"", ""en"")"),"Sale - Cleaning of parking lots on Monday January 30, 2023")</f>
        <v>Sale - Cleaning of parking lots on Monday January 30, 2023</v>
      </c>
    </row>
    <row r="3212">
      <c r="A3212" s="19" t="s">
        <v>1516</v>
      </c>
      <c r="B3212" s="20" t="str">
        <f>IFERROR(__xludf.DUMMYFUNCTION("GOOGLETRANSLATE(A3212, ""fr"", ""en"")"),"Sale - Cleaning of car parks of Friday November 4, 2022")</f>
        <v>Sale - Cleaning of car parks of Friday November 4, 2022</v>
      </c>
    </row>
    <row r="3213">
      <c r="A3213" s="19" t="s">
        <v>2505</v>
      </c>
      <c r="B3213" s="20" t="str">
        <f>IFERROR(__xludf.DUMMYFUNCTION("GOOGLETRANSLATE(A3213, ""fr"", ""en"")"),"FM validation quote 2065 Supply of a wooden frame with plexiglass for protection of the green table")</f>
        <v>FM validation quote 2065 Supply of a wooden frame with plexiglass for protection of the green table</v>
      </c>
    </row>
    <row r="3214">
      <c r="A3214" s="19" t="s">
        <v>2506</v>
      </c>
      <c r="B3214" s="20" t="str">
        <f>IFERROR(__xludf.DUMMYFUNCTION("GOOGLETRANSLATE(A3214, ""fr"", ""en"")"),"FM: Suite attendance harmful, intervene one morning from 6:00 am to clean up under all the catwalks and particularly a big cleaning in the cookies. Send us the date so that we can notify the SPM.")</f>
        <v>FM: Suite attendance harmful, intervene one morning from 6:00 am to clean up under all the catwalks and particularly a big cleaning in the cookies. Send us the date so that we can notify the SPM.</v>
      </c>
    </row>
    <row r="3215">
      <c r="A3215" s="19" t="s">
        <v>2507</v>
      </c>
      <c r="B3215" s="20" t="str">
        <f>IFERROR(__xludf.DUMMYFUNCTION("GOOGLETRANSLATE(A3215, ""fr"", ""en"")"),"FM Please pass to check:
 - The right positioning of the evacuation flexible.
 - Good insulation of furniture (possible to condense below if it is not the case)
 Under the warranty")</f>
        <v>FM Please pass to check:
 - The right positioning of the evacuation flexible.
 - Good insulation of furniture (possible to condense below if it is not the case)
 Under the warranty</v>
      </c>
    </row>
    <row r="3216">
      <c r="A3216" s="19" t="s">
        <v>1520</v>
      </c>
      <c r="B3216" s="20" t="str">
        <f>IFERROR(__xludf.DUMMYFUNCTION("GOOGLETRANSLATE(A3216, ""fr"", ""en"")"),"Sale - Cleaning of parking lots on Friday December 30, 2022")</f>
        <v>Sale - Cleaning of parking lots on Friday December 30, 2022</v>
      </c>
    </row>
    <row r="3217">
      <c r="A3217" s="19" t="s">
        <v>1522</v>
      </c>
      <c r="B3217" s="20" t="str">
        <f>IFERROR(__xludf.DUMMYFUNCTION("GOOGLETRANSLATE(A3217, ""fr"", ""en"")"),"Sale - Cleaning of parking lots of Friday, December 23, 2022")</f>
        <v>Sale - Cleaning of parking lots of Friday, December 23, 2022</v>
      </c>
    </row>
    <row r="3218">
      <c r="A3218" s="19" t="s">
        <v>1524</v>
      </c>
      <c r="B3218" s="20" t="str">
        <f>IFERROR(__xludf.DUMMYFUNCTION("GOOGLETRANSLATE(A3218, ""fr"", ""en"")"),"Sale - Cleaning of car parks of Friday November 25, 2022")</f>
        <v>Sale - Cleaning of car parks of Friday November 25, 2022</v>
      </c>
    </row>
    <row r="3219">
      <c r="A3219" s="19" t="s">
        <v>1523</v>
      </c>
      <c r="B3219" s="20" t="str">
        <f>IFERROR(__xludf.DUMMYFUNCTION("GOOGLETRANSLATE(A3219, ""fr"", ""en"")"),"Sale - Cleaning of car parks on Friday December 16, 2022")</f>
        <v>Sale - Cleaning of car parks on Friday December 16, 2022</v>
      </c>
    </row>
    <row r="3220">
      <c r="A3220" s="19" t="s">
        <v>1530</v>
      </c>
      <c r="B3220" s="20" t="str">
        <f>IFERROR(__xludf.DUMMYFUNCTION("GOOGLETRANSLATE(A3220, ""fr"", ""en"")"),"FM: Eco Lighting: adjustment of the extinction instructions, according to the following instructions: 1- SPM classified in priority 1 in the PJ table: Reluming the sales area 100% except lettering on the walls. The lettering ""special offers"" and on the "&amp;"bread ark must be on. // 2- SPM classified in prio 2 and 3 in the table in PJ: Relum only the spots on the bakery area, FL, cosmetics, boxes, fresh, frozen furniture and bins. Lettrages on the walls must remain extinguished (except ""special offers"" and "&amp;"on the bread ark). // Plan the sites according to the order of priority indicated. The reserves and social premises partially extinguished are not affected by this readjustment. On the other hand, the reserves and social premises that had not been optimiz"&amp;"ed during the first wave are to be optimized. For SPMs requiring a nacelle, please group these stores in order to optimize the rental of the nacelle, imperatively transmit the quote before intervention. Return a recap to the progress of the tour every Fri"&amp;"day to Ali and Benjamin.")</f>
        <v>FM: Eco Lighting: adjustment of the extinction instructions, according to the following instructions: 1- SPM classified in priority 1 in the PJ table: Reluming the sales area 100% except lettering on the walls. The lettering "special offers" and on the bread ark must be on. // 2- SPM classified in prio 2 and 3 in the table in PJ: Relum only the spots on the bakery area, FL, cosmetics, boxes, fresh, frozen furniture and bins. Lettrages on the walls must remain extinguished (except "special offers" and on the bread ark). // Plan the sites according to the order of priority indicated. The reserves and social premises partially extinguished are not affected by this readjustment. On the other hand, the reserves and social premises that had not been optimized during the first wave are to be optimized. For SPMs requiring a nacelle, please group these stores in order to optimize the rental of the nacelle, imperatively transmit the quote before intervention. Return a recap to the progress of the tour every Friday to Ali and Benjamin.</v>
      </c>
    </row>
    <row r="3221">
      <c r="A3221" s="19" t="s">
        <v>1531</v>
      </c>
      <c r="B3221" s="20" t="str">
        <f>IFERROR(__xludf.DUMMYFUNCTION("GOOGLETRANSLATE(A3221, ""fr"", ""en"")"),"Sale - Cleaning of parking lots on Friday December 9, 2022")</f>
        <v>Sale - Cleaning of parking lots on Friday December 9, 2022</v>
      </c>
    </row>
    <row r="3222">
      <c r="A3222" s="19" t="s">
        <v>2508</v>
      </c>
      <c r="B3222" s="20" t="str">
        <f>IFERROR(__xludf.DUMMYFUNCTION("GOOGLETRANSLATE(A3222, ""fr"", ""en"")"),"FM: Following TV report, please intervene for two cold flaws that night.")</f>
        <v>FM: Following TV report, please intervene for two cold flaws that night.</v>
      </c>
    </row>
    <row r="3223">
      <c r="A3223" s="19" t="s">
        <v>2509</v>
      </c>
      <c r="B3223" s="20" t="str">
        <f>IFERROR(__xludf.DUMMYFUNCTION("GOOGLETRANSLATE(A3223, ""fr"", ""en"")"),"FM: Please intervene following a cold defect of more than 30 minutes yesterday.")</f>
        <v>FM: Please intervene following a cold defect of more than 30 minutes yesterday.</v>
      </c>
    </row>
    <row r="3224">
      <c r="A3224" s="19" t="s">
        <v>2510</v>
      </c>
      <c r="B3224" s="20" t="str">
        <f>IFERROR(__xludf.DUMMYFUNCTION("GOOGLETRANSLATE(A3224, ""fr"", ""en"")"),"FM: Lighting problem on a fresh furniture, make a diagnosis.")</f>
        <v>FM: Lighting problem on a fresh furniture, make a diagnosis.</v>
      </c>
    </row>
    <row r="3225">
      <c r="A3225" s="19" t="s">
        <v>2511</v>
      </c>
      <c r="B3225" s="20" t="str">
        <f>IFERROR(__xludf.DUMMYFUNCTION("GOOGLETRANSLATE(A3225, ""fr"", ""en"")"),"FM: Concerns Skylight Furniture: Please intervene to replace a Skylight door to pick up in regional direction.")</f>
        <v>FM: Concerns Skylight Furniture: Please intervene to replace a Skylight door to pick up in regional direction.</v>
      </c>
    </row>
    <row r="3226">
      <c r="A3226" s="19" t="s">
        <v>2512</v>
      </c>
      <c r="B3226" s="20" t="str">
        <f>IFERROR(__xludf.DUMMYFUNCTION("GOOGLETRANSLATE(A3226, ""fr"", ""en"")"),"FM: Regularization following request from Mr. Meyer, intervention on 10/17/2022 for the replacement of the lighting of the fresh furniture.")</f>
        <v>FM: Regularization following request from Mr. Meyer, intervention on 10/17/2022 for the replacement of the lighting of the fresh furniture.</v>
      </c>
    </row>
    <row r="3227">
      <c r="A3227" s="19" t="s">
        <v>1537</v>
      </c>
      <c r="B3227" s="20" t="str">
        <f>IFERROR(__xludf.DUMMYFUNCTION("GOOGLETRANSLATE(A3227, ""fr"", ""en"")"),"Sale - Cleaning of car parks on Friday December 2, 2022")</f>
        <v>Sale - Cleaning of car parks on Friday December 2, 2022</v>
      </c>
    </row>
    <row r="3228">
      <c r="A3228" s="19" t="s">
        <v>1457</v>
      </c>
      <c r="B3228" s="20" t="str">
        <f>IFERROR(__xludf.DUMMYFUNCTION("GOOGLETRANSLATE(A3228, ""fr"", ""en"")"),"FM: Thank you for reconnecting the water heaters in the kitchens and bakery.")</f>
        <v>FM: Thank you for reconnecting the water heaters in the kitchens and bakery.</v>
      </c>
    </row>
    <row r="3229">
      <c r="A3229" s="19" t="s">
        <v>2513</v>
      </c>
      <c r="B3229" s="20" t="str">
        <f>IFERROR(__xludf.DUMMYFUNCTION("GOOGLETRANSLATE(A3229, ""fr"", ""en"")"),"FM Please intervene for a common intervention with the integrator")</f>
        <v>FM Please intervene for a common intervention with the integrator</v>
      </c>
    </row>
    <row r="3230">
      <c r="A3230" s="19" t="s">
        <v>1446</v>
      </c>
      <c r="B3230" s="20" t="str">
        <f>IFERROR(__xludf.DUMMYFUNCTION("GOOGLETRANSLATE(A3230, ""fr"", ""en"")"),"Sale - Cleaning of parking lots on Monday March 6, 2023")</f>
        <v>Sale - Cleaning of parking lots on Monday March 6, 2023</v>
      </c>
    </row>
    <row r="3231">
      <c r="A3231" s="19" t="s">
        <v>1540</v>
      </c>
      <c r="B3231" s="20" t="str">
        <f>IFERROR(__xludf.DUMMYFUNCTION("GOOGLETRANSLATE(A3231, ""fr"", ""en"")"),"Sale - Cleaning of parking lots on Monday March 13, 2023")</f>
        <v>Sale - Cleaning of parking lots on Monday March 13, 2023</v>
      </c>
    </row>
    <row r="3232">
      <c r="A3232" s="19" t="s">
        <v>1542</v>
      </c>
      <c r="B3232" s="20" t="str">
        <f>IFERROR(__xludf.DUMMYFUNCTION("GOOGLETRANSLATE(A3232, ""fr"", ""en"")"),"Sale - Cleaning of parking lots on Monday April 24, 2023")</f>
        <v>Sale - Cleaning of parking lots on Monday April 24, 2023</v>
      </c>
    </row>
    <row r="3233">
      <c r="A3233" s="19" t="s">
        <v>1543</v>
      </c>
      <c r="B3233" s="20" t="str">
        <f>IFERROR(__xludf.DUMMYFUNCTION("GOOGLETRANSLATE(A3233, ""fr"", ""en"")"),"Sale - Cleaning of car parks on Monday October 31, 2022")</f>
        <v>Sale - Cleaning of car parks on Monday October 31, 2022</v>
      </c>
    </row>
    <row r="3234">
      <c r="A3234" s="19" t="s">
        <v>2514</v>
      </c>
      <c r="B3234" s="20" t="str">
        <f>IFERROR(__xludf.DUMMYFUNCTION("GOOGLETRANSLATE(A3234, ""fr"", ""en"")"),"FM: Following TV removal report, please intervene following several cold flaws.")</f>
        <v>FM: Following TV removal report, please intervene following several cold flaws.</v>
      </c>
    </row>
    <row r="3235">
      <c r="A3235" s="19" t="s">
        <v>2515</v>
      </c>
      <c r="B3235" s="20" t="str">
        <f>IFERROR(__xludf.DUMMYFUNCTION("GOOGLETRANSLATE(A3235, ""fr"", ""en"")"),"FM: Follow -up remote monitoring report, please intervene for 2 cold defects over 30 minutes each.")</f>
        <v>FM: Follow -up remote monitoring report, please intervene for 2 cold defects over 30 minutes each.</v>
      </c>
    </row>
    <row r="3236">
      <c r="A3236" s="19" t="s">
        <v>2516</v>
      </c>
      <c r="B3236" s="20" t="str">
        <f>IFERROR(__xludf.DUMMYFUNCTION("GOOGLETRANSLATE(A3236, ""fr"", ""en"")"),"The door of closing more")</f>
        <v>The door of closing more</v>
      </c>
    </row>
    <row r="3237">
      <c r="A3237" s="19" t="s">
        <v>2517</v>
      </c>
      <c r="B3237" s="20" t="str">
        <f>IFERROR(__xludf.DUMMYFUNCTION("GOOGLETRANSLATE(A3237, ""fr"", ""en"")"),"Curtain in open position. Message 'Motor Fail'")</f>
        <v>Curtain in open position. Message 'Motor Fail'</v>
      </c>
    </row>
    <row r="3238">
      <c r="A3238" s="19" t="s">
        <v>2518</v>
      </c>
      <c r="B3238" s="20" t="str">
        <f>IFERROR(__xludf.DUMMYFUNCTION("GOOGLETRANSLATE(A3238, ""fr"", ""en"")"),"The door closure is poorly calibrated. The door goes too much. Already realized intervention 1 week ago")</f>
        <v>The door closure is poorly calibrated. The door goes too much. Already realized intervention 1 week ago</v>
      </c>
    </row>
    <row r="3239">
      <c r="A3239" s="19" t="s">
        <v>2519</v>
      </c>
      <c r="B3239" s="20" t="str">
        <f>IFERROR(__xludf.DUMMYFUNCTION("GOOGLETRANSLATE(A3239, ""fr"", ""en"")"),"The door goes too much, adjustment of racing to do")</f>
        <v>The door goes too much, adjustment of racing to do</v>
      </c>
    </row>
    <row r="3240">
      <c r="A3240" s="19" t="s">
        <v>2520</v>
      </c>
      <c r="B3240" s="20" t="str">
        <f>IFERROR(__xludf.DUMMYFUNCTION("GOOGLETRANSLATE(A3240, ""fr"", ""en"")"),"The door closes anymore, message derreur BMC Motor Fail")</f>
        <v>The door closes anymore, message derreur BMC Motor Fail</v>
      </c>
    </row>
    <row r="3241">
      <c r="A3241" s="19" t="s">
        <v>2521</v>
      </c>
      <c r="B3241" s="20" t="str">
        <f>IFERROR(__xludf.DUMMYFUNCTION("GOOGLETRANSLATE(A3241, ""fr"", ""en"")"),"Stay open - Error message")</f>
        <v>Stay open - Error message</v>
      </c>
    </row>
    <row r="3242">
      <c r="A3242" s="19" t="s">
        <v>2522</v>
      </c>
      <c r="B3242" s="20" t="str">
        <f>IFERROR(__xludf.DUMMYFUNCTION("GOOGLETRANSLATE(A3242, ""fr"", ""en"")"),"door remains blocked after having been hit by a rollls")</f>
        <v>door remains blocked after having been hit by a rollls</v>
      </c>
    </row>
    <row r="3243">
      <c r="A3243" s="19" t="s">
        <v>1361</v>
      </c>
      <c r="B3243" s="20" t="str">
        <f>IFERROR(__xludf.DUMMYFUNCTION("GOOGLETRANSLATE(A3243, ""fr"", ""en"")"),"Blocked door")</f>
        <v>Blocked door</v>
      </c>
    </row>
    <row r="3244">
      <c r="A3244" s="19" t="s">
        <v>2523</v>
      </c>
      <c r="B3244" s="20" t="str">
        <f>IFERROR(__xludf.DUMMYFUNCTION("GOOGLETRANSLATE(A3244, ""fr"", ""en"")"),"Soft door that seems to be deboitee and stuck")</f>
        <v>Soft door that seems to be deboitee and stuck</v>
      </c>
    </row>
    <row r="3245">
      <c r="A3245" s="19" t="s">
        <v>2524</v>
      </c>
      <c r="B3245" s="20" t="str">
        <f>IFERROR(__xludf.DUMMYFUNCTION("GOOGLETRANSLATE(A3245, ""fr"", ""en"")"),"remain open")</f>
        <v>remain open</v>
      </c>
    </row>
    <row r="3246">
      <c r="A3246" s="19" t="s">
        <v>2525</v>
      </c>
      <c r="B3246" s="20" t="str">
        <f>IFERROR(__xludf.DUMMYFUNCTION("GOOGLETRANSLATE(A3246, ""fr"", ""en"")"),"BMC Motor Fail")</f>
        <v>BMC Motor Fail</v>
      </c>
    </row>
    <row r="3247">
      <c r="A3247" s="19" t="s">
        <v>2526</v>
      </c>
      <c r="B3247" s="20" t="str">
        <f>IFERROR(__xludf.DUMMYFUNCTION("GOOGLETRANSLATE(A3247, ""fr"", ""en"")"),"Urgent droppings")</f>
        <v>Urgent droppings</v>
      </c>
    </row>
    <row r="3248">
      <c r="A3248" s="19" t="s">
        <v>2527</v>
      </c>
      <c r="B3248" s="20" t="str">
        <f>IFERROR(__xludf.DUMMYFUNCTION("GOOGLETRANSLATE(A3248, ""fr"", ""en"")"),"urgent bcpdz droppings thank you in advance")</f>
        <v>urgent bcpdz droppings thank you in advance</v>
      </c>
    </row>
    <row r="3249">
      <c r="A3249" s="19" t="s">
        <v>2528</v>
      </c>
      <c r="B3249" s="20" t="str">
        <f>IFERROR(__xludf.DUMMYFUNCTION("GOOGLETRANSLATE(A3249, ""fr"", ""en"")"),"The anti -return alarm has not worked since yesterday's intervention")</f>
        <v>The anti -return alarm has not worked since yesterday's intervention</v>
      </c>
    </row>
    <row r="3250">
      <c r="A3250" s="19" t="s">
        <v>2529</v>
      </c>
      <c r="B3250" s="20" t="str">
        <f>IFERROR(__xludf.DUMMYFUNCTION("GOOGLETRANSLATE(A3250, ""fr"", ""en"")"),"door blocks at the opening, urgent thank you")</f>
        <v>door blocks at the opening, urgent thank you</v>
      </c>
    </row>
    <row r="3251">
      <c r="A3251" s="19" t="s">
        <v>2530</v>
      </c>
      <c r="B3251" s="20" t="str">
        <f>IFERROR(__xludf.DUMMYFUNCTION("GOOGLETRANSLATE(A3251, ""fr"", ""en"")"),"The door remains blocked in a closed position")</f>
        <v>The door remains blocked in a closed position</v>
      </c>
    </row>
    <row r="3252">
      <c r="A3252" s="19" t="s">
        <v>2531</v>
      </c>
      <c r="B3252" s="20" t="str">
        <f>IFERROR(__xludf.DUMMYFUNCTION("GOOGLETRANSLATE(A3252, ""fr"", ""en"")"),"The door no longer opens. Opening Force The door remains open continuously. Already 2 interventions in 1 week the PB returns each time the next day")</f>
        <v>The door no longer opens. Opening Force The door remains open continuously. Already 2 interventions in 1 week the PB returns each time the next day</v>
      </c>
    </row>
    <row r="3253">
      <c r="A3253" s="19" t="s">
        <v>2532</v>
      </c>
      <c r="B3253" s="20" t="str">
        <f>IFERROR(__xludf.DUMMYFUNCTION("GOOGLETRANSLATE(A3253, ""fr"", ""en"")"),"The door no longer opens")</f>
        <v>The door no longer opens</v>
      </c>
    </row>
    <row r="3254">
      <c r="A3254" s="19" t="s">
        <v>2533</v>
      </c>
      <c r="B3254" s="20" t="str">
        <f>IFERROR(__xludf.DUMMYFUNCTION("GOOGLETRANSLATE(A3254, ""fr"", ""en"")"),"The door is blocked in the open position")</f>
        <v>The door is blocked in the open position</v>
      </c>
    </row>
    <row r="3255">
      <c r="A3255" s="19" t="s">
        <v>2534</v>
      </c>
      <c r="B3255" s="20" t="str">
        <f>IFERROR(__xludf.DUMMYFUNCTION("GOOGLETRANSLATE(A3255, ""fr"", ""en"")"),"The door does not open anymore it must be forced, we are obliged to bring customers and the employees by the exit")</f>
        <v>The door does not open anymore it must be forced, we are obliged to bring customers and the employees by the exit</v>
      </c>
    </row>
    <row r="3256">
      <c r="A3256" s="19" t="s">
        <v>2535</v>
      </c>
      <c r="B3256" s="20" t="str">
        <f>IFERROR(__xludf.DUMMYFUNCTION("GOOGLETRANSLATE(A3256, ""fr"", ""en"")"),"Deboite door following the impact of a cashier with the autolaveuse")</f>
        <v>Deboite door following the impact of a cashier with the autolaveuse</v>
      </c>
    </row>
    <row r="3257">
      <c r="A3257" s="19" t="s">
        <v>2536</v>
      </c>
      <c r="B3257" s="20" t="str">
        <f>IFERROR(__xludf.DUMMYFUNCTION("GOOGLETRANSLATE(A3257, ""fr"", ""en"")"),"already intervened Wednesday the door remains again closed")</f>
        <v>already intervened Wednesday the door remains again closed</v>
      </c>
    </row>
    <row r="3258">
      <c r="A3258" s="19" t="s">
        <v>2537</v>
      </c>
      <c r="B3258" s="20" t="str">
        <f>IFERROR(__xludf.DUMMYFUNCTION("GOOGLETRANSLATE(A3258, ""fr"", ""en"")"),"Blocked door - Impossible to enter")</f>
        <v>Blocked door - Impossible to enter</v>
      </c>
    </row>
    <row r="3259">
      <c r="A3259" s="19" t="s">
        <v>2538</v>
      </c>
      <c r="B3259" s="20" t="str">
        <f>IFERROR(__xludf.DUMMYFUNCTION("GOOGLETRANSLATE(A3259, ""fr"", ""en"")"),"At straightening poles in the world mail relais fm")</f>
        <v>At straightening poles in the world mail relais fm</v>
      </c>
    </row>
    <row r="3260">
      <c r="A3260" s="21"/>
      <c r="B3260" s="20" t="str">
        <f>IFERROR(__xludf.DUMMYFUNCTION("GOOGLETRANSLATE(A3260, ""fr"", ""en"")"),"#VALUE!")</f>
        <v>#VALUE!</v>
      </c>
    </row>
    <row r="3261">
      <c r="A3261" s="19" t="s">
        <v>2539</v>
      </c>
      <c r="B3261" s="20" t="str">
        <f>IFERROR(__xludf.DUMMYFUNCTION("GOOGLETRANSLATE(A3261, ""fr"", ""en"")"),"This is a test, do you receive?")</f>
        <v>This is a test, do you receive?</v>
      </c>
    </row>
    <row r="3262">
      <c r="A3262" s="19" t="s">
        <v>2540</v>
      </c>
      <c r="B3262" s="20" t="str">
        <f>IFERROR(__xludf.DUMMYFUNCTION("GOOGLETRANSLATE(A3262, ""fr"", ""en"")"),"the indiue oven fatal error when you want to start the program")</f>
        <v>the indiue oven fatal error when you want to start the program</v>
      </c>
    </row>
    <row r="3263">
      <c r="A3263" s="19" t="s">
        <v>2541</v>
      </c>
      <c r="B3263" s="20" t="str">
        <f>IFERROR(__xludf.DUMMYFUNCTION("GOOGLETRANSLATE(A3263, ""fr"", ""en"")"),"He does not want to launch program he marked serious error! .The program cannot be started")</f>
        <v>He does not want to launch program he marked serious error! .The program cannot be started</v>
      </c>
    </row>
    <row r="3264">
      <c r="A3264" s="19" t="s">
        <v>2542</v>
      </c>
      <c r="B3264" s="20" t="str">
        <f>IFERROR(__xludf.DUMMYFUNCTION("GOOGLETRANSLATE(A3264, ""fr"", ""en"")"),"The oven indicates a serious error")</f>
        <v>The oven indicates a serious error</v>
      </c>
    </row>
    <row r="3265">
      <c r="A3265" s="19" t="s">
        <v>2543</v>
      </c>
      <c r="B3265" s="20" t="str">
        <f>IFERROR(__xludf.DUMMYFUNCTION("GOOGLETRANSLATE(A3265, ""fr"", ""en"")"),"The pellets have jumped 2x already @/ Impossible to turn it back on")</f>
        <v>The pellets have jumped 2x already @/ Impossible to turn it back on</v>
      </c>
    </row>
    <row r="3266">
      <c r="A3266" s="19" t="s">
        <v>2544</v>
      </c>
      <c r="B3266" s="20" t="str">
        <f>IFERROR(__xludf.DUMMYFUNCTION("GOOGLETRANSLATE(A3266, ""fr"", ""en"")"),"At. REPARATION PORTAIL AR READS MAIL FM")</f>
        <v>At. REPARATION PORTAIL AR READS MAIL FM</v>
      </c>
    </row>
    <row r="3267">
      <c r="A3267" s="19" t="s">
        <v>2545</v>
      </c>
      <c r="B3267" s="20" t="str">
        <f>IFERROR(__xludf.DUMMYFUNCTION("GOOGLETRANSLATE(A3267, ""fr"", ""en"")"),"Creation of a Pieton passage for access to the mag")</f>
        <v>Creation of a Pieton passage for access to the mag</v>
      </c>
    </row>
    <row r="3268">
      <c r="A3268" s="19" t="s">
        <v>2546</v>
      </c>
      <c r="B3268" s="20" t="str">
        <f>IFERROR(__xludf.DUMMYFUNCTION("GOOGLETRANSLATE(A3268, ""fr"", ""en"")"),"hole")</f>
        <v>hole</v>
      </c>
    </row>
    <row r="3269">
      <c r="A3269" s="19" t="s">
        <v>2547</v>
      </c>
      <c r="B3269" s="20" t="str">
        <f>IFERROR(__xludf.DUMMYFUNCTION("GOOGLETRANSLATE(A3269, ""fr"", ""en"")"),"Broken totem")</f>
        <v>Broken totem</v>
      </c>
    </row>
    <row r="3270">
      <c r="A3270" s="19" t="s">
        <v>2548</v>
      </c>
      <c r="B3270" s="20" t="str">
        <f>IFERROR(__xludf.DUMMYFUNCTION("GOOGLETRANSLATE(A3270, ""fr"", ""en"")"),"Install a pedestrian entry video panel")</f>
        <v>Install a pedestrian entry video panel</v>
      </c>
    </row>
    <row r="3271">
      <c r="A3271" s="19" t="s">
        <v>2549</v>
      </c>
      <c r="B3271" s="20" t="str">
        <f>IFERROR(__xludf.DUMMYFUNCTION("GOOGLETRANSLATE(A3271, ""fr"", ""en"")"),"Part of the messages is no longer disseminated in reserve or on social")</f>
        <v>Part of the messages is no longer disseminated in reserve or on social</v>
      </c>
    </row>
    <row r="3272">
      <c r="A3272" s="19" t="s">
        <v>2550</v>
      </c>
      <c r="B3272" s="20" t="str">
        <f>IFERROR(__xludf.DUMMYFUNCTION("GOOGLETRANSLATE(A3272, ""fr"", ""en"")"),"The cash register restarts")</f>
        <v>The cash register restarts</v>
      </c>
    </row>
    <row r="3273">
      <c r="A3273" s="19" t="s">
        <v>386</v>
      </c>
      <c r="B3273" s="20" t="str">
        <f>IFERROR(__xludf.DUMMYFUNCTION("GOOGLETRANSLATE(A3273, ""fr"", ""en"")"),"At modif display leon")</f>
        <v>At modif display leon</v>
      </c>
    </row>
    <row r="3274">
      <c r="A3274" s="19" t="s">
        <v>2551</v>
      </c>
      <c r="B3274" s="20" t="str">
        <f>IFERROR(__xludf.DUMMYFUNCTION("GOOGLETRANSLATE(A3274, ""fr"", ""en"")"),"Grow the aluminum bag of the county furniture")</f>
        <v>Grow the aluminum bag of the county furniture</v>
      </c>
    </row>
    <row r="3275">
      <c r="A3275" s="19" t="s">
        <v>2552</v>
      </c>
      <c r="B3275" s="20" t="str">
        <f>IFERROR(__xludf.DUMMYFUNCTION("GOOGLETRANSLATE(A3275, ""fr"", ""en"")"),"HS LED fixation")</f>
        <v>HS LED fixation</v>
      </c>
    </row>
    <row r="3276">
      <c r="A3276" s="19" t="s">
        <v>2553</v>
      </c>
      <c r="B3276" s="20" t="str">
        <f>IFERROR(__xludf.DUMMYFUNCTION("GOOGLETRANSLATE(A3276, ""fr"", ""en"")"),"Urgent HS soap distributor.")</f>
        <v>Urgent HS soap distributor.</v>
      </c>
    </row>
    <row r="3277">
      <c r="A3277" s="19" t="s">
        <v>2554</v>
      </c>
      <c r="B3277" s="20" t="str">
        <f>IFERROR(__xludf.DUMMYFUNCTION("GOOGLETRANSLATE(A3277, ""fr"", ""en"")"),"broken socket. no longer load")</f>
        <v>broken socket. no longer load</v>
      </c>
    </row>
    <row r="3278">
      <c r="A3278" s="19" t="s">
        <v>2555</v>
      </c>
      <c r="B3278" s="20" t="str">
        <f>IFERROR(__xludf.DUMMYFUNCTION("GOOGLETRANSLATE(A3278, ""fr"", ""en"")"),"Stop light on")</f>
        <v>Stop light on</v>
      </c>
    </row>
    <row r="3279">
      <c r="A3279" s="19" t="s">
        <v>2556</v>
      </c>
      <c r="B3279" s="20" t="str">
        <f>IFERROR(__xludf.DUMMYFUNCTION("GOOGLETRANSLATE(A3279, ""fr"", ""en"")"),"The Palette shoots each time you can go down. The hood blocks on the right")</f>
        <v>The Palette shoots each time you can go down. The hood blocks on the right</v>
      </c>
    </row>
    <row r="3280">
      <c r="A3280" s="19" t="s">
        <v>2557</v>
      </c>
      <c r="B3280" s="20" t="str">
        <f>IFERROR(__xludf.DUMMYFUNCTION("GOOGLETRANSLATE(A3280, ""fr"", ""en"")"),"He no longer loads and can no longer be used properly")</f>
        <v>He no longer loads and can no longer be used properly</v>
      </c>
    </row>
    <row r="3281">
      <c r="A3281" s="19" t="s">
        <v>2558</v>
      </c>
      <c r="B3281" s="20" t="str">
        <f>IFERROR(__xludf.DUMMYFUNCTION("GOOGLETRANSLATE(A3281, ""fr"", ""en"")"),"Druster does not clean")</f>
        <v>Druster does not clean</v>
      </c>
    </row>
    <row r="3282">
      <c r="A3282" s="19" t="s">
        <v>2559</v>
      </c>
      <c r="B3282" s="20" t="str">
        <f>IFERROR(__xludf.DUMMYFUNCTION("GOOGLETRANSLATE(A3282, ""fr"", ""en"")"),"The A caraveuse no longer aspires")</f>
        <v>The A caraveuse no longer aspires</v>
      </c>
    </row>
    <row r="3283">
      <c r="A3283" s="19" t="s">
        <v>2560</v>
      </c>
      <c r="B3283" s="20" t="str">
        <f>IFERROR(__xludf.DUMMYFUNCTION("GOOGLETRANSLATE(A3283, ""fr"", ""en"")"),"untimely declement of the alarm at 7 a.m. The sirene is cut but the power plant rings still (no reached case)")</f>
        <v>untimely declement of the alarm at 7 a.m. The sirene is cut but the power plant rings still (no reached case)</v>
      </c>
    </row>
    <row r="3284">
      <c r="A3284" s="19" t="s">
        <v>2561</v>
      </c>
      <c r="B3284" s="20" t="str">
        <f>IFERROR(__xludf.DUMMYFUNCTION("GOOGLETRANSLATE(A3284, ""fr"", ""en"")"),"After connection")</f>
        <v>After connection</v>
      </c>
    </row>
    <row r="3285">
      <c r="A3285" s="19" t="s">
        <v>2562</v>
      </c>
      <c r="B3285" s="20" t="str">
        <f>IFERROR(__xludf.DUMMYFUNCTION("GOOGLETRANSLATE(A3285, ""fr"", ""en"")"),"Not dacces video surveillance")</f>
        <v>Not dacces video surveillance</v>
      </c>
    </row>
    <row r="3286">
      <c r="A3286" s="19" t="s">
        <v>2563</v>
      </c>
      <c r="B3286" s="20" t="str">
        <f>IFERROR(__xludf.DUMMYFUNCTION("GOOGLETRANSLATE(A3286, ""fr"", ""en"")"),"At Verify the Aluminage Timetables of 2/3 FM Mail")</f>
        <v>At Verify the Aluminage Timetables of 2/3 FM Mail</v>
      </c>
    </row>
    <row r="3287">
      <c r="A3287" s="19" t="s">
        <v>2564</v>
      </c>
      <c r="B3287" s="20" t="str">
        <f>IFERROR(__xludf.DUMMYFUNCTION("GOOGLETRANSLATE(A3287, ""fr"", ""en"")"),"Urgent: since PERFORME PERFORME ACCESS has been secured by an MDP outside the MDP which has been communicated to the store is wrong.")</f>
        <v>Urgent: since PERFORME PERFORME ACCESS has been secured by an MDP outside the MDP which has been communicated to the store is wrong.</v>
      </c>
    </row>
    <row r="3288">
      <c r="A3288" s="19" t="s">
        <v>2565</v>
      </c>
      <c r="B3288" s="20" t="str">
        <f>IFERROR(__xludf.DUMMYFUNCTION("GOOGLETRANSLATE(A3288, ""fr"", ""en"")"),"Urgent please: Malgence the good MDP The conexion is not done and it is impossible for the vigil to do its control.")</f>
        <v>Urgent please: Malgence the good MDP The conexion is not done and it is impossible for the vigil to do its control.</v>
      </c>
    </row>
    <row r="3289">
      <c r="A3289" s="19" t="s">
        <v>2566</v>
      </c>
      <c r="B3289" s="20" t="str">
        <f>IFERROR(__xludf.DUMMYFUNCTION("GOOGLETRANSLATE(A3289, ""fr"", ""en"")"),"Urgent following tech passage for maintenance The vigil did not fold access to cameras. The vigil does not have the MDP to remove the Windows session. Thank you in advance")</f>
        <v>Urgent following tech passage for maintenance The vigil did not fold access to cameras. The vigil does not have the MDP to remove the Windows session. Thank you in advance</v>
      </c>
    </row>
    <row r="3290">
      <c r="A3290" s="19" t="s">
        <v>2567</v>
      </c>
      <c r="B3290" s="20" t="str">
        <f>IFERROR(__xludf.DUMMYFUNCTION("GOOGLETRANSLATE(A3290, ""fr"", ""en"")"),"Check Connection and Return of the Eco screen to SAS")</f>
        <v>Check Connection and Return of the Eco screen to SAS</v>
      </c>
    </row>
    <row r="3291">
      <c r="A3291" s="19" t="s">
        <v>2568</v>
      </c>
      <c r="B3291" s="20" t="str">
        <f>IFERROR(__xludf.DUMMYFUNCTION("GOOGLETRANSLATE(A3291, ""fr"", ""en"")"),"Following Audit: Passing company to adjust the observations observations")</f>
        <v>Following Audit: Passing company to adjust the observations observations</v>
      </c>
    </row>
    <row r="3292">
      <c r="A3292" s="19" t="s">
        <v>582</v>
      </c>
      <c r="B3292" s="20" t="str">
        <f>IFERROR(__xludf.DUMMYFUNCTION("GOOGLETRANSLATE(A3292, ""fr"", ""en"")"),"AT MAINTENANCE DESTRO INSECT")</f>
        <v>AT MAINTENANCE DESTRO INSECT</v>
      </c>
    </row>
    <row r="3293">
      <c r="A3293" s="19" t="s">
        <v>2569</v>
      </c>
      <c r="B3293" s="20" t="str">
        <f>IFERROR(__xludf.DUMMYFUNCTION("GOOGLETRANSLATE(A3293, ""fr"", ""en"")"),"The fridge is no longer closed properly")</f>
        <v>The fridge is no longer closed properly</v>
      </c>
    </row>
    <row r="3294">
      <c r="A3294" s="19" t="s">
        <v>2570</v>
      </c>
      <c r="B3294" s="20" t="str">
        <f>IFERROR(__xludf.DUMMYFUNCTION("GOOGLETRANSLATE(A3294, ""fr"", ""en"")"),"At leakage sink shower lab fm")</f>
        <v>At leakage sink shower lab fm</v>
      </c>
    </row>
    <row r="3295">
      <c r="A3295" s="19" t="s">
        <v>2571</v>
      </c>
      <c r="B3295" s="20" t="str">
        <f>IFERROR(__xludf.DUMMYFUNCTION("GOOGLETRANSLATE(A3295, ""fr"", ""en"")"),"test do not take into account")</f>
        <v>test do not take into account</v>
      </c>
    </row>
    <row r="3296">
      <c r="A3296" s="19" t="s">
        <v>2572</v>
      </c>
      <c r="B3296" s="20" t="str">
        <f>IFERROR(__xludf.DUMMYFUNCTION("GOOGLETRANSLATE(A3296, ""fr"", ""en"")"),"At modif display leon")</f>
        <v>At modif display leon</v>
      </c>
    </row>
    <row r="3297">
      <c r="A3297" s="19" t="s">
        <v>2573</v>
      </c>
      <c r="B3297" s="20" t="str">
        <f>IFERROR(__xludf.DUMMYFUNCTION("GOOGLETRANSLATE(A3297, ""fr"", ""en"")"),"Podium fl broken at the Devla TG front level")</f>
        <v>Podium fl broken at the Devla TG front level</v>
      </c>
    </row>
    <row r="3298">
      <c r="A3298" s="19" t="s">
        <v>2574</v>
      </c>
      <c r="B3298" s="20" t="str">
        <f>IFERROR(__xludf.DUMMYFUNCTION("GOOGLETRANSLATE(A3298, ""fr"", ""en"")"),"Installation of 4 additional lockers in the men's locker room. Recover the lockers in DR.")</f>
        <v>Installation of 4 additional lockers in the men's locker room. Recover the lockers in DR.</v>
      </c>
    </row>
    <row r="3299">
      <c r="A3299" s="19" t="s">
        <v>2575</v>
      </c>
      <c r="B3299" s="20" t="str">
        <f>IFERROR(__xludf.DUMMYFUNCTION("GOOGLETRANSLATE(A3299, ""fr"", ""en"")"),"Broom")</f>
        <v>Broom</v>
      </c>
    </row>
    <row r="3300">
      <c r="A3300" s="19" t="s">
        <v>2576</v>
      </c>
      <c r="B3300" s="20" t="str">
        <f>IFERROR(__xludf.DUMMYFUNCTION("GOOGLETRANSLATE(A3300, ""fr"", ""en"")"),"Installation of 2 palette stops at TG FL")</f>
        <v>Installation of 2 palette stops at TG FL</v>
      </c>
    </row>
    <row r="3301">
      <c r="A3301" s="19" t="s">
        <v>2577</v>
      </c>
      <c r="B3301" s="20" t="str">
        <f>IFERROR(__xludf.DUMMYFUNCTION("GOOGLETRANSLATE(A3301, ""fr"", ""en"")"),"Podiums to replace:
 1 half podium fl behind the front tg
 1 half podium under the syrups
 1 half podium with protection next to the milk
 Material to recover in DR")</f>
        <v>Podiums to replace:
 1 half podium fl behind the front tg
 1 half podium under the syrups
 1 half podium with protection next to the milk
 Material to recover in DR</v>
      </c>
    </row>
    <row r="3302">
      <c r="A3302" s="19" t="s">
        <v>2578</v>
      </c>
      <c r="B3302" s="20" t="str">
        <f>IFERROR(__xludf.DUMMYFUNCTION("GOOGLETRANSLATE(A3302, ""fr"", ""en"")"),"The two cheeks of the TG rear (Regional Corner) fell the vices and the hooks dropped.")</f>
        <v>The two cheeks of the TG rear (Regional Corner) fell the vices and the hooks dropped.</v>
      </c>
    </row>
    <row r="3303">
      <c r="A3303" s="19" t="s">
        <v>2579</v>
      </c>
      <c r="B3303" s="20" t="str">
        <f>IFERROR(__xludf.DUMMYFUNCTION("GOOGLETRANSLATE(A3303, ""fr"", ""en"")"),"AT Modif Distri Gel &amp; Paper")</f>
        <v>AT Modif Distri Gel &amp; Paper</v>
      </c>
    </row>
    <row r="3304">
      <c r="A3304" s="19" t="s">
        <v>2580</v>
      </c>
      <c r="B3304" s="20" t="str">
        <f>IFERROR(__xludf.DUMMYFUNCTION("GOOGLETRANSLATE(A3304, ""fr"", ""en"")"),"broken door handle, because opening system blocked we must force to open after having badgeé")</f>
        <v>broken door handle, because opening system blocked we must force to open after having badgeé</v>
      </c>
    </row>
    <row r="3305">
      <c r="A3305" s="19" t="s">
        <v>2581</v>
      </c>
      <c r="B3305" s="20" t="str">
        <f>IFERROR(__xludf.DUMMYFUNCTION("GOOGLETRANSLATE(A3305, ""fr"", ""en"")"),"At Delivery Long Werk Cleaning SAS")</f>
        <v>At Delivery Long Werk Cleaning SAS</v>
      </c>
    </row>
    <row r="3306">
      <c r="A3306" s="19" t="s">
        <v>2582</v>
      </c>
      <c r="B3306" s="20" t="str">
        <f>IFERROR(__xludf.DUMMYFUNCTION("GOOGLETRANSLATE(A3306, ""fr"", ""en"")"),"At Mail FM Modifs cylinders. Social/TGBT // ACCES TECH")</f>
        <v>At Mail FM Modifs cylinders. Social/TGBT // ACCES TECH</v>
      </c>
    </row>
    <row r="3307">
      <c r="A3307" s="19" t="s">
        <v>2583</v>
      </c>
      <c r="B3307" s="20" t="str">
        <f>IFERROR(__xludf.DUMMYFUNCTION("GOOGLETRANSLATE(A3307, ""fr"", ""en"")"),"Please configure access badges for the following people:
 Celik Cihad: 1591707588 (EP)
 Gruber Gaelle: 1591915732 (EP)
 Jaegle Bérénice: 1592120036 (EP)
 Teixeira Diogo: 1591679844 (EP)
 Wendling Yann: 1592196980 (EP)
 Please deactivate the following "&amp;"access:
 Bittmann Laureen: 998689972
 N'Diaye Onil: 225517998
 Boyraz Yasin: 1500491787
 Tauffreund Mick: 1670311078
 Sincerely")</f>
        <v>Please configure access badges for the following people:
 Celik Cihad: 1591707588 (EP)
 Gruber Gaelle: 1591915732 (EP)
 Jaegle Bérénice: 1592120036 (EP)
 Teixeira Diogo: 1591679844 (EP)
 Wendling Yann: 1592196980 (EP)
 Please deactivate the following access:
 Bittmann Laureen: 998689972
 N'Diaye Onil: 225517998
 Boyraz Yasin: 1500491787
 Tauffreund Mick: 1670311078
 Sincerely</v>
      </c>
    </row>
    <row r="3308">
      <c r="A3308" s="19" t="s">
        <v>2584</v>
      </c>
      <c r="B3308" s="20" t="str">
        <f>IFERROR(__xludf.DUMMYFUNCTION("GOOGLETRANSLATE(A3308, ""fr"", ""en"")"),"Please configure the following badges:
 Shurz Lucas: 997255764 (supervisor)
 Jacques Claudia: 998510580 (cashier)
 Sarafaly Gautier: 998154452 (cashier)
 Please modify the following badge:
 Merisa Spahic: 4120977810 to put in supervisory status
"&amp;" 
 Please delete the following badges:
 Bena: 998213700
 Bridda: 998544916
 TAUFREUND: 1670311078
 XHela: 1670315078
 Hochwelker: 211863970
 Rolin: 998045828
 Hirtz: 996824420
 Pedrosa: 1592095684
 THANKS
 Benoît")</f>
        <v>Please configure the following badges:
 Shurz Lucas: 997255764 (supervisor)
 Jacques Claudia: 998510580 (cashier)
 Sarafaly Gautier: 998154452 (cashier)
 Please modify the following badge:
 Merisa Spahic: 4120977810 to put in supervisory status
 Please delete the following badges:
 Bena: 998213700
 Bridda: 998544916
 TAUFREUND: 1670311078
 XHela: 1670315078
 Hochwelker: 211863970
 Rolin: 998045828
 Hirtz: 996824420
 Pedrosa: 1592095684
 THANKS
 Benoît</v>
      </c>
    </row>
    <row r="3309">
      <c r="A3309" s="19" t="s">
        <v>2585</v>
      </c>
      <c r="B3309" s="20" t="str">
        <f>IFERROR(__xludf.DUMMYFUNCTION("GOOGLETRANSLATE(A3309, ""fr"", ""en"")"),"Configuration of the following access badges:
 Jovic Ana 998147652 EP
 Sylla SAFI 998704980 Fragger
 Spahic Merisa 4120977810 Supervisor
 Er Rabouhi Yousra 1591373428 EP
 Pantea Tatiana 1592123796 EP
 Balva Alyssa 1591601572 EP
 Kokesha Jennifer 1592245"&amp;"508 EP
 Suarez Daniela 1591409956 EP
 Pedrosa Lario 1592095684 EP
 Hamdi Sabina 996840884 EP
 Sacko Ramata 996794372 EP
 Schmitt Lauryne 997588196 EP")</f>
        <v>Configuration of the following access badges:
 Jovic Ana 998147652 EP
 Sylla SAFI 998704980 Fragger
 Spahic Merisa 4120977810 Supervisor
 Er Rabouhi Yousra 1591373428 EP
 Pantea Tatiana 1592123796 EP
 Balva Alyssa 1591601572 EP
 Kokesha Jennifer 1592245508 EP
 Suarez Daniela 1591409956 EP
 Pedrosa Lario 1592095684 EP
 Hamdi Sabina 996840884 EP
 Sacko Ramata 996794372 EP
 Schmitt Lauryne 997588196 EP</v>
      </c>
    </row>
    <row r="3310">
      <c r="A3310" s="19" t="s">
        <v>2586</v>
      </c>
      <c r="B3310" s="20" t="str">
        <f>IFERROR(__xludf.DUMMYFUNCTION("GOOGLETRANSLATE(A3310, ""fr"", ""en"")"),"Configuration of the following access badges:
 Spiller Jeanne: 1591905604 (EP)
 Koerckel Hugo: 1670316406 (EP)
 Vautrin Dylan: 1592029412 (supervisor)
 Anckenmann Maylis: 997956004 (EP)
 Shelva Kabamouaki: 998174324 (EP)
 Ms. Trautmann: 9977766644 (EP)
"&amp;" 
 THANKS
 Benoît")</f>
        <v>Configuration of the following access badges:
 Spiller Jeanne: 1591905604 (EP)
 Koerckel Hugo: 1670316406 (EP)
 Vautrin Dylan: 1592029412 (supervisor)
 Anckenmann Maylis: 997956004 (EP)
 Shelva Kabamouaki: 998174324 (EP)
 Ms. Trautmann: 9977766644 (EP)
 THANKS
 Benoît</v>
      </c>
    </row>
    <row r="3311">
      <c r="A3311" s="19" t="s">
        <v>2587</v>
      </c>
      <c r="B3311" s="20" t="str">
        <f>IFERROR(__xludf.DUMMYFUNCTION("GOOGLETRANSLATE(A3311, ""fr"", ""en"")"),"Configuration of access badges
 Miguel Castillo: 998612916 (team member)
 Mickael Pellegrinelli: 996705252 (team member)
 Jordan Ehrhar: 997098676 (team member)")</f>
        <v>Configuration of access badges
 Miguel Castillo: 998612916 (team member)
 Mickael Pellegrinelli: 996705252 (team member)
 Jordan Ehrhar: 997098676 (team member)</v>
      </c>
    </row>
    <row r="3312">
      <c r="A3312" s="19" t="s">
        <v>2588</v>
      </c>
      <c r="B3312" s="20" t="str">
        <f>IFERROR(__xludf.DUMMYFUNCTION("GOOGLETRANSLATE(A3312, ""fr"", ""en"")"),"2 new arrivals on the SPM:
 Lila Semrani (EP)
 Julien Pierron (AMG)
 Need a configuration of their Pze badge for access. Is it possible to involve the alarmist? THANKS")</f>
        <v>2 new arrivals on the SPM:
 Lila Semrani (EP)
 Julien Pierron (AMG)
 Need a configuration of their Pze badge for access. Is it possible to involve the alarmist? THANKS</v>
      </c>
    </row>
    <row r="3313">
      <c r="A3313" s="19" t="s">
        <v>2589</v>
      </c>
      <c r="B3313" s="20" t="str">
        <f>IFERROR(__xludf.DUMMYFUNCTION("GOOGLETRANSLATE(A3313, ""fr"", ""en"")"),"Declement Fire Bearing, Rearmement made")</f>
        <v>Declement Fire Bearing, Rearmement made</v>
      </c>
    </row>
    <row r="3314">
      <c r="A3314" s="19" t="s">
        <v>2590</v>
      </c>
      <c r="B3314" s="20" t="str">
        <f>IFERROR(__xludf.DUMMYFUNCTION("GOOGLETRANSLATE(A3314, ""fr"", ""en"")"),"Waterproofing pb on the lantern in reserve")</f>
        <v>Waterproofing pb on the lantern in reserve</v>
      </c>
    </row>
    <row r="3315">
      <c r="A3315" s="19" t="s">
        <v>2591</v>
      </c>
      <c r="B3315" s="20" t="str">
        <f>IFERROR(__xludf.DUMMYFUNCTION("GOOGLETRANSLATE(A3315, ""fr"", ""en"")"),"IT equipment is cut at night and the fence does not pass")</f>
        <v>IT equipment is cut at night and the fence does not pass</v>
      </c>
    </row>
    <row r="3316">
      <c r="A3316" s="19" t="s">
        <v>2592</v>
      </c>
      <c r="B3316" s="20" t="str">
        <f>IFERROR(__xludf.DUMMYFUNCTION("GOOGLETRANSLATE(A3316, ""fr"", ""en"")"),"AT TAGE DIS 400A SOLAR LOG MAIL FM")</f>
        <v>AT TAGE DIS 400A SOLAR LOG MAIL FM</v>
      </c>
    </row>
    <row r="3317">
      <c r="A3317" s="19" t="s">
        <v>2593</v>
      </c>
      <c r="B3317" s="20" t="str">
        <f>IFERROR(__xludf.DUMMYFUNCTION("GOOGLETRANSLATE(A3317, ""fr"", ""en"")"),"Fix the reserve and IMS RPS sockets")</f>
        <v>Fix the reserve and IMS RPS sockets</v>
      </c>
    </row>
    <row r="3318">
      <c r="A3318" s="19" t="s">
        <v>2594</v>
      </c>
      <c r="B3318" s="20" t="str">
        <f>IFERROR(__xludf.DUMMYFUNCTION("GOOGLETRANSLATE(A3318, ""fr"", ""en"")"),"feed the automatic funds on rescoured not concerned by 2/3. SCOs must remain under permance")</f>
        <v>feed the automatic funds on rescoured not concerned by 2/3. SCOs must remain under permance</v>
      </c>
    </row>
    <row r="3319">
      <c r="A3319" s="19" t="s">
        <v>2595</v>
      </c>
      <c r="B3319" s="20" t="str">
        <f>IFERROR(__xludf.DUMMYFUNCTION("GOOGLETRANSLATE(A3319, ""fr"", ""en"")"),"Posts at the losses unit no longer work")</f>
        <v>Posts at the losses unit no longer work</v>
      </c>
    </row>
    <row r="3320">
      <c r="A3320" s="19" t="s">
        <v>2596</v>
      </c>
      <c r="B3320" s="20" t="str">
        <f>IFERROR(__xludf.DUMMYFUNCTION("GOOGLETRANSLATE(A3320, ""fr"", ""en"")"),"Main store lock difficult to close/open")</f>
        <v>Main store lock difficult to close/open</v>
      </c>
    </row>
    <row r="3321">
      <c r="A3321" s="19" t="s">
        <v>2597</v>
      </c>
      <c r="B3321" s="20" t="str">
        <f>IFERROR(__xludf.DUMMYFUNCTION("GOOGLETRANSLATE(A3321, ""fr"", ""en"")"),"Porte D. Entry chest, Impossible to return by scanning the badge, only with the store key, the alarm sounds at each door opening, the trunk is firm, the outlets are closed")</f>
        <v>Porte D. Entry chest, Impossible to return by scanning the badge, only with the store key, the alarm sounds at each door opening, the trunk is firm, the outlets are closed</v>
      </c>
    </row>
    <row r="3322">
      <c r="A3322" s="19" t="s">
        <v>806</v>
      </c>
      <c r="B3322" s="20" t="str">
        <f>IFERROR(__xludf.DUMMYFUNCTION("GOOGLETRANSLATE(A3322, ""fr"", ""en"")"),"AT DESTROS MAINTENANCE")</f>
        <v>AT DESTROS MAINTENANCE</v>
      </c>
    </row>
    <row r="3323">
      <c r="A3323" s="19" t="s">
        <v>2598</v>
      </c>
      <c r="B3323" s="20" t="str">
        <f>IFERROR(__xludf.DUMMYFUNCTION("GOOGLETRANSLATE(A3323, ""fr"", ""en"")"),"Urgent following susputing of a rodent in a box of eggs we had confirmation thanks to one of the traps present in reserve. Thank you missioner.")</f>
        <v>Urgent following susputing of a rodent in a box of eggs we had confirmation thanks to one of the traps present in reserve. Thank you missioner.</v>
      </c>
    </row>
    <row r="3324">
      <c r="A3324" s="19" t="s">
        <v>2599</v>
      </c>
      <c r="B3324" s="20" t="str">
        <f>IFERROR(__xludf.DUMMYFUNCTION("GOOGLETRANSLATE(A3324, ""fr"", ""en"")"),"3 times in a row that we find a bird in the store and ventilation driver from which the noises come out and in poor condition")</f>
        <v>3 times in a row that we find a bird in the store and ventilation driver from which the noises come out and in poor condition</v>
      </c>
    </row>
    <row r="3325">
      <c r="A3325" s="19" t="s">
        <v>2600</v>
      </c>
      <c r="B3325" s="20" t="str">
        <f>IFERROR(__xludf.DUMMYFUNCTION("GOOGLETRANSLATE(A3325, ""fr"", ""en"")"),"Mouse over the platform")</f>
        <v>Mouse over the platform</v>
      </c>
    </row>
    <row r="3326">
      <c r="A3326" s="19" t="s">
        <v>2601</v>
      </c>
      <c r="B3326" s="20" t="str">
        <f>IFERROR(__xludf.DUMMYFUNCTION("GOOGLETRANSLATE(A3326, ""fr"", ""en"")"),"Straighten the hatch in the meeting room")</f>
        <v>Straighten the hatch in the meeting room</v>
      </c>
    </row>
    <row r="3327">
      <c r="A3327" s="19" t="s">
        <v>2602</v>
      </c>
      <c r="B3327" s="20" t="str">
        <f>IFERROR(__xludf.DUMMYFUNCTION("GOOGLETRANSLATE(A3327, ""fr"", ""en"")"),"To modify the tube. Ugly at Skylight Mail FM")</f>
        <v>To modify the tube. Ugly at Skylight Mail FM</v>
      </c>
    </row>
    <row r="3328">
      <c r="A3328" s="19" t="s">
        <v>859</v>
      </c>
      <c r="B3328" s="20" t="str">
        <f>IFERROR(__xludf.DUMMYFUNCTION("GOOGLETRANSLATE(A3328, ""fr"", ""en"")"),"Sale cleaning of parking lots on Monday August 21, 2023")</f>
        <v>Sale cleaning of parking lots on Monday August 21, 2023</v>
      </c>
    </row>
    <row r="3329">
      <c r="A3329" s="19" t="s">
        <v>861</v>
      </c>
      <c r="B3329" s="20" t="str">
        <f>IFERROR(__xludf.DUMMYFUNCTION("GOOGLETRANSLATE(A3329, ""fr"", ""en"")"),"Sale cleaning of parking lots Wednesday July 19, 2023")</f>
        <v>Sale cleaning of parking lots Wednesday July 19, 2023</v>
      </c>
    </row>
    <row r="3330">
      <c r="A3330" s="19" t="s">
        <v>863</v>
      </c>
      <c r="B3330" s="20" t="str">
        <f>IFERROR(__xludf.DUMMYFUNCTION("GOOGLETRANSLATE(A3330, ""fr"", ""en"")"),"Sale cleaning parking lots of Wednesday August 16, 2023")</f>
        <v>Sale cleaning parking lots of Wednesday August 16, 2023</v>
      </c>
    </row>
    <row r="3331">
      <c r="A3331" s="19" t="s">
        <v>2603</v>
      </c>
      <c r="B3331" s="20" t="str">
        <f>IFERROR(__xludf.DUMMYFUNCTION("GOOGLETRANSLATE(A3331, ""fr"", ""en"")"),"Sale reimplantation 2023, Monday 21, Tuesday 22 and Wednesday 23 August 2023, 2 people from 5:00 p.m. to 02:00
 For: (as part of the SPM 2023 establishment)
 -Implantation SPM
 -Technical work
 For information :
 -Aip present in SPM
 -Preer equipment")</f>
        <v>Sale reimplantation 2023, Monday 21, Tuesday 22 and Wednesday 23 August 2023, 2 people from 5:00 p.m. to 02:00
 For: (as part of the SPM 2023 establishment)
 -Implantation SPM
 -Technical work
 For information :
 -Aip present in SPM
 -Preer equipment</v>
      </c>
    </row>
    <row r="3332">
      <c r="A3332" s="19" t="s">
        <v>2604</v>
      </c>
      <c r="B3332" s="20" t="str">
        <f>IFERROR(__xludf.DUMMYFUNCTION("GOOGLETRANSLATE(A3332, ""fr"", ""en"")"),"Various RMR sale, Monday July 31, 2023, 1 person from 8 a.m. to 3 p.m.
 For: (as part of the implementation of ESL NF and AF)
 -Remplate the NF and AF tables (SPM and reserve)
 -Menate the AF table protections (SPM and reserve)
 -Remplace and re -put pric"&amp;"e strips ESL Tables Action
 -Remplace and re -put the price strips ESL Tables NF
 -And work requested by the AIP
 For information :
 -A aip will be present
 -Preen material (drill, etc.)")</f>
        <v>Various RMR sale, Monday July 31, 2023, 1 person from 8 a.m. to 3 p.m.
 For: (as part of the implementation of ESL NF and AF)
 -Remplate the NF and AF tables (SPM and reserve)
 -Menate the AF table protections (SPM and reserve)
 -Remplace and re -put price strips ESL Tables Action
 -Remplace and re -put the price strips ESL Tables NF
 -And work requested by the AIP
 For information :
 -A aip will be present
 -Preen material (drill, etc.)</v>
      </c>
    </row>
    <row r="3333">
      <c r="A3333" s="19" t="s">
        <v>2605</v>
      </c>
      <c r="B3333" s="20" t="str">
        <f>IFERROR(__xludf.DUMMYFUNCTION("GOOGLETRANSLATE(A3333, ""fr"", ""en"")"),"Sale reimplantation 2023, Monday 21 and Tuesday 22 August 2023, 2 people from 3:00 p.m. to 24:00.
 For: (as part of the SPM 2023 establishment)
 -Implantation SPM
 -Technical work
 For information :
 -Aip present in SPM
 -Preer equipment")</f>
        <v>Sale reimplantation 2023, Monday 21 and Tuesday 22 August 2023, 2 people from 3:00 p.m. to 24:00.
 For: (as part of the SPM 2023 establishment)
 -Implantation SPM
 -Technical work
 For information :
 -Aip present in SPM
 -Preer equipment</v>
      </c>
    </row>
    <row r="3334">
      <c r="A3334" s="19" t="s">
        <v>1067</v>
      </c>
      <c r="B3334" s="20" t="str">
        <f>IFERROR(__xludf.DUMMYFUNCTION("GOOGLETRANSLATE(A3334, ""fr"", ""en"")"),"At Checklist Tri")</f>
        <v>At Checklist Tri</v>
      </c>
    </row>
    <row r="3335">
      <c r="A3335" s="19" t="s">
        <v>864</v>
      </c>
      <c r="B3335" s="20" t="str">
        <f>IFERROR(__xludf.DUMMYFUNCTION("GOOGLETRANSLATE(A3335, ""fr"", ""en"")"),"Sale cleaning of parking lots on Monday July 17, 2023")</f>
        <v>Sale cleaning of parking lots on Monday July 17, 2023</v>
      </c>
    </row>
    <row r="3336">
      <c r="A3336" s="19" t="s">
        <v>865</v>
      </c>
      <c r="B3336" s="20" t="str">
        <f>IFERROR(__xludf.DUMMYFUNCTION("GOOGLETRANSLATE(A3336, ""fr"", ""en"")"),"Sale cleaning of the parking lot Friday July 21, 2023")</f>
        <v>Sale cleaning of the parking lot Friday July 21, 2023</v>
      </c>
    </row>
    <row r="3337">
      <c r="A3337" s="19" t="s">
        <v>860</v>
      </c>
      <c r="B3337" s="20" t="str">
        <f>IFERROR(__xludf.DUMMYFUNCTION("GOOGLETRANSLATE(A3337, ""fr"", ""en"")"),"Sale cleaning of parking lots on Monday July 24, 2023")</f>
        <v>Sale cleaning of parking lots on Monday July 24, 2023</v>
      </c>
    </row>
    <row r="3338">
      <c r="A3338" s="19" t="s">
        <v>866</v>
      </c>
      <c r="B3338" s="20" t="str">
        <f>IFERROR(__xludf.DUMMYFUNCTION("GOOGLETRANSLATE(A3338, ""fr"", ""en"")"),"Sale cleaning parking lots on Friday August 18, 2023")</f>
        <v>Sale cleaning parking lots on Friday August 18, 2023</v>
      </c>
    </row>
    <row r="3339">
      <c r="A3339" s="19" t="s">
        <v>867</v>
      </c>
      <c r="B3339" s="20" t="str">
        <f>IFERROR(__xludf.DUMMYFUNCTION("GOOGLETRANSLATE(A3339, ""fr"", ""en"")"),"Sale cleaning of parking lots Wednesday July 12, 2023")</f>
        <v>Sale cleaning of parking lots Wednesday July 12, 2023</v>
      </c>
    </row>
    <row r="3340">
      <c r="A3340" s="19" t="s">
        <v>868</v>
      </c>
      <c r="B3340" s="20" t="str">
        <f>IFERROR(__xludf.DUMMYFUNCTION("GOOGLETRANSLATE(A3340, ""fr"", ""en"")"),"Sale cleaning parking lots on Monday May 16, 2022")</f>
        <v>Sale cleaning parking lots on Monday May 16, 2022</v>
      </c>
    </row>
    <row r="3341">
      <c r="A3341" s="19" t="s">
        <v>869</v>
      </c>
      <c r="B3341" s="20" t="str">
        <f>IFERROR(__xludf.DUMMYFUNCTION("GOOGLETRANSLATE(A3341, ""fr"", ""en"")"),"Sale cleaning parking lots on Monday April 4, 2022")</f>
        <v>Sale cleaning parking lots on Monday April 4, 2022</v>
      </c>
    </row>
    <row r="3342">
      <c r="A3342" s="19" t="s">
        <v>873</v>
      </c>
      <c r="B3342" s="20" t="str">
        <f>IFERROR(__xludf.DUMMYFUNCTION("GOOGLETRANSLATE(A3342, ""fr"", ""en"")"),"Sale cleaning parking lots of Wednesday April 20, 2022")</f>
        <v>Sale cleaning parking lots of Wednesday April 20, 2022</v>
      </c>
    </row>
    <row r="3343">
      <c r="A3343" s="19" t="s">
        <v>870</v>
      </c>
      <c r="B3343" s="20" t="str">
        <f>IFERROR(__xludf.DUMMYFUNCTION("GOOGLETRANSLATE(A3343, ""fr"", ""en"")"),"Sale cleaning parking lots of Wednesday May 18, 2022")</f>
        <v>Sale cleaning parking lots of Wednesday May 18, 2022</v>
      </c>
    </row>
    <row r="3344">
      <c r="A3344" s="19" t="s">
        <v>872</v>
      </c>
      <c r="B3344" s="20" t="str">
        <f>IFERROR(__xludf.DUMMYFUNCTION("GOOGLETRANSLATE(A3344, ""fr"", ""en"")"),"Sale cleaning of parking lots on Friday, May 6, 2022")</f>
        <v>Sale cleaning of parking lots on Friday, May 6, 2022</v>
      </c>
    </row>
    <row r="3345">
      <c r="A3345" s="19" t="s">
        <v>874</v>
      </c>
      <c r="B3345" s="20" t="str">
        <f>IFERROR(__xludf.DUMMYFUNCTION("GOOGLETRANSLATE(A3345, ""fr"", ""en"")"),"Sale cleaning parking lots on Monday, May 23, 2022")</f>
        <v>Sale cleaning parking lots on Monday, May 23, 2022</v>
      </c>
    </row>
    <row r="3346">
      <c r="A3346" s="19" t="s">
        <v>877</v>
      </c>
      <c r="B3346" s="20" t="str">
        <f>IFERROR(__xludf.DUMMYFUNCTION("GOOGLETRANSLATE(A3346, ""fr"", ""en"")"),"Sale cleaning parking lots on Monday May 9, 2022")</f>
        <v>Sale cleaning parking lots on Monday May 9, 2022</v>
      </c>
    </row>
    <row r="3347">
      <c r="A3347" s="19" t="s">
        <v>876</v>
      </c>
      <c r="B3347" s="20" t="str">
        <f>IFERROR(__xludf.DUMMYFUNCTION("GOOGLETRANSLATE(A3347, ""fr"", ""en"")"),"Sale cleaning parking lots on Wednesday April 13, 2022")</f>
        <v>Sale cleaning parking lots on Wednesday April 13, 2022</v>
      </c>
    </row>
    <row r="3348">
      <c r="A3348" s="19" t="s">
        <v>875</v>
      </c>
      <c r="B3348" s="20" t="str">
        <f>IFERROR(__xludf.DUMMYFUNCTION("GOOGLETRANSLATE(A3348, ""fr"", ""en"")"),"Sale cleaning parking lots on Monday May 2, 2022")</f>
        <v>Sale cleaning parking lots on Monday May 2, 2022</v>
      </c>
    </row>
    <row r="3349">
      <c r="A3349" s="19" t="s">
        <v>878</v>
      </c>
      <c r="B3349" s="20" t="str">
        <f>IFERROR(__xludf.DUMMYFUNCTION("GOOGLETRANSLATE(A3349, ""fr"", ""en"")"),"Sale cleaning of parking lots on Friday May 20, 2022")</f>
        <v>Sale cleaning of parking lots on Friday May 20, 2022</v>
      </c>
    </row>
    <row r="3350">
      <c r="A3350" s="19" t="s">
        <v>879</v>
      </c>
      <c r="B3350" s="20" t="str">
        <f>IFERROR(__xludf.DUMMYFUNCTION("GOOGLETRANSLATE(A3350, ""fr"", ""en"")"),"Sale cleaning of parking lots on Monday April 25, 2022")</f>
        <v>Sale cleaning of parking lots on Monday April 25, 2022</v>
      </c>
    </row>
    <row r="3351">
      <c r="A3351" s="19" t="s">
        <v>2606</v>
      </c>
      <c r="B3351" s="20" t="str">
        <f>IFERROR(__xludf.DUMMYFUNCTION("GOOGLETRANSLATE(A3351, ""fr"", ""en"")"),"Sale disassembly nursery")</f>
        <v>Sale disassembly nursery</v>
      </c>
    </row>
    <row r="3352">
      <c r="A3352" s="19" t="s">
        <v>882</v>
      </c>
      <c r="B3352" s="20" t="str">
        <f>IFERROR(__xludf.DUMMYFUNCTION("GOOGLETRANSLATE(A3352, ""fr"", ""en"")"),"Sale cleaning parking lots of Wednesday, May 4, 2022")</f>
        <v>Sale cleaning parking lots of Wednesday, May 4, 2022</v>
      </c>
    </row>
    <row r="3353">
      <c r="A3353" s="19" t="s">
        <v>880</v>
      </c>
      <c r="B3353" s="20" t="str">
        <f>IFERROR(__xludf.DUMMYFUNCTION("GOOGLETRANSLATE(A3353, ""fr"", ""en"")"),"Sale cleaning parking lots on Friday April 1, 2022")</f>
        <v>Sale cleaning parking lots on Friday April 1, 2022</v>
      </c>
    </row>
    <row r="3354">
      <c r="A3354" s="19" t="s">
        <v>883</v>
      </c>
      <c r="B3354" s="20" t="str">
        <f>IFERROR(__xludf.DUMMYFUNCTION("GOOGLETRANSLATE(A3354, ""fr"", ""en"")"),"Sale cleaning parking lots of Wednesday, May 11, 2022")</f>
        <v>Sale cleaning parking lots of Wednesday, May 11, 2022</v>
      </c>
    </row>
    <row r="3355">
      <c r="A3355" s="19" t="s">
        <v>881</v>
      </c>
      <c r="B3355" s="20" t="str">
        <f>IFERROR(__xludf.DUMMYFUNCTION("GOOGLETRANSLATE(A3355, ""fr"", ""en"")"),"Sale cleaning parking lots on Wednesday April 6, 2022")</f>
        <v>Sale cleaning parking lots on Wednesday April 6, 2022</v>
      </c>
    </row>
    <row r="3356">
      <c r="A3356" s="19" t="s">
        <v>885</v>
      </c>
      <c r="B3356" s="20" t="str">
        <f>IFERROR(__xludf.DUMMYFUNCTION("GOOGLETRANSLATE(A3356, ""fr"", ""en"")"),"Sale cleaning parking lots on Monday May 30, 2022")</f>
        <v>Sale cleaning parking lots on Monday May 30, 2022</v>
      </c>
    </row>
    <row r="3357">
      <c r="A3357" s="19" t="s">
        <v>886</v>
      </c>
      <c r="B3357" s="20" t="str">
        <f>IFERROR(__xludf.DUMMYFUNCTION("GOOGLETRANSLATE(A3357, ""fr"", ""en"")"),"Sale cleaning of parking lots Wednesday, April 27, 2022")</f>
        <v>Sale cleaning of parking lots Wednesday, April 27, 2022</v>
      </c>
    </row>
    <row r="3358">
      <c r="A3358" s="19" t="s">
        <v>887</v>
      </c>
      <c r="B3358" s="20" t="str">
        <f>IFERROR(__xludf.DUMMYFUNCTION("GOOGLETRANSLATE(A3358, ""fr"", ""en"")"),"Sale cleaning of parking lots on Friday April 29, 2022")</f>
        <v>Sale cleaning of parking lots on Friday April 29, 2022</v>
      </c>
    </row>
    <row r="3359">
      <c r="A3359" s="19" t="s">
        <v>889</v>
      </c>
      <c r="B3359" s="20" t="str">
        <f>IFERROR(__xludf.DUMMYFUNCTION("GOOGLETRANSLATE(A3359, ""fr"", ""en"")"),"Sale cleaning parking lots on Friday May 27, 2022")</f>
        <v>Sale cleaning parking lots on Friday May 27, 2022</v>
      </c>
    </row>
    <row r="3360">
      <c r="A3360" s="19" t="s">
        <v>888</v>
      </c>
      <c r="B3360" s="20" t="str">
        <f>IFERROR(__xludf.DUMMYFUNCTION("GOOGLETRANSLATE(A3360, ""fr"", ""en"")"),"Sale cleaning of parking lots on Friday April 22, 2022")</f>
        <v>Sale cleaning of parking lots on Friday April 22, 2022</v>
      </c>
    </row>
    <row r="3361">
      <c r="A3361" s="19" t="s">
        <v>890</v>
      </c>
      <c r="B3361" s="20" t="str">
        <f>IFERROR(__xludf.DUMMYFUNCTION("GOOGLETRANSLATE(A3361, ""fr"", ""en"")"),"Sale cleaning parking lots on Friday May 13, 2022")</f>
        <v>Sale cleaning parking lots on Friday May 13, 2022</v>
      </c>
    </row>
    <row r="3362">
      <c r="A3362" s="19" t="s">
        <v>891</v>
      </c>
      <c r="B3362" s="20" t="str">
        <f>IFERROR(__xludf.DUMMYFUNCTION("GOOGLETRANSLATE(A3362, ""fr"", ""en"")"),"Sale cleaning parking lots on Friday April 8, 2022")</f>
        <v>Sale cleaning parking lots on Friday April 8, 2022</v>
      </c>
    </row>
    <row r="3363">
      <c r="A3363" s="19" t="s">
        <v>892</v>
      </c>
      <c r="B3363" s="20" t="str">
        <f>IFERROR(__xludf.DUMMYFUNCTION("GOOGLETRANSLATE(A3363, ""fr"", ""en"")"),"Sale cleaning parking lots of Wednesday May 25, 2022")</f>
        <v>Sale cleaning parking lots of Wednesday May 25, 2022</v>
      </c>
    </row>
    <row r="3364">
      <c r="A3364" s="19" t="s">
        <v>2607</v>
      </c>
      <c r="B3364" s="20" t="str">
        <f>IFERROR(__xludf.DUMMYFUNCTION("GOOGLETRANSLATE(A3364, ""fr"", ""en"")"),"Sale between 05/09/2022 and 13/05/2022
 For :
 - Remove 2 axes to go to 2 axes in RT 3 for V2 equipment
 For information :
 - Material to recover at the cell from 06/05
 - The SPM is informed
 - 3 shelves per 60cm axis
 - Podiums to set up
 - Gray"&amp;" background to be set up
 - melamine to set up
 - Put strips of banks in place
 - Arrange the equipment on the axes once mounted (follow the PLO of the PJ)
 Please send a photo of the intervention completed by email to laura.jung@lidl.fr")</f>
        <v>Sale between 05/09/2022 and 13/05/2022
 For :
 - Remove 2 axes to go to 2 axes in RT 3 for V2 equipment
 For information :
 - Material to recover at the cell from 06/05
 - The SPM is informed
 - 3 shelves per 60cm axis
 - Podiums to set up
 - Gray background to be set up
 - melamine to set up
 - Put strips of banks in place
 - Arrange the equipment on the axes once mounted (follow the PLO of the PJ)
 Please send a photo of the intervention completed by email to laura.jung@lidl.fr</v>
      </c>
    </row>
    <row r="3365">
      <c r="A3365" s="19" t="s">
        <v>2608</v>
      </c>
      <c r="B3365" s="20" t="str">
        <f>IFERROR(__xludf.DUMMYFUNCTION("GOOGLETRANSLATE(A3365, ""fr"", ""en"")"),"Selling work to be carried out at the Consomag cell
 To: replace the wheels with 15 Food action tables
 For information :
 - The Food Action Tables will be empty
 - The replacement wheels will be available at the Consomag cell (CAUTION Stock Gerber)")</f>
        <v>Selling work to be carried out at the Consomag cell
 To: replace the wheels with 15 Food action tables
 For information :
 - The Food Action Tables will be empty
 - The replacement wheels will be available at the Consomag cell (CAUTION Stock Gerber)</v>
      </c>
    </row>
    <row r="3366">
      <c r="A3366" s="19" t="s">
        <v>1071</v>
      </c>
      <c r="B3366" s="20" t="str">
        <f>IFERROR(__xludf.DUMMYFUNCTION("GOOGLETRANSLATE(A3366, ""fr"", ""en"")"),"At Checklist")</f>
        <v>At Checklist</v>
      </c>
    </row>
    <row r="3367">
      <c r="A3367" s="19" t="s">
        <v>2609</v>
      </c>
      <c r="B3367" s="20" t="str">
        <f>IFERROR(__xludf.DUMMYFUNCTION("GOOGLETRANSLATE(A3367, ""fr"", ""en"")"),"Sale to be made Thursday November 10 afternoon and Saturday November 12 in the morning. Shelving, plan 2-3 people")</f>
        <v>Sale to be made Thursday November 10 afternoon and Saturday November 12 in the morning. Shelving, plan 2-3 people</v>
      </c>
    </row>
    <row r="3368">
      <c r="A3368" s="19" t="s">
        <v>2610</v>
      </c>
      <c r="B3368" s="20" t="str">
        <f>IFERROR(__xludf.DUMMYFUNCTION("GOOGLETRANSLATE(A3368, ""fr"", ""en"")"),"Night surveillance sale from April 21 to 22, 2022. XREF key: asison")</f>
        <v>Night surveillance sale from April 21 to 22, 2022. XREF key: asison</v>
      </c>
    </row>
    <row r="3369">
      <c r="A3369" s="19" t="s">
        <v>2611</v>
      </c>
      <c r="B3369" s="20" t="str">
        <f>IFERROR(__xludf.DUMMYFUNCTION("GOOGLETRANSLATE(A3369, ""fr"", ""en"")"),"Sale Tuesday May 3, 2022, (start of the afternoon)
 For
 - Make 13 barriers for nursery with pallets
 For information :
 - The RM wishes to fix three pallets together and put supports / feet on the ground
 - Provide screws and mela board")</f>
        <v>Sale Tuesday May 3, 2022, (start of the afternoon)
 For
 - Make 13 barriers for nursery with pallets
 For information :
 - The RM wishes to fix three pallets together and put supports / feet on the ground
 - Provide screws and mela board</v>
      </c>
    </row>
    <row r="3370">
      <c r="A3370" s="19" t="s">
        <v>1071</v>
      </c>
      <c r="B3370" s="20" t="str">
        <f>IFERROR(__xludf.DUMMYFUNCTION("GOOGLETRANSLATE(A3370, ""fr"", ""en"")"),"At Checklist")</f>
        <v>At Checklist</v>
      </c>
    </row>
    <row r="3371">
      <c r="A3371" s="19" t="s">
        <v>897</v>
      </c>
      <c r="B3371" s="20" t="str">
        <f>IFERROR(__xludf.DUMMYFUNCTION("GOOGLETRANSLATE(A3371, ""fr"", ""en"")"),"Sale - Cleaning of car parks on Friday September 30, 2022")</f>
        <v>Sale - Cleaning of car parks on Friday September 30, 2022</v>
      </c>
    </row>
    <row r="3372">
      <c r="A3372" s="19" t="s">
        <v>2612</v>
      </c>
      <c r="B3372" s="20" t="str">
        <f>IFERROR(__xludf.DUMMYFUNCTION("GOOGLETRANSLATE(A3372, ""fr"", ""en"")"),"Defaulting Defective on Red LED")</f>
        <v>Defaulting Defective on Red LED</v>
      </c>
    </row>
    <row r="3373">
      <c r="A3373" s="19" t="s">
        <v>899</v>
      </c>
      <c r="B3373" s="20" t="str">
        <f>IFERROR(__xludf.DUMMYFUNCTION("GOOGLETRANSLATE(A3373, ""fr"", ""en"")"),"Sale cleaning of parking lots Wednesday, November 2, 2022")</f>
        <v>Sale cleaning of parking lots Wednesday, November 2, 2022</v>
      </c>
    </row>
    <row r="3374">
      <c r="A3374" s="19" t="s">
        <v>898</v>
      </c>
      <c r="B3374" s="20" t="str">
        <f>IFERROR(__xludf.DUMMYFUNCTION("GOOGLETRANSLATE(A3374, ""fr"", ""en"")"),"Sale cleaning of parking lots on Wednesday October 7, 2022")</f>
        <v>Sale cleaning of parking lots on Wednesday October 7, 2022</v>
      </c>
    </row>
    <row r="3375">
      <c r="A3375" s="19" t="s">
        <v>900</v>
      </c>
      <c r="B3375" s="20" t="str">
        <f>IFERROR(__xludf.DUMMYFUNCTION("GOOGLETRANSLATE(A3375, ""fr"", ""en"")"),"Sale cleaning parking lots of Wednesday August 31, 2022")</f>
        <v>Sale cleaning parking lots of Wednesday August 31, 2022</v>
      </c>
    </row>
    <row r="3376">
      <c r="A3376" s="19" t="s">
        <v>901</v>
      </c>
      <c r="B3376" s="20" t="str">
        <f>IFERROR(__xludf.DUMMYFUNCTION("GOOGLETRANSLATE(A3376, ""fr"", ""en"")"),"Sale cleaning of parking lots on Friday September 2, 2022")</f>
        <v>Sale cleaning of parking lots on Friday September 2, 2022</v>
      </c>
    </row>
    <row r="3377">
      <c r="A3377" s="19" t="s">
        <v>902</v>
      </c>
      <c r="B3377" s="20" t="str">
        <f>IFERROR(__xludf.DUMMYFUNCTION("GOOGLETRANSLATE(A3377, ""fr"", ""en"")"),"Sale cleaning of parking lots on Friday March 25, 2022")</f>
        <v>Sale cleaning of parking lots on Friday March 25, 2022</v>
      </c>
    </row>
    <row r="3378">
      <c r="A3378" s="19" t="s">
        <v>2613</v>
      </c>
      <c r="B3378" s="20" t="str">
        <f>IFERROR(__xludf.DUMMYFUNCTION("GOOGLETRANSLATE(A3378, ""fr"", ""en"")"),"SPM Sale of Eckbolsheim 3709, Thursday April 21, 2022 from 7:30 p.m., 3 people
 For :
 - Finish seasonal implementation
 For information :
 - 1 establishment will be present")</f>
        <v>SPM Sale of Eckbolsheim 3709, Thursday April 21, 2022 from 7:30 p.m., 3 people
 For :
 - Finish seasonal implementation
 For information :
 - 1 establishment will be present</v>
      </c>
    </row>
    <row r="3379">
      <c r="A3379" s="19" t="s">
        <v>2614</v>
      </c>
      <c r="B3379" s="20" t="str">
        <f>IFERROR(__xludf.DUMMYFUNCTION("GOOGLETRANSLATE(A3379, ""fr"", ""en"")"),"Sale as possible, SPM of Eckbolsheim 3709.
 For :
 - Implementation of a ""CDI recruitment"" tarpaulin
 - Implementation of Heras panels on wooden barrier
 For information :
 - “CDI recruitment” tarpaulins are available and identified with the Conso"&amp;"mag cell.
 - The tarpaulin is to be positioned in the same location as the ""last"", at the crossroads.
 - You provide the Heras barriers.")</f>
        <v>Sale as possible, SPM of Eckbolsheim 3709.
 For :
 - Implementation of a "CDI recruitment" tarpaulin
 - Implementation of Heras panels on wooden barrier
 For information :
 - “CDI recruitment” tarpaulins are available and identified with the Consomag cell.
 - The tarpaulin is to be positioned in the same location as the "last", at the crossroads.
 - You provide the Heras barriers.</v>
      </c>
    </row>
    <row r="3380">
      <c r="A3380" s="19" t="s">
        <v>903</v>
      </c>
      <c r="B3380" s="20" t="str">
        <f>IFERROR(__xludf.DUMMYFUNCTION("GOOGLETRANSLATE(A3380, ""fr"", ""en"")"),"Sale cleaning parking lots of Wednesday March 23, 2022")</f>
        <v>Sale cleaning parking lots of Wednesday March 23, 2022</v>
      </c>
    </row>
    <row r="3381">
      <c r="A3381" s="19" t="s">
        <v>904</v>
      </c>
      <c r="B3381" s="20" t="str">
        <f>IFERROR(__xludf.DUMMYFUNCTION("GOOGLETRANSLATE(A3381, ""fr"", ""en"")"),"Sale cleaning parking lots on Monday March 28, 2022")</f>
        <v>Sale cleaning parking lots on Monday March 28, 2022</v>
      </c>
    </row>
    <row r="3382">
      <c r="A3382" s="19" t="s">
        <v>2615</v>
      </c>
      <c r="B3382" s="20" t="str">
        <f>IFERROR(__xludf.DUMMYFUNCTION("GOOGLETRANSLATE(A3382, ""fr"", ""en"")"),"Sale Thursday April 07, 2022, from 7:30 p.m.
 For: Seasonal implementation
 For info: an establishment will be present")</f>
        <v>Sale Thursday April 07, 2022, from 7:30 p.m.
 For: Seasonal implementation
 For info: an establishment will be present</v>
      </c>
    </row>
    <row r="3383">
      <c r="A3383" s="19" t="s">
        <v>2616</v>
      </c>
      <c r="B3383" s="20" t="str">
        <f>IFERROR(__xludf.DUMMYFUNCTION("GOOGLETRANSLATE(A3383, ""fr"", ""en"")"),"Various CSA Visit Visit Sale")</f>
        <v>Various CSA Visit Visit Sale</v>
      </c>
    </row>
    <row r="3384">
      <c r="A3384" s="19" t="s">
        <v>2617</v>
      </c>
      <c r="B3384" s="20" t="str">
        <f>IFERROR(__xludf.DUMMYFUNCTION("GOOGLETRANSLATE(A3384, ""fr"", ""en"")"),"Sale of shelves")</f>
        <v>Sale of shelves</v>
      </c>
    </row>
    <row r="3385">
      <c r="A3385" s="19" t="s">
        <v>905</v>
      </c>
      <c r="B3385" s="20" t="str">
        <f>IFERROR(__xludf.DUMMYFUNCTION("GOOGLETRANSLATE(A3385, ""fr"", ""en"")"),"Sale cleaning parking lots of Wednesday March 30, 2022")</f>
        <v>Sale cleaning parking lots of Wednesday March 30, 2022</v>
      </c>
    </row>
    <row r="3386">
      <c r="A3386" s="19" t="s">
        <v>2618</v>
      </c>
      <c r="B3386" s="20" t="str">
        <f>IFERROR(__xludf.DUMMYFUNCTION("GOOGLETRANSLATE(A3386, ""fr"", ""en"")"),"Decartoning sale + cleaning")</f>
        <v>Decartoning sale + cleaning</v>
      </c>
    </row>
    <row r="3387">
      <c r="A3387" s="19" t="s">
        <v>2619</v>
      </c>
      <c r="B3387" s="20" t="str">
        <f>IFERROR(__xludf.DUMMYFUNCTION("GOOGLETRANSLATE(A3387, ""fr"", ""en"")"),"return nfu s 16 6 Europes")</f>
        <v>return nfu s 16 6 Europes</v>
      </c>
    </row>
    <row r="3388">
      <c r="A3388" s="19" t="s">
        <v>914</v>
      </c>
      <c r="B3388" s="20" t="str">
        <f>IFERROR(__xludf.DUMMYFUNCTION("GOOGLETRANSLATE(A3388, ""fr"", ""en"")"),"Sale cleaning of parking lots on Friday June 24, 2022")</f>
        <v>Sale cleaning of parking lots on Friday June 24, 2022</v>
      </c>
    </row>
    <row r="3389">
      <c r="A3389" s="19" t="s">
        <v>915</v>
      </c>
      <c r="B3389" s="20" t="str">
        <f>IFERROR(__xludf.DUMMYFUNCTION("GOOGLETRANSLATE(A3389, ""fr"", ""en"")"),"Sale cleaning of parking lots Wednesday July 6, 2022")</f>
        <v>Sale cleaning of parking lots Wednesday July 6, 2022</v>
      </c>
    </row>
    <row r="3390">
      <c r="A3390" s="19" t="s">
        <v>2620</v>
      </c>
      <c r="B3390" s="20" t="str">
        <f>IFERROR(__xludf.DUMMYFUNCTION("GOOGLETRANSLATE(A3390, ""fr"", ""en"")"),"At turned at + verif")</f>
        <v>At turned at + verif</v>
      </c>
    </row>
    <row r="3391">
      <c r="A3391" s="19" t="s">
        <v>1071</v>
      </c>
      <c r="B3391" s="20" t="str">
        <f>IFERROR(__xludf.DUMMYFUNCTION("GOOGLETRANSLATE(A3391, ""fr"", ""en"")"),"At Checklist")</f>
        <v>At Checklist</v>
      </c>
    </row>
    <row r="3392">
      <c r="A3392" s="19" t="s">
        <v>1071</v>
      </c>
      <c r="B3392" s="20" t="str">
        <f>IFERROR(__xludf.DUMMYFUNCTION("GOOGLETRANSLATE(A3392, ""fr"", ""en"")"),"At Checklist")</f>
        <v>At Checklist</v>
      </c>
    </row>
    <row r="3393">
      <c r="A3393" s="19" t="s">
        <v>2621</v>
      </c>
      <c r="B3393" s="20" t="str">
        <f>IFERROR(__xludf.DUMMYFUNCTION("GOOGLETRANSLATE(A3393, ""fr"", ""en"")"),"cleaning of the exterior tiles to remove the sand depot")</f>
        <v>cleaning of the exterior tiles to remove the sand depot</v>
      </c>
    </row>
    <row r="3394">
      <c r="A3394" s="19" t="s">
        <v>2622</v>
      </c>
      <c r="B3394" s="20" t="str">
        <f>IFERROR(__xludf.DUMMYFUNCTION("GOOGLETRANSLATE(A3394, ""fr"", ""en"")"),"Cleaning the windows following the sand deposit")</f>
        <v>Cleaning the windows following the sand deposit</v>
      </c>
    </row>
    <row r="3395">
      <c r="A3395" s="19" t="s">
        <v>920</v>
      </c>
      <c r="B3395" s="20" t="str">
        <f>IFERROR(__xludf.DUMMYFUNCTION("GOOGLETRANSLATE(A3395, ""fr"", ""en"")"),"Sale cleaning parking lots of Wednesday March 9, 2022")</f>
        <v>Sale cleaning parking lots of Wednesday March 9, 2022</v>
      </c>
    </row>
    <row r="3396">
      <c r="A3396" s="19" t="s">
        <v>929</v>
      </c>
      <c r="B3396" s="20" t="str">
        <f>IFERROR(__xludf.DUMMYFUNCTION("GOOGLETRANSLATE(A3396, ""fr"", ""en"")"),"Sale cleaning of parking lots on Monday March 14, 2022")</f>
        <v>Sale cleaning of parking lots on Monday March 14, 2022</v>
      </c>
    </row>
    <row r="3397">
      <c r="A3397" s="19" t="s">
        <v>922</v>
      </c>
      <c r="B3397" s="20" t="str">
        <f>IFERROR(__xludf.DUMMYFUNCTION("GOOGLETRANSLATE(A3397, ""fr"", ""en"")"),"Sale cleaning parking lots on Friday February 4, 2022")</f>
        <v>Sale cleaning parking lots on Friday February 4, 2022</v>
      </c>
    </row>
    <row r="3398">
      <c r="A3398" s="19" t="s">
        <v>923</v>
      </c>
      <c r="B3398" s="20" t="str">
        <f>IFERROR(__xludf.DUMMYFUNCTION("GOOGLETRANSLATE(A3398, ""fr"", ""en"")"),"Sale cleaning parking lots on Monday March 7, 2022")</f>
        <v>Sale cleaning parking lots on Monday March 7, 2022</v>
      </c>
    </row>
    <row r="3399">
      <c r="A3399" s="19" t="s">
        <v>924</v>
      </c>
      <c r="B3399" s="20" t="str">
        <f>IFERROR(__xludf.DUMMYFUNCTION("GOOGLETRANSLATE(A3399, ""fr"", ""en"")"),"Sale cleaning parking lots on Friday March 18, 2022")</f>
        <v>Sale cleaning parking lots on Friday March 18, 2022</v>
      </c>
    </row>
    <row r="3400">
      <c r="A3400" s="19" t="s">
        <v>925</v>
      </c>
      <c r="B3400" s="20" t="str">
        <f>IFERROR(__xludf.DUMMYFUNCTION("GOOGLETRANSLATE(A3400, ""fr"", ""en"")"),"Sale cleaning parking lots on Friday March 4, 2022")</f>
        <v>Sale cleaning parking lots on Friday March 4, 2022</v>
      </c>
    </row>
    <row r="3401">
      <c r="A3401" s="19" t="s">
        <v>926</v>
      </c>
      <c r="B3401" s="20" t="str">
        <f>IFERROR(__xludf.DUMMYFUNCTION("GOOGLETRANSLATE(A3401, ""fr"", ""en"")"),"Sale cleaning parking lots of Wednesday March 16, 2022")</f>
        <v>Sale cleaning parking lots of Wednesday March 16, 2022</v>
      </c>
    </row>
    <row r="3402">
      <c r="A3402" s="19" t="s">
        <v>928</v>
      </c>
      <c r="B3402" s="20" t="str">
        <f>IFERROR(__xludf.DUMMYFUNCTION("GOOGLETRANSLATE(A3402, ""fr"", ""en"")"),"Sale cleaning parking lots on Monday March 21, 2022")</f>
        <v>Sale cleaning parking lots on Monday March 21, 2022</v>
      </c>
    </row>
    <row r="3403">
      <c r="A3403" s="19" t="s">
        <v>930</v>
      </c>
      <c r="B3403" s="20" t="str">
        <f>IFERROR(__xludf.DUMMYFUNCTION("GOOGLETRANSLATE(A3403, ""fr"", ""en"")"),"Sale cleaning of parking lots on Wednesday April 12, 2023")</f>
        <v>Sale cleaning of parking lots on Wednesday April 12, 2023</v>
      </c>
    </row>
    <row r="3404">
      <c r="A3404" s="19" t="s">
        <v>2623</v>
      </c>
      <c r="B3404" s="20" t="str">
        <f>IFERROR(__xludf.DUMMYFUNCTION("GOOGLETRANSLATE(A3404, ""fr"", ""en"")"),"Various control")</f>
        <v>Various control</v>
      </c>
    </row>
    <row r="3405">
      <c r="A3405" s="19" t="s">
        <v>2624</v>
      </c>
      <c r="B3405" s="20" t="str">
        <f>IFERROR(__xludf.DUMMYFUNCTION("GOOGLETRANSLATE(A3405, ""fr"", ""en"")"),"assembly of 15 RT in the CF-")</f>
        <v>assembly of 15 RT in the CF-</v>
      </c>
    </row>
    <row r="3406">
      <c r="A3406" s="19" t="s">
        <v>932</v>
      </c>
      <c r="B3406" s="20" t="str">
        <f>IFERROR(__xludf.DUMMYFUNCTION("GOOGLETRANSLATE(A3406, ""fr"", ""en"")"),"Sale cleaning parking lots of Wednesday March 2, 2022")</f>
        <v>Sale cleaning parking lots of Wednesday March 2, 2022</v>
      </c>
    </row>
    <row r="3407">
      <c r="A3407" s="19" t="s">
        <v>2617</v>
      </c>
      <c r="B3407" s="20" t="str">
        <f>IFERROR(__xludf.DUMMYFUNCTION("GOOGLETRANSLATE(A3407, ""fr"", ""en"")"),"Sale of shelves")</f>
        <v>Sale of shelves</v>
      </c>
    </row>
    <row r="3408">
      <c r="A3408" s="19" t="s">
        <v>2625</v>
      </c>
      <c r="B3408" s="20" t="str">
        <f>IFERROR(__xludf.DUMMYFUNCTION("GOOGLETRANSLATE(A3408, ""fr"", ""en"")"),"Sale before Friday March 04, 2022
 For :
 - In the CF- of the V2, put 3 axes on the right
 - Put two shelves by axes in 60 cm
 For information :
 - It takes 3 axes in all with the existing
 - Take all the material at the Consomag cell,
 - No podiu"&amp;"ms to set up
 - Double spacers to set up
 - The SPM is informed
 - No melamine to set up
 - Put strips of banks in place")</f>
        <v>Sale before Friday March 04, 2022
 For :
 - In the CF- of the V2, put 3 axes on the right
 - Put two shelves by axes in 60 cm
 For information :
 - It takes 3 axes in all with the existing
 - Take all the material at the Consomag cell,
 - No podiums to set up
 - Double spacers to set up
 - The SPM is informed
 - No melamine to set up
 - Put strips of banks in place</v>
      </c>
    </row>
    <row r="3409">
      <c r="A3409" s="19" t="s">
        <v>934</v>
      </c>
      <c r="B3409" s="20" t="str">
        <f>IFERROR(__xludf.DUMMYFUNCTION("GOOGLETRANSLATE(A3409, ""fr"", ""en"")"),"Sale cleaning parking lots on Friday February 11, 2022")</f>
        <v>Sale cleaning parking lots on Friday February 11, 2022</v>
      </c>
    </row>
    <row r="3410">
      <c r="A3410" s="19" t="s">
        <v>933</v>
      </c>
      <c r="B3410" s="20" t="str">
        <f>IFERROR(__xludf.DUMMYFUNCTION("GOOGLETRANSLATE(A3410, ""fr"", ""en"")"),"MCM 2022 tour sale")</f>
        <v>MCM 2022 tour sale</v>
      </c>
    </row>
    <row r="3411">
      <c r="A3411" s="19" t="s">
        <v>931</v>
      </c>
      <c r="B3411" s="20" t="str">
        <f>IFERROR(__xludf.DUMMYFUNCTION("GOOGLETRANSLATE(A3411, ""fr"", ""en"")"),"Sale cleaning of parking lots on Friday March 11, 2022")</f>
        <v>Sale cleaning of parking lots on Friday March 11, 2022</v>
      </c>
    </row>
    <row r="3412">
      <c r="A3412" s="19" t="s">
        <v>937</v>
      </c>
      <c r="B3412" s="20" t="str">
        <f>IFERROR(__xludf.DUMMYFUNCTION("GOOGLETRANSLATE(A3412, ""fr"", ""en"")"),"Sale cleaning of parking lots Wednesday, February 16, 2022")</f>
        <v>Sale cleaning of parking lots Wednesday, February 16, 2022</v>
      </c>
    </row>
    <row r="3413">
      <c r="A3413" s="19" t="s">
        <v>936</v>
      </c>
      <c r="B3413" s="20" t="str">
        <f>IFERROR(__xludf.DUMMYFUNCTION("GOOGLETRANSLATE(A3413, ""fr"", ""en"")"),"Sale cleaning of parking lots on Monday, February 14, 2022")</f>
        <v>Sale cleaning of parking lots on Monday, February 14, 2022</v>
      </c>
    </row>
    <row r="3414">
      <c r="A3414" s="19" t="s">
        <v>938</v>
      </c>
      <c r="B3414" s="20" t="str">
        <f>IFERROR(__xludf.DUMMYFUNCTION("GOOGLETRANSLATE(A3414, ""fr"", ""en"")"),"Sale cleaning of parking lots Wednesday, February 23, 2022")</f>
        <v>Sale cleaning of parking lots Wednesday, February 23, 2022</v>
      </c>
    </row>
    <row r="3415">
      <c r="A3415" s="19" t="s">
        <v>939</v>
      </c>
      <c r="B3415" s="20" t="str">
        <f>IFERROR(__xludf.DUMMYFUNCTION("GOOGLETRANSLATE(A3415, ""fr"", ""en"")"),"Sale cleaning of car parks on Friday February 18. Attention visit planned on the SPM 234, 2820, 3862 and 4046, prioritize these 4 SPMs, please present to you on the first at 6 a.m., the SPM 234 will have to be done after the other 3.")</f>
        <v>Sale cleaning of car parks on Friday February 18. Attention visit planned on the SPM 234, 2820, 3862 and 4046, prioritize these 4 SPMs, please present to you on the first at 6 a.m., the SPM 234 will have to be done after the other 3.</v>
      </c>
    </row>
    <row r="3416">
      <c r="A3416" s="19" t="s">
        <v>940</v>
      </c>
      <c r="B3416" s="20" t="str">
        <f>IFERROR(__xludf.DUMMYFUNCTION("GOOGLETRANSLATE(A3416, ""fr"", ""en"")"),"Sale cleaning parking lots on Friday February 25, 2022")</f>
        <v>Sale cleaning parking lots on Friday February 25, 2022</v>
      </c>
    </row>
    <row r="3417">
      <c r="A3417" s="19" t="s">
        <v>941</v>
      </c>
      <c r="B3417" s="20" t="str">
        <f>IFERROR(__xludf.DUMMYFUNCTION("GOOGLETRANSLATE(A3417, ""fr"", ""en"")"),"Sale cleaning of parking lots on Monday, February 21, 2022")</f>
        <v>Sale cleaning of parking lots on Monday, February 21, 2022</v>
      </c>
    </row>
    <row r="3418">
      <c r="A3418" s="19" t="s">
        <v>942</v>
      </c>
      <c r="B3418" s="20" t="str">
        <f>IFERROR(__xludf.DUMMYFUNCTION("GOOGLETRANSLATE(A3418, ""fr"", ""en"")"),"Sale cleaning of parking lots on Wednesday, February 9, 2022")</f>
        <v>Sale cleaning of parking lots on Wednesday, February 9, 2022</v>
      </c>
    </row>
    <row r="3419">
      <c r="A3419" s="19" t="s">
        <v>943</v>
      </c>
      <c r="B3419" s="20" t="str">
        <f>IFERROR(__xludf.DUMMYFUNCTION("GOOGLETRANSLATE(A3419, ""fr"", ""en"")"),"Sale cleaning of parking lots on Monday, February 28, 2022")</f>
        <v>Sale cleaning of parking lots on Monday, February 28, 2022</v>
      </c>
    </row>
    <row r="3420">
      <c r="A3420" s="19" t="s">
        <v>944</v>
      </c>
      <c r="B3420" s="20" t="str">
        <f>IFERROR(__xludf.DUMMYFUNCTION("GOOGLETRANSLATE(A3420, ""fr"", ""en"")"),"Sale cleaning parking lots of Wednesday September 7, 2022")</f>
        <v>Sale cleaning parking lots of Wednesday September 7, 2022</v>
      </c>
    </row>
    <row r="3421">
      <c r="A3421" s="19" t="s">
        <v>945</v>
      </c>
      <c r="B3421" s="20" t="str">
        <f>IFERROR(__xludf.DUMMYFUNCTION("GOOGLETRANSLATE(A3421, ""fr"", ""en"")"),"Sale cleaning of parking lots on Monday September 19, 2022")</f>
        <v>Sale cleaning of parking lots on Monday September 19, 2022</v>
      </c>
    </row>
    <row r="3422">
      <c r="A3422" s="19" t="s">
        <v>2626</v>
      </c>
      <c r="B3422" s="20" t="str">
        <f>IFERROR(__xludf.DUMMYFUNCTION("GOOGLETRANSLATE(A3422, ""fr"", ""en"")"),"Sale Thursday September 15, 2022, 2 people from 8:30 a.m. to 2:30 p.m.
 For :
 - Recover the material from the Consomag cell (Quai n ° 70)
 - Concept update, Various works
 For info: implanters will be present")</f>
        <v>Sale Thursday September 15, 2022, 2 people from 8:30 a.m. to 2:30 p.m.
 For :
 - Recover the material from the Consomag cell (Quai n ° 70)
 - Concept update, Various works
 For info: implanters will be present</v>
      </c>
    </row>
    <row r="3423">
      <c r="A3423" s="19" t="s">
        <v>946</v>
      </c>
      <c r="B3423" s="20" t="str">
        <f>IFERROR(__xludf.DUMMYFUNCTION("GOOGLETRANSLATE(A3423, ""fr"", ""en"")"),"Sale cleaning parking lots of Wednesday March 29, 2023")</f>
        <v>Sale cleaning parking lots of Wednesday March 29, 2023</v>
      </c>
    </row>
    <row r="3424">
      <c r="A3424" s="19" t="s">
        <v>935</v>
      </c>
      <c r="B3424" s="20" t="str">
        <f>IFERROR(__xludf.DUMMYFUNCTION("GOOGLETRANSLATE(A3424, ""fr"", ""en"")"),"MAJ SALE CONCEPT CO")</f>
        <v>MAJ SALE CONCEPT CO</v>
      </c>
    </row>
    <row r="3425">
      <c r="A3425" s="19" t="s">
        <v>1071</v>
      </c>
      <c r="B3425" s="20" t="str">
        <f>IFERROR(__xludf.DUMMYFUNCTION("GOOGLETRANSLATE(A3425, ""fr"", ""en"")"),"At Checklist")</f>
        <v>At Checklist</v>
      </c>
    </row>
    <row r="3426">
      <c r="A3426" s="19" t="s">
        <v>951</v>
      </c>
      <c r="B3426" s="20" t="str">
        <f>IFERROR(__xludf.DUMMYFUNCTION("GOOGLETRANSLATE(A3426, ""fr"", ""en"")"),"Sale cleaning of parking lots on Monday August 29, 2022")</f>
        <v>Sale cleaning of parking lots on Monday August 29, 2022</v>
      </c>
    </row>
    <row r="3427">
      <c r="A3427" s="19" t="s">
        <v>952</v>
      </c>
      <c r="B3427" s="20" t="str">
        <f>IFERROR(__xludf.DUMMYFUNCTION("GOOGLETRANSLATE(A3427, ""fr"", ""en"")"),"Sale cleaning of parking lots on Friday August 26, 2022")</f>
        <v>Sale cleaning of parking lots on Friday August 26, 2022</v>
      </c>
    </row>
    <row r="3428">
      <c r="A3428" s="19" t="s">
        <v>2627</v>
      </c>
      <c r="B3428" s="20" t="str">
        <f>IFERROR(__xludf.DUMMYFUNCTION("GOOGLETRANSLATE(A3428, ""fr"", ""en"")"),"At checklist sorting,")</f>
        <v>At checklist sorting,</v>
      </c>
    </row>
    <row r="3429">
      <c r="A3429" s="19" t="s">
        <v>953</v>
      </c>
      <c r="B3429" s="20" t="str">
        <f>IFERROR(__xludf.DUMMYFUNCTION("GOOGLETRANSLATE(A3429, ""fr"", ""en"")"),"Sale cleaning of parking lots on Monday, February 7, 2022")</f>
        <v>Sale cleaning of parking lots on Monday, February 7, 2022</v>
      </c>
    </row>
    <row r="3430">
      <c r="A3430" s="19" t="s">
        <v>2080</v>
      </c>
      <c r="B3430" s="20" t="str">
        <f>IFERROR(__xludf.DUMMYFUNCTION("GOOGLETRANSLATE(A3430, ""fr"", ""en"")"),"FL revision sale, shelves fixings, PDT displacement")</f>
        <v>FL revision sale, shelves fixings, PDT displacement</v>
      </c>
    </row>
    <row r="3431">
      <c r="A3431" s="19" t="s">
        <v>954</v>
      </c>
      <c r="B3431" s="20" t="str">
        <f>IFERROR(__xludf.DUMMYFUNCTION("GOOGLETRANSLATE(A3431, ""fr"", ""en"")"),"Sale cleaning parking lots on Monday January 31, 2022")</f>
        <v>Sale cleaning parking lots on Monday January 31, 2022</v>
      </c>
    </row>
    <row r="3432">
      <c r="A3432" s="19" t="s">
        <v>955</v>
      </c>
      <c r="B3432" s="20" t="str">
        <f>IFERROR(__xludf.DUMMYFUNCTION("GOOGLETRANSLATE(A3432, ""fr"", ""en"")"),"Sale cleaning parking lots of Wednesday, January 26, 2022")</f>
        <v>Sale cleaning parking lots of Wednesday, January 26, 2022</v>
      </c>
    </row>
    <row r="3433">
      <c r="A3433" s="19" t="s">
        <v>956</v>
      </c>
      <c r="B3433" s="20" t="str">
        <f>IFERROR(__xludf.DUMMYFUNCTION("GOOGLETRANSLATE(A3433, ""fr"", ""en"")"),"Sale cleaning of parking lots on Monday January 10, 2022")</f>
        <v>Sale cleaning of parking lots on Monday January 10, 2022</v>
      </c>
    </row>
    <row r="3434">
      <c r="A3434" s="19" t="s">
        <v>957</v>
      </c>
      <c r="B3434" s="20" t="str">
        <f>IFERROR(__xludf.DUMMYFUNCTION("GOOGLETRANSLATE(A3434, ""fr"", ""en"")"),"Sale cleaning of parking lots on Monday, January 24, 2022")</f>
        <v>Sale cleaning of parking lots on Monday, January 24, 2022</v>
      </c>
    </row>
    <row r="3435">
      <c r="A3435" s="19" t="s">
        <v>958</v>
      </c>
      <c r="B3435" s="20" t="str">
        <f>IFERROR(__xludf.DUMMYFUNCTION("GOOGLETRANSLATE(A3435, ""fr"", ""en"")"),"Sale cleaning parking lots on Wednesday February 2, 2022")</f>
        <v>Sale cleaning parking lots on Wednesday February 2, 2022</v>
      </c>
    </row>
    <row r="3436">
      <c r="A3436" s="19" t="s">
        <v>2628</v>
      </c>
      <c r="B3436" s="20" t="str">
        <f>IFERROR(__xludf.DUMMYFUNCTION("GOOGLETRANSLATE(A3436, ""fr"", ""en"")"),"Sale to be made before Thursday January 06, 2022,
 For :
 - Replace a Central Podium XL Gondole Sonoma (in the canned cans)
 - Refix 40 ‘’ Angles ’Gray podiums (DD next to it)
 For info: you recover the material from the consomag cell (by the way)")</f>
        <v>Sale to be made before Thursday January 06, 2022,
 For :
 - Replace a Central Podium XL Gondole Sonoma (in the canned cans)
 - Refix 40 ‘’ Angles ’Gray podiums (DD next to it)
 For info: you recover the material from the consomag cell (by the way)</v>
      </c>
    </row>
    <row r="3437">
      <c r="A3437" s="19" t="s">
        <v>959</v>
      </c>
      <c r="B3437" s="20" t="str">
        <f>IFERROR(__xludf.DUMMYFUNCTION("GOOGLETRANSLATE(A3437, ""fr"", ""en"")"),"Sale cleaning of parking lots Wednesday January 12, 2022")</f>
        <v>Sale cleaning of parking lots Wednesday January 12, 2022</v>
      </c>
    </row>
    <row r="3438">
      <c r="A3438" s="19" t="s">
        <v>960</v>
      </c>
      <c r="B3438" s="20" t="str">
        <f>IFERROR(__xludf.DUMMYFUNCTION("GOOGLETRANSLATE(A3438, ""fr"", ""en"")"),"Sale cleaning parking lots on Monday January 17, 2022")</f>
        <v>Sale cleaning parking lots on Monday January 17, 2022</v>
      </c>
    </row>
    <row r="3439">
      <c r="A3439" s="19" t="s">
        <v>962</v>
      </c>
      <c r="B3439" s="20" t="str">
        <f>IFERROR(__xludf.DUMMYFUNCTION("GOOGLETRANSLATE(A3439, ""fr"", ""en"")"),"Sale cleaning parking lots on Friday August 12, 2022")</f>
        <v>Sale cleaning parking lots on Friday August 12, 2022</v>
      </c>
    </row>
    <row r="3440">
      <c r="A3440" s="19" t="s">
        <v>963</v>
      </c>
      <c r="B3440" s="20" t="str">
        <f>IFERROR(__xludf.DUMMYFUNCTION("GOOGLETRANSLATE(A3440, ""fr"", ""en"")"),"Sale cleaning of the Verdredi parking lots August 19, 2022")</f>
        <v>Sale cleaning of the Verdredi parking lots August 19, 2022</v>
      </c>
    </row>
    <row r="3441">
      <c r="A3441" s="19" t="s">
        <v>964</v>
      </c>
      <c r="B3441" s="20" t="str">
        <f>IFERROR(__xludf.DUMMYFUNCTION("GOOGLETRANSLATE(A3441, ""fr"", ""en"")"),"Sale cleaning of parking lots on Monday August 22, 2022")</f>
        <v>Sale cleaning of parking lots on Monday August 22, 2022</v>
      </c>
    </row>
    <row r="3442">
      <c r="A3442" s="19" t="s">
        <v>966</v>
      </c>
      <c r="B3442" s="20" t="str">
        <f>IFERROR(__xludf.DUMMYFUNCTION("GOOGLETRANSLATE(A3442, ""fr"", ""en"")"),"Sale cleaning of parking lots Wednesday, August 10, 2022")</f>
        <v>Sale cleaning of parking lots Wednesday, August 10, 2022</v>
      </c>
    </row>
    <row r="3443">
      <c r="A3443" s="19" t="s">
        <v>965</v>
      </c>
      <c r="B3443" s="20" t="str">
        <f>IFERROR(__xludf.DUMMYFUNCTION("GOOGLETRANSLATE(A3443, ""fr"", ""en"")"),"Sale cleaning parking lots on Wednesday August 24, 2022")</f>
        <v>Sale cleaning parking lots on Wednesday August 24, 2022</v>
      </c>
    </row>
    <row r="3444">
      <c r="A3444" s="19" t="s">
        <v>967</v>
      </c>
      <c r="B3444" s="20" t="str">
        <f>IFERROR(__xludf.DUMMYFUNCTION("GOOGLETRANSLATE(A3444, ""fr"", ""en"")"),"Sale cleaning parking lots of Wednesday August 17, 2022")</f>
        <v>Sale cleaning parking lots of Wednesday August 17, 2022</v>
      </c>
    </row>
    <row r="3445">
      <c r="A3445" s="19" t="s">
        <v>2081</v>
      </c>
      <c r="B3445" s="20" t="str">
        <f>IFERROR(__xludf.DUMMYFUNCTION("GOOGLETRANSLATE(A3445, ""fr"", ""en"")"),"Touring sale for:
 - Make SPM turned before 19/08.
 For information :
 - Take all the material at the Consomag cell from 07/22
 - The equipment necessary for frozen as well as fresh adhesives will be delivered later. An email will be sent to you from "&amp;"the moment it is available at Conomag.
 - The list of SPMs and points to be performed are in PJ")</f>
        <v>Touring sale for:
 - Make SPM turned before 19/08.
 For information :
 - Take all the material at the Consomag cell from 07/22
 - The equipment necessary for frozen as well as fresh adhesives will be delivered later. An email will be sent to you from the moment it is available at Conomag.
 - The list of SPMs and points to be performed are in PJ</v>
      </c>
    </row>
    <row r="3446">
      <c r="A3446" s="19" t="s">
        <v>2617</v>
      </c>
      <c r="B3446" s="20" t="str">
        <f>IFERROR(__xludf.DUMMYFUNCTION("GOOGLETRANSLATE(A3446, ""fr"", ""en"")"),"Sale of shelves")</f>
        <v>Sale of shelves</v>
      </c>
    </row>
    <row r="3447">
      <c r="A3447" s="19" t="s">
        <v>971</v>
      </c>
      <c r="B3447" s="20" t="str">
        <f>IFERROR(__xludf.DUMMYFUNCTION("GOOGLETRANSLATE(A3447, ""fr"", ""en"")"),"Sale cleaning of parking lots Wednesday, January 5, 2022")</f>
        <v>Sale cleaning of parking lots Wednesday, January 5, 2022</v>
      </c>
    </row>
    <row r="3448">
      <c r="A3448" s="19" t="s">
        <v>970</v>
      </c>
      <c r="B3448" s="20" t="str">
        <f>IFERROR(__xludf.DUMMYFUNCTION("GOOGLETRANSLATE(A3448, ""fr"", ""en"")"),"Sale cleaning of parking lots of Wednesday January 19, 2022")</f>
        <v>Sale cleaning of parking lots of Wednesday January 19, 2022</v>
      </c>
    </row>
    <row r="3449">
      <c r="A3449" s="19" t="s">
        <v>969</v>
      </c>
      <c r="B3449" s="20" t="str">
        <f>IFERROR(__xludf.DUMMYFUNCTION("GOOGLETRANSLATE(A3449, ""fr"", ""en"")"),"Sale cleaning parking lots on Friday January 7, 2022")</f>
        <v>Sale cleaning parking lots on Friday January 7, 2022</v>
      </c>
    </row>
    <row r="3450">
      <c r="A3450" s="19" t="s">
        <v>973</v>
      </c>
      <c r="B3450" s="20" t="str">
        <f>IFERROR(__xludf.DUMMYFUNCTION("GOOGLETRANSLATE(A3450, ""fr"", ""en"")"),"Sale cleaning parking lots on Friday January 21, 2022")</f>
        <v>Sale cleaning parking lots on Friday January 21, 2022</v>
      </c>
    </row>
    <row r="3451">
      <c r="A3451" s="19" t="s">
        <v>974</v>
      </c>
      <c r="B3451" s="20" t="str">
        <f>IFERROR(__xludf.DUMMYFUNCTION("GOOGLETRANSLATE(A3451, ""fr"", ""en"")"),"Sale cleaning parking lots on Friday January 14, 2022")</f>
        <v>Sale cleaning parking lots on Friday January 14, 2022</v>
      </c>
    </row>
    <row r="3452">
      <c r="A3452" s="19" t="s">
        <v>2629</v>
      </c>
      <c r="B3452" s="20" t="str">
        <f>IFERROR(__xludf.DUMMYFUNCTION("GOOGLETRANSLATE(A3452, ""fr"", ""en"")"),"Please make the Melamines refix")</f>
        <v>Please make the Melamines refix</v>
      </c>
    </row>
    <row r="3453">
      <c r="A3453" s="19" t="s">
        <v>975</v>
      </c>
      <c r="B3453" s="20" t="str">
        <f>IFERROR(__xludf.DUMMYFUNCTION("GOOGLETRANSLATE(A3453, ""fr"", ""en"")"),"Sale cleaning parking lots on Friday January 28, 2022")</f>
        <v>Sale cleaning parking lots on Friday January 28, 2022</v>
      </c>
    </row>
    <row r="3454">
      <c r="A3454" s="19" t="s">
        <v>2630</v>
      </c>
      <c r="B3454" s="20" t="str">
        <f>IFERROR(__xludf.DUMMYFUNCTION("GOOGLETRANSLATE(A3454, ""fr"", ""en"")"),"return nfu s 5. 5europes")</f>
        <v>return nfu s 5. 5europes</v>
      </c>
    </row>
    <row r="3455">
      <c r="A3455" s="19" t="s">
        <v>2631</v>
      </c>
      <c r="B3455" s="20" t="str">
        <f>IFERROR(__xludf.DUMMYFUNCTION("GOOGLETRANSLATE(A3455, ""fr"", ""en"")"),"At checklist + rearmement dij extreme")</f>
        <v>At checklist + rearmement dij extreme</v>
      </c>
    </row>
    <row r="3456">
      <c r="A3456" s="19" t="s">
        <v>1067</v>
      </c>
      <c r="B3456" s="20" t="str">
        <f>IFERROR(__xludf.DUMMYFUNCTION("GOOGLETRANSLATE(A3456, ""fr"", ""en"")"),"At Checklist Tri")</f>
        <v>At Checklist Tri</v>
      </c>
    </row>
    <row r="3457">
      <c r="A3457" s="19" t="s">
        <v>976</v>
      </c>
      <c r="B3457" s="20" t="str">
        <f>IFERROR(__xludf.DUMMYFUNCTION("GOOGLETRANSLATE(A3457, ""fr"", ""en"")"),"Sale cleaning of parking lots Wednesday, June 14, 2023")</f>
        <v>Sale cleaning of parking lots Wednesday, June 14, 2023</v>
      </c>
    </row>
    <row r="3458">
      <c r="A3458" s="19" t="s">
        <v>978</v>
      </c>
      <c r="B3458" s="20" t="str">
        <f>IFERROR(__xludf.DUMMYFUNCTION("GOOGLETRANSLATE(A3458, ""fr"", ""en"")"),"Sale cleaning of parking lots on Monday May 22, 2023")</f>
        <v>Sale cleaning of parking lots on Monday May 22, 2023</v>
      </c>
    </row>
    <row r="3459">
      <c r="A3459" s="19" t="s">
        <v>980</v>
      </c>
      <c r="B3459" s="20" t="str">
        <f>IFERROR(__xludf.DUMMYFUNCTION("GOOGLETRANSLATE(A3459, ""fr"", ""en"")"),"Sale cleaning of parking lots Wednesday July 20, 2022")</f>
        <v>Sale cleaning of parking lots Wednesday July 20, 2022</v>
      </c>
    </row>
    <row r="3460">
      <c r="A3460" s="19" t="s">
        <v>981</v>
      </c>
      <c r="B3460" s="20" t="str">
        <f>IFERROR(__xludf.DUMMYFUNCTION("GOOGLETRANSLATE(A3460, ""fr"", ""en"")"),"Sale cleaning of car parks on Friday June 17, 2022")</f>
        <v>Sale cleaning of car parks on Friday June 17, 2022</v>
      </c>
    </row>
    <row r="3461">
      <c r="A3461" s="19" t="s">
        <v>982</v>
      </c>
      <c r="B3461" s="20" t="str">
        <f>IFERROR(__xludf.DUMMYFUNCTION("GOOGLETRANSLATE(A3461, ""fr"", ""en"")"),"Sale cleaning of parking lots on Friday August 5, 2022")</f>
        <v>Sale cleaning of parking lots on Friday August 5, 2022</v>
      </c>
    </row>
    <row r="3462">
      <c r="A3462" s="19" t="s">
        <v>983</v>
      </c>
      <c r="B3462" s="20" t="str">
        <f>IFERROR(__xludf.DUMMYFUNCTION("GOOGLETRANSLATE(A3462, ""fr"", ""en"")"),"Sale cleaning parking lots on Friday July 22, 2022")</f>
        <v>Sale cleaning parking lots on Friday July 22, 2022</v>
      </c>
    </row>
    <row r="3463">
      <c r="A3463" s="19" t="s">
        <v>984</v>
      </c>
      <c r="B3463" s="20" t="str">
        <f>IFERROR(__xludf.DUMMYFUNCTION("GOOGLETRANSLATE(A3463, ""fr"", ""en"")"),"Sale cleaning of parking lots on Monday August 01, 2022")</f>
        <v>Sale cleaning of parking lots on Monday August 01, 2022</v>
      </c>
    </row>
    <row r="3464">
      <c r="A3464" s="19" t="s">
        <v>2632</v>
      </c>
      <c r="B3464" s="20" t="str">
        <f>IFERROR(__xludf.DUMMYFUNCTION("GOOGLETRANSLATE(A3464, ""fr"", ""en"")"),"Installation of a palette stop at the losses area")</f>
        <v>Installation of a palette stop at the losses area</v>
      </c>
    </row>
    <row r="3465">
      <c r="A3465" s="19" t="s">
        <v>989</v>
      </c>
      <c r="B3465" s="20" t="str">
        <f>IFERROR(__xludf.DUMMYFUNCTION("GOOGLETRANSLATE(A3465, ""fr"", ""en"")"),"Sale cleaning parking lots on Friday July 1, 2022")</f>
        <v>Sale cleaning parking lots on Friday July 1, 2022</v>
      </c>
    </row>
    <row r="3466">
      <c r="A3466" s="19" t="s">
        <v>985</v>
      </c>
      <c r="B3466" s="20" t="str">
        <f>IFERROR(__xludf.DUMMYFUNCTION("GOOGLETRANSLATE(A3466, ""fr"", ""en"")"),"Sale cleaning parking lots of Wednesday June 22, 2022")</f>
        <v>Sale cleaning parking lots of Wednesday June 22, 2022</v>
      </c>
    </row>
    <row r="3467">
      <c r="A3467" s="19" t="s">
        <v>986</v>
      </c>
      <c r="B3467" s="20" t="str">
        <f>IFERROR(__xludf.DUMMYFUNCTION("GOOGLETRANSLATE(A3467, ""fr"", ""en"")"),"Sale cleaning of parking lots Monday, June 20, 2022")</f>
        <v>Sale cleaning of parking lots Monday, June 20, 2022</v>
      </c>
    </row>
    <row r="3468">
      <c r="A3468" s="19" t="s">
        <v>987</v>
      </c>
      <c r="B3468" s="20" t="str">
        <f>IFERROR(__xludf.DUMMYFUNCTION("GOOGLETRANSLATE(A3468, ""fr"", ""en"")"),"Sale cleaning of parking lots on Monday August 8, 2022")</f>
        <v>Sale cleaning of parking lots on Monday August 8, 2022</v>
      </c>
    </row>
    <row r="3469">
      <c r="A3469" s="19" t="s">
        <v>988</v>
      </c>
      <c r="B3469" s="20" t="str">
        <f>IFERROR(__xludf.DUMMYFUNCTION("GOOGLETRANSLATE(A3469, ""fr"", ""en"")"),"Sale cleaning parking lots of Wednesday July 27, 2022")</f>
        <v>Sale cleaning parking lots of Wednesday July 27, 2022</v>
      </c>
    </row>
    <row r="3470">
      <c r="A3470" s="19" t="s">
        <v>1002</v>
      </c>
      <c r="B3470" s="20" t="str">
        <f>IFERROR(__xludf.DUMMYFUNCTION("GOOGLETRANSLATE(A3470, ""fr"", ""en"")"),"Sale cleaning of parking lots on Wednesday August 3, 2022")</f>
        <v>Sale cleaning of parking lots on Wednesday August 3, 2022</v>
      </c>
    </row>
    <row r="3471">
      <c r="A3471" s="19" t="s">
        <v>994</v>
      </c>
      <c r="B3471" s="20" t="str">
        <f>IFERROR(__xludf.DUMMYFUNCTION("GOOGLETRANSLATE(A3471, ""fr"", ""en"")"),"Sale cleaning of parking lots on Monday July 11, 2022")</f>
        <v>Sale cleaning of parking lots on Monday July 11, 2022</v>
      </c>
    </row>
    <row r="3472">
      <c r="A3472" s="19" t="s">
        <v>993</v>
      </c>
      <c r="B3472" s="20" t="str">
        <f>IFERROR(__xludf.DUMMYFUNCTION("GOOGLETRANSLATE(A3472, ""fr"", ""en"")"),"Sale cleaning parking lots on Friday July 29, 2022")</f>
        <v>Sale cleaning parking lots on Friday July 29, 2022</v>
      </c>
    </row>
    <row r="3473">
      <c r="A3473" s="19" t="s">
        <v>992</v>
      </c>
      <c r="B3473" s="20" t="str">
        <f>IFERROR(__xludf.DUMMYFUNCTION("GOOGLETRANSLATE(A3473, ""fr"", ""en"")"),"Sale cleaning parking lots of Wednesday July 13, 2022")</f>
        <v>Sale cleaning parking lots of Wednesday July 13, 2022</v>
      </c>
    </row>
    <row r="3474">
      <c r="A3474" s="19" t="s">
        <v>995</v>
      </c>
      <c r="B3474" s="20" t="str">
        <f>IFERROR(__xludf.DUMMYFUNCTION("GOOGLETRANSLATE(A3474, ""fr"", ""en"")"),"Sale cleaning parking lots on Friday July 15, 2022")</f>
        <v>Sale cleaning parking lots on Friday July 15, 2022</v>
      </c>
    </row>
    <row r="3475">
      <c r="A3475" s="19" t="s">
        <v>996</v>
      </c>
      <c r="B3475" s="20" t="str">
        <f>IFERROR(__xludf.DUMMYFUNCTION("GOOGLETRANSLATE(A3475, ""fr"", ""en"")"),"Sale cleaning of parking lots Wednesday, June 29, 2022")</f>
        <v>Sale cleaning of parking lots Wednesday, June 29, 2022</v>
      </c>
    </row>
    <row r="3476">
      <c r="A3476" s="19" t="s">
        <v>998</v>
      </c>
      <c r="B3476" s="20" t="str">
        <f>IFERROR(__xludf.DUMMYFUNCTION("GOOGLETRANSLATE(A3476, ""fr"", ""en"")"),"Sale cleaning parking lots on Monday, June 27, 2022")</f>
        <v>Sale cleaning parking lots on Monday, June 27, 2022</v>
      </c>
    </row>
    <row r="3477">
      <c r="A3477" s="19" t="s">
        <v>997</v>
      </c>
      <c r="B3477" s="20" t="str">
        <f>IFERROR(__xludf.DUMMYFUNCTION("GOOGLETRANSLATE(A3477, ""fr"", ""en"")"),"Sale cleaning of parking lots on Monday July 18, 2022")</f>
        <v>Sale cleaning of parking lots on Monday July 18, 2022</v>
      </c>
    </row>
    <row r="3478">
      <c r="A3478" s="19" t="s">
        <v>999</v>
      </c>
      <c r="B3478" s="20" t="str">
        <f>IFERROR(__xludf.DUMMYFUNCTION("GOOGLETRANSLATE(A3478, ""fr"", ""en"")"),"Sale cleaning parking lots on Monday July 4, 2022")</f>
        <v>Sale cleaning parking lots on Monday July 4, 2022</v>
      </c>
    </row>
    <row r="3479">
      <c r="A3479" s="19" t="s">
        <v>1000</v>
      </c>
      <c r="B3479" s="20" t="str">
        <f>IFERROR(__xludf.DUMMYFUNCTION("GOOGLETRANSLATE(A3479, ""fr"", ""en"")"),"Sale cleaning of parking lots on Monday July 25, 2022")</f>
        <v>Sale cleaning of parking lots on Monday July 25, 2022</v>
      </c>
    </row>
    <row r="3480">
      <c r="A3480" s="19" t="s">
        <v>1001</v>
      </c>
      <c r="B3480" s="20" t="str">
        <f>IFERROR(__xludf.DUMMYFUNCTION("GOOGLETRANSLATE(A3480, ""fr"", ""en"")"),"Sale cleaning parking lots on Friday July 8, 2022")</f>
        <v>Sale cleaning parking lots on Friday July 8, 2022</v>
      </c>
    </row>
    <row r="3481">
      <c r="A3481" s="19" t="s">
        <v>2633</v>
      </c>
      <c r="B3481" s="20" t="str">
        <f>IFERROR(__xludf.DUMMYFUNCTION("GOOGLETRANSLATE(A3481, ""fr"", ""en"")"),"Back NFU S2. 3 Europes")</f>
        <v>Back NFU S2. 3 Europes</v>
      </c>
    </row>
    <row r="3482">
      <c r="A3482" s="19" t="s">
        <v>2634</v>
      </c>
      <c r="B3482" s="20" t="str">
        <f>IFERROR(__xludf.DUMMYFUNCTION("GOOGLETRANSLATE(A3482, ""fr"", ""en"")"),"from January 2, 2022 (Sus reserve to delivery of equipment on 12/31)
 For :
 -Fix the new pliers supports (see PJ manual)
 -Recuperate the supports of pliers and clips with the consomag cell
 For information :
 -Livration provided for on 12/31 at the cons"&amp;"omag cell")</f>
        <v>from January 2, 2022 (Sus reserve to delivery of equipment on 12/31)
 For :
 -Fix the new pliers supports (see PJ manual)
 -Recuperate the supports of pliers and clips with the consomag cell
 For information :
 -Livration provided for on 12/31 at the consomag cell</v>
      </c>
    </row>
    <row r="3483">
      <c r="A3483" s="19" t="s">
        <v>2635</v>
      </c>
      <c r="B3483" s="20" t="str">
        <f>IFERROR(__xludf.DUMMYFUNCTION("GOOGLETRANSLATE(A3483, ""fr"", ""en"")"),"Sale Wednesday November 03, 2022, (to be done before the visit of 04/11)
 For :
  - Disassemble a stop + 1/2 podium addition (already present local material)
  - Move and refocused 1/2 one organic
  - Go up a shelves hole 42 FL to the 2nd Fl island
  - "&amp;"perhaps added 2 axes in water (provide equipment)
  - Resume melamine water drinks
 For information :
 - Recover the material from the Consomag cell")</f>
        <v>Sale Wednesday November 03, 2022, (to be done before the visit of 04/11)
 For :
  - Disassemble a stop + 1/2 podium addition (already present local material)
  - Move and refocused 1/2 one organic
  - Go up a shelves hole 42 FL to the 2nd Fl island
  - perhaps added 2 axes in water (provide equipment)
  - Resume melamine water drinks
 For information :
 - Recover the material from the Consomag cell</v>
      </c>
    </row>
    <row r="3484">
      <c r="A3484" s="19" t="s">
        <v>1010</v>
      </c>
      <c r="B3484" s="20" t="str">
        <f>IFERROR(__xludf.DUMMYFUNCTION("GOOGLETRANSLATE(A3484, ""fr"", ""en"")"),"Sale cleaning parking lots of Wednesday December 14, 2022")</f>
        <v>Sale cleaning parking lots of Wednesday December 14, 2022</v>
      </c>
    </row>
    <row r="3485">
      <c r="A3485" s="19" t="s">
        <v>1012</v>
      </c>
      <c r="B3485" s="20" t="str">
        <f>IFERROR(__xludf.DUMMYFUNCTION("GOOGLETRANSLATE(A3485, ""fr"", ""en"")"),"Sale cleaning of parking lots Wednesday, October 5, 2022")</f>
        <v>Sale cleaning of parking lots Wednesday, October 5, 2022</v>
      </c>
    </row>
    <row r="3486">
      <c r="A3486" s="19" t="s">
        <v>1011</v>
      </c>
      <c r="B3486" s="20" t="str">
        <f>IFERROR(__xludf.DUMMYFUNCTION("GOOGLETRANSLATE(A3486, ""fr"", ""en"")"),"Sale cleaning of parking lots of Wednesday, November 23, 2022")</f>
        <v>Sale cleaning of parking lots of Wednesday, November 23, 2022</v>
      </c>
    </row>
    <row r="3487">
      <c r="A3487" s="19" t="s">
        <v>1013</v>
      </c>
      <c r="B3487" s="20" t="str">
        <f>IFERROR(__xludf.DUMMYFUNCTION("GOOGLETRANSLATE(A3487, ""fr"", ""en"")"),"Sale cleaning of parking lots Wednesday, September 28, 2022")</f>
        <v>Sale cleaning of parking lots Wednesday, September 28, 2022</v>
      </c>
    </row>
    <row r="3488">
      <c r="A3488" s="19" t="s">
        <v>2617</v>
      </c>
      <c r="B3488" s="20" t="str">
        <f>IFERROR(__xludf.DUMMYFUNCTION("GOOGLETRANSLATE(A3488, ""fr"", ""en"")"),"Sale of shelves")</f>
        <v>Sale of shelves</v>
      </c>
    </row>
    <row r="3489">
      <c r="A3489" s="19" t="s">
        <v>1019</v>
      </c>
      <c r="B3489" s="20" t="str">
        <f>IFERROR(__xludf.DUMMYFUNCTION("GOOGLETRANSLATE(A3489, ""fr"", ""en"")"),"Sale cleaning parking lots of Wednesday June 8, 2022")</f>
        <v>Sale cleaning parking lots of Wednesday June 8, 2022</v>
      </c>
    </row>
    <row r="3490">
      <c r="A3490" s="19" t="s">
        <v>1020</v>
      </c>
      <c r="B3490" s="20" t="str">
        <f>IFERROR(__xludf.DUMMYFUNCTION("GOOGLETRANSLATE(A3490, ""fr"", ""en"")"),"Sale cleaning parking lots on Friday June 3, 2022")</f>
        <v>Sale cleaning parking lots on Friday June 3, 2022</v>
      </c>
    </row>
    <row r="3491">
      <c r="A3491" s="19" t="s">
        <v>1021</v>
      </c>
      <c r="B3491" s="20" t="str">
        <f>IFERROR(__xludf.DUMMYFUNCTION("GOOGLETRANSLATE(A3491, ""fr"", ""en"")"),"Sale cleaning of parking lots Wednesday, June 15, 2022")</f>
        <v>Sale cleaning of parking lots Wednesday, June 15, 2022</v>
      </c>
    </row>
    <row r="3492">
      <c r="A3492" s="19" t="s">
        <v>1022</v>
      </c>
      <c r="B3492" s="20" t="str">
        <f>IFERROR(__xludf.DUMMYFUNCTION("GOOGLETRANSLATE(A3492, ""fr"", ""en"")"),"Sale cleaning of parking lots on Friday June 10, 2022")</f>
        <v>Sale cleaning of parking lots on Friday June 10, 2022</v>
      </c>
    </row>
    <row r="3493">
      <c r="A3493" s="19" t="s">
        <v>1023</v>
      </c>
      <c r="B3493" s="20" t="str">
        <f>IFERROR(__xludf.DUMMYFUNCTION("GOOGLETRANSLATE(A3493, ""fr"", ""en"")"),"Sale cleaning of parking lots Wednesday, June 1, 2022")</f>
        <v>Sale cleaning of parking lots Wednesday, June 1, 2022</v>
      </c>
    </row>
    <row r="3494">
      <c r="A3494" s="19" t="s">
        <v>1018</v>
      </c>
      <c r="B3494" s="20" t="str">
        <f>IFERROR(__xludf.DUMMYFUNCTION("GOOGLETRANSLATE(A3494, ""fr"", ""en"")"),"Sale cleaning of parking lots on Monday June 13, 2022")</f>
        <v>Sale cleaning of parking lots on Monday June 13, 2022</v>
      </c>
    </row>
    <row r="3495">
      <c r="A3495" s="19" t="s">
        <v>2636</v>
      </c>
      <c r="B3495" s="20" t="str">
        <f>IFERROR(__xludf.DUMMYFUNCTION("GOOGLETRANSLATE(A3495, ""fr"", ""en"")"),"Urgent sale (to do Tuesday June 07, 2022)
 For :
 - Replace 4 FL podiums
 - Glue the so good so organic adhesive on 2 organic panels.
 - 1 x half central gondola podium (coffee)
 - Lacks all the beer cover (BDR, melanin, half moon and visual for magne"&amp;"tic facer)
 - Real dry podiums everywhere in the Mag
 - Cut and restore the Fresh Coter Coter Panel of the VVP
 - 4x a7 tripartie pork to put in price strips
  - 1 glass pork sticker
 - 1x beef stickers
 - 1x cheese door stickers
 - 1x Pastry door sticker"&amp;"s
 - 1x box 0 Gaspi to replace / set up
 - 15 x bdr additional replacement
 - 15x bdr nf to replace
 FYI: the material will be available to the consomag cell (Tuesday morning)")</f>
        <v>Urgent sale (to do Tuesday June 07, 2022)
 For :
 - Replace 4 FL podiums
 - Glue the so good so organic adhesive on 2 organic panels.
 - 1 x half central gondola podium (coffee)
 - Lacks all the beer cover (BDR, melanin, half moon and visual for magnetic facer)
 - Real dry podiums everywhere in the Mag
 - Cut and restore the Fresh Coter Coter Panel of the VVP
 - 4x a7 tripartie pork to put in price strips
  - 1 glass pork sticker
 - 1x beef stickers
 - 1x cheese door stickers
 - 1x Pastry door stickers
 - 1x box 0 Gaspi to replace / set up
 - 15 x bdr additional replacement
 - 15x bdr nf to replace
 FYI: the material will be available to the consomag cell (Tuesday morning)</v>
      </c>
    </row>
    <row r="3496">
      <c r="A3496" s="19" t="s">
        <v>1029</v>
      </c>
      <c r="B3496" s="20" t="str">
        <f>IFERROR(__xludf.DUMMYFUNCTION("GOOGLETRANSLATE(A3496, ""fr"", ""en"")"),"Sale cleaning parking lots on Friday September 16, 2022")</f>
        <v>Sale cleaning parking lots on Friday September 16, 2022</v>
      </c>
    </row>
    <row r="3497">
      <c r="A3497" s="19" t="s">
        <v>2064</v>
      </c>
      <c r="B3497" s="20" t="str">
        <f>IFERROR(__xludf.DUMMYFUNCTION("GOOGLETRANSLATE(A3497, ""fr"", ""en"")"),"Quarterly check list")</f>
        <v>Quarterly check list</v>
      </c>
    </row>
    <row r="3498">
      <c r="A3498" s="19" t="s">
        <v>2637</v>
      </c>
      <c r="B3498" s="20" t="str">
        <f>IFERROR(__xludf.DUMMYFUNCTION("GOOGLETRANSLATE(A3498, ""fr"", ""en"")"),"For :
 -Repare and move the rear TG of the block D to block B
 For information :
 -Give the implantation identically")</f>
        <v>For :
 -Repare and move the rear TG of the block D to block B
 For information :
 -Give the implantation identically</v>
      </c>
    </row>
    <row r="3499">
      <c r="A3499" s="19" t="s">
        <v>2638</v>
      </c>
      <c r="B3499" s="20" t="str">
        <f>IFERROR(__xludf.DUMMYFUNCTION("GOOGLETRANSLATE(A3499, ""fr"", ""en"")"),"At Tournee at + Verif video + binder")</f>
        <v>At Tournee at + Verif video + binder</v>
      </c>
    </row>
    <row r="3500">
      <c r="A3500" s="19" t="s">
        <v>2094</v>
      </c>
      <c r="B3500" s="20" t="str">
        <f>IFERROR(__xludf.DUMMYFUNCTION("GOOGLETRANSLATE(A3500, ""fr"", ""en"")"),"Monday 28, Tuesday 29 and Wednesday 30 November 2022 (imperative)
 For :
 -Recure before intervening on the 1st SPM, 40 feet of 67 cm Tego, 20 circle adhesives and 20 rectangle adhesive for TG cheeks
 -Lend on the SPMs and go up to the location (see table"&amp;" below) the TG furniture (available in the SPM reserve)
 -Loine the 4 adhesives on the cheeks (two adhesives x two cheeks)
 -Men on the shelves (hole 8-15-22-29)
 -Place in place a 1.80 m tg melamine in TG, replacing that in place (mela available on the p"&amp;"alette)
 -Put the two local corner panels in the triangle (on the front faces of the triangle and not at the back) panels in a box
 -Remit the visuals on the palette to the SPM (in a card, brown visuals, local corner)
 For information :
 -The equipment pa"&amp;"llets of each SPM will be placed on Friday 25/11
 -The RVS are informed
 -We contacted the SPMs for the location
 -in the case of a problem contact me")</f>
        <v>Monday 28, Tuesday 29 and Wednesday 30 November 2022 (imperative)
 For :
 -Recure before intervening on the 1st SPM, 40 feet of 67 cm Tego, 20 circle adhesives and 20 rectangle adhesive for TG cheeks
 -Lend on the SPMs and go up to the location (see table below) the TG furniture (available in the SPM reserve)
 -Loine the 4 adhesives on the cheeks (two adhesives x two cheeks)
 -Men on the shelves (hole 8-15-22-29)
 -Place in place a 1.80 m tg melamine in TG, replacing that in place (mela available on the palette)
 -Put the two local corner panels in the triangle (on the front faces of the triangle and not at the back) panels in a box
 -Remit the visuals on the palette to the SPM (in a card, brown visuals, local corner)
 For information :
 -The equipment pallets of each SPM will be placed on Friday 25/11
 -The RVS are informed
 -We contacted the SPMs for the location
 -in the case of a problem contact me</v>
      </c>
    </row>
    <row r="3501">
      <c r="A3501" s="19" t="s">
        <v>1034</v>
      </c>
      <c r="B3501" s="20" t="str">
        <f>IFERROR(__xludf.DUMMYFUNCTION("GOOGLETRANSLATE(A3501, ""fr"", ""en"")"),"Sale cleaning parking lots of sale December 2, 2022")</f>
        <v>Sale cleaning parking lots of sale December 2, 2022</v>
      </c>
    </row>
    <row r="3502">
      <c r="A3502" s="19" t="s">
        <v>2639</v>
      </c>
      <c r="B3502" s="20" t="str">
        <f>IFERROR(__xludf.DUMMYFUNCTION("GOOGLETRANSLATE(A3502, ""fr"", ""en"")"),"Shelving 25 Pallets of details for the SPM Eckbolsheim 3709 To be treated for 03/12/2022")</f>
        <v>Shelving 25 Pallets of details for the SPM Eckbolsheim 3709 To be treated for 03/12/2022</v>
      </c>
    </row>
    <row r="3503">
      <c r="A3503" s="19" t="s">
        <v>1035</v>
      </c>
      <c r="B3503" s="20" t="str">
        <f>IFERROR(__xludf.DUMMYFUNCTION("GOOGLETRANSLATE(A3503, ""fr"", ""en"")"),"Sale cleaning of parking lots on Monday May 15, 2023")</f>
        <v>Sale cleaning of parking lots on Monday May 15, 2023</v>
      </c>
    </row>
    <row r="3504">
      <c r="A3504" s="19" t="s">
        <v>1036</v>
      </c>
      <c r="B3504" s="20" t="str">
        <f>IFERROR(__xludf.DUMMYFUNCTION("GOOGLETRANSLATE(A3504, ""fr"", ""en"")"),"Sale cleaning of parking lots Wednesday March 8, 2023")</f>
        <v>Sale cleaning of parking lots Wednesday March 8, 2023</v>
      </c>
    </row>
    <row r="3505">
      <c r="A3505" s="19" t="s">
        <v>2640</v>
      </c>
      <c r="B3505" s="20" t="str">
        <f>IFERROR(__xludf.DUMMYFUNCTION("GOOGLETRANSLATE(A3505, ""fr"", ""en"")"),"Sale to be made on October 24, 2022 Seasonal reimplantation")</f>
        <v>Sale to be made on October 24, 2022 Seasonal reimplantation</v>
      </c>
    </row>
    <row r="3506">
      <c r="A3506" s="19" t="s">
        <v>1039</v>
      </c>
      <c r="B3506" s="20" t="str">
        <f>IFERROR(__xludf.DUMMYFUNCTION("GOOGLETRANSLATE(A3506, ""fr"", ""en"")"),"Sale cleaning of parking lots on Monday September 5, 2022")</f>
        <v>Sale cleaning of parking lots on Monday September 5, 2022</v>
      </c>
    </row>
    <row r="3507">
      <c r="A3507" s="19" t="s">
        <v>1040</v>
      </c>
      <c r="B3507" s="20" t="str">
        <f>IFERROR(__xludf.DUMMYFUNCTION("GOOGLETRANSLATE(A3507, ""fr"", ""en"")"),"Sale cleaning of parking lots Wednesday, September 14, 2022")</f>
        <v>Sale cleaning of parking lots Wednesday, September 14, 2022</v>
      </c>
    </row>
    <row r="3508">
      <c r="A3508" s="19" t="s">
        <v>1041</v>
      </c>
      <c r="B3508" s="20" t="str">
        <f>IFERROR(__xludf.DUMMYFUNCTION("GOOGLETRANSLATE(A3508, ""fr"", ""en"")"),"Sale cleaning parking lots on Monday October 10, 2022")</f>
        <v>Sale cleaning parking lots on Monday October 10, 2022</v>
      </c>
    </row>
    <row r="3509">
      <c r="A3509" s="19" t="s">
        <v>1042</v>
      </c>
      <c r="B3509" s="20" t="str">
        <f>IFERROR(__xludf.DUMMYFUNCTION("GOOGLETRANSLATE(A3509, ""fr"", ""en"")"),"Sale cleaning parking lots on Monday October 3, 2022")</f>
        <v>Sale cleaning parking lots on Monday October 3, 2022</v>
      </c>
    </row>
    <row r="3510">
      <c r="A3510" s="19" t="s">
        <v>2641</v>
      </c>
      <c r="B3510" s="20" t="str">
        <f>IFERROR(__xludf.DUMMYFUNCTION("GOOGLETRANSLATE(A3510, ""fr"", ""en"")"),"At checklist sorting. &amp; miscellaneous. FM email")</f>
        <v>At checklist sorting. &amp; miscellaneous. FM email</v>
      </c>
    </row>
    <row r="3511">
      <c r="A3511" s="19" t="s">
        <v>1043</v>
      </c>
      <c r="B3511" s="20" t="str">
        <f>IFERROR(__xludf.DUMMYFUNCTION("GOOGLETRANSLATE(A3511, ""fr"", ""en"")"),"Sale cleaning parking lots on Friday 23 September 2022")</f>
        <v>Sale cleaning parking lots on Friday 23 September 2022</v>
      </c>
    </row>
    <row r="3512">
      <c r="A3512" s="19" t="s">
        <v>1044</v>
      </c>
      <c r="B3512" s="20" t="str">
        <f>IFERROR(__xludf.DUMMYFUNCTION("GOOGLETRANSLATE(A3512, ""fr"", ""en"")"),"Sale cleaning of parking lots on Monday September 12, 2022")</f>
        <v>Sale cleaning of parking lots on Monday September 12, 2022</v>
      </c>
    </row>
    <row r="3513">
      <c r="A3513" s="19" t="s">
        <v>2642</v>
      </c>
      <c r="B3513" s="20" t="str">
        <f>IFERROR(__xludf.DUMMYFUNCTION("GOOGLETRANSLATE(A3513, ""fr"", ""en"")"),"Sale preparation Visit. To be done on Thursday 27, Friday 28 and Saturday 29 October 29 in the morning: shelving of the dry.")</f>
        <v>Sale preparation Visit. To be done on Thursday 27, Friday 28 and Saturday 29 October 29 in the morning: shelving of the dry.</v>
      </c>
    </row>
    <row r="3514">
      <c r="A3514" s="19" t="s">
        <v>1037</v>
      </c>
      <c r="B3514" s="20" t="str">
        <f>IFERROR(__xludf.DUMMYFUNCTION("GOOGLETRANSLATE(A3514, ""fr"", ""en"")"),"Sale cleaning parking lots of Wednesday September 21, 2022")</f>
        <v>Sale cleaning parking lots of Wednesday September 21, 2022</v>
      </c>
    </row>
    <row r="3515">
      <c r="A3515" s="19" t="s">
        <v>1046</v>
      </c>
      <c r="B3515" s="20" t="str">
        <f>IFERROR(__xludf.DUMMYFUNCTION("GOOGLETRANSLATE(A3515, ""fr"", ""en"")"),"Sale cleaning parking lots of Wednesday, November 30, 2022")</f>
        <v>Sale cleaning parking lots of Wednesday, November 30, 2022</v>
      </c>
    </row>
    <row r="3516">
      <c r="A3516" s="19" t="s">
        <v>2643</v>
      </c>
      <c r="B3516" s="20" t="str">
        <f>IFERROR(__xludf.DUMMYFUNCTION("GOOGLETRANSLATE(A3516, ""fr"", ""en"")"),"For: as soon as possible
 -Dejpox the rear TG Local corner of block B to block C (next to the ""paper"")")</f>
        <v>For: as soon as possible
 -Dejpox the rear TG Local corner of block B to block C (next to the "paper")</v>
      </c>
    </row>
    <row r="3517">
      <c r="A3517" s="19" t="s">
        <v>1067</v>
      </c>
      <c r="B3517" s="20" t="str">
        <f>IFERROR(__xludf.DUMMYFUNCTION("GOOGLETRANSLATE(A3517, ""fr"", ""en"")"),"At Checklist Tri")</f>
        <v>At Checklist Tri</v>
      </c>
    </row>
    <row r="3518">
      <c r="A3518" s="19" t="s">
        <v>2644</v>
      </c>
      <c r="B3518" s="20" t="str">
        <f>IFERROR(__xludf.DUMMYFUNCTION("GOOGLETRANSLATE(A3518, ""fr"", ""en"")"),"Presence detector shock. The door no longer works properly")</f>
        <v>Presence detector shock. The door no longer works properly</v>
      </c>
    </row>
    <row r="3519">
      <c r="A3519" s="19" t="s">
        <v>2645</v>
      </c>
      <c r="B3519" s="20" t="str">
        <f>IFERROR(__xludf.DUMMYFUNCTION("GOOGLETRANSLATE(A3519, ""fr"", ""en"")"),"Urgent broken tiles Risk Fall Cf Negative")</f>
        <v>Urgent broken tiles Risk Fall Cf Negative</v>
      </c>
    </row>
    <row r="3520">
      <c r="A3520" s="19" t="s">
        <v>2646</v>
      </c>
      <c r="B3520" s="20" t="str">
        <f>IFERROR(__xludf.DUMMYFUNCTION("GOOGLETRANSLATE(A3520, ""fr"", ""en"")"),"At set up aluminum protection on the door Cf Entree Fl Mail FM")</f>
        <v>At set up aluminum protection on the door Cf Entree Fl Mail FM</v>
      </c>
    </row>
    <row r="3521">
      <c r="A3521" s="19" t="s">
        <v>2647</v>
      </c>
      <c r="B3521" s="20" t="str">
        <f>IFERROR(__xludf.DUMMYFUNCTION("GOOGLETRANSLATE(A3521, ""fr"", ""en"")"),"Rail exit door")</f>
        <v>Rail exit door</v>
      </c>
    </row>
    <row r="3522">
      <c r="A3522" s="19" t="s">
        <v>2648</v>
      </c>
      <c r="B3522" s="20" t="str">
        <f>IFERROR(__xludf.DUMMYFUNCTION("GOOGLETRANSLATE(A3522, ""fr"", ""en"")"),"FL DEGONDEE room door by delivery man then replacement but the opening and auto closure no longer work")</f>
        <v>FL DEGONDEE room door by delivery man then replacement but the opening and auto closure no longer work</v>
      </c>
    </row>
    <row r="3523">
      <c r="A3523" s="19" t="s">
        <v>2649</v>
      </c>
      <c r="B3523" s="20" t="str">
        <f>IFERROR(__xludf.DUMMYFUNCTION("GOOGLETRANSLATE(A3523, ""fr"", ""en"")"),"broken tiles in the bedroom")</f>
        <v>broken tiles in the bedroom</v>
      </c>
    </row>
    <row r="3524">
      <c r="A3524" s="19" t="s">
        <v>2650</v>
      </c>
      <c r="B3524" s="20" t="str">
        <f>IFERROR(__xludf.DUMMYFUNCTION("GOOGLETRANSLATE(A3524, ""fr"", ""en"")"),"The door between the FL and the cost no longer works")</f>
        <v>The door between the FL and the cost no longer works</v>
      </c>
    </row>
    <row r="3525">
      <c r="A3525" s="19" t="s">
        <v>2651</v>
      </c>
      <c r="B3525" s="20" t="str">
        <f>IFERROR(__xludf.DUMMYFUNCTION("GOOGLETRANSLATE(A3525, ""fr"", ""en"")"),"The sliding door of the positive cold room closes and does not open on its own")</f>
        <v>The sliding door of the positive cold room closes and does not open on its own</v>
      </c>
    </row>
    <row r="3526">
      <c r="A3526" s="19" t="s">
        <v>2652</v>
      </c>
      <c r="B3526" s="20" t="str">
        <f>IFERROR(__xludf.DUMMYFUNCTION("GOOGLETRANSLATE(A3526, ""fr"", ""en"")"),"Urgent: the door of the fresh room does not work correctly and 1 time out of 2 it only closes in manual this quantity of defects.")</f>
        <v>Urgent: the door of the fresh room does not work correctly and 1 time out of 2 it only closes in manual this quantity of defects.</v>
      </c>
    </row>
    <row r="3527">
      <c r="A3527" s="19" t="s">
        <v>2653</v>
      </c>
      <c r="B3527" s="20" t="str">
        <f>IFERROR(__xludf.DUMMYFUNCTION("GOOGLETRANSLATE(A3527, ""fr"", ""en"")"),"URGENR: Water leak from one of the ventilation blocks.")</f>
        <v>URGENR: Water leak from one of the ventilation blocks.</v>
      </c>
    </row>
    <row r="3528">
      <c r="A3528" s="19" t="s">
        <v>2654</v>
      </c>
      <c r="B3528" s="20" t="str">
        <f>IFERROR(__xludf.DUMMYFUNCTION("GOOGLETRANSLATE(A3528, ""fr"", ""en"")"),"Fan taken in ice The room is temperature but one of the fan blocks no longer run")</f>
        <v>Fan taken in ice The room is temperature but one of the fan blocks no longer run</v>
      </c>
    </row>
    <row r="3529">
      <c r="A3529" s="19" t="s">
        <v>2655</v>
      </c>
      <c r="B3529" s="20" t="str">
        <f>IFERROR(__xludf.DUMMYFUNCTION("GOOGLETRANSLATE(A3529, ""fr"", ""en"")"),"Urgent Pluqieurs Pieces to be checked and change on Porte Cold Negative Chamber.")</f>
        <v>Urgent Pluqieurs Pieces to be checked and change on Porte Cold Negative Chamber.</v>
      </c>
    </row>
    <row r="3530">
      <c r="A3530" s="19" t="s">
        <v>2656</v>
      </c>
      <c r="B3530" s="20" t="str">
        <f>IFERROR(__xludf.DUMMYFUNCTION("GOOGLETRANSLATE(A3530, ""fr"", ""en"")"),"Urgent following shock at the level of the presence sensor of the door of the FL room it is no longer closed.")</f>
        <v>Urgent following shock at the level of the presence sensor of the door of the FL room it is no longer closed.</v>
      </c>
    </row>
    <row r="3531">
      <c r="A3531" s="19" t="s">
        <v>2657</v>
      </c>
      <c r="B3531" s="20" t="str">
        <f>IFERROR(__xludf.DUMMYFUNCTION("GOOGLETRANSLATE(A3531, ""fr"", ""en"")"),"Urgent leak tjrs presents a request had already been made 3 weeks ago following the passage of the technician she is always present")</f>
        <v>Urgent leak tjrs presents a request had already been made 3 weeks ago following the passage of the technician she is always present</v>
      </c>
    </row>
    <row r="3532">
      <c r="A3532" s="19" t="s">
        <v>2658</v>
      </c>
      <c r="B3532" s="20" t="str">
        <f>IFERROR(__xludf.DUMMYFUNCTION("GOOGLETRANSLATE(A3532, ""fr"", ""en"")"),"Auto door security the reserve of the FL room")</f>
        <v>Auto door security the reserve of the FL room</v>
      </c>
    </row>
    <row r="3533">
      <c r="A3533" s="19" t="s">
        <v>2659</v>
      </c>
      <c r="B3533" s="20" t="str">
        <f>IFERROR(__xludf.DUMMYFUNCTION("GOOGLETRANSLATE(A3533, ""fr"", ""en"")"),"Urgent please shock the door between the Surg and the expense no longer closes.")</f>
        <v>Urgent please shock the door between the Surg and the expense no longer closes.</v>
      </c>
    </row>
    <row r="3534">
      <c r="A3534" s="19" t="s">
        <v>2660</v>
      </c>
      <c r="B3534" s="20" t="str">
        <f>IFERROR(__xludf.DUMMYFUNCTION("GOOGLETRANSLATE(A3534, ""fr"", ""en"")"),"4 out of 6 terminals are unavailable")</f>
        <v>4 out of 6 terminals are unavailable</v>
      </c>
    </row>
    <row r="3535">
      <c r="A3535" s="19" t="s">
        <v>2661</v>
      </c>
      <c r="B3535" s="20" t="str">
        <f>IFERROR(__xludf.DUMMYFUNCTION("GOOGLETRANSLATE(A3535, ""fr"", ""en"")"),"At Load terminal display")</f>
        <v>At Load terminal display</v>
      </c>
    </row>
    <row r="3536">
      <c r="A3536" s="19" t="s">
        <v>2662</v>
      </c>
      <c r="B3536" s="20" t="str">
        <f>IFERROR(__xludf.DUMMYFUNCTION("GOOGLETRANSLATE(A3536, ""fr"", ""en"")"),"Following multiple shocks Several wooden parts are broken.")</f>
        <v>Following multiple shocks Several wooden parts are broken.</v>
      </c>
    </row>
    <row r="3537">
      <c r="A3537" s="19" t="s">
        <v>2663</v>
      </c>
      <c r="B3537" s="20" t="str">
        <f>IFERROR(__xludf.DUMMYFUNCTION("GOOGLETRANSLATE(A3537, ""fr"", ""en"")"),"Urgent multiple ice cream and frost.")</f>
        <v>Urgent multiple ice cream and frost.</v>
      </c>
    </row>
    <row r="3538">
      <c r="A3538" s="19" t="s">
        <v>2664</v>
      </c>
      <c r="B3538" s="20" t="str">
        <f>IFERROR(__xludf.DUMMYFUNCTION("GOOGLETRANSLATE(A3538, ""fr"", ""en"")"),"tsmpdracy goes up and down, cold alarm continuously for this piece of furniture")</f>
        <v>tsmpdracy goes up and down, cold alarm continuously for this piece of furniture</v>
      </c>
    </row>
    <row r="3539">
      <c r="A3539" s="19" t="s">
        <v>2665</v>
      </c>
      <c r="B3539" s="20" t="str">
        <f>IFERROR(__xludf.DUMMYFUNCTION("GOOGLETRANSLATE(A3539, ""fr"", ""en"")"),"Exploded furniture door window")</f>
        <v>Exploded furniture door window</v>
      </c>
    </row>
    <row r="3540">
      <c r="A3540" s="19" t="s">
        <v>2666</v>
      </c>
      <c r="B3540" s="20" t="str">
        <f>IFERROR(__xludf.DUMMYFUNCTION("GOOGLETRANSLATE(A3540, ""fr"", ""en"")"),"Urgent suspiration taken ice cream, cold alarm active all night despite the good temperature on a skylight display.")</f>
        <v>Urgent suspiration taken ice cream, cold alarm active all night despite the good temperature on a skylight display.</v>
      </c>
    </row>
    <row r="3541">
      <c r="A3541" s="19" t="s">
        <v>2667</v>
      </c>
      <c r="B3541" s="20" t="str">
        <f>IFERROR(__xludf.DUMMYFUNCTION("GOOGLETRANSLATE(A3541, ""fr"", ""en"")"),"At plinths kc m surg")</f>
        <v>At plinths kc m surg</v>
      </c>
    </row>
    <row r="3542">
      <c r="A3542" s="19" t="s">
        <v>2668</v>
      </c>
      <c r="B3542" s="20" t="str">
        <f>IFERROR(__xludf.DUMMYFUNCTION("GOOGLETRANSLATE(A3542, ""fr"", ""en"")"),"Cold default during the night")</f>
        <v>Cold default during the night</v>
      </c>
    </row>
    <row r="3543">
      <c r="A3543" s="19" t="s">
        <v>2669</v>
      </c>
      <c r="B3543" s="20" t="str">
        <f>IFERROR(__xludf.DUMMYFUNCTION("GOOGLETRANSLATE(A3543, ""fr"", ""en"")"),"The showcase no longer puts itself at the right temperature")</f>
        <v>The showcase no longer puts itself at the right temperature</v>
      </c>
    </row>
    <row r="3544">
      <c r="A3544" s="19" t="s">
        <v>2670</v>
      </c>
      <c r="B3544" s="20" t="str">
        <f>IFERROR(__xludf.DUMMYFUNCTION("GOOGLETRANSLATE(A3544, ""fr"", ""en"")"),"Cold default during the night from Saturday to Sunday at the end of defrosting")</f>
        <v>Cold default during the night from Saturday to Sunday at the end of defrosting</v>
      </c>
    </row>
    <row r="3545">
      <c r="A3545" s="19" t="s">
        <v>2671</v>
      </c>
      <c r="B3545" s="20" t="str">
        <f>IFERROR(__xludf.DUMMYFUNCTION("GOOGLETRANSLATE(A3545, ""fr"", ""en"")"),"The furniture temperature increased to _9 degre")</f>
        <v>The furniture temperature increased to _9 degre</v>
      </c>
    </row>
    <row r="3546">
      <c r="A3546" s="19" t="s">
        <v>2672</v>
      </c>
      <c r="B3546" s="20" t="str">
        <f>IFERROR(__xludf.DUMMYFUNCTION("GOOGLETRANSLATE(A3546, ""fr"", ""en"")"),"Urgent: excess of frost.")</f>
        <v>Urgent: excess of frost.</v>
      </c>
    </row>
    <row r="3547">
      <c r="A3547" s="19" t="s">
        <v>2673</v>
      </c>
      <c r="B3547" s="20" t="str">
        <f>IFERROR(__xludf.DUMMYFUNCTION("GOOGLETRANSLATE(A3547, ""fr"", ""en"")"),"Multiple urgent taken in Galce Skylight frozen.")</f>
        <v>Multiple urgent taken in Galce Skylight frozen.</v>
      </c>
    </row>
    <row r="3548">
      <c r="A3548" s="19" t="s">
        <v>2674</v>
      </c>
      <c r="B3548" s="20" t="str">
        <f>IFERROR(__xludf.DUMMYFUNCTION("GOOGLETRANSLATE(A3548, ""fr"", ""en"")"),"Regular temperature problem: as soon as the door is opened the piece of furniture goes down to -2 degrees and sounds")</f>
        <v>Regular temperature problem: as soon as the door is opened the piece of furniture goes down to -2 degrees and sounds</v>
      </c>
    </row>
    <row r="3549">
      <c r="A3549" s="19" t="s">
        <v>2675</v>
      </c>
      <c r="B3549" s="20" t="str">
        <f>IFERROR(__xludf.DUMMYFUNCTION("GOOGLETRANSLATE(A3549, ""fr"", ""en"")"),"Frozen frozen island")</f>
        <v>Frozen frozen island</v>
      </c>
    </row>
    <row r="3550">
      <c r="A3550" s="19" t="s">
        <v>2676</v>
      </c>
      <c r="B3550" s="20" t="str">
        <f>IFERROR(__xludf.DUMMYFUNCTION("GOOGLETRANSLATE(A3550, ""fr"", ""en"")"),"Handle breaks on the Surgelee showcase")</f>
        <v>Handle breaks on the Surgelee showcase</v>
      </c>
    </row>
    <row r="3551">
      <c r="A3551" s="21"/>
      <c r="B3551" s="20" t="str">
        <f>IFERROR(__xludf.DUMMYFUNCTION("GOOGLETRANSLATE(A3551, ""fr"", ""en"")"),"#VALUE!")</f>
        <v>#VALUE!</v>
      </c>
    </row>
    <row r="3552">
      <c r="A3552" s="19" t="s">
        <v>1230</v>
      </c>
      <c r="B3552" s="20" t="str">
        <f>IFERROR(__xludf.DUMMYFUNCTION("GOOGLETRANSLATE(A3552, ""fr"", ""en"")"),"Jay cool cleaning monitoring sale from April 19 to April 29, 2022")</f>
        <v>Jay cool cleaning monitoring sale from April 19 to April 29, 2022</v>
      </c>
    </row>
    <row r="3553">
      <c r="A3553" s="19" t="s">
        <v>2677</v>
      </c>
      <c r="B3553" s="20" t="str">
        <f>IFERROR(__xludf.DUMMYFUNCTION("GOOGLETRANSLATE(A3553, ""fr"", ""en"")"),"Sale surveillance of the night of April 7, 2022. Implementation work")</f>
        <v>Sale surveillance of the night of April 7, 2022. Implementation work</v>
      </c>
    </row>
    <row r="3554">
      <c r="A3554" s="19" t="s">
        <v>2678</v>
      </c>
      <c r="B3554" s="20" t="str">
        <f>IFERROR(__xludf.DUMMYFUNCTION("GOOGLETRANSLATE(A3554, ""fr"", ""en"")"),"Sale Surveillance of the nights from May 3 to May 6, 2022. Pépinière operation - External guarding")</f>
        <v>Sale Surveillance of the nights from May 3 to May 6, 2022. Pépinière operation - External guarding</v>
      </c>
    </row>
    <row r="3555">
      <c r="A3555" s="19" t="s">
        <v>2679</v>
      </c>
      <c r="B3555" s="20" t="str">
        <f>IFERROR(__xludf.DUMMYFUNCTION("GOOGLETRANSLATE(A3555, ""fr"", ""en"")"),"The door threshold tiles between reserve and SDV leave again (intervention made 2 months ago)")</f>
        <v>The door threshold tiles between reserve and SDV leave again (intervention made 2 months ago)</v>
      </c>
    </row>
    <row r="3556">
      <c r="A3556" s="19" t="s">
        <v>2680</v>
      </c>
      <c r="B3556" s="20" t="str">
        <f>IFERROR(__xludf.DUMMYFUNCTION("GOOGLETRANSLATE(A3556, ""fr"", ""en"")"),"Mainly damaged door arrets")</f>
        <v>Mainly damaged door arrets</v>
      </c>
    </row>
    <row r="3557">
      <c r="A3557" s="19" t="s">
        <v>2681</v>
      </c>
      <c r="B3557" s="20" t="str">
        <f>IFERROR(__xludf.DUMMYFUNCTION("GOOGLETRANSLATE(A3557, ""fr"", ""en"")"),"water leak")</f>
        <v>water leak</v>
      </c>
    </row>
    <row r="3558">
      <c r="A3558" s="19" t="s">
        <v>2682</v>
      </c>
      <c r="B3558" s="20" t="str">
        <f>IFERROR(__xludf.DUMMYFUNCTION("GOOGLETRANSLATE(A3558, ""fr"", ""en"")"),"Mirror VV Casse")</f>
        <v>Mirror VV Casse</v>
      </c>
    </row>
    <row r="3559">
      <c r="A3559" s="19" t="s">
        <v>2683</v>
      </c>
      <c r="B3559" s="20" t="str">
        <f>IFERROR(__xludf.DUMMYFUNCTION("GOOGLETRANSLATE(A3559, ""fr"", ""en"")"),"Cold alarm for 1 day")</f>
        <v>Cold alarm for 1 day</v>
      </c>
    </row>
    <row r="3560">
      <c r="A3560" s="19" t="s">
        <v>2684</v>
      </c>
      <c r="B3560" s="20" t="str">
        <f>IFERROR(__xludf.DUMMYFUNCTION("GOOGLETRANSLATE(A3560, ""fr"", ""en"")"),"Light of the Quaihs")</f>
        <v>Light of the Quaihs</v>
      </c>
    </row>
    <row r="3561">
      <c r="A3561" s="19" t="s">
        <v>2685</v>
      </c>
      <c r="B3561" s="20" t="str">
        <f>IFERROR(__xludf.DUMMYFUNCTION("GOOGLETRANSLATE(A3561, ""fr"", ""en"")"),"door blocked at the opening, if you can't close it on an onon can not put it alarm")</f>
        <v>door blocked at the opening, if you can't close it on an onon can not put it alarm</v>
      </c>
    </row>
    <row r="3562">
      <c r="A3562" s="19" t="s">
        <v>2686</v>
      </c>
      <c r="B3562" s="20" t="str">
        <f>IFERROR(__xludf.DUMMYFUNCTION("GOOGLETRANSLATE(A3562, ""fr"", ""en"")"),"The door grins strongly")</f>
        <v>The door grins strongly</v>
      </c>
    </row>
    <row r="3563">
      <c r="A3563" s="19" t="s">
        <v>2687</v>
      </c>
      <c r="B3563" s="20" t="str">
        <f>IFERROR(__xludf.DUMMYFUNCTION("GOOGLETRANSLATE(A3563, ""fr"", ""en"")"),"Urgent the door does not firm more it remains in opening mode, it seems to me that it is from the central detector which is hs (does not light up when there is movement)")</f>
        <v>Urgent the door does not firm more it remains in opening mode, it seems to me that it is from the central detector which is hs (does not light up when there is movement)</v>
      </c>
    </row>
    <row r="3564">
      <c r="A3564" s="19" t="s">
        <v>2688</v>
      </c>
      <c r="B3564" s="20" t="str">
        <f>IFERROR(__xludf.DUMMYFUNCTION("GOOGLETRANSLATE(A3564, ""fr"", ""en"")"),"The door remains open")</f>
        <v>The door remains open</v>
      </c>
    </row>
    <row r="3565">
      <c r="A3565" s="19" t="s">
        <v>2689</v>
      </c>
      <c r="B3565" s="20" t="str">
        <f>IFERROR(__xludf.DUMMYFUNCTION("GOOGLETRANSLATE(A3565, ""fr"", ""en"")"),"Lighting 3 HS blocks")</f>
        <v>Lighting 3 HS blocks</v>
      </c>
    </row>
    <row r="3566">
      <c r="A3566" s="19" t="s">
        <v>2690</v>
      </c>
      <c r="B3566" s="20" t="str">
        <f>IFERROR(__xludf.DUMMYFUNCTION("GOOGLETRANSLATE(A3566, ""fr"", ""en"")"),"Furniture with alarm while the temperature is good")</f>
        <v>Furniture with alarm while the temperature is good</v>
      </c>
    </row>
    <row r="3567">
      <c r="A3567" s="19" t="s">
        <v>2691</v>
      </c>
      <c r="B3567" s="20" t="str">
        <f>IFERROR(__xludf.DUMMYFUNCTION("GOOGLETRANSLATE(A3567, ""fr"", ""en"")"),"The lighting of the whole fresh lineaire is hs")</f>
        <v>The lighting of the whole fresh lineaire is hs</v>
      </c>
    </row>
    <row r="3568">
      <c r="A3568" s="19" t="s">
        <v>2692</v>
      </c>
      <c r="B3568" s="20" t="str">
        <f>IFERROR(__xludf.DUMMYFUNCTION("GOOGLETRANSLATE(A3568, ""fr"", ""en"")"),"furniture with an alarm while the temperature is good")</f>
        <v>furniture with an alarm while the temperature is good</v>
      </c>
    </row>
    <row r="3569">
      <c r="A3569" s="19" t="s">
        <v>2693</v>
      </c>
      <c r="B3569" s="20" t="str">
        <f>IFERROR(__xludf.DUMMYFUNCTION("GOOGLETRANSLATE(A3569, ""fr"", ""en"")"),"At. Lum hs mf allée from the bottom")</f>
        <v>At. Lum hs mf allée from the bottom</v>
      </c>
    </row>
    <row r="3570">
      <c r="A3570" s="19" t="s">
        <v>2694</v>
      </c>
      <c r="B3570" s="20" t="str">
        <f>IFERROR(__xludf.DUMMYFUNCTION("GOOGLETRANSLATE(A3570, ""fr"", ""en"")"),"Lighting no longer works")</f>
        <v>Lighting no longer works</v>
      </c>
    </row>
    <row r="3571">
      <c r="A3571" s="21"/>
      <c r="B3571" s="20" t="str">
        <f>IFERROR(__xludf.DUMMYFUNCTION("GOOGLETRANSLATE(A3571, ""fr"", ""en"")"),"#VALUE!")</f>
        <v>#VALUE!</v>
      </c>
    </row>
    <row r="3572">
      <c r="A3572" s="19" t="s">
        <v>2695</v>
      </c>
      <c r="B3572" s="20" t="str">
        <f>IFERROR(__xludf.DUMMYFUNCTION("GOOGLETRANSLATE(A3572, ""fr"", ""en"")"),"HS lightning.")</f>
        <v>HS lightning.</v>
      </c>
    </row>
    <row r="3573">
      <c r="A3573" s="19" t="s">
        <v>2696</v>
      </c>
      <c r="B3573" s="20" t="str">
        <f>IFERROR(__xludf.DUMMYFUNCTION("GOOGLETRANSLATE(A3573, ""fr"", ""en"")"),"To replace the 2 bumper of MF Mail FM")</f>
        <v>To replace the 2 bumper of MF Mail FM</v>
      </c>
    </row>
    <row r="3574">
      <c r="A3574" s="19" t="s">
        <v>2697</v>
      </c>
      <c r="B3574" s="20" t="str">
        <f>IFERROR(__xludf.DUMMYFUNCTION("GOOGLETRANSLATE(A3574, ""fr"", ""en"")"),"OTHER
 Cold alarm: Dry Cooler Outdoor 1 Since 2:27 am tonight")</f>
        <v>OTHER
 Cold alarm: Dry Cooler Outdoor 1 Since 2:27 am tonight</v>
      </c>
    </row>
    <row r="3575">
      <c r="A3575" s="19" t="s">
        <v>2698</v>
      </c>
      <c r="B3575" s="20" t="str">
        <f>IFERROR(__xludf.DUMMYFUNCTION("GOOGLETRANSLATE(A3575, ""fr"", ""en"")"),"There is no more active light")</f>
        <v>There is no more active light</v>
      </c>
    </row>
    <row r="3576">
      <c r="A3576" s="19" t="s">
        <v>2699</v>
      </c>
      <c r="B3576" s="20" t="str">
        <f>IFERROR(__xludf.DUMMYFUNCTION("GOOGLETRANSLATE(A3576, ""fr"", ""en"")"),"No light on a second furniture to coach")</f>
        <v>No light on a second furniture to coach</v>
      </c>
    </row>
    <row r="3577">
      <c r="A3577" s="19" t="s">
        <v>2700</v>
      </c>
      <c r="B3577" s="20" t="str">
        <f>IFERROR(__xludf.DUMMYFUNCTION("GOOGLETRANSLATE(A3577, ""fr"", ""en"")"),"Problems on fresh furniture doors.")</f>
        <v>Problems on fresh furniture doors.</v>
      </c>
    </row>
    <row r="3578">
      <c r="A3578" s="19" t="s">
        <v>1305</v>
      </c>
      <c r="B3578" s="20" t="str">
        <f>IFERROR(__xludf.DUMMYFUNCTION("GOOGLETRANSLATE(A3578, ""fr"", ""en"")"),"Too high temperature")</f>
        <v>Too high temperature</v>
      </c>
    </row>
    <row r="3579">
      <c r="A3579" s="19" t="s">
        <v>2701</v>
      </c>
      <c r="B3579" s="20" t="str">
        <f>IFERROR(__xludf.DUMMYFUNCTION("GOOGLETRANSLATE(A3579, ""fr"", ""en"")"),"Innacessible molds")</f>
        <v>Innacessible molds</v>
      </c>
    </row>
    <row r="3580">
      <c r="A3580" s="19" t="s">
        <v>2702</v>
      </c>
      <c r="B3580" s="20" t="str">
        <f>IFERROR(__xludf.DUMMYFUNCTION("GOOGLETRANSLATE(A3580, ""fr"", ""en"")"),"furnished")</f>
        <v>furnished</v>
      </c>
    </row>
    <row r="3581">
      <c r="A3581" s="19" t="s">
        <v>2703</v>
      </c>
      <c r="B3581" s="20" t="str">
        <f>IFERROR(__xludf.DUMMYFUNCTION("GOOGLETRANSLATE(A3581, ""fr"", ""en"")"),"At replace the MF Casée Mail FM grid")</f>
        <v>At replace the MF Casée Mail FM grid</v>
      </c>
    </row>
    <row r="3582">
      <c r="A3582" s="21"/>
      <c r="B3582" s="20" t="str">
        <f>IFERROR(__xludf.DUMMYFUNCTION("GOOGLETRANSLATE(A3582, ""fr"", ""en"")"),"#VALUE!")</f>
        <v>#VALUE!</v>
      </c>
    </row>
    <row r="3583">
      <c r="A3583" s="19" t="s">
        <v>2704</v>
      </c>
      <c r="B3583" s="20" t="str">
        <f>IFERROR(__xludf.DUMMYFUNCTION("GOOGLETRANSLATE(A3583, ""fr"", ""en"")"),"Fresh furniture that makes a lot of noises")</f>
        <v>Fresh furniture that makes a lot of noises</v>
      </c>
    </row>
    <row r="3584">
      <c r="A3584" s="21"/>
      <c r="B3584" s="20" t="str">
        <f>IFERROR(__xludf.DUMMYFUNCTION("GOOGLETRANSLATE(A3584, ""fr"", ""en"")"),"#VALUE!")</f>
        <v>#VALUE!</v>
      </c>
    </row>
    <row r="3585">
      <c r="A3585" s="19" t="s">
        <v>2705</v>
      </c>
      <c r="B3585" s="20" t="str">
        <f>IFERROR(__xludf.DUMMYFUNCTION("GOOGLETRANSLATE(A3585, ""fr"", ""en"")"),"damaged box gate")</f>
        <v>damaged box gate</v>
      </c>
    </row>
    <row r="3586">
      <c r="A3586" s="19" t="s">
        <v>2706</v>
      </c>
      <c r="B3586" s="20" t="str">
        <f>IFERROR(__xludf.DUMMYFUNCTION("GOOGLETRANSLATE(A3586, ""fr"", ""en"")"),"Photos Fund Tables Request")</f>
        <v>Photos Fund Tables Request</v>
      </c>
    </row>
    <row r="3587">
      <c r="A3587" s="19" t="s">
        <v>2707</v>
      </c>
      <c r="B3587" s="20" t="str">
        <f>IFERROR(__xludf.DUMMYFUNCTION("GOOGLETRANSLATE(A3587, ""fr"", ""en"")"),"Is it possible to come and move the body to remove the objects/articleq falling behind? THANKS")</f>
        <v>Is it possible to come and move the body to remove the objects/articleq falling behind? THANKS</v>
      </c>
    </row>
    <row r="3588">
      <c r="A3588" s="19" t="s">
        <v>2708</v>
      </c>
      <c r="B3588" s="20" t="str">
        <f>IFERROR(__xludf.DUMMYFUNCTION("GOOGLETRANSLATE(A3588, ""fr"", ""en"")"),"Photos Tables of Fund - Bo Request")</f>
        <v>Photos Tables of Fund - Bo Request</v>
      </c>
    </row>
    <row r="3589">
      <c r="A3589" s="19" t="s">
        <v>2709</v>
      </c>
      <c r="B3589" s="20" t="str">
        <f>IFERROR(__xludf.DUMMYFUNCTION("GOOGLETRANSLATE(A3589, ""fr"", ""en"")"),"broken arm")</f>
        <v>broken arm</v>
      </c>
    </row>
    <row r="3590">
      <c r="A3590" s="19" t="s">
        <v>2710</v>
      </c>
      <c r="B3590" s="20" t="str">
        <f>IFERROR(__xludf.DUMMYFUNCTION("GOOGLETRANSLATE(A3590, ""fr"", ""en"")"),"Don't take a species")</f>
        <v>Don't take a species</v>
      </c>
    </row>
    <row r="3591">
      <c r="A3591" s="19" t="s">
        <v>2711</v>
      </c>
      <c r="B3591" s="20" t="str">
        <f>IFERROR(__xludf.DUMMYFUNCTION("GOOGLETRANSLATE(A3591, ""fr"", ""en"")"),"Lack of black key so passed in the monnayeur")</f>
        <v>Lack of black key so passed in the monnayeur</v>
      </c>
    </row>
    <row r="3592">
      <c r="A3592" s="19" t="s">
        <v>2712</v>
      </c>
      <c r="B3592" s="20" t="str">
        <f>IFERROR(__xludf.DUMMYFUNCTION("GOOGLETRANSLATE(A3592, ""fr"", ""en"")"),"We can't open the door / material problem detected")</f>
        <v>We can't open the door / material problem detected</v>
      </c>
    </row>
    <row r="3593">
      <c r="A3593" s="19" t="s">
        <v>2713</v>
      </c>
      <c r="B3593" s="20" t="str">
        <f>IFERROR(__xludf.DUMMYFUNCTION("GOOGLETRANSLATE(A3593, ""fr"", ""en"")"),"No longer works does not receive a species")</f>
        <v>No longer works does not receive a species</v>
      </c>
    </row>
    <row r="3594">
      <c r="A3594" s="19" t="s">
        <v>2714</v>
      </c>
      <c r="B3594" s="20" t="str">
        <f>IFERROR(__xludf.DUMMYFUNCTION("GOOGLETRANSLATE(A3594, ""fr"", ""en"")"),"The automatic body does not start after 3 times light.")</f>
        <v>The automatic body does not start after 3 times light.</v>
      </c>
    </row>
    <row r="3595">
      <c r="A3595" s="19" t="s">
        <v>2715</v>
      </c>
      <c r="B3595" s="20" t="str">
        <f>IFERROR(__xludf.DUMMYFUNCTION("GOOGLETRANSLATE(A3595, ""fr"", ""en"")"),"Do not remember anymore,")</f>
        <v>Do not remember anymore,</v>
      </c>
    </row>
    <row r="3596">
      <c r="A3596" s="19" t="s">
        <v>2716</v>
      </c>
      <c r="B3596" s="20" t="str">
        <f>IFERROR(__xludf.DUMMYFUNCTION("GOOGLETRANSLATE(A3596, ""fr"", ""en"")"),"Urgezbt SCO HS Malgres Several Redemaking and Manipulation")</f>
        <v>Urgezbt SCO HS Malgres Several Redemaking and Manipulation</v>
      </c>
    </row>
    <row r="3597">
      <c r="A3597" s="19" t="s">
        <v>2717</v>
      </c>
      <c r="B3597" s="20" t="str">
        <f>IFERROR(__xludf.DUMMYFUNCTION("GOOGLETRANSLATE(A3597, ""fr"", ""en"")"),"SCO 83 HS no longer works")</f>
        <v>SCO 83 HS no longer works</v>
      </c>
    </row>
    <row r="3598">
      <c r="A3598" s="19" t="s">
        <v>2718</v>
      </c>
      <c r="B3598" s="20" t="str">
        <f>IFERROR(__xludf.DUMMYFUNCTION("GOOGLETRANSLATE(A3598, ""fr"", ""en"")"),"does not light")</f>
        <v>does not light</v>
      </c>
    </row>
    <row r="3599">
      <c r="A3599" s="19" t="s">
        <v>2719</v>
      </c>
      <c r="B3599" s="20" t="str">
        <f>IFERROR(__xludf.DUMMYFUNCTION("GOOGLETRANSLATE(A3599, ""fr"", ""en"")"),"do not work")</f>
        <v>do not work</v>
      </c>
    </row>
    <row r="3600">
      <c r="A3600" s="19" t="s">
        <v>2720</v>
      </c>
      <c r="B3600" s="20" t="str">
        <f>IFERROR(__xludf.DUMMYFUNCTION("GOOGLETRANSLATE(A3600, ""fr"", ""en"")"),"Urgent SCO 81 and 83 no longer works, SCO 84 no longer takes the species")</f>
        <v>Urgent SCO 81 and 83 no longer works, SCO 84 no longer takes the species</v>
      </c>
    </row>
    <row r="3601">
      <c r="A3601" s="19" t="s">
        <v>2721</v>
      </c>
      <c r="B3601" s="20" t="str">
        <f>IFERROR(__xludf.DUMMYFUNCTION("GOOGLETRANSLATE(A3601, ""fr"", ""en"")"),"The SCO 83 no longer demarcates, it remains on waiting for start -ups.")</f>
        <v>The SCO 83 no longer demarcates, it remains on waiting for start -ups.</v>
      </c>
    </row>
    <row r="3602">
      <c r="A3602" s="19" t="s">
        <v>2722</v>
      </c>
      <c r="B3602" s="20" t="str">
        <f>IFERROR(__xludf.DUMMYFUNCTION("GOOGLETRANSLATE(A3602, ""fr"", ""en"")"),"SCO 83 no longer lights up, after several attempts")</f>
        <v>SCO 83 no longer lights up, after several attempts</v>
      </c>
    </row>
    <row r="3603">
      <c r="A3603" s="19" t="s">
        <v>2723</v>
      </c>
      <c r="B3603" s="20" t="str">
        <f>IFERROR(__xludf.DUMMYFUNCTION("GOOGLETRANSLATE(A3603, ""fr"", ""en"")"),"The ticket distributor no longer works")</f>
        <v>The ticket distributor no longer works</v>
      </c>
    </row>
    <row r="3604">
      <c r="A3604" s="19" t="s">
        <v>2724</v>
      </c>
      <c r="B3604" s="20" t="str">
        <f>IFERROR(__xludf.DUMMYFUNCTION("GOOGLETRANSLATE(A3604, ""fr"", ""en"")"),"Sautical circuit breaker, electric problem. Outside service")</f>
        <v>Sautical circuit breaker, electric problem. Outside service</v>
      </c>
    </row>
    <row r="3605">
      <c r="A3605" s="19" t="s">
        <v>2725</v>
      </c>
      <c r="B3605" s="20" t="str">
        <f>IFERROR(__xludf.DUMMYFUNCTION("GOOGLETRANSLATE(A3605, ""fr"", ""en"")"),"Urgent The temperature felt Enagasin is high. It is unpleasant to work under these conditions.")</f>
        <v>Urgent The temperature felt Enagasin is high. It is unpleasant to work under these conditions.</v>
      </c>
    </row>
    <row r="3606">
      <c r="A3606" s="19" t="s">
        <v>2726</v>
      </c>
      <c r="B3606" s="20" t="str">
        <f>IFERROR(__xludf.DUMMYFUNCTION("GOOGLETRANSLATE(A3606, ""fr"", ""en"")"),"Glue the ventilation insulation in reserve")</f>
        <v>Glue the ventilation insulation in reserve</v>
      </c>
    </row>
    <row r="3607">
      <c r="A3607" s="19" t="s">
        <v>2727</v>
      </c>
      <c r="B3607" s="20" t="str">
        <f>IFERROR(__xludf.DUMMYFUNCTION("GOOGLETRANSLATE(A3607, ""fr"", ""en"")"),"VI+PI+Sentiment+Opening Espfr DEKRA COOK")</f>
        <v>VI+PI+Sentiment+Opening Espfr DEKRA COOK</v>
      </c>
    </row>
    <row r="3608">
      <c r="A3608" s="19" t="s">
        <v>2728</v>
      </c>
      <c r="B3608" s="20" t="str">
        <f>IFERROR(__xludf.DUMMYFUNCTION("GOOGLETRANSLATE(A3608, ""fr"", ""en"")"),"Urgent please the abnormally low EF temperature on the sales surface and in reserve. thanks in advance.")</f>
        <v>Urgent please the abnormally low EF temperature on the sales surface and in reserve. thanks in advance.</v>
      </c>
    </row>
    <row r="3609">
      <c r="A3609" s="19" t="s">
        <v>2729</v>
      </c>
      <c r="B3609" s="20" t="str">
        <f>IFERROR(__xludf.DUMMYFUNCTION("GOOGLETRANSLATE(A3609, ""fr"", ""en"")"),"Far too much steam at the risk of burning risk")</f>
        <v>Far too much steam at the risk of burning risk</v>
      </c>
    </row>
    <row r="3610">
      <c r="A3610" s="19" t="s">
        <v>2730</v>
      </c>
      <c r="B3610" s="20" t="str">
        <f>IFERROR(__xludf.DUMMYFUNCTION("GOOGLETRANSLATE(A3610, ""fr"", ""en"")"),"The door no longer wants to open")</f>
        <v>The door no longer wants to open</v>
      </c>
    </row>
    <row r="3611">
      <c r="A3611" s="19" t="s">
        <v>2731</v>
      </c>
      <c r="B3611" s="20" t="str">
        <f>IFERROR(__xludf.DUMMYFUNCTION("GOOGLETRANSLATE(A3611, ""fr"", ""en"")"),"water flowing on the ground")</f>
        <v>water flowing on the ground</v>
      </c>
    </row>
    <row r="3612">
      <c r="A3612" s="19" t="s">
        <v>2732</v>
      </c>
      <c r="B3612" s="20" t="str">
        <f>IFERROR(__xludf.DUMMYFUNCTION("GOOGLETRANSLATE(A3612, ""fr"", ""en"")"),"urgent several defective doors. Risk of team injury and customers.")</f>
        <v>urgent several defective doors. Risk of team injury and customers.</v>
      </c>
    </row>
    <row r="3613">
      <c r="A3613" s="19" t="s">
        <v>2733</v>
      </c>
      <c r="B3613" s="20" t="str">
        <f>IFERROR(__xludf.DUMMYFUNCTION("GOOGLETRANSLATE(A3613, ""fr"", ""en"")"),"DEFECTURE PAGE CAISE 3")</f>
        <v>DEFECTURE PAGE CAISE 3</v>
      </c>
    </row>
    <row r="3614">
      <c r="A3614" s="19" t="s">
        <v>2734</v>
      </c>
      <c r="B3614" s="20" t="str">
        <f>IFERROR(__xludf.DUMMYFUNCTION("GOOGLETRANSLATE(A3614, ""fr"", ""en"")"),"At Caisse KC")</f>
        <v>At Caisse KC</v>
      </c>
    </row>
    <row r="3615">
      <c r="A3615" s="19" t="s">
        <v>2735</v>
      </c>
      <c r="B3615" s="20" t="str">
        <f>IFERROR(__xludf.DUMMYFUNCTION("GOOGLETRANSLATE(A3615, ""fr"", ""en"")"),"The carpet stops untimely because the Aubout plate lifts")</f>
        <v>The carpet stops untimely because the Aubout plate lifts</v>
      </c>
    </row>
    <row r="3616">
      <c r="A3616" s="19" t="s">
        <v>2736</v>
      </c>
      <c r="B3616" s="20" t="str">
        <f>IFERROR(__xludf.DUMMYFUNCTION("GOOGLETRANSLATE(A3616, ""fr"", ""en"")"),"Ivation of the little glass at the Nivau of the Libra")</f>
        <v>Ivation of the little glass at the Nivau of the Libra</v>
      </c>
    </row>
    <row r="3617">
      <c r="A3617" s="19" t="s">
        <v>2737</v>
      </c>
      <c r="B3617" s="20" t="str">
        <f>IFERROR(__xludf.DUMMYFUNCTION("GOOGLETRANSLATE(A3617, ""fr"", ""en"")"),"The portico does not sound despite the presence of anti -theft")</f>
        <v>The portico does not sound despite the presence of anti -theft</v>
      </c>
    </row>
    <row r="3618">
      <c r="A3618" s="19" t="s">
        <v>2329</v>
      </c>
      <c r="B3618" s="20" t="str">
        <f>IFERROR(__xludf.DUMMYFUNCTION("GOOGLETRANSLATE(A3618, ""fr"", ""en"")"),"FM: To be pooled with another intervention in these 4 SPM: Activate Hélène Chillet's badge (Honeywell 1000602358 and Siemens badge number (ends with 58196).")</f>
        <v>FM: To be pooled with another intervention in these 4 SPM: Activate Hélène Chillet's badge (Honeywell 1000602358 and Siemens badge number (ends with 58196).</v>
      </c>
    </row>
    <row r="3619">
      <c r="A3619" s="19" t="s">
        <v>2738</v>
      </c>
      <c r="B3619" s="20" t="str">
        <f>IFERROR(__xludf.DUMMYFUNCTION("GOOGLETRANSLATE(A3619, ""fr"", ""en"")"),"RMRDIVERS: Please set up a lighting in front of the current cosmetics for adding cosmetic axes.")</f>
        <v>RMRDIVERS: Please set up a lighting in front of the current cosmetics for adding cosmetic axes.</v>
      </c>
    </row>
    <row r="3620">
      <c r="A3620" s="19" t="s">
        <v>2412</v>
      </c>
      <c r="B3620" s="20" t="str">
        <f>IFERROR(__xludf.DUMMYFUNCTION("GOOGLETRANSLATE(A3620, ""fr"", ""en"")"),"FM: Cleaning Park with carts - Module 12 - To be finished in S32. Immerately attach the checklists.")</f>
        <v>FM: Cleaning Park with carts - Module 12 - To be finished in S32. Immerately attach the checklists.</v>
      </c>
    </row>
    <row r="3621">
      <c r="A3621" s="19" t="s">
        <v>1458</v>
      </c>
      <c r="B3621" s="20" t="str">
        <f>IFERROR(__xludf.DUMMYFUNCTION("GOOGLETRANSLATE(A3621, ""fr"", ""en"")"),"FM: Control if the TGBT room is accessible from outside. If so, can we access it with the 7/7 key? If not, take the measurement of the cylinder to order. See Mail Ali from 30/12.")</f>
        <v>FM: Control if the TGBT room is accessible from outside. If so, can we access it with the 7/7 key? If not, take the measurement of the cylinder to order. See Mail Ali from 30/12.</v>
      </c>
    </row>
    <row r="3622">
      <c r="A3622" s="19" t="s">
        <v>2739</v>
      </c>
      <c r="B3622" s="20" t="str">
        <f>IFERROR(__xludf.DUMMYFUNCTION("GOOGLETRANSLATE(A3622, ""fr"", ""en"")"),"FM: Caisses Cleaning - Module 6 - S32. Immerately attach the checklists.")</f>
        <v>FM: Caisses Cleaning - Module 6 - S32. Immerately attach the checklists.</v>
      </c>
    </row>
    <row r="3623">
      <c r="A3623" s="19" t="s">
        <v>2740</v>
      </c>
      <c r="B3623" s="20" t="str">
        <f>IFERROR(__xludf.DUMMYFUNCTION("GOOGLETRANSLATE(A3623, ""fr"", ""en"")"),"FM: Please intervene following the Cythélia report, lack of communication: restart of the router (Solarog) on ​​site.")</f>
        <v>FM: Please intervene following the Cythélia report, lack of communication: restart of the router (Solarog) on ​​site.</v>
      </c>
    </row>
    <row r="3624">
      <c r="A3624" s="19" t="s">
        <v>2415</v>
      </c>
      <c r="B3624" s="20" t="str">
        <f>IFERROR(__xludf.DUMMYFUNCTION("GOOGLETRANSLATE(A3624, ""fr"", ""en"")"),"FM: Basse window cleaning - Module 7 - S34. Immerately attach the checklists.")</f>
        <v>FM: Basse window cleaning - Module 7 - S34. Immerately attach the checklists.</v>
      </c>
    </row>
    <row r="3625">
      <c r="A3625" s="19" t="s">
        <v>2741</v>
      </c>
      <c r="B3625" s="20" t="str">
        <f>IFERROR(__xludf.DUMMYFUNCTION("GOOGLETRANSLATE(A3625, ""fr"", ""en"")"),"FM: High window cleaning - Module 7 - S28. Immerately attach the checklists.")</f>
        <v>FM: High window cleaning - Module 7 - S28. Immerately attach the checklists.</v>
      </c>
    </row>
    <row r="3626">
      <c r="A3626" s="19" t="s">
        <v>1390</v>
      </c>
      <c r="B3626" s="20" t="str">
        <f>IFERROR(__xludf.DUMMYFUNCTION("GOOGLETRANSLATE(A3626, ""fr"", ""en"")"),"Various RMR sale for all DR02 SPMs to do before the end S31voir Devis
 Install the Visuals of the Aggressiveness Price campaign. The detail is in the joint pdf")</f>
        <v>Various RMR sale for all DR02 SPMs to do before the end S31voir Devis
 Install the Visuals of the Aggressiveness Price campaign. The detail is in the joint pdf</v>
      </c>
    </row>
    <row r="3627">
      <c r="A3627" s="19" t="s">
        <v>2742</v>
      </c>
      <c r="B3627" s="20" t="str">
        <f>IFERROR(__xludf.DUMMYFUNCTION("GOOGLETRANSLATE(A3627, ""fr"", ""en"")"),"FM: Follow -up TV removal report, please intervene following a cold defect of more than a day.")</f>
        <v>FM: Follow -up TV removal report, please intervene following a cold defect of more than a day.</v>
      </c>
    </row>
    <row r="3628">
      <c r="A3628" s="19" t="s">
        <v>2743</v>
      </c>
      <c r="B3628" s="20" t="str">
        <f>IFERROR(__xludf.DUMMYFUNCTION("GOOGLETRANSLATE(A3628, ""fr"", ""en"")"),"FM: EAS terminal does not work + deactivator HS Caisse 6")</f>
        <v>FM: EAS terminal does not work + deactivator HS Caisse 6</v>
      </c>
    </row>
    <row r="3629">
      <c r="A3629" s="19" t="s">
        <v>2744</v>
      </c>
      <c r="B3629" s="20" t="str">
        <f>IFERROR(__xludf.DUMMYFUNCTION("GOOGLETRANSLATE(A3629, ""fr"", ""en"")"),"FM: anti panic opening from the Quai, HS")</f>
        <v>FM: anti panic opening from the Quai, HS</v>
      </c>
    </row>
    <row r="3630">
      <c r="A3630" s="19" t="s">
        <v>1551</v>
      </c>
      <c r="B3630" s="20" t="str">
        <f>IFERROR(__xludf.DUMMYFUNCTION("GOOGLETRANSLATE(A3630, ""fr"", ""en"")"),"FM: Thank you for intervening on the IRVE terminals, they are defects on has been.")</f>
        <v>FM: Thank you for intervening on the IRVE terminals, they are defects on has been.</v>
      </c>
    </row>
    <row r="3631">
      <c r="A3631" s="19" t="s">
        <v>1462</v>
      </c>
      <c r="B3631" s="20" t="str">
        <f>IFERROR(__xludf.DUMMYFUNCTION("GOOGLETRANSLATE(A3631, ""fr"", ""en"")"),"FM: Ba sheet code - Install the adhesives safety instructions.
 Deadline 04/30/2023")</f>
        <v>FM: Ba sheet code - Install the adhesives safety instructions.
 Deadline 04/30/2023</v>
      </c>
    </row>
    <row r="3632">
      <c r="A3632" s="19" t="s">
        <v>2745</v>
      </c>
      <c r="B3632" s="20" t="str">
        <f>IFERROR(__xludf.DUMMYFUNCTION("GOOGLETRANSLATE(A3632, ""fr"", ""en"")"),"FM: Thank you for making the observations")</f>
        <v>FM: Thank you for making the observations</v>
      </c>
    </row>
    <row r="3633">
      <c r="A3633" s="19" t="s">
        <v>2746</v>
      </c>
      <c r="B3633" s="20" t="str">
        <f>IFERROR(__xludf.DUMMYFUNCTION("GOOGLETRANSLATE(A3633, ""fr"", ""en"")"),"FM: Badge configuration according to PJ list.")</f>
        <v>FM: Badge configuration according to PJ list.</v>
      </c>
    </row>
    <row r="3634">
      <c r="A3634" s="19" t="s">
        <v>2747</v>
      </c>
      <c r="B3634" s="20" t="str">
        <f>IFERROR(__xludf.DUMMYFUNCTION("GOOGLETRANSLATE(A3634, ""fr"", ""en"")"),"FM: Thank you for intervening, the reserve set temperature is 23 ° C+ Fault installation CF Photo.")</f>
        <v>FM: Thank you for intervening, the reserve set temperature is 23 ° C+ Fault installation CF Photo.</v>
      </c>
    </row>
    <row r="3635">
      <c r="A3635" s="19" t="s">
        <v>2748</v>
      </c>
      <c r="B3635" s="20" t="str">
        <f>IFERROR(__xludf.DUMMYFUNCTION("GOOGLETRANSLATE(A3635, ""fr"", ""en"")"),"FM: intervene in the 5 SPM for:
 - Configuration of salaried badges (employee list in the PJ file ‘Listing SPM Flop di’). The technician must validate the list during his intervention. No nameless badge should be left active.
 - configuration of Badges Dr"&amp;" + Elected
 - Creation of 10 non -supervisory badges + 10 supervisory badges (to be appointed ""Framing 1 - Framing 2 - etc.) // leave on site to the store manager 2 non -supervisory badges and 5 supervisory badges, to be stored in the trunk. The rest is "&amp;"to be delivered in DR.
 - Configuration of delivery areas of delivery areas at 60 minutes (new seat instructions)
 - Central configuration to switch to SPC Connect for SPM 3709 - 3772 - 3946")</f>
        <v>FM: intervene in the 5 SPM for:
 - Configuration of salaried badges (employee list in the PJ file ‘Listing SPM Flop di’). The technician must validate the list during his intervention. No nameless badge should be left active.
 - configuration of Badges Dr + Elected
 - Creation of 10 non -supervisory badges + 10 supervisory badges (to be appointed "Framing 1 - Framing 2 - etc.) // leave on site to the store manager 2 non -supervisory badges and 5 supervisory badges, to be stored in the trunk. The rest is to be delivered in DR.
 - Configuration of delivery areas of delivery areas at 60 minutes (new seat instructions)
 - Central configuration to switch to SPC Connect for SPM 3709 - 3772 - 3946</v>
      </c>
    </row>
    <row r="3636">
      <c r="A3636" s="19" t="s">
        <v>2749</v>
      </c>
      <c r="B3636" s="20" t="str">
        <f>IFERROR(__xludf.DUMMYFUNCTION("GOOGLETRANSLATE(A3636, ""fr"", ""en"")"),"FM: Please intervene on 08/30 from 10 p.m. to test the connection (see email).")</f>
        <v>FM: Please intervene on 08/30 from 10 p.m. to test the connection (see email).</v>
      </c>
    </row>
    <row r="3637">
      <c r="A3637" s="19" t="s">
        <v>2416</v>
      </c>
      <c r="B3637" s="20" t="str">
        <f>IFERROR(__xludf.DUMMYFUNCTION("GOOGLETRANSLATE(A3637, ""fr"", ""en"")"),"FM: Check if the battery tray is on the shelf. If not, you have to lower the shelf and put the tank on it. Photo in PJ.")</f>
        <v>FM: Check if the battery tray is on the shelf. If not, you have to lower the shelf and put the tank on it. Photo in PJ.</v>
      </c>
    </row>
    <row r="3638">
      <c r="A3638" s="19" t="s">
        <v>2750</v>
      </c>
      <c r="B3638" s="20" t="str">
        <f>IFERROR(__xludf.DUMMYFUNCTION("GOOGLETRANSLATE(A3638, ""fr"", ""en"")"),"FM: We want a supervisor for 07/06/2023. Please send us a confirmation by email.")</f>
        <v>FM: We want a supervisor for 07/06/2023. Please send us a confirmation by email.</v>
      </c>
    </row>
    <row r="3639">
      <c r="A3639" s="19" t="s">
        <v>1459</v>
      </c>
      <c r="B3639" s="20" t="str">
        <f>IFERROR(__xludf.DUMMYFUNCTION("GOOGLETRANSLATE(A3639, ""fr"", ""en"")"),"FM: Please control during your passages if the ""Welcome"" logo is hidden by a world record relay (see photo). If so, please remove the logo behind the locker.")</f>
        <v>FM: Please control during your passages if the "Welcome" logo is hidden by a world record relay (see photo). If so, please remove the logo behind the locker.</v>
      </c>
    </row>
    <row r="3640">
      <c r="A3640" s="19" t="s">
        <v>2751</v>
      </c>
      <c r="B3640" s="20" t="str">
        <f>IFERROR(__xludf.DUMMYFUNCTION("GOOGLETRANSLATE(A3640, ""fr"", ""en"")"),"FM: Thank you for intervening for a complete cleaning Wednesday 7/06 after closure (transmit the “full Net” checklist to have the SPM signed by the SPM)")</f>
        <v>FM: Thank you for intervening for a complete cleaning Wednesday 7/06 after closure (transmit the “full Net” checklist to have the SPM signed by the SPM)</v>
      </c>
    </row>
    <row r="3641">
      <c r="A3641" s="19" t="s">
        <v>1394</v>
      </c>
      <c r="B3641" s="20" t="str">
        <f>IFERROR(__xludf.DUMMYFUNCTION("GOOGLETRANSLATE(A3641, ""fr"", ""en"")"),"Sale cleaning of parking lots on Monday April 11, 2022")</f>
        <v>Sale cleaning of parking lots on Monday April 11, 2022</v>
      </c>
    </row>
    <row r="3642">
      <c r="A3642" s="19" t="s">
        <v>2752</v>
      </c>
      <c r="B3642" s="20" t="str">
        <f>IFERROR(__xludf.DUMMYFUNCTION("GOOGLETRANSLATE(A3642, ""fr"", ""en"")"),"FM: Following your checklist, please put a slaughter on the toilet.")</f>
        <v>FM: Following your checklist, please put a slaughter on the toilet.</v>
      </c>
    </row>
    <row r="3643">
      <c r="A3643" s="19" t="s">
        <v>2753</v>
      </c>
      <c r="B3643" s="20" t="str">
        <f>IFERROR(__xludf.DUMMYFUNCTION("GOOGLETRANSLATE(A3643, ""fr"", ""en"")"),"FM: Please intervene following the validation of quotes n ° 11000580. Modification of the cassette. Please leave the old time cassette (to leave in the store reserve).")</f>
        <v>FM: Please intervene following the validation of quotes n ° 11000580. Modification of the cassette. Please leave the old time cassette (to leave in the store reserve).</v>
      </c>
    </row>
    <row r="3644">
      <c r="A3644" s="19" t="s">
        <v>2754</v>
      </c>
      <c r="B3644" s="20" t="str">
        <f>IFERROR(__xludf.DUMMYFUNCTION("GOOGLETRANSLATE(A3644, ""fr"", ""en"")"),"FM: SCO disjunction problem")</f>
        <v>FM: SCO disjunction problem</v>
      </c>
    </row>
    <row r="3645">
      <c r="A3645" s="19" t="s">
        <v>1396</v>
      </c>
      <c r="B3645" s="20" t="str">
        <f>IFERROR(__xludf.DUMMYFUNCTION("GOOGLETRANSLATE(A3645, ""fr"", ""en"")"),"Sale - Cleaning of car parks on Friday November 18, 2022")</f>
        <v>Sale - Cleaning of car parks on Friday November 18, 2022</v>
      </c>
    </row>
    <row r="3646">
      <c r="A3646" s="19" t="s">
        <v>2755</v>
      </c>
      <c r="B3646" s="20" t="str">
        <f>IFERROR(__xludf.DUMMYFUNCTION("GOOGLETRANSLATE(A3646, ""fr"", ""en"")"),"FM: Thank you for intervening following three cold flaws tonight.")</f>
        <v>FM: Thank you for intervening following three cold flaws tonight.</v>
      </c>
    </row>
    <row r="3647">
      <c r="A3647" s="19" t="s">
        <v>2756</v>
      </c>
      <c r="B3647" s="20" t="str">
        <f>IFERROR(__xludf.DUMMYFUNCTION("GOOGLETRANSLATE(A3647, ""fr"", ""en"")"),"FM: Drinking furniture will be installed soon (see PJ plans). Please intervene before the following dates to set up the power supplies. Molsheim: 04/04 // Meinau: 05/04 // ECKBOLSHEIM: 06/04 // LUINGOLSHEIM: 07/04 // HOENHEIM: 11/04.")</f>
        <v>FM: Drinking furniture will be installed soon (see PJ plans). Please intervene before the following dates to set up the power supplies. Molsheim: 04/04 // Meinau: 05/04 // ECKBOLSHEIM: 06/04 // LUINGOLSHEIM: 07/04 // HOENHEIM: 11/04.</v>
      </c>
    </row>
    <row r="3648">
      <c r="A3648" s="19" t="s">
        <v>2757</v>
      </c>
      <c r="B3648" s="20" t="str">
        <f>IFERROR(__xludf.DUMMYFUNCTION("GOOGLETRANSLATE(A3648, ""fr"", ""en"")"),"FM: Surg bins will be installed on 30/03 in a bakery, please be present this day or the next day in order to provide the power supplies")</f>
        <v>FM: Surg bins will be installed on 30/03 in a bakery, please be present this day or the next day in order to provide the power supplies</v>
      </c>
    </row>
    <row r="3649">
      <c r="A3649" s="19" t="s">
        <v>1398</v>
      </c>
      <c r="B3649" s="20" t="str">
        <f>IFERROR(__xludf.DUMMYFUNCTION("GOOGLETRANSLATE(A3649, ""fr"", ""en"")"),"Sale - Cleaning of parking lots on Friday April 28, 2023")</f>
        <v>Sale - Cleaning of parking lots on Friday April 28, 2023</v>
      </c>
    </row>
    <row r="3650">
      <c r="A3650" s="19" t="s">
        <v>2758</v>
      </c>
      <c r="B3650" s="20" t="str">
        <f>IFERROR(__xludf.DUMMYFUNCTION("GOOGLETRANSLATE(A3650, ""fr"", ""en"")"),"FM: night guarding tonight on 12/04 for cleaning store.")</f>
        <v>FM: night guarding tonight on 12/04 for cleaning store.</v>
      </c>
    </row>
    <row r="3651">
      <c r="A3651" s="19" t="s">
        <v>2759</v>
      </c>
      <c r="B3651" s="20" t="str">
        <f>IFERROR(__xludf.DUMMYFUNCTION("GOOGLETRANSLATE(A3651, ""fr"", ""en"")"),"FM: Caisses Caisses-Boulangerie-Locaux Social-Vitres Basse. Lingolsheim will be made on 04/14 during the day and Eckbolsheim after closing this evening on 12/04. We will send you the checking checklist.")</f>
        <v>FM: Caisses Caisses-Boulangerie-Locaux Social-Vitres Basse. Lingolsheim will be made on 04/14 during the day and Eckbolsheim after closing this evening on 12/04. We will send you the checking checklist.</v>
      </c>
    </row>
    <row r="3652">
      <c r="A3652" s="19" t="s">
        <v>2760</v>
      </c>
      <c r="B3652" s="20" t="str">
        <f>IFERROR(__xludf.DUMMYFUNCTION("GOOGLETRANSLATE(A3652, ""fr"", ""en"")"),"FM: Following Visit Management on 08/06, please intervene for 7/06, remove the cobwebs in the entrance airlock, including the lamps.")</f>
        <v>FM: Following Visit Management on 08/06, please intervene for 7/06, remove the cobwebs in the entrance airlock, including the lamps.</v>
      </c>
    </row>
    <row r="3653">
      <c r="A3653" s="19" t="s">
        <v>2761</v>
      </c>
      <c r="B3653" s="20" t="str">
        <f>IFERROR(__xludf.DUMMYFUNCTION("GOOGLETRANSLATE(A3653, ""fr"", ""en"")"),"FM: Suite Visit Management, please intervene: Protective sheet Local door damaged bin. Remove protection and marshal stick and replaces the tower with a ""ball"" and put a cap on the bottom hole")</f>
        <v>FM: Suite Visit Management, please intervene: Protective sheet Local door damaged bin. Remove protection and marshal stick and replaces the tower with a "ball" and put a cap on the bottom hole</v>
      </c>
    </row>
    <row r="3654">
      <c r="A3654" s="19" t="s">
        <v>2762</v>
      </c>
      <c r="B3654" s="20" t="str">
        <f>IFERROR(__xludf.DUMMYFUNCTION("GOOGLETRANSLATE(A3654, ""fr"", ""en"")"),"FM: Fresh furniture lean forward, check the level of furniture and realign them if necessary (several doors remain ajar)")</f>
        <v>FM: Fresh furniture lean forward, check the level of furniture and realign them if necessary (several doors remain ajar)</v>
      </c>
    </row>
    <row r="3655">
      <c r="A3655" s="19" t="s">
        <v>2462</v>
      </c>
      <c r="B3655" s="20" t="str">
        <f>IFERROR(__xludf.DUMMYFUNCTION("GOOGLETRANSLATE(A3655, ""fr"", ""en"")"),"FM: Please intervene following several cold flaws this weekend.")</f>
        <v>FM: Please intervene following several cold flaws this weekend.</v>
      </c>
    </row>
    <row r="3656">
      <c r="A3656" s="19" t="s">
        <v>2763</v>
      </c>
      <c r="B3656" s="20" t="str">
        <f>IFERROR(__xludf.DUMMYFUNCTION("GOOGLETRANSLATE(A3656, ""fr"", ""en"")"),"FM: Following TV report, please intervene for 2 faults that night.")</f>
        <v>FM: Following TV report, please intervene for 2 faults that night.</v>
      </c>
    </row>
    <row r="3657">
      <c r="A3657" s="19" t="s">
        <v>1601</v>
      </c>
      <c r="B3657" s="20" t="str">
        <f>IFERROR(__xludf.DUMMYFUNCTION("GOOGLETRANSLATE(A3657, ""fr"", ""en"")"),"FM: Please change the DSB MDP during your next visit.")</f>
        <v>FM: Please change the DSB MDP during your next visit.</v>
      </c>
    </row>
    <row r="3658">
      <c r="A3658" s="19" t="s">
        <v>2764</v>
      </c>
      <c r="B3658" s="20" t="str">
        <f>IFERROR(__xludf.DUMMYFUNCTION("GOOGLETRANSLATE(A3658, ""fr"", ""en"")"),"FM: This request concerns Skylight furniture, leaks are always present at the frozen island. The problem is existing since the opening, intervention to be settled permanently and under warranty please.")</f>
        <v>FM: This request concerns Skylight furniture, leaks are always present at the frozen island. The problem is existing since the opening, intervention to be settled permanently and under warranty please.</v>
      </c>
    </row>
    <row r="3659">
      <c r="A3659" s="19" t="s">
        <v>2765</v>
      </c>
      <c r="B3659" s="20" t="str">
        <f>IFERROR(__xludf.DUMMYFUNCTION("GOOGLETRANSLATE(A3659, ""fr"", ""en"")"),"FM: Drinking furniture light does not work")</f>
        <v>FM: Drinking furniture light does not work</v>
      </c>
    </row>
    <row r="3660">
      <c r="A3660" s="19" t="s">
        <v>2766</v>
      </c>
      <c r="B3660" s="20" t="str">
        <f>IFERROR(__xludf.DUMMYFUNCTION("GOOGLETRANSLATE(A3660, ""fr"", ""en"")"),"FM: Please intervene following a cold one hour fault tonight.")</f>
        <v>FM: Please intervene following a cold one hour fault tonight.</v>
      </c>
    </row>
    <row r="3661">
      <c r="A3661" s="19" t="s">
        <v>1402</v>
      </c>
      <c r="B3661" s="20" t="str">
        <f>IFERROR(__xludf.DUMMYFUNCTION("GOOGLETRANSLATE(A3661, ""fr"", ""en"")"),"Sale - Cleaning of parking lots of Wednesday, November 23, 2022")</f>
        <v>Sale - Cleaning of parking lots of Wednesday, November 23, 2022</v>
      </c>
    </row>
    <row r="3662">
      <c r="A3662" s="19" t="s">
        <v>2767</v>
      </c>
      <c r="B3662" s="20" t="str">
        <f>IFERROR(__xludf.DUMMYFUNCTION("GOOGLETRANSLATE(A3662, ""fr"", ""en"")"),"FM: Please intervene for replacing a broken trap.")</f>
        <v>FM: Please intervene for replacing a broken trap.</v>
      </c>
    </row>
    <row r="3663">
      <c r="A3663" s="19" t="s">
        <v>2768</v>
      </c>
      <c r="B3663" s="20" t="str">
        <f>IFERROR(__xludf.DUMMYFUNCTION("GOOGLETRANSLATE(A3663, ""fr"", ""en"")"),"FM: Following Mr. Schneider's email, please intervene: 5 trolleys have damaged or uncommon wheels. It is also necessary to make a small signal setting to the parking lot.")</f>
        <v>FM: Following Mr. Schneider's email, please intervene: 5 trolleys have damaged or uncommon wheels. It is also necessary to make a small signal setting to the parking lot.</v>
      </c>
    </row>
    <row r="3664">
      <c r="A3664" s="19" t="s">
        <v>2769</v>
      </c>
      <c r="B3664" s="20" t="str">
        <f>IFERROR(__xludf.DUMMYFUNCTION("GOOGLETRANSLATE(A3664, ""fr"", ""en"")"),"FM: The gate on the quay side opens on its own with the wind (install a stop as on the other gate)")</f>
        <v>FM: The gate on the quay side opens on its own with the wind (install a stop as on the other gate)</v>
      </c>
    </row>
    <row r="3665">
      <c r="A3665" s="19" t="s">
        <v>2770</v>
      </c>
      <c r="B3665" s="20" t="str">
        <f>IFERROR(__xludf.DUMMYFUNCTION("GOOGLETRANSLATE(A3665, ""fr"", ""en"")"),"FM: Following Visit Management, please make the green spaces are clean (mowing, weeds).")</f>
        <v>FM: Following Visit Management, please make the green spaces are clean (mowing, weeds).</v>
      </c>
    </row>
    <row r="3666">
      <c r="A3666" s="19" t="s">
        <v>1403</v>
      </c>
      <c r="B3666" s="20" t="str">
        <f>IFERROR(__xludf.DUMMYFUNCTION("GOOGLETRANSLATE(A3666, ""fr"", ""en"")"),"Sale - Cleaning of parking lots on Friday October 21, 2022")</f>
        <v>Sale - Cleaning of parking lots on Friday October 21, 2022</v>
      </c>
    </row>
    <row r="3667">
      <c r="A3667" s="19" t="s">
        <v>1404</v>
      </c>
      <c r="B3667" s="20" t="str">
        <f>IFERROR(__xludf.DUMMYFUNCTION("GOOGLETRANSLATE(A3667, ""fr"", ""en"")"),"Sale - Cleaning of car parks on Friday October 14, 2022")</f>
        <v>Sale - Cleaning of car parks on Friday October 14, 2022</v>
      </c>
    </row>
    <row r="3668">
      <c r="A3668" s="19" t="s">
        <v>2771</v>
      </c>
      <c r="B3668" s="20" t="str">
        <f>IFERROR(__xludf.DUMMYFUNCTION("GOOGLETRANSLATE(A3668, ""fr"", ""en"")"),"FM: Implementation of the supervision of the IRVE terminals.")</f>
        <v>FM: Implementation of the supervision of the IRVE terminals.</v>
      </c>
    </row>
    <row r="3669">
      <c r="A3669" s="19" t="s">
        <v>2772</v>
      </c>
      <c r="B3669" s="20" t="str">
        <f>IFERROR(__xludf.DUMMYFUNCTION("GOOGLETRANSLATE(A3669, ""fr"", ""en"")"),"Under warranty / The siren of the emergency exit allée 6 in PJ is triggered after 72sec. Please intervene to correct this.")</f>
        <v>Under warranty / The siren of the emergency exit allée 6 in PJ is triggered after 72sec. Please intervene to correct this.</v>
      </c>
    </row>
    <row r="3670">
      <c r="A3670" s="19" t="s">
        <v>1410</v>
      </c>
      <c r="B3670" s="20" t="str">
        <f>IFERROR(__xludf.DUMMYFUNCTION("GOOGLETRANSLATE(A3670, ""fr"", ""en"")"),"Sale - Cleaning of the parking lots of Wednesday October 12, 2022")</f>
        <v>Sale - Cleaning of the parking lots of Wednesday October 12, 2022</v>
      </c>
    </row>
    <row r="3671">
      <c r="A3671" s="19" t="s">
        <v>1411</v>
      </c>
      <c r="B3671" s="20" t="str">
        <f>IFERROR(__xludf.DUMMYFUNCTION("GOOGLETRANSLATE(A3671, ""fr"", ""en"")"),"Sale - Cleaning of parking lots on Monday April 17, 2023")</f>
        <v>Sale - Cleaning of parking lots on Monday April 17, 2023</v>
      </c>
    </row>
    <row r="3672">
      <c r="A3672" s="19" t="s">
        <v>1412</v>
      </c>
      <c r="B3672" s="20" t="str">
        <f>IFERROR(__xludf.DUMMYFUNCTION("GOOGLETRANSLATE(A3672, ""fr"", ""en"")"),"Sale - Cleaning of car parks on Wednesday 19/04/2023")</f>
        <v>Sale - Cleaning of car parks on Wednesday 19/04/2023</v>
      </c>
    </row>
    <row r="3673">
      <c r="A3673" s="19" t="s">
        <v>2773</v>
      </c>
      <c r="B3673" s="20" t="str">
        <f>IFERROR(__xludf.DUMMYFUNCTION("GOOGLETRANSLATE(A3673, ""fr"", ""en"")"),"Bakery soap door Decrocher and no fixing planned on the wall")</f>
        <v>Bakery soap door Decrocher and no fixing planned on the wall</v>
      </c>
    </row>
    <row r="3674">
      <c r="A3674" s="19" t="s">
        <v>2774</v>
      </c>
      <c r="B3674" s="20" t="str">
        <f>IFERROR(__xludf.DUMMYFUNCTION("GOOGLETRANSLATE(A3674, ""fr"", ""en"")"),"FM: Bakery cleaning - Module 3 - S14. Immerately attach the checklists.")</f>
        <v>FM: Bakery cleaning - Module 3 - S14. Immerately attach the checklists.</v>
      </c>
    </row>
    <row r="3675">
      <c r="A3675" s="19" t="s">
        <v>1414</v>
      </c>
      <c r="B3675" s="20" t="str">
        <f>IFERROR(__xludf.DUMMYFUNCTION("GOOGLETRANSLATE(A3675, ""fr"", ""en"")"),"FM: Raisement zone of Quai following joint table")</f>
        <v>FM: Raisement zone of Quai following joint table</v>
      </c>
    </row>
    <row r="3676">
      <c r="A3676" s="19" t="s">
        <v>2775</v>
      </c>
      <c r="B3676" s="20" t="str">
        <f>IFERROR(__xludf.DUMMYFUNCTION("GOOGLETRANSLATE(A3676, ""fr"", ""en"")"),"FM: verification of the operation of alarm transmissions to remote monitoring following the removal of the RTC line (Orange box).")</f>
        <v>FM: verification of the operation of alarm transmissions to remote monitoring following the removal of the RTC line (Orange box).</v>
      </c>
    </row>
    <row r="3677">
      <c r="A3677" s="19" t="s">
        <v>2776</v>
      </c>
      <c r="B3677" s="20" t="str">
        <f>IFERROR(__xludf.DUMMYFUNCTION("GOOGLETRANSLATE(A3677, ""fr"", ""en"")"),"FM: Delta remote monitoring switch to ineo.")</f>
        <v>FM: Delta remote monitoring switch to ineo.</v>
      </c>
    </row>
    <row r="3678">
      <c r="A3678" s="19" t="s">
        <v>2777</v>
      </c>
      <c r="B3678" s="20" t="str">
        <f>IFERROR(__xludf.DUMMYFUNCTION("GOOGLETRANSLATE(A3678, ""fr"", ""en"")"),"FM: Cleaning according to module n ° 2: planning boxes S36-37.")</f>
        <v>FM: Cleaning according to module n ° 2: planning boxes S36-37.</v>
      </c>
    </row>
    <row r="3679">
      <c r="A3679" s="19" t="s">
        <v>2778</v>
      </c>
      <c r="B3679" s="20" t="str">
        <f>IFERROR(__xludf.DUMMYFUNCTION("GOOGLETRANSLATE(A3679, ""fr"", ""en"")"),"FM: Cleaning according to module n ° 3: Bakery Planning S37-38.")</f>
        <v>FM: Cleaning according to module n ° 3: Bakery Planning S37-38.</v>
      </c>
    </row>
    <row r="3680">
      <c r="A3680" s="19" t="s">
        <v>1420</v>
      </c>
      <c r="B3680" s="20" t="str">
        <f>IFERROR(__xludf.DUMMYFUNCTION("GOOGLETRANSLATE(A3680, ""fr"", ""en"")"),"Sale - Cleaning of car parks on Friday March 31, 2023")</f>
        <v>Sale - Cleaning of car parks on Friday March 31, 2023</v>
      </c>
    </row>
    <row r="3681">
      <c r="A3681" s="19" t="s">
        <v>1421</v>
      </c>
      <c r="B3681" s="20" t="str">
        <f>IFERROR(__xludf.DUMMYFUNCTION("GOOGLETRANSLATE(A3681, ""fr"", ""en"")"),"Sale - Cleaning of parking lots on Monday April 3, 2023")</f>
        <v>Sale - Cleaning of parking lots on Monday April 3, 2023</v>
      </c>
    </row>
    <row r="3682">
      <c r="A3682" s="19" t="s">
        <v>1422</v>
      </c>
      <c r="B3682" s="20" t="str">
        <f>IFERROR(__xludf.DUMMYFUNCTION("GOOGLETRANSLATE(A3682, ""fr"", ""en"")"),"Sale - Cleaning of parking lots of Wednesday April 19, 2023")</f>
        <v>Sale - Cleaning of parking lots of Wednesday April 19, 2023</v>
      </c>
    </row>
    <row r="3683">
      <c r="A3683" s="19" t="s">
        <v>1423</v>
      </c>
      <c r="B3683" s="20" t="str">
        <f>IFERROR(__xludf.DUMMYFUNCTION("GOOGLETRANSLATE(A3683, ""fr"", ""en"")"),"FM display code: please put the temperature display in supermarkets according to the modop provides")</f>
        <v>FM display code: please put the temperature display in supermarkets according to the modop provides</v>
      </c>
    </row>
    <row r="3684">
      <c r="A3684" s="19" t="s">
        <v>2779</v>
      </c>
      <c r="B3684" s="20" t="str">
        <f>IFERROR(__xludf.DUMMYFUNCTION("GOOGLETRANSLATE(A3684, ""fr"", ""en"")"),"FM: Install a tablet on the left of TV in the meeting room")</f>
        <v>FM: Install a tablet on the left of TV in the meeting room</v>
      </c>
    </row>
    <row r="3685">
      <c r="A3685" s="19" t="s">
        <v>2780</v>
      </c>
      <c r="B3685" s="20" t="str">
        <f>IFERROR(__xludf.DUMMYFUNCTION("GOOGLETRANSLATE(A3685, ""fr"", ""en"")"),"FM: Please intervene to set up protection for the trap, location NT13 in reserve, see plan as an attachment.")</f>
        <v>FM: Please intervene to set up protection for the trap, location NT13 in reserve, see plan as an attachment.</v>
      </c>
    </row>
    <row r="3686">
      <c r="A3686" s="19" t="s">
        <v>1426</v>
      </c>
      <c r="B3686" s="20" t="str">
        <f>IFERROR(__xludf.DUMMYFUNCTION("GOOGLETRANSLATE(A3686, ""fr"", ""en"")"),"Sale - Cleaning of parking lots on Friday March 10, 2023")</f>
        <v>Sale - Cleaning of parking lots on Friday March 10, 2023</v>
      </c>
    </row>
    <row r="3687">
      <c r="A3687" s="19" t="s">
        <v>1427</v>
      </c>
      <c r="B3687" s="20" t="str">
        <f>IFERROR(__xludf.DUMMYFUNCTION("GOOGLETRANSLATE(A3687, ""fr"", ""en"")"),"Sale - Cleaning of car parks on Friday March 24, 2023")</f>
        <v>Sale - Cleaning of car parks on Friday March 24, 2023</v>
      </c>
    </row>
    <row r="3688">
      <c r="A3688" s="19" t="s">
        <v>1429</v>
      </c>
      <c r="B3688" s="20" t="str">
        <f>IFERROR(__xludf.DUMMYFUNCTION("GOOGLETRANSLATE(A3688, ""fr"", ""en"")"),"Sale - Cleaning of car parks of Friday March 17, 2023")</f>
        <v>Sale - Cleaning of car parks of Friday March 17, 2023</v>
      </c>
    </row>
    <row r="3689">
      <c r="A3689" s="19" t="s">
        <v>2745</v>
      </c>
      <c r="B3689" s="20" t="str">
        <f>IFERROR(__xludf.DUMMYFUNCTION("GOOGLETRANSLATE(A3689, ""fr"", ""en"")"),"FM: Thank you for making the observations")</f>
        <v>FM: Thank you for making the observations</v>
      </c>
    </row>
    <row r="3690">
      <c r="A3690" s="19" t="s">
        <v>2781</v>
      </c>
      <c r="B3690" s="20" t="str">
        <f>IFERROR(__xludf.DUMMYFUNCTION("GOOGLETRANSLATE(A3690, ""fr"", ""en"")"),"FM: Replace the protection of the local material in reserve before Monday 10/11 because visit of management.")</f>
        <v>FM: Replace the protection of the local material in reserve before Monday 10/11 because visit of management.</v>
      </c>
    </row>
    <row r="3691">
      <c r="A3691" s="19" t="s">
        <v>2359</v>
      </c>
      <c r="B3691" s="20" t="str">
        <f>IFERROR(__xludf.DUMMYFUNCTION("GOOGLETRANSLATE(A3691, ""fr"", ""en"")"),"FM: There is one of the production defects in the following SPMs: Valdahon (under warranty), Delle (under warranty), Montbéliard (under warranty), Sélestat and Eckbolsheim. thanks for intervening")</f>
        <v>FM: There is one of the production defects in the following SPMs: Valdahon (under warranty), Delle (under warranty), Montbéliard (under warranty), Sélestat and Eckbolsheim. thanks for intervening</v>
      </c>
    </row>
    <row r="3692">
      <c r="A3692" s="19" t="s">
        <v>2477</v>
      </c>
      <c r="B3692" s="20" t="str">
        <f>IFERROR(__xludf.DUMMYFUNCTION("GOOGLETRANSLATE(A3692, ""fr"", ""en"")"),"FM: Cleaning according to Module 7 Basse S36 windows")</f>
        <v>FM: Cleaning according to Module 7 Basse S36 windows</v>
      </c>
    </row>
    <row r="3693">
      <c r="A3693" s="19" t="s">
        <v>2782</v>
      </c>
      <c r="B3693" s="20" t="str">
        <f>IFERROR(__xludf.DUMMYFUNCTION("GOOGLETRANSLATE(A3693, ""fr"", ""en"")"),"FM: request following validation quote n ° DV2207010012. Modification of the flow of the frozen island.")</f>
        <v>FM: request following validation quote n ° DV2207010012. Modification of the flow of the frozen island.</v>
      </c>
    </row>
    <row r="3694">
      <c r="A3694" s="19" t="s">
        <v>2783</v>
      </c>
      <c r="B3694" s="20" t="str">
        <f>IFERROR(__xludf.DUMMYFUNCTION("GOOGLETRANSLATE(A3694, ""fr"", ""en"")"),"FM: Many doors open untimely")</f>
        <v>FM: Many doors open untimely</v>
      </c>
    </row>
    <row r="3695">
      <c r="A3695" s="19" t="s">
        <v>1435</v>
      </c>
      <c r="B3695" s="20" t="str">
        <f>IFERROR(__xludf.DUMMYFUNCTION("GOOGLETRANSLATE(A3695, ""fr"", ""en"")"),"Sale - Cleaning of parking lots on Monday March 20, 2023")</f>
        <v>Sale - Cleaning of parking lots on Monday March 20, 2023</v>
      </c>
    </row>
    <row r="3696">
      <c r="A3696" s="19" t="s">
        <v>1436</v>
      </c>
      <c r="B3696" s="20" t="str">
        <f>IFERROR(__xludf.DUMMYFUNCTION("GOOGLETRANSLATE(A3696, ""fr"", ""en"")"),"Sale - Cleaning of parking lots of Wednesday March 15, 2023")</f>
        <v>Sale - Cleaning of parking lots of Wednesday March 15, 2023</v>
      </c>
    </row>
    <row r="3697">
      <c r="A3697" s="19" t="s">
        <v>2784</v>
      </c>
      <c r="B3697" s="20" t="str">
        <f>IFERROR(__xludf.DUMMYFUNCTION("GOOGLETRANSLATE(A3697, ""fr"", ""en"")"),"FM: Please intervene after 09/02 to cut the ringing of the old phone.")</f>
        <v>FM: Please intervene after 09/02 to cut the ringing of the old phone.</v>
      </c>
    </row>
    <row r="3698">
      <c r="A3698" s="19" t="s">
        <v>2367</v>
      </c>
      <c r="B3698" s="20" t="str">
        <f>IFERROR(__xludf.DUMMYFUNCTION("GOOGLETRANSLATE(A3698, ""fr"", ""en"")"),"FM: Please check the PV installations following thunderstorms (hail). Priority check stores from 25-90-68.")</f>
        <v>FM: Please check the PV installations following thunderstorms (hail). Priority check stores from 25-90-68.</v>
      </c>
    </row>
    <row r="3699">
      <c r="A3699" s="19" t="s">
        <v>1441</v>
      </c>
      <c r="B3699" s="20" t="str">
        <f>IFERROR(__xludf.DUMMYFUNCTION("GOOGLETRANSLATE(A3699, ""fr"", ""en"")"),"Sale - Cleaning of parking lots on Monday, February 27, 2023")</f>
        <v>Sale - Cleaning of parking lots on Monday, February 27, 2023</v>
      </c>
    </row>
    <row r="3700">
      <c r="A3700" s="19" t="s">
        <v>1442</v>
      </c>
      <c r="B3700" s="20" t="str">
        <f>IFERROR(__xludf.DUMMYFUNCTION("GOOGLETRANSLATE(A3700, ""fr"", ""en"")"),"Sale - Cleaning of car parks on Friday February 24, 2022")</f>
        <v>Sale - Cleaning of car parks on Friday February 24, 2022</v>
      </c>
    </row>
    <row r="3701">
      <c r="A3701" s="19" t="s">
        <v>1443</v>
      </c>
      <c r="B3701" s="20" t="str">
        <f>IFERROR(__xludf.DUMMYFUNCTION("GOOGLETRANSLATE(A3701, ""fr"", ""en"")"),"Sale - Cleaning of parking lots Wednesday January 25, 2023")</f>
        <v>Sale - Cleaning of parking lots Wednesday January 25, 2023</v>
      </c>
    </row>
    <row r="3702">
      <c r="A3702" s="19" t="s">
        <v>1444</v>
      </c>
      <c r="B3702" s="20" t="str">
        <f>IFERROR(__xludf.DUMMYFUNCTION("GOOGLETRANSLATE(A3702, ""fr"", ""en"")"),"Sale - Cleaning of parking lots on Monday, February 20, 2023")</f>
        <v>Sale - Cleaning of parking lots on Monday, February 20, 2023</v>
      </c>
    </row>
    <row r="3703">
      <c r="A3703" s="19" t="s">
        <v>1446</v>
      </c>
      <c r="B3703" s="20" t="str">
        <f>IFERROR(__xludf.DUMMYFUNCTION("GOOGLETRANSLATE(A3703, ""fr"", ""en"")"),"Sale - Cleaning of parking lots on Monday March 6, 2023")</f>
        <v>Sale - Cleaning of parking lots on Monday March 6, 2023</v>
      </c>
    </row>
    <row r="3704">
      <c r="A3704" s="19" t="s">
        <v>1447</v>
      </c>
      <c r="B3704" s="20" t="str">
        <f>IFERROR(__xludf.DUMMYFUNCTION("GOOGLETRANSLATE(A3704, ""fr"", ""en"")"),"Sale - Cleaning of the parking lots of Wednesday March 1, 2023")</f>
        <v>Sale - Cleaning of the parking lots of Wednesday March 1, 2023</v>
      </c>
    </row>
    <row r="3705">
      <c r="A3705" s="19" t="s">
        <v>1445</v>
      </c>
      <c r="B3705" s="20" t="str">
        <f>IFERROR(__xludf.DUMMYFUNCTION("GOOGLETRANSLATE(A3705, ""fr"", ""en"")"),"Sale - Cleaning of parking lots on Monday January 23, 2023")</f>
        <v>Sale - Cleaning of parking lots on Monday January 23, 2023</v>
      </c>
    </row>
    <row r="3706">
      <c r="A3706" s="19" t="s">
        <v>1448</v>
      </c>
      <c r="B3706" s="20" t="str">
        <f>IFERROR(__xludf.DUMMYFUNCTION("GOOGLETRANSLATE(A3706, ""fr"", ""en"")"),"Sale - Cleaning of parking lots Wednesday, February 15, 2023")</f>
        <v>Sale - Cleaning of parking lots Wednesday, February 15, 2023</v>
      </c>
    </row>
    <row r="3707">
      <c r="A3707" s="19" t="s">
        <v>2785</v>
      </c>
      <c r="B3707" s="20" t="str">
        <f>IFERROR(__xludf.DUMMYFUNCTION("GOOGLETRANSLATE(A3707, ""fr"", ""en"")"),"FM: Please intervene following the remote monitoring report, a fault last night of a half an hour.")</f>
        <v>FM: Please intervene following the remote monitoring report, a fault last night of a half an hour.</v>
      </c>
    </row>
    <row r="3708">
      <c r="A3708" s="19" t="s">
        <v>1451</v>
      </c>
      <c r="B3708" s="20" t="str">
        <f>IFERROR(__xludf.DUMMYFUNCTION("GOOGLETRANSLATE(A3708, ""fr"", ""en"")"),"Sale - Cleaning of the parking lots of Wednesday January 11, 2023")</f>
        <v>Sale - Cleaning of the parking lots of Wednesday January 11, 2023</v>
      </c>
    </row>
    <row r="3709">
      <c r="A3709" s="19" t="s">
        <v>1449</v>
      </c>
      <c r="B3709" s="20" t="str">
        <f>IFERROR(__xludf.DUMMYFUNCTION("GOOGLETRANSLATE(A3709, ""fr"", ""en"")"),"Sale - cleaning of parking lots on Monday January 9, 2023")</f>
        <v>Sale - cleaning of parking lots on Monday January 9, 2023</v>
      </c>
    </row>
    <row r="3710">
      <c r="A3710" s="19" t="s">
        <v>1450</v>
      </c>
      <c r="B3710" s="20" t="str">
        <f>IFERROR(__xludf.DUMMYFUNCTION("GOOGLETRANSLATE(A3710, ""fr"", ""en"")"),"Sale - Cleaning of parking lots on Monday January 2, 2023")</f>
        <v>Sale - Cleaning of parking lots on Monday January 2, 2023</v>
      </c>
    </row>
    <row r="3711">
      <c r="A3711" s="19" t="s">
        <v>1452</v>
      </c>
      <c r="B3711" s="20" t="str">
        <f>IFERROR(__xludf.DUMMYFUNCTION("GOOGLETRANSLATE(A3711, ""fr"", ""en"")"),"Sale - Cleaning of parking lots on Monday, February 13, 2023")</f>
        <v>Sale - Cleaning of parking lots on Monday, February 13, 2023</v>
      </c>
    </row>
    <row r="3712">
      <c r="A3712" s="19" t="s">
        <v>1453</v>
      </c>
      <c r="B3712" s="20" t="str">
        <f>IFERROR(__xludf.DUMMYFUNCTION("GOOGLETRANSLATE(A3712, ""fr"", ""en"")"),"Sale - Cleaning of parking lots of Wednesday January 4, 2023")</f>
        <v>Sale - Cleaning of parking lots of Wednesday January 4, 2023</v>
      </c>
    </row>
    <row r="3713">
      <c r="A3713" s="19" t="s">
        <v>1454</v>
      </c>
      <c r="B3713" s="20" t="str">
        <f>IFERROR(__xludf.DUMMYFUNCTION("GOOGLETRANSLATE(A3713, ""fr"", ""en"")"),"Sale - Cleaning of parking lots of Wednesday February 21, 2023")</f>
        <v>Sale - Cleaning of parking lots of Wednesday February 21, 2023</v>
      </c>
    </row>
    <row r="3714">
      <c r="A3714" s="19" t="s">
        <v>1455</v>
      </c>
      <c r="B3714" s="20" t="str">
        <f>IFERROR(__xludf.DUMMYFUNCTION("GOOGLETRANSLATE(A3714, ""fr"", ""en"")"),"Sale - Cleaning of parking lots of Wednesday, February 8, 2023")</f>
        <v>Sale - Cleaning of parking lots of Wednesday, February 8, 2023</v>
      </c>
    </row>
    <row r="3715">
      <c r="A3715" s="19" t="s">
        <v>1486</v>
      </c>
      <c r="B3715" s="20" t="str">
        <f>IFERROR(__xludf.DUMMYFUNCTION("GOOGLETRANSLATE(A3715, ""fr"", ""en"")"),"FM ECO ECL: extinguish COVVID counting systems at the input of SPMs. Deadline at the end of January.")</f>
        <v>FM ECO ECL: extinguish COVVID counting systems at the input of SPMs. Deadline at the end of January.</v>
      </c>
    </row>
    <row r="3716">
      <c r="A3716" s="19" t="s">
        <v>1456</v>
      </c>
      <c r="B3716" s="20" t="str">
        <f>IFERROR(__xludf.DUMMYFUNCTION("GOOGLETRANSLATE(A3716, ""fr"", ""en"")"),"Sale - Cleaning of car parks on Friday February 17, 2023")</f>
        <v>Sale - Cleaning of car parks on Friday February 17, 2023</v>
      </c>
    </row>
    <row r="3717">
      <c r="A3717" s="19" t="s">
        <v>2786</v>
      </c>
      <c r="B3717" s="20" t="str">
        <f>IFERROR(__xludf.DUMMYFUNCTION("GOOGLETRANSLATE(A3717, ""fr"", ""en"")"),"FM: Following the remote monitoring report, please intervene for a cold 12 -hour defect.")</f>
        <v>FM: Following the remote monitoring report, please intervene for a cold 12 -hour defect.</v>
      </c>
    </row>
    <row r="3718">
      <c r="A3718" s="19" t="s">
        <v>2787</v>
      </c>
      <c r="B3718" s="20" t="str">
        <f>IFERROR(__xludf.DUMMYFUNCTION("GOOGLETRANSLATE(A3718, ""fr"", ""en"")"),"Installation control")</f>
        <v>Installation control</v>
      </c>
    </row>
    <row r="3719">
      <c r="A3719" s="19" t="s">
        <v>2788</v>
      </c>
      <c r="B3719" s="20" t="str">
        <f>IFERROR(__xludf.DUMMYFUNCTION("GOOGLETRANSLATE(A3719, ""fr"", ""en"")"),"FM: Thank you for intervening following the remote monitoring report, 1 defect of more than 20 minutes last night.")</f>
        <v>FM: Thank you for intervening following the remote monitoring report, 1 defect of more than 20 minutes last night.</v>
      </c>
    </row>
    <row r="3720">
      <c r="A3720" s="19" t="s">
        <v>1463</v>
      </c>
      <c r="B3720" s="20" t="str">
        <f>IFERROR(__xludf.DUMMYFUNCTION("GOOGLETRANSLATE(A3720, ""fr"", ""en"")"),"FM: Victoire Video surveillance Display According to Mail d'Ali from 30/12.")</f>
        <v>FM: Victoire Video surveillance Display According to Mail d'Ali from 30/12.</v>
      </c>
    </row>
    <row r="3721">
      <c r="A3721" s="19" t="s">
        <v>2789</v>
      </c>
      <c r="B3721" s="20" t="str">
        <f>IFERROR(__xludf.DUMMYFUNCTION("GOOGLETRANSLATE(A3721, ""fr"", ""en"")"),"FM: start of ice intake")</f>
        <v>FM: start of ice intake</v>
      </c>
    </row>
    <row r="3722">
      <c r="A3722" s="19" t="s">
        <v>2487</v>
      </c>
      <c r="B3722" s="20" t="str">
        <f>IFERROR(__xludf.DUMMYFUNCTION("GOOGLETRANSLATE(A3722, ""fr"", ""en"")"),"FM: Basse window cleaning - Module 7 - S21. Immerately attach the checklists.")</f>
        <v>FM: Basse window cleaning - Module 7 - S21. Immerately attach the checklists.</v>
      </c>
    </row>
    <row r="3723">
      <c r="A3723" s="19" t="s">
        <v>2790</v>
      </c>
      <c r="B3723" s="20" t="str">
        <f>IFERROR(__xludf.DUMMYFUNCTION("GOOGLETRANSLATE(A3723, ""fr"", ""en"")"),"FM: Following the Cythelia report, please intervene on site to put the power station on service (see report).")</f>
        <v>FM: Following the Cythelia report, please intervene on site to put the power station on service (see report).</v>
      </c>
    </row>
    <row r="3724">
      <c r="A3724" s="19" t="s">
        <v>1466</v>
      </c>
      <c r="B3724" s="20" t="str">
        <f>IFERROR(__xludf.DUMMYFUNCTION("GOOGLETRANSLATE(A3724, ""fr"", ""en"")"),"Various sale RMR Visual installation campaign aggressiveness price.
 To be done before S31 for the entire DR 02, or 69 SPM.
 Installation detail See PDF")</f>
        <v>Various sale RMR Visual installation campaign aggressiveness price.
 To be done before S31 for the entire DR 02, or 69 SPM.
 Installation detail See PDF</v>
      </c>
    </row>
    <row r="3725">
      <c r="A3725" s="19" t="s">
        <v>2791</v>
      </c>
      <c r="B3725" s="20" t="str">
        <f>IFERROR(__xludf.DUMMYFUNCTION("GOOGLETRANSLATE(A3725, ""fr"", ""en"")"),"FM: Bakery cleaning - 5 - S27 module. Immerately attach the checklists.")</f>
        <v>FM: Bakery cleaning - 5 - S27 module. Immerately attach the checklists.</v>
      </c>
    </row>
    <row r="3726">
      <c r="A3726" s="19" t="s">
        <v>2792</v>
      </c>
      <c r="B3726" s="20" t="str">
        <f>IFERROR(__xludf.DUMMYFUNCTION("GOOGLETRANSLATE(A3726, ""fr"", ""en"")"),"FM: Caisses Cleaning - Module 6 - S31. Immerately attach the checklists.")</f>
        <v>FM: Caisses Cleaning - Module 6 - S31. Immerately attach the checklists.</v>
      </c>
    </row>
    <row r="3727">
      <c r="A3727" s="19" t="s">
        <v>2793</v>
      </c>
      <c r="B3727" s="20" t="str">
        <f>IFERROR(__xludf.DUMMYFUNCTION("GOOGLETRANSLATE(A3727, ""fr"", ""en"")"),"FM: Please intervene the end to the right of the quay is torn off (see photos).")</f>
        <v>FM: Please intervene the end to the right of the quay is torn off (see photos).</v>
      </c>
    </row>
    <row r="3728">
      <c r="A3728" s="19" t="s">
        <v>2493</v>
      </c>
      <c r="B3728" s="20" t="str">
        <f>IFERROR(__xludf.DUMMYFUNCTION("GOOGLETRANSLATE(A3728, ""fr"", ""en"")"),"FM: night guard for work on fresh furniture: Montbeliard on 07/26 // Schiltigheim on 07/27 // ECKBOLSHEIM on 07/28.")</f>
        <v>FM: night guard for work on fresh furniture: Montbeliard on 07/26 // Schiltigheim on 07/27 // ECKBOLSHEIM on 07/28.</v>
      </c>
    </row>
    <row r="3729">
      <c r="A3729" s="19" t="s">
        <v>1471</v>
      </c>
      <c r="B3729" s="20" t="str">
        <f>IFERROR(__xludf.DUMMYFUNCTION("GOOGLETRANSLATE(A3729, ""fr"", ""en"")"),"Sale - Cleaning of car parks of Friday May 26, 2023")</f>
        <v>Sale - Cleaning of car parks of Friday May 26, 2023</v>
      </c>
    </row>
    <row r="3730">
      <c r="A3730" s="19" t="s">
        <v>1472</v>
      </c>
      <c r="B3730" s="20" t="str">
        <f>IFERROR(__xludf.DUMMYFUNCTION("GOOGLETRANSLATE(A3730, ""fr"", ""en"")"),"Sale - Cleaning of parking lots of Wednesday May 24, 2023")</f>
        <v>Sale - Cleaning of parking lots of Wednesday May 24, 2023</v>
      </c>
    </row>
    <row r="3731">
      <c r="A3731" s="19" t="s">
        <v>1475</v>
      </c>
      <c r="B3731" s="20" t="str">
        <f>IFERROR(__xludf.DUMMYFUNCTION("GOOGLETRANSLATE(A3731, ""fr"", ""en"")"),"Sale - Cleaning of parking lots on Monday June 5, 2023")</f>
        <v>Sale - Cleaning of parking lots on Monday June 5, 2023</v>
      </c>
    </row>
    <row r="3732">
      <c r="A3732" s="19" t="s">
        <v>1473</v>
      </c>
      <c r="B3732" s="20" t="str">
        <f>IFERROR(__xludf.DUMMYFUNCTION("GOOGLETRANSLATE(A3732, ""fr"", ""en"")"),"Sale - Cleaning of parking lots on Monday June 19, 2023")</f>
        <v>Sale - Cleaning of parking lots on Monday June 19, 2023</v>
      </c>
    </row>
    <row r="3733">
      <c r="A3733" s="19" t="s">
        <v>1474</v>
      </c>
      <c r="B3733" s="20" t="str">
        <f>IFERROR(__xludf.DUMMYFUNCTION("GOOGLETRANSLATE(A3733, ""fr"", ""en"")"),"Sale - Cleaning of parking lots on Monday June 12, 2023")</f>
        <v>Sale - Cleaning of parking lots on Monday June 12, 2023</v>
      </c>
    </row>
    <row r="3734">
      <c r="A3734" s="19" t="s">
        <v>1476</v>
      </c>
      <c r="B3734" s="20" t="str">
        <f>IFERROR(__xludf.DUMMYFUNCTION("GOOGLETRANSLATE(A3734, ""fr"", ""en"")"),"Sale - Cleaning of parking lots on Friday June 16, 2023")</f>
        <v>Sale - Cleaning of parking lots on Friday June 16, 2023</v>
      </c>
    </row>
    <row r="3735">
      <c r="A3735" s="19" t="s">
        <v>1477</v>
      </c>
      <c r="B3735" s="20" t="str">
        <f>IFERROR(__xludf.DUMMYFUNCTION("GOOGLETRANSLATE(A3735, ""fr"", ""en"")"),"Sale - Cleaning of parking lots Wednesday, May 31, 2023")</f>
        <v>Sale - Cleaning of parking lots Wednesday, May 31, 2023</v>
      </c>
    </row>
    <row r="3736">
      <c r="A3736" s="19" t="s">
        <v>1478</v>
      </c>
      <c r="B3736" s="20" t="str">
        <f>IFERROR(__xludf.DUMMYFUNCTION("GOOGLETRANSLATE(A3736, ""fr"", ""en"")"),"Sale - Cleaning of parking lots of Wednesday May 17, 2023")</f>
        <v>Sale - Cleaning of parking lots of Wednesday May 17, 2023</v>
      </c>
    </row>
    <row r="3737">
      <c r="A3737" s="19" t="s">
        <v>1423</v>
      </c>
      <c r="B3737" s="20" t="str">
        <f>IFERROR(__xludf.DUMMYFUNCTION("GOOGLETRANSLATE(A3737, ""fr"", ""en"")"),"FM display code: please put the temperature display in supermarkets according to the modop provides")</f>
        <v>FM display code: please put the temperature display in supermarkets according to the modop provides</v>
      </c>
    </row>
    <row r="3738">
      <c r="A3738" s="19" t="s">
        <v>2794</v>
      </c>
      <c r="B3738" s="20" t="str">
        <f>IFERROR(__xludf.DUMMYFUNCTION("GOOGLETRANSLATE(A3738, ""fr"", ""en"")"),"FM: At the request of the headquarters, please check the store inverter. The boxes restart in an electrically loop.")</f>
        <v>FM: At the request of the headquarters, please check the store inverter. The boxes restart in an electrically loop.</v>
      </c>
    </row>
    <row r="3739">
      <c r="A3739" s="19" t="s">
        <v>2795</v>
      </c>
      <c r="B3739" s="20" t="str">
        <f>IFERROR(__xludf.DUMMYFUNCTION("GOOGLETRANSLATE(A3739, ""fr"", ""en"")"),"FM: M.VAGNE Mail Suite, Intervene on 12/05 in Eckbolsheim // on 19/05 in Lingolsheim // on 19/05 in Strasbourg Meinau.")</f>
        <v>FM: M.VAGNE Mail Suite, Intervene on 12/05 in Eckbolsheim // on 19/05 in Lingolsheim // on 19/05 in Strasbourg Meinau.</v>
      </c>
    </row>
    <row r="3740">
      <c r="A3740" s="19" t="s">
        <v>2796</v>
      </c>
      <c r="B3740" s="20" t="str">
        <f>IFERROR(__xludf.DUMMYFUNCTION("GOOGLETRANSLATE(A3740, ""fr"", ""en"")"),"FM: Cleaning Module 2 Caisses according to Planning July S28")</f>
        <v>FM: Cleaning Module 2 Caisses according to Planning July S28</v>
      </c>
    </row>
    <row r="3741">
      <c r="A3741" s="19" t="s">
        <v>2797</v>
      </c>
      <c r="B3741" s="20" t="str">
        <f>IFERROR(__xludf.DUMMYFUNCTION("GOOGLETRANSLATE(A3741, ""fr"", ""en"")"),"FM: cleaning 8 high windows module according to July S28 planning")</f>
        <v>FM: cleaning 8 high windows module according to July S28 planning</v>
      </c>
    </row>
    <row r="3742">
      <c r="A3742" s="19" t="s">
        <v>2798</v>
      </c>
      <c r="B3742" s="20" t="str">
        <f>IFERROR(__xludf.DUMMYFUNCTION("GOOGLETRANSLATE(A3742, ""fr"", ""en"")"),"FM: Cleaning Module 3 Bakery according to Planning July S30.")</f>
        <v>FM: Cleaning Module 3 Bakery according to Planning July S30.</v>
      </c>
    </row>
    <row r="3743">
      <c r="A3743" s="19" t="s">
        <v>2498</v>
      </c>
      <c r="B3743" s="20" t="str">
        <f>IFERROR(__xludf.DUMMYFUNCTION("GOOGLETRANSLATE(A3743, ""fr"", ""en"")"),"FM: cleaning 7 low window module according to July S28 planning")</f>
        <v>FM: cleaning 7 low window module according to July S28 planning</v>
      </c>
    </row>
    <row r="3744">
      <c r="A3744" s="19" t="s">
        <v>2799</v>
      </c>
      <c r="B3744" s="20" t="str">
        <f>IFERROR(__xludf.DUMMYFUNCTION("GOOGLETRANSLATE(A3744, ""fr"", ""en"")"),"FM: 4/11 management visit: complete store cleaning (see details with Erhan Mail from 14/10).")</f>
        <v>FM: 4/11 management visit: complete store cleaning (see details with Erhan Mail from 14/10).</v>
      </c>
    </row>
    <row r="3745">
      <c r="A3745" s="19" t="s">
        <v>2800</v>
      </c>
      <c r="B3745" s="20" t="str">
        <f>IFERROR(__xludf.DUMMYFUNCTION("GOOGLETRANSLATE(A3745, ""fr"", ""en"")"),"FM: Cleaning 2 box module according to July planning S30.")</f>
        <v>FM: Cleaning 2 box module according to July planning S30.</v>
      </c>
    </row>
    <row r="3746">
      <c r="A3746" s="19" t="s">
        <v>1483</v>
      </c>
      <c r="B3746" s="20" t="str">
        <f>IFERROR(__xludf.DUMMYFUNCTION("GOOGLETRANSLATE(A3746, ""fr"", ""en"")"),"Sale - Cleaning of the parking lots of Wednesday, February 1, 2023")</f>
        <v>Sale - Cleaning of the parking lots of Wednesday, February 1, 2023</v>
      </c>
    </row>
    <row r="3747">
      <c r="A3747" s="19" t="s">
        <v>1484</v>
      </c>
      <c r="B3747" s="20" t="str">
        <f>IFERROR(__xludf.DUMMYFUNCTION("GOOGLETRANSLATE(A3747, ""fr"", ""en"")"),"Sale - Cleaning of parking lots on Friday February 3, 2023")</f>
        <v>Sale - Cleaning of parking lots on Friday February 3, 2023</v>
      </c>
    </row>
    <row r="3748">
      <c r="A3748" s="19" t="s">
        <v>2801</v>
      </c>
      <c r="B3748" s="20" t="str">
        <f>IFERROR(__xludf.DUMMYFUNCTION("GOOGLETRANSLATE(A3748, ""fr"", ""en"")"),"FM: Following the intervention of your technician, please intervene to redo the fluidic load of the 2 groups.")</f>
        <v>FM: Following the intervention of your technician, please intervene to redo the fluidic load of the 2 groups.</v>
      </c>
    </row>
    <row r="3749">
      <c r="A3749" s="19" t="s">
        <v>1490</v>
      </c>
      <c r="B3749" s="20" t="str">
        <f>IFERROR(__xludf.DUMMYFUNCTION("GOOGLETRANSLATE(A3749, ""fr"", ""en"")"),"Sale - Cleaning of parking lots on Monday, December 19, 2022")</f>
        <v>Sale - Cleaning of parking lots on Monday, December 19, 2022</v>
      </c>
    </row>
    <row r="3750">
      <c r="A3750" s="19" t="s">
        <v>1487</v>
      </c>
      <c r="B3750" s="20" t="str">
        <f>IFERROR(__xludf.DUMMYFUNCTION("GOOGLETRANSLATE(A3750, ""fr"", ""en"")"),"Sale - Cleaning of parking lots on Monday, November 21, 2022")</f>
        <v>Sale - Cleaning of parking lots on Monday, November 21, 2022</v>
      </c>
    </row>
    <row r="3751">
      <c r="A3751" s="19" t="s">
        <v>1491</v>
      </c>
      <c r="B3751" s="20" t="str">
        <f>IFERROR(__xludf.DUMMYFUNCTION("GOOGLETRANSLATE(A3751, ""fr"", ""en"")"),"Sale - Cleaning of parking lots of Wednesday, November 9, 2022")</f>
        <v>Sale - Cleaning of parking lots of Wednesday, November 9, 2022</v>
      </c>
    </row>
    <row r="3752">
      <c r="A3752" s="19" t="s">
        <v>1489</v>
      </c>
      <c r="B3752" s="20" t="str">
        <f>IFERROR(__xludf.DUMMYFUNCTION("GOOGLETRANSLATE(A3752, ""fr"", ""en"")"),"Sale - Cleaning of car parks of Friday January 13, 2023")</f>
        <v>Sale - Cleaning of car parks of Friday January 13, 2023</v>
      </c>
    </row>
    <row r="3753">
      <c r="A3753" s="19" t="s">
        <v>1494</v>
      </c>
      <c r="B3753" s="20" t="str">
        <f>IFERROR(__xludf.DUMMYFUNCTION("GOOGLETRANSLATE(A3753, ""fr"", ""en"")"),"Sale - Cleaning of parking lots on Friday January 20, 2023")</f>
        <v>Sale - Cleaning of parking lots on Friday January 20, 2023</v>
      </c>
    </row>
    <row r="3754">
      <c r="A3754" s="19" t="s">
        <v>1493</v>
      </c>
      <c r="B3754" s="20" t="str">
        <f>IFERROR(__xludf.DUMMYFUNCTION("GOOGLETRANSLATE(A3754, ""fr"", ""en"")"),"Sale - Cleaning of car parks on Friday January 6, 2023")</f>
        <v>Sale - Cleaning of car parks on Friday January 6, 2023</v>
      </c>
    </row>
    <row r="3755">
      <c r="A3755" s="19" t="s">
        <v>1492</v>
      </c>
      <c r="B3755" s="20" t="str">
        <f>IFERROR(__xludf.DUMMYFUNCTION("GOOGLETRANSLATE(A3755, ""fr"", ""en"")"),"Sale - Cleaning of parking lots of Wednesday, December 7, 2022")</f>
        <v>Sale - Cleaning of parking lots of Wednesday, December 7, 2022</v>
      </c>
    </row>
    <row r="3756">
      <c r="A3756" s="19" t="s">
        <v>1495</v>
      </c>
      <c r="B3756" s="20" t="str">
        <f>IFERROR(__xludf.DUMMYFUNCTION("GOOGLETRANSLATE(A3756, ""fr"", ""en"")"),"Sale - Cleaning of parking lots on Monday October 24, 2022")</f>
        <v>Sale - Cleaning of parking lots on Monday October 24, 2022</v>
      </c>
    </row>
    <row r="3757">
      <c r="A3757" s="19" t="s">
        <v>1496</v>
      </c>
      <c r="B3757" s="20" t="str">
        <f>IFERROR(__xludf.DUMMYFUNCTION("GOOGLETRANSLATE(A3757, ""fr"", ""en"")"),"Sale - Cleaning of car parks on Friday February 10, 2023")</f>
        <v>Sale - Cleaning of car parks on Friday February 10, 2023</v>
      </c>
    </row>
    <row r="3758">
      <c r="A3758" s="19" t="s">
        <v>1497</v>
      </c>
      <c r="B3758" s="20" t="str">
        <f>IFERROR(__xludf.DUMMYFUNCTION("GOOGLETRANSLATE(A3758, ""fr"", ""en"")"),"Sale - Cleaning of parking lots on Monday, November 14, 2022")</f>
        <v>Sale - Cleaning of parking lots on Monday, November 14, 2022</v>
      </c>
    </row>
    <row r="3759">
      <c r="A3759" s="19" t="s">
        <v>1499</v>
      </c>
      <c r="B3759" s="20" t="str">
        <f>IFERROR(__xludf.DUMMYFUNCTION("GOOGLETRANSLATE(A3759, ""fr"", ""en"")"),"Sale - Cleaning of the parking lots of Wednesday, November 16, 2022")</f>
        <v>Sale - Cleaning of the parking lots of Wednesday, November 16, 2022</v>
      </c>
    </row>
    <row r="3760">
      <c r="A3760" s="19" t="s">
        <v>1498</v>
      </c>
      <c r="B3760" s="20" t="str">
        <f>IFERROR(__xludf.DUMMYFUNCTION("GOOGLETRANSLATE(A3760, ""fr"", ""en"")"),"Sale - Cleaning of the parking lots of Wednesday October 25, 2022")</f>
        <v>Sale - Cleaning of the parking lots of Wednesday October 25, 2022</v>
      </c>
    </row>
    <row r="3761">
      <c r="A3761" s="19" t="s">
        <v>1500</v>
      </c>
      <c r="B3761" s="20" t="str">
        <f>IFERROR(__xludf.DUMMYFUNCTION("GOOGLETRANSLATE(A3761, ""fr"", ""en"")"),"Sale - Cleaning of parking lots on Monday October 17, 2022")</f>
        <v>Sale - Cleaning of parking lots on Monday October 17, 2022</v>
      </c>
    </row>
    <row r="3762">
      <c r="A3762" s="19" t="s">
        <v>1501</v>
      </c>
      <c r="B3762" s="20" t="str">
        <f>IFERROR(__xludf.DUMMYFUNCTION("GOOGLETRANSLATE(A3762, ""fr"", ""en"")"),"Sale - Cleaning of parking lots on Monday, December 5, 2022")</f>
        <v>Sale - Cleaning of parking lots on Monday, December 5, 2022</v>
      </c>
    </row>
    <row r="3763">
      <c r="A3763" s="19" t="s">
        <v>1502</v>
      </c>
      <c r="B3763" s="20" t="str">
        <f>IFERROR(__xludf.DUMMYFUNCTION("GOOGLETRANSLATE(A3763, ""fr"", ""en"")"),"Sale - Cleaning of parking lots on Monday, November 7, 2022")</f>
        <v>Sale - Cleaning of parking lots on Monday, November 7, 2022</v>
      </c>
    </row>
    <row r="3764">
      <c r="A3764" s="19" t="s">
        <v>1503</v>
      </c>
      <c r="B3764" s="20" t="str">
        <f>IFERROR(__xludf.DUMMYFUNCTION("GOOGLETRANSLATE(A3764, ""fr"", ""en"")"),"Sale - Cleaning of parking lots on Monday September 26, 2022")</f>
        <v>Sale - Cleaning of parking lots on Monday September 26, 2022</v>
      </c>
    </row>
    <row r="3765">
      <c r="A3765" s="19" t="s">
        <v>1506</v>
      </c>
      <c r="B3765" s="20" t="str">
        <f>IFERROR(__xludf.DUMMYFUNCTION("GOOGLETRANSLATE(A3765, ""fr"", ""en"")"),"Sale - Cleaning of parking lots on Monday, November 28, 2022")</f>
        <v>Sale - Cleaning of parking lots on Monday, November 28, 2022</v>
      </c>
    </row>
    <row r="3766">
      <c r="A3766" s="19" t="s">
        <v>1504</v>
      </c>
      <c r="B3766" s="20" t="str">
        <f>IFERROR(__xludf.DUMMYFUNCTION("GOOGLETRANSLATE(A3766, ""fr"", ""en"")"),"Sale - Cleaning of parking lots of Wednesday October 19, 2022")</f>
        <v>Sale - Cleaning of parking lots of Wednesday October 19, 2022</v>
      </c>
    </row>
    <row r="3767">
      <c r="A3767" s="19" t="s">
        <v>1505</v>
      </c>
      <c r="B3767" s="20" t="str">
        <f>IFERROR(__xludf.DUMMYFUNCTION("GOOGLETRANSLATE(A3767, ""fr"", ""en"")"),"Sale - Cleaning of parking lots on Monday December 12, 2022")</f>
        <v>Sale - Cleaning of parking lots on Monday December 12, 2022</v>
      </c>
    </row>
    <row r="3768">
      <c r="A3768" s="19" t="s">
        <v>1488</v>
      </c>
      <c r="B3768" s="20" t="str">
        <f>IFERROR(__xludf.DUMMYFUNCTION("GOOGLETRANSLATE(A3768, ""fr"", ""en"")"),"Sale - Cleaning of the parking lots of Wednesday December 21, 2022")</f>
        <v>Sale - Cleaning of the parking lots of Wednesday December 21, 2022</v>
      </c>
    </row>
    <row r="3769">
      <c r="A3769" s="19" t="s">
        <v>2802</v>
      </c>
      <c r="B3769" s="20" t="str">
        <f>IFERROR(__xludf.DUMMYFUNCTION("GOOGLETRANSLATE(A3769, ""fr"", ""en"")"),"FM: Put an attachment to hide the cables under the screen in the input airlock")</f>
        <v>FM: Put an attachment to hide the cables under the screen in the input airlock</v>
      </c>
    </row>
    <row r="3770">
      <c r="A3770" s="19" t="s">
        <v>2803</v>
      </c>
      <c r="B3770" s="20" t="str">
        <f>IFERROR(__xludf.DUMMYFUNCTION("GOOGLETRANSLATE(A3770, ""fr"", ""en"")"),"FM: Following Visit Management, please pay the doors in the fresh, because the doors remain between open according to the RM.")</f>
        <v>FM: Following Visit Management, please pay the doors in the fresh, because the doors remain between open according to the RM.</v>
      </c>
    </row>
    <row r="3771">
      <c r="A3771" s="19" t="s">
        <v>2804</v>
      </c>
      <c r="B3771" s="20" t="str">
        <f>IFERROR(__xludf.DUMMYFUNCTION("GOOGLETRANSLATE(A3771, ""fr"", ""en"")"),"FM: Set of pebbles in the island in front of the entrance")</f>
        <v>FM: Set of pebbles in the island in front of the entrance</v>
      </c>
    </row>
    <row r="3772">
      <c r="A3772" s="19" t="s">
        <v>2805</v>
      </c>
      <c r="B3772" s="20" t="str">
        <f>IFERROR(__xludf.DUMMYFUNCTION("GOOGLETRANSLATE(A3772, ""fr"", ""en"")"),"FM: Return a ""gray aluminum"" scotch to the blower heat of the bellows at the quay")</f>
        <v>FM: Return a "gray aluminum" scotch to the blower heat of the bellows at the quay</v>
      </c>
    </row>
    <row r="3773">
      <c r="A3773" s="19" t="s">
        <v>2760</v>
      </c>
      <c r="B3773" s="20" t="str">
        <f>IFERROR(__xludf.DUMMYFUNCTION("GOOGLETRANSLATE(A3773, ""fr"", ""en"")"),"FM: Following Visit Management on 08/06, please intervene for 7/06, remove the cobwebs in the entrance airlock, including the lamps.")</f>
        <v>FM: Following Visit Management on 08/06, please intervene for 7/06, remove the cobwebs in the entrance airlock, including the lamps.</v>
      </c>
    </row>
    <row r="3774">
      <c r="A3774" s="19" t="s">
        <v>1508</v>
      </c>
      <c r="B3774" s="20" t="str">
        <f>IFERROR(__xludf.DUMMYFUNCTION("GOOGLETRANSLATE(A3774, ""fr"", ""en"")"),"FM: Module 7: Please intervene for clean window cleaning. Do not forget to ask for the RPS and the checklist of control signed and stamped by the supermarket.")</f>
        <v>FM: Module 7: Please intervene for clean window cleaning. Do not forget to ask for the RPS and the checklist of control signed and stamped by the supermarket.</v>
      </c>
    </row>
    <row r="3775">
      <c r="A3775" s="19" t="s">
        <v>1509</v>
      </c>
      <c r="B3775" s="20" t="str">
        <f>IFERROR(__xludf.DUMMYFUNCTION("GOOGLETRANSLATE(A3775, ""fr"", ""en"")"),"FM: Module 2: Please intervene for the full cleaning of the boxes. Do not forget to ask for the RPS and the checklist of control signed and stamped by the supermarket.")</f>
        <v>FM: Module 2: Please intervene for the full cleaning of the boxes. Do not forget to ask for the RPS and the checklist of control signed and stamped by the supermarket.</v>
      </c>
    </row>
    <row r="3776">
      <c r="A3776" s="19" t="s">
        <v>1510</v>
      </c>
      <c r="B3776" s="20" t="str">
        <f>IFERROR(__xludf.DUMMYFUNCTION("GOOGLETRANSLATE(A3776, ""fr"", ""en"")"),"FM: Module 3: Please intervene for the complete cleaning of the bakery. You don't forget to ask the RPS and the checklist of control signed and stamped by the supermarket.")</f>
        <v>FM: Module 3: Please intervene for the complete cleaning of the bakery. You don't forget to ask the RPS and the checklist of control signed and stamped by the supermarket.</v>
      </c>
    </row>
    <row r="3777">
      <c r="A3777" s="19" t="s">
        <v>2806</v>
      </c>
      <c r="B3777" s="20" t="str">
        <f>IFERROR(__xludf.DUMMYFUNCTION("GOOGLETRANSLATE(A3777, ""fr"", ""en"")"),"FM: Please change the DSB codes.")</f>
        <v>FM: Please change the DSB codes.</v>
      </c>
    </row>
    <row r="3778">
      <c r="A3778" s="19" t="s">
        <v>2807</v>
      </c>
      <c r="B3778" s="20" t="str">
        <f>IFERROR(__xludf.DUMMYFUNCTION("GOOGLETRANSLATE(A3778, ""fr"", ""en"")"),"FM: Management visit Wednesday 8/6, intervention starting around 4 p.m. on Tuesday, June 7, presence of staff on site until 11 p.m. Take a clip with Katia for more details.
 Complete cleaning including outside (windows and windows (tiled floor), parking, "&amp;"quay) + interior floors (sales area, social, reserve) + bakery (floor &amp; furniture)")</f>
        <v>FM: Management visit Wednesday 8/6, intervention starting around 4 p.m. on Tuesday, June 7, presence of staff on site until 11 p.m. Take a clip with Katia for more details.
 Complete cleaning including outside (windows and windows (tiled floor), parking, quay) + interior floors (sales area, social, reserve) + bakery (floor &amp; furniture)</v>
      </c>
    </row>
    <row r="3779">
      <c r="A3779" s="19" t="s">
        <v>2504</v>
      </c>
      <c r="B3779" s="20" t="str">
        <f>IFERROR(__xludf.DUMMYFUNCTION("GOOGLETRANSLATE(A3779, ""fr"", ""en"")"),"FM: Cleaning according to 7 S44-S45 low window module.")</f>
        <v>FM: Cleaning according to 7 S44-S45 low window module.</v>
      </c>
    </row>
    <row r="3780">
      <c r="A3780" s="19" t="s">
        <v>2336</v>
      </c>
      <c r="B3780" s="20" t="str">
        <f>IFERROR(__xludf.DUMMYFUNCTION("GOOGLETRANSLATE(A3780, ""fr"", ""en"")"),"FM Eco Eclairagve: Please set up the eco lighting mode following operating mode in PJ.")</f>
        <v>FM Eco Eclairagve: Please set up the eco lighting mode following operating mode in PJ.</v>
      </c>
    </row>
    <row r="3781">
      <c r="A3781" s="19" t="s">
        <v>1513</v>
      </c>
      <c r="B3781" s="20" t="str">
        <f>IFERROR(__xludf.DUMMYFUNCTION("GOOGLETRANSLATE(A3781, ""fr"", ""en"")"),"Sale - Cleaning of car parks of Friday January 27, 2023")</f>
        <v>Sale - Cleaning of car parks of Friday January 27, 2023</v>
      </c>
    </row>
    <row r="3782">
      <c r="A3782" s="19" t="s">
        <v>1514</v>
      </c>
      <c r="B3782" s="20" t="str">
        <f>IFERROR(__xludf.DUMMYFUNCTION("GOOGLETRANSLATE(A3782, ""fr"", ""en"")"),"Sale - Cleaning of parking lots on Monday January 30, 2023")</f>
        <v>Sale - Cleaning of parking lots on Monday January 30, 2023</v>
      </c>
    </row>
    <row r="3783">
      <c r="A3783" s="19" t="s">
        <v>1516</v>
      </c>
      <c r="B3783" s="20" t="str">
        <f>IFERROR(__xludf.DUMMYFUNCTION("GOOGLETRANSLATE(A3783, ""fr"", ""en"")"),"Sale - Cleaning of car parks of Friday November 4, 2022")</f>
        <v>Sale - Cleaning of car parks of Friday November 4, 2022</v>
      </c>
    </row>
    <row r="3784">
      <c r="A3784" s="19" t="s">
        <v>2808</v>
      </c>
      <c r="B3784" s="20" t="str">
        <f>IFERROR(__xludf.DUMMYFUNCTION("GOOGLETRANSLATE(A3784, ""fr"", ""en"")"),"FM: Throw to throw down + smooth for screw furniture + controlled office control uncommmeted + put insulating sticky band + yellow terminal in front of global relay to be straightened.")</f>
        <v>FM: Throw to throw down + smooth for screw furniture + controlled office control uncommmeted + put insulating sticky band + yellow terminal in front of global relay to be straightened.</v>
      </c>
    </row>
    <row r="3785">
      <c r="A3785" s="19" t="s">
        <v>2809</v>
      </c>
      <c r="B3785" s="20" t="str">
        <f>IFERROR(__xludf.DUMMYFUNCTION("GOOGLETRANSLATE(A3785, ""fr"", ""en"")"),"FM: We want a supervisor for 03/11/2022. Please send us a confirmation by email.")</f>
        <v>FM: We want a supervisor for 03/11/2022. Please send us a confirmation by email.</v>
      </c>
    </row>
    <row r="3786">
      <c r="A3786" s="19" t="s">
        <v>1520</v>
      </c>
      <c r="B3786" s="20" t="str">
        <f>IFERROR(__xludf.DUMMYFUNCTION("GOOGLETRANSLATE(A3786, ""fr"", ""en"")"),"Sale - Cleaning of parking lots on Friday December 30, 2022")</f>
        <v>Sale - Cleaning of parking lots on Friday December 30, 2022</v>
      </c>
    </row>
    <row r="3787">
      <c r="A3787" s="19" t="s">
        <v>1521</v>
      </c>
      <c r="B3787" s="20" t="str">
        <f>IFERROR(__xludf.DUMMYFUNCTION("GOOGLETRANSLATE(A3787, ""fr"", ""en"")"),"Sale - Cleaning of the car parks of Wednesday 28/12/2022")</f>
        <v>Sale - Cleaning of the car parks of Wednesday 28/12/2022</v>
      </c>
    </row>
    <row r="3788">
      <c r="A3788" s="19" t="s">
        <v>1522</v>
      </c>
      <c r="B3788" s="20" t="str">
        <f>IFERROR(__xludf.DUMMYFUNCTION("GOOGLETRANSLATE(A3788, ""fr"", ""en"")"),"Sale - Cleaning of parking lots of Friday, December 23, 2022")</f>
        <v>Sale - Cleaning of parking lots of Friday, December 23, 2022</v>
      </c>
    </row>
    <row r="3789">
      <c r="A3789" s="19" t="s">
        <v>1524</v>
      </c>
      <c r="B3789" s="20" t="str">
        <f>IFERROR(__xludf.DUMMYFUNCTION("GOOGLETRANSLATE(A3789, ""fr"", ""en"")"),"Sale - Cleaning of car parks of Friday November 25, 2022")</f>
        <v>Sale - Cleaning of car parks of Friday November 25, 2022</v>
      </c>
    </row>
    <row r="3790">
      <c r="A3790" s="19" t="s">
        <v>1523</v>
      </c>
      <c r="B3790" s="20" t="str">
        <f>IFERROR(__xludf.DUMMYFUNCTION("GOOGLETRANSLATE(A3790, ""fr"", ""en"")"),"Sale - Cleaning of car parks on Friday December 16, 2022")</f>
        <v>Sale - Cleaning of car parks on Friday December 16, 2022</v>
      </c>
    </row>
    <row r="3791">
      <c r="A3791" s="19" t="s">
        <v>1525</v>
      </c>
      <c r="B3791" s="20" t="str">
        <f>IFERROR(__xludf.DUMMYFUNCTION("GOOGLETRANSLATE(A3791, ""fr"", ""en"")"),"Sale - Cleaning of parking lots of Wednesday December 28, 2022")</f>
        <v>Sale - Cleaning of parking lots of Wednesday December 28, 2022</v>
      </c>
    </row>
    <row r="3792">
      <c r="A3792" s="19" t="s">
        <v>1526</v>
      </c>
      <c r="B3792" s="20" t="str">
        <f>IFERROR(__xludf.DUMMYFUNCTION("GOOGLETRANSLATE(A3792, ""fr"", ""en"")"),"FM: Caisses Cleaning - Module 2 S47-48.")</f>
        <v>FM: Caisses Cleaning - Module 2 S47-48.</v>
      </c>
    </row>
    <row r="3793">
      <c r="A3793" s="19" t="s">
        <v>1530</v>
      </c>
      <c r="B3793" s="20" t="str">
        <f>IFERROR(__xludf.DUMMYFUNCTION("GOOGLETRANSLATE(A3793, ""fr"", ""en"")"),"FM: Eco Lighting: adjustment of the extinction instructions, according to the following instructions: 1- SPM classified in priority 1 in the PJ table: Reluming the sales area 100% except lettering on the walls. The lettering ""special offers"" and on the "&amp;"bread ark must be on. // 2- SPM classified in prio 2 and 3 in the table in PJ: Relum only the spots on the bakery area, FL, cosmetics, boxes, fresh, frozen furniture and bins. Lettrages on the walls must remain extinguished (except ""special offers"" and "&amp;"on the bread ark). // Plan the sites according to the order of priority indicated. The reserves and social premises partially extinguished are not affected by this readjustment. On the other hand, the reserves and social premises that had not been optimiz"&amp;"ed during the first wave are to be optimized. For SPMs requiring a nacelle, please group these stores in order to optimize the rental of the nacelle, imperatively transmit the quote before intervention. Return a recap to the progress of the tour every Fri"&amp;"day to Ali and Benjamin.")</f>
        <v>FM: Eco Lighting: adjustment of the extinction instructions, according to the following instructions: 1- SPM classified in priority 1 in the PJ table: Reluming the sales area 100% except lettering on the walls. The lettering "special offers" and on the bread ark must be on. // 2- SPM classified in prio 2 and 3 in the table in PJ: Relum only the spots on the bakery area, FL, cosmetics, boxes, fresh, frozen furniture and bins. Lettrages on the walls must remain extinguished (except "special offers" and on the bread ark). // Plan the sites according to the order of priority indicated. The reserves and social premises partially extinguished are not affected by this readjustment. On the other hand, the reserves and social premises that had not been optimized during the first wave are to be optimized. For SPMs requiring a nacelle, please group these stores in order to optimize the rental of the nacelle, imperatively transmit the quote before intervention. Return a recap to the progress of the tour every Friday to Ali and Benjamin.</v>
      </c>
    </row>
    <row r="3794">
      <c r="A3794" s="19" t="s">
        <v>1531</v>
      </c>
      <c r="B3794" s="20" t="str">
        <f>IFERROR(__xludf.DUMMYFUNCTION("GOOGLETRANSLATE(A3794, ""fr"", ""en"")"),"Sale - Cleaning of parking lots on Friday December 9, 2022")</f>
        <v>Sale - Cleaning of parking lots on Friday December 9, 2022</v>
      </c>
    </row>
    <row r="3795">
      <c r="A3795" s="19" t="s">
        <v>2810</v>
      </c>
      <c r="B3795" s="20" t="str">
        <f>IFERROR(__xludf.DUMMYFUNCTION("GOOGLETRANSLATE(A3795, ""fr"", ""en"")"),"FM: bakery cleaning - 3 S46-48 module.")</f>
        <v>FM: bakery cleaning - 3 S46-48 module.</v>
      </c>
    </row>
    <row r="3796">
      <c r="A3796" s="19" t="s">
        <v>2811</v>
      </c>
      <c r="B3796" s="20" t="str">
        <f>IFERROR(__xludf.DUMMYFUNCTION("GOOGLETRANSLATE(A3796, ""fr"", ""en"")"),"Hello, please find attached the summary sheet of observations following the passage of the office Veritas for the year 2022. We ask you to kindly raise observations as soon as possible and return to us as soon as the intervention is finished (s ) Document"&amp;" (s) completed (s), signed (s) and hidden by you. Sincerely. ELEC")</f>
        <v>Hello, please find attached the summary sheet of observations following the passage of the office Veritas for the year 2022. We ask you to kindly raise observations as soon as possible and return to us as soon as the intervention is finished (s ) Document (s) completed (s), signed (s) and hidden by you. Sincerely. ELEC</v>
      </c>
    </row>
    <row r="3797">
      <c r="A3797" s="19" t="s">
        <v>2812</v>
      </c>
      <c r="B3797" s="20" t="str">
        <f>IFERROR(__xludf.DUMMYFUNCTION("GOOGLETRANSLATE(A3797, ""fr"", ""en"")"),"FM: Badge n ° 1000733142 by Antoine Griss (RVS) does not open the doors. Please activate it (to pool with another intervention if possible)")</f>
        <v>FM: Badge n ° 1000733142 by Antoine Griss (RVS) does not open the doors. Please activate it (to pool with another intervention if possible)</v>
      </c>
    </row>
    <row r="3798">
      <c r="A3798" s="19" t="s">
        <v>2813</v>
      </c>
      <c r="B3798" s="20" t="str">
        <f>IFERROR(__xludf.DUMMYFUNCTION("GOOGLETRANSLATE(A3798, ""fr"", ""en"")"),"FM: Alarm day is not working.")</f>
        <v>FM: Alarm day is not working.</v>
      </c>
    </row>
    <row r="3799">
      <c r="A3799" s="19" t="s">
        <v>1537</v>
      </c>
      <c r="B3799" s="20" t="str">
        <f>IFERROR(__xludf.DUMMYFUNCTION("GOOGLETRANSLATE(A3799, ""fr"", ""en"")"),"Sale - Cleaning of car parks on Friday December 2, 2022")</f>
        <v>Sale - Cleaning of car parks on Friday December 2, 2022</v>
      </c>
    </row>
    <row r="3800">
      <c r="A3800" s="19" t="s">
        <v>1457</v>
      </c>
      <c r="B3800" s="20" t="str">
        <f>IFERROR(__xludf.DUMMYFUNCTION("GOOGLETRANSLATE(A3800, ""fr"", ""en"")"),"FM: Thank you for reconnecting the water heaters in the kitchens and bakery.")</f>
        <v>FM: Thank you for reconnecting the water heaters in the kitchens and bakery.</v>
      </c>
    </row>
    <row r="3801">
      <c r="A3801" s="19" t="s">
        <v>2814</v>
      </c>
      <c r="B3801" s="20" t="str">
        <f>IFERROR(__xludf.DUMMYFUNCTION("GOOGLETRANSLATE(A3801, ""fr"", ""en"")"),"FM: Caisses Cleaning - Module 2 - S19. Immerately attach the checklists.")</f>
        <v>FM: Caisses Cleaning - Module 2 - S19. Immerately attach the checklists.</v>
      </c>
    </row>
    <row r="3802">
      <c r="A3802" s="19" t="s">
        <v>1539</v>
      </c>
      <c r="B3802" s="20" t="str">
        <f>IFERROR(__xludf.DUMMYFUNCTION("GOOGLETRANSLATE(A3802, ""fr"", ""en"")"),"Sale - Cleaning of parking lots of Wednesday April 5, 2023")</f>
        <v>Sale - Cleaning of parking lots of Wednesday April 5, 2023</v>
      </c>
    </row>
    <row r="3803">
      <c r="A3803" s="19" t="s">
        <v>1446</v>
      </c>
      <c r="B3803" s="20" t="str">
        <f>IFERROR(__xludf.DUMMYFUNCTION("GOOGLETRANSLATE(A3803, ""fr"", ""en"")"),"Sale - Cleaning of parking lots on Monday March 6, 2023")</f>
        <v>Sale - Cleaning of parking lots on Monday March 6, 2023</v>
      </c>
    </row>
    <row r="3804">
      <c r="A3804" s="19" t="s">
        <v>1540</v>
      </c>
      <c r="B3804" s="20" t="str">
        <f>IFERROR(__xludf.DUMMYFUNCTION("GOOGLETRANSLATE(A3804, ""fr"", ""en"")"),"Sale - Cleaning of parking lots on Monday March 13, 2023")</f>
        <v>Sale - Cleaning of parking lots on Monday March 13, 2023</v>
      </c>
    </row>
    <row r="3805">
      <c r="A3805" s="19" t="s">
        <v>1541</v>
      </c>
      <c r="B3805" s="20" t="str">
        <f>IFERROR(__xludf.DUMMYFUNCTION("GOOGLETRANSLATE(A3805, ""fr"", ""en"")"),"Sale - Cleaning of parking lots of Wednesday, April 26, 2023")</f>
        <v>Sale - Cleaning of parking lots of Wednesday, April 26, 2023</v>
      </c>
    </row>
    <row r="3806">
      <c r="A3806" s="19" t="s">
        <v>1542</v>
      </c>
      <c r="B3806" s="20" t="str">
        <f>IFERROR(__xludf.DUMMYFUNCTION("GOOGLETRANSLATE(A3806, ""fr"", ""en"")"),"Sale - Cleaning of parking lots on Monday April 24, 2023")</f>
        <v>Sale - Cleaning of parking lots on Monday April 24, 2023</v>
      </c>
    </row>
    <row r="3807">
      <c r="A3807" s="19" t="s">
        <v>2815</v>
      </c>
      <c r="B3807" s="20" t="str">
        <f>IFERROR(__xludf.DUMMYFUNCTION("GOOGLETRANSLATE(A3807, ""fr"", ""en"")"),"FM: A shopping cart is in front of the house of a client 23 rue des Jardins in Eckbolsheim. Please collect it and give it to the Lidl in Eckbolsheim. Tell me when possible please.")</f>
        <v>FM: A shopping cart is in front of the house of a client 23 rue des Jardins in Eckbolsheim. Please collect it and give it to the Lidl in Eckbolsheim. Tell me when possible please.</v>
      </c>
    </row>
    <row r="3808">
      <c r="A3808" s="19" t="s">
        <v>2816</v>
      </c>
      <c r="B3808" s="20" t="str">
        <f>IFERROR(__xludf.DUMMYFUNCTION("GOOGLETRANSLATE(A3808, ""fr"", ""en"")"),"FM: Check the air conditioning in the computer room, because too high humidity rate (70%) + water recovery does not work in car, the Mag had no more water in the toilets so they have to touch the valves")</f>
        <v>FM: Check the air conditioning in the computer room, because too high humidity rate (70%) + water recovery does not work in car, the Mag had no more water in the toilets so they have to touch the valves</v>
      </c>
    </row>
    <row r="3809">
      <c r="A3809" s="19" t="s">
        <v>2817</v>
      </c>
      <c r="B3809" s="20" t="str">
        <f>IFERROR(__xludf.DUMMYFUNCTION("GOOGLETRANSLATE(A3809, ""fr"", ""en"")"),"No de -touter door")</f>
        <v>No de -touter door</v>
      </c>
    </row>
    <row r="3810">
      <c r="A3810" s="19" t="s">
        <v>2818</v>
      </c>
      <c r="B3810" s="20" t="str">
        <f>IFERROR(__xludf.DUMMYFUNCTION("GOOGLETRANSLATE(A3810, ""fr"", ""en"")"),"FM: Please intervene following the validation of the MFQ-000479231-0 quote. Rehabilitation of the anti-return alarm.")</f>
        <v>FM: Please intervene following the validation of the MFQ-000479231-0 quote. Rehabilitation of the anti-return alarm.</v>
      </c>
    </row>
    <row r="3811">
      <c r="A3811" s="19" t="s">
        <v>2819</v>
      </c>
      <c r="B3811" s="20" t="str">
        <f>IFERROR(__xludf.DUMMYFUNCTION("GOOGLETRANSLATE(A3811, ""fr"", ""en"")"),"FM: Follow -up remote monitoring report, please intervene for a cold defect of 3 hours.")</f>
        <v>FM: Follow -up remote monitoring report, please intervene for a cold defect of 3 hours.</v>
      </c>
    </row>
    <row r="3812">
      <c r="A3812" s="19" t="s">
        <v>1543</v>
      </c>
      <c r="B3812" s="20" t="str">
        <f>IFERROR(__xludf.DUMMYFUNCTION("GOOGLETRANSLATE(A3812, ""fr"", ""en"")"),"Sale - Cleaning of car parks on Monday October 31, 2022")</f>
        <v>Sale - Cleaning of car parks on Monday October 31, 2022</v>
      </c>
    </row>
    <row r="3813">
      <c r="A3813" s="19" t="s">
        <v>2820</v>
      </c>
      <c r="B3813" s="20" t="str">
        <f>IFERROR(__xludf.DUMMYFUNCTION("GOOGLETRANSLATE(A3813, ""fr"", ""en"")"),"FM: Follow -up remote monitoring report, please intervene following a cold defect of more than 4 hours tonight.")</f>
        <v>FM: Follow -up remote monitoring report, please intervene following a cold defect of more than 4 hours tonight.</v>
      </c>
    </row>
    <row r="3814">
      <c r="A3814" s="19" t="s">
        <v>2821</v>
      </c>
      <c r="B3814" s="20" t="str">
        <f>IFERROR(__xludf.DUMMYFUNCTION("GOOGLETRANSLATE(A3814, ""fr"", ""en"")"),"Repainting yellow and black post + wall on the platform.")</f>
        <v>Repainting yellow and black post + wall on the platform.</v>
      </c>
    </row>
    <row r="3815">
      <c r="A3815" s="19" t="s">
        <v>2822</v>
      </c>
      <c r="B3815" s="20" t="str">
        <f>IFERROR(__xludf.DUMMYFUNCTION("GOOGLETRANSLATE(A3815, ""fr"", ""en"")"),"FM: Please intervene following the validation of the DV2211030007 DV222110. Lighting repair.")</f>
        <v>FM: Please intervene following the validation of the DV2211030007 DV222110. Lighting repair.</v>
      </c>
    </row>
    <row r="3816">
      <c r="A3816" s="19" t="s">
        <v>2823</v>
      </c>
      <c r="B3816" s="20" t="str">
        <f>IFERROR(__xludf.DUMMYFUNCTION("GOOGLETRANSLATE(A3816, ""fr"", ""en"")"),"At the request of the CM: Refix the aluminum corner angle on the podium of wines. Odm made by AT3. Finished work")</f>
        <v>At the request of the CM: Refix the aluminum corner angle on the podium of wines. Odm made by AT3. Finished work</v>
      </c>
    </row>
    <row r="3817">
      <c r="A3817" s="19" t="s">
        <v>2824</v>
      </c>
      <c r="B3817" s="20" t="str">
        <f>IFERROR(__xludf.DUMMYFUNCTION("GOOGLETRANSLATE(A3817, ""fr"", ""en"")"),"Replacement of self -adhesive plates for destructive insects in Labe Pain.odm made by AT3. Finished work")</f>
        <v>Replacement of self -adhesive plates for destructive insects in Labe Pain.odm made by AT3. Finished work</v>
      </c>
    </row>
    <row r="3818">
      <c r="A3818" s="19" t="s">
        <v>2825</v>
      </c>
      <c r="B3818" s="20" t="str">
        <f>IFERROR(__xludf.DUMMYFUNCTION("GOOGLETRANSLATE(A3818, ""fr"", ""en"")"),"Handmade cable")</f>
        <v>Handmade cable</v>
      </c>
    </row>
    <row r="3819">
      <c r="A3819" s="19" t="s">
        <v>2330</v>
      </c>
      <c r="B3819" s="20" t="str">
        <f>IFERROR(__xludf.DUMMYFUNCTION("GOOGLETRANSLATE(A3819, ""fr"", ""en"")"),"FM: High window cleaning - Module 7 - S30. Immerately attach the checklists.")</f>
        <v>FM: High window cleaning - Module 7 - S30. Immerately attach the checklists.</v>
      </c>
    </row>
    <row r="3820">
      <c r="A3820" s="19" t="s">
        <v>2826</v>
      </c>
      <c r="B3820" s="20" t="str">
        <f>IFERROR(__xludf.DUMMYFUNCTION("GOOGLETRANSLATE(A3820, ""fr"", ""en"")"),"Defective central button")</f>
        <v>Defective central button</v>
      </c>
    </row>
    <row r="3821">
      <c r="A3821" s="19" t="s">
        <v>2827</v>
      </c>
      <c r="B3821" s="20" t="str">
        <f>IFERROR(__xludf.DUMMYFUNCTION("GOOGLETRANSLATE(A3821, ""fr"", ""en"")"),"Estanted door. is no longer in rail. hardly closes anymore")</f>
        <v>Estanted door. is no longer in rail. hardly closes anymore</v>
      </c>
    </row>
    <row r="3822">
      <c r="A3822" s="19" t="s">
        <v>1547</v>
      </c>
      <c r="B3822" s="20" t="str">
        <f>IFERROR(__xludf.DUMMYFUNCTION("GOOGLETRANSLATE(A3822, ""fr"", ""en"")"),"FM: 1 or more ovens are not connected, intervene to configure the oven, contact Interway to check the connection status (see PJ logigram).")</f>
        <v>FM: 1 or more ovens are not connected, intervene to configure the oven, contact Interway to check the connection status (see PJ logigram).</v>
      </c>
    </row>
    <row r="3823">
      <c r="A3823" s="19" t="s">
        <v>744</v>
      </c>
      <c r="B3823" s="20" t="str">
        <f>IFERROR(__xludf.DUMMYFUNCTION("GOOGLETRANSLATE(A3823, ""fr"", ""en"")"),"At the request of the FM: recover the CVC power of a SPM.ODM made by AT3.")</f>
        <v>At the request of the FM: recover the CVC power of a SPM.ODM made by AT3.</v>
      </c>
    </row>
    <row r="3824">
      <c r="A3824" s="19" t="s">
        <v>2828</v>
      </c>
      <c r="B3824" s="20" t="str">
        <f>IFERROR(__xludf.DUMMYFUNCTION("GOOGLETRANSLATE(A3824, ""fr"", ""en"")"),"Hello, Following the verification of the Veritas control office, please raise the observations mentioned in the attached photos as part of the warranty.")</f>
        <v>Hello, Following the verification of the Veritas control office, please raise the observations mentioned in the attached photos as part of the warranty.</v>
      </c>
    </row>
    <row r="3825">
      <c r="A3825" s="19" t="s">
        <v>2829</v>
      </c>
      <c r="B3825" s="20" t="str">
        <f>IFERROR(__xludf.DUMMYFUNCTION("GOOGLETRANSLATE(A3825, ""fr"", ""en"")"),"FM: Thank you for intervening the inverter is in default.")</f>
        <v>FM: Thank you for intervening the inverter is in default.</v>
      </c>
    </row>
    <row r="3826">
      <c r="A3826" s="19" t="s">
        <v>2830</v>
      </c>
      <c r="B3826" s="20" t="str">
        <f>IFERROR(__xludf.DUMMYFUNCTION("GOOGLETRANSLATE(A3826, ""fr"", ""en"")"),"HS blind")</f>
        <v>HS blind</v>
      </c>
    </row>
    <row r="3827">
      <c r="A3827" s="19" t="s">
        <v>2831</v>
      </c>
      <c r="B3827" s="20" t="str">
        <f>IFERROR(__xludf.DUMMYFUNCTION("GOOGLETRANSLATE(A3827, ""fr"", ""en"")"),"FM: SUITE TV REPORTS, several microphones this night.")</f>
        <v>FM: SUITE TV REPORTS, several microphones this night.</v>
      </c>
    </row>
    <row r="3828">
      <c r="A3828" s="19" t="s">
        <v>2832</v>
      </c>
      <c r="B3828" s="20" t="str">
        <f>IFERROR(__xludf.DUMMYFUNCTION("GOOGLETRANSLATE(A3828, ""fr"", ""en"")"),"Sink in Labe Pain Boucher")</f>
        <v>Sink in Labe Pain Boucher</v>
      </c>
    </row>
    <row r="3829">
      <c r="A3829" s="19" t="s">
        <v>2833</v>
      </c>
      <c r="B3829" s="20" t="str">
        <f>IFERROR(__xludf.DUMMYFUNCTION("GOOGLETRANSLATE(A3829, ""fr"", ""en"")"),"he does not go up to the top he argues in the middle")</f>
        <v>he does not go up to the top he argues in the middle</v>
      </c>
    </row>
    <row r="3830">
      <c r="A3830" s="19" t="s">
        <v>2834</v>
      </c>
      <c r="B3830" s="20" t="str">
        <f>IFERROR(__xludf.DUMMYFUNCTION("GOOGLETRANSLATE(A3830, ""fr"", ""en"")"),"The deactivators are HS on my boxes 3 and 5 (CB) as well as on my 6 automatic funds. Control carried out with the API card as well as with anti -theft products.
 Checkpoint provider")</f>
        <v>The deactivators are HS on my boxes 3 and 5 (CB) as well as on my 6 automatic funds. Control carried out with the API card as well as with anti -theft products.
 Checkpoint provider</v>
      </c>
    </row>
    <row r="3831">
      <c r="A3831" s="21"/>
      <c r="B3831" s="20" t="str">
        <f>IFERROR(__xludf.DUMMYFUNCTION("GOOGLETRANSLATE(A3831, ""fr"", ""en"")"),"#VALUE!")</f>
        <v>#VALUE!</v>
      </c>
    </row>
    <row r="3832">
      <c r="A3832" s="19" t="s">
        <v>1530</v>
      </c>
      <c r="B3832" s="20" t="str">
        <f>IFERROR(__xludf.DUMMYFUNCTION("GOOGLETRANSLATE(A3832, ""fr"", ""en"")"),"FM: Eco Lighting: adjustment of the extinction instructions, according to the following instructions: 1- SPM classified in priority 1 in the PJ table: Reluming the sales area 100% except lettering on the walls. The lettering ""special offers"" and on the "&amp;"bread ark must be on. // 2- SPM classified in prio 2 and 3 in the table in PJ: Relum only the spots on the bakery area, FL, cosmetics, boxes, fresh, frozen furniture and bins. Lettrages on the walls must remain extinguished (except ""special offers"" and "&amp;"on the bread ark). // Plan the sites according to the order of priority indicated. The reserves and social premises partially extinguished are not affected by this readjustment. On the other hand, the reserves and social premises that had not been optimiz"&amp;"ed during the first wave are to be optimized. For SPMs requiring a nacelle, please group these stores in order to optimize the rental of the nacelle, imperatively transmit the quote before intervention. Return a recap to the progress of the tour every Fri"&amp;"day to Ali and Benjamin.")</f>
        <v>FM: Eco Lighting: adjustment of the extinction instructions, according to the following instructions: 1- SPM classified in priority 1 in the PJ table: Reluming the sales area 100% except lettering on the walls. The lettering "special offers" and on the bread ark must be on. // 2- SPM classified in prio 2 and 3 in the table in PJ: Relum only the spots on the bakery area, FL, cosmetics, boxes, fresh, frozen furniture and bins. Lettrages on the walls must remain extinguished (except "special offers" and on the bread ark). // Plan the sites according to the order of priority indicated. The reserves and social premises partially extinguished are not affected by this readjustment. On the other hand, the reserves and social premises that had not been optimized during the first wave are to be optimized. For SPMs requiring a nacelle, please group these stores in order to optimize the rental of the nacelle, imperatively transmit the quote before intervention. Return a recap to the progress of the tour every Friday to Ali and Benjamin.</v>
      </c>
    </row>
    <row r="3833">
      <c r="A3833" s="19" t="s">
        <v>2835</v>
      </c>
      <c r="B3833" s="20" t="str">
        <f>IFERROR(__xludf.DUMMYFUNCTION("GOOGLETRANSLATE(A3833, ""fr"", ""en"")"),"Furniture next to HS and this one arrives pasa keep labonne temperature. 6 degrees displayed")</f>
        <v>Furniture next to HS and this one arrives pasa keep labonne temperature. 6 degrees displayed</v>
      </c>
    </row>
    <row r="3834">
      <c r="A3834" s="19" t="s">
        <v>2836</v>
      </c>
      <c r="B3834" s="20" t="str">
        <f>IFERROR(__xludf.DUMMYFUNCTION("GOOGLETRANSLATE(A3834, ""fr"", ""en"")"),"FM: Continuation of remote monitoring, please intervene for a cold defect of more than 6 p.m.")</f>
        <v>FM: Continuation of remote monitoring, please intervene for a cold defect of more than 6 p.m.</v>
      </c>
    </row>
    <row r="3835">
      <c r="A3835" s="19" t="s">
        <v>2335</v>
      </c>
      <c r="B3835" s="20" t="str">
        <f>IFERROR(__xludf.DUMMYFUNCTION("GOOGLETRANSLATE(A3835, ""fr"", ""en"")"),"FM: Cleaning park with carts - 12 - S28 module. Immerately attach the checklists.")</f>
        <v>FM: Cleaning park with carts - 12 - S28 module. Immerately attach the checklists.</v>
      </c>
    </row>
    <row r="3836">
      <c r="A3836" s="19" t="s">
        <v>1390</v>
      </c>
      <c r="B3836" s="20" t="str">
        <f>IFERROR(__xludf.DUMMYFUNCTION("GOOGLETRANSLATE(A3836, ""fr"", ""en"")"),"Various RMR sale for all DR02 SPMs to do before the end S31voir Devis
 Install the Visuals of the Aggressiveness Price campaign. The detail is in the joint pdf")</f>
        <v>Various RMR sale for all DR02 SPMs to do before the end S31voir Devis
 Install the Visuals of the Aggressiveness Price campaign. The detail is in the joint pdf</v>
      </c>
    </row>
    <row r="3837">
      <c r="A3837" s="19" t="s">
        <v>2837</v>
      </c>
      <c r="B3837" s="20" t="str">
        <f>IFERROR(__xludf.DUMMYFUNCTION("GOOGLETRANSLATE(A3837, ""fr"", ""en"")"),"FM: Thank you for activating Paul Fischer's badge, RVS function on the entire store and checking its access to all the stores in the regional management.
 Badges number:
 Black: 0001000646630
 Gray: 0010340644689")</f>
        <v>FM: Thank you for activating Paul Fischer's badge, RVS function on the entire store and checking its access to all the stores in the regional management.
 Badges number:
 Black: 0001000646630
 Gray: 0010340644689</v>
      </c>
    </row>
    <row r="3838">
      <c r="A3838" s="19" t="s">
        <v>2838</v>
      </c>
      <c r="B3838" s="20" t="str">
        <f>IFERROR(__xludf.DUMMYFUNCTION("GOOGLETRANSLATE(A3838, ""fr"", ""en"")"),"Furniture that can go down to -8 degrees. Declechee Frois Alarm")</f>
        <v>Furniture that can go down to -8 degrees. Declechee Frois Alarm</v>
      </c>
    </row>
    <row r="3839">
      <c r="A3839" s="19" t="s">
        <v>2839</v>
      </c>
      <c r="B3839" s="20" t="str">
        <f>IFERROR(__xludf.DUMMYFUNCTION("GOOGLETRANSLATE(A3839, ""fr"", ""en"")"),"6 -degree furniture")</f>
        <v>6 -degree furniture</v>
      </c>
    </row>
    <row r="3840">
      <c r="A3840" s="19" t="s">
        <v>2840</v>
      </c>
      <c r="B3840" s="20" t="str">
        <f>IFERROR(__xludf.DUMMYFUNCTION("GOOGLETRANSLATE(A3840, ""fr"", ""en"")"),"6 -degree furniture")</f>
        <v>6 -degree furniture</v>
      </c>
    </row>
    <row r="3841">
      <c r="A3841" s="19" t="s">
        <v>2841</v>
      </c>
      <c r="B3841" s="20" t="str">
        <f>IFERROR(__xludf.DUMMYFUNCTION("GOOGLETRANSLATE(A3841, ""fr"", ""en"")"),"Furniture Fait")</f>
        <v>Furniture Fait</v>
      </c>
    </row>
    <row r="3842">
      <c r="A3842" s="19" t="s">
        <v>2842</v>
      </c>
      <c r="B3842" s="20" t="str">
        <f>IFERROR(__xludf.DUMMYFUNCTION("GOOGLETRANSLATE(A3842, ""fr"", ""en"")"),"FM: Thank you for intervening following the validation of the DV00027886 quote. Complete RPCT of a BSO blind.")</f>
        <v>FM: Thank you for intervening following the validation of the DV00027886 quote. Complete RPCT of a BSO blind.</v>
      </c>
    </row>
    <row r="3843">
      <c r="A3843" s="19" t="s">
        <v>2843</v>
      </c>
      <c r="B3843" s="20" t="str">
        <f>IFERROR(__xludf.DUMMYFUNCTION("GOOGLETRANSLATE(A3843, ""fr"", ""en"")"),"At3 quarterly check list 3862.odm made by AT3. Finished work")</f>
        <v>At3 quarterly check list 3862.odm made by AT3. Finished work</v>
      </c>
    </row>
    <row r="3844">
      <c r="A3844" s="19" t="s">
        <v>2844</v>
      </c>
      <c r="B3844" s="20" t="str">
        <f>IFERROR(__xludf.DUMMYFUNCTION("GOOGLETRANSLATE(A3844, ""fr"", ""en"")"),"FM: Bakery cleaning - 5 - S32 module. Immerately attach the checklists.")</f>
        <v>FM: Bakery cleaning - 5 - S32 module. Immerately attach the checklists.</v>
      </c>
    </row>
    <row r="3845">
      <c r="A3845" s="19" t="s">
        <v>2845</v>
      </c>
      <c r="B3845" s="20" t="str">
        <f>IFERROR(__xludf.DUMMYFUNCTION("GOOGLETRANSLATE(A3845, ""fr"", ""en"")"),"FM: The lock of the quay curtain is broken.")</f>
        <v>FM: The lock of the quay curtain is broken.</v>
      </c>
    </row>
    <row r="3846">
      <c r="A3846" s="19" t="s">
        <v>2846</v>
      </c>
      <c r="B3846" s="20" t="str">
        <f>IFERROR(__xludf.DUMMYFUNCTION("GOOGLETRANSLATE(A3846, ""fr"", ""en"")"),"FM: FUND MAIL M. René COWE (FACILITY PARK), please intervene because the output terminal displays an error message every 10 minutes which blocks the customer at the exit.")</f>
        <v>FM: FUND MAIL M. René COWE (FACILITY PARK), please intervene because the output terminal displays an error message every 10 minutes which blocks the customer at the exit.</v>
      </c>
    </row>
    <row r="3847">
      <c r="A3847" s="19" t="s">
        <v>2847</v>
      </c>
      <c r="B3847" s="20" t="str">
        <f>IFERROR(__xludf.DUMMYFUNCTION("GOOGLETRANSLATE(A3847, ""fr"", ""en"")"),"Cold continuous alarm")</f>
        <v>Cold continuous alarm</v>
      </c>
    </row>
    <row r="3848">
      <c r="A3848" s="19" t="s">
        <v>2848</v>
      </c>
      <c r="B3848" s="20" t="str">
        <f>IFERROR(__xludf.DUMMYFUNCTION("GOOGLETRANSLATE(A3848, ""fr"", ""en"")"),"FM: There were 78 cold night faults in July. Please check if everything is working properly.")</f>
        <v>FM: There were 78 cold night faults in July. Please check if everything is working properly.</v>
      </c>
    </row>
    <row r="3849">
      <c r="A3849" s="19" t="s">
        <v>2849</v>
      </c>
      <c r="B3849" s="20" t="str">
        <f>IFERROR(__xludf.DUMMYFUNCTION("GOOGLETRANSLATE(A3849, ""fr"", ""en"")"),"damaged. Problem for delivery")</f>
        <v>damaged. Problem for delivery</v>
      </c>
    </row>
    <row r="3850">
      <c r="A3850" s="19" t="s">
        <v>2850</v>
      </c>
      <c r="B3850" s="20" t="str">
        <f>IFERROR(__xludf.DUMMYFUNCTION("GOOGLETRANSLATE(A3850, ""fr"", ""en"")"),"FM: Following Monthly Request Relative Monitoring, please intervene there are too large cold flaws, check the Alarms and Configuges Journal to solve these problems.")</f>
        <v>FM: Following Monthly Request Relative Monitoring, please intervene there are too large cold flaws, check the Alarms and Configuges Journal to solve these problems.</v>
      </c>
    </row>
    <row r="3851">
      <c r="A3851" s="19" t="s">
        <v>2851</v>
      </c>
      <c r="B3851" s="20" t="str">
        <f>IFERROR(__xludf.DUMMYFUNCTION("GOOGLETRANSLATE(A3851, ""fr"", ""en"")"),"permanently lit lighting")</f>
        <v>permanently lit lighting</v>
      </c>
    </row>
    <row r="3852">
      <c r="A3852" s="19" t="s">
        <v>2852</v>
      </c>
      <c r="B3852" s="20" t="str">
        <f>IFERROR(__xludf.DUMMYFUNCTION("GOOGLETRANSLATE(A3852, ""fr"", ""en"")"),"It's too hot in the store. VV furniture is starting to let go.")</f>
        <v>It's too hot in the store. VV furniture is starting to let go.</v>
      </c>
    </row>
    <row r="3853">
      <c r="A3853" s="19" t="s">
        <v>2853</v>
      </c>
      <c r="B3853" s="20" t="str">
        <f>IFERROR(__xludf.DUMMYFUNCTION("GOOGLETRANSLATE(A3853, ""fr"", ""en"")"),"There is no more possibility of choosing fruits or vegetables on the sco82 or pastry or dirty bread")</f>
        <v>There is no more possibility of choosing fruits or vegetables on the sco82 or pastry or dirty bread</v>
      </c>
    </row>
    <row r="3854">
      <c r="A3854" s="19" t="s">
        <v>2854</v>
      </c>
      <c r="B3854" s="20" t="str">
        <f>IFERROR(__xludf.DUMMYFUNCTION("GOOGLETRANSLATE(A3854, ""fr"", ""en"")"),"Of the facing fell along the wall of the quay area. Oodm made by AT3.")</f>
        <v>Of the facing fell along the wall of the quay area. Oodm made by AT3.</v>
      </c>
    </row>
    <row r="3855">
      <c r="A3855" s="19" t="s">
        <v>2855</v>
      </c>
      <c r="B3855" s="20" t="str">
        <f>IFERROR(__xludf.DUMMYFUNCTION("GOOGLETRANSLATE(A3855, ""fr"", ""en"")"),"Loading in the van of 8 40x60 tiling packages for return Dr.odm made by AT3.")</f>
        <v>Loading in the van of 8 40x60 tiling packages for return Dr.odm made by AT3.</v>
      </c>
    </row>
    <row r="3856">
      <c r="A3856" s="19" t="s">
        <v>2856</v>
      </c>
      <c r="B3856" s="20" t="str">
        <f>IFERROR(__xludf.DUMMYFUNCTION("GOOGLETRANSLATE(A3856, ""fr"", ""en"")"),"FM: Thank you for intervening following the report of remote monitoring. Cold defect of 1h40.")</f>
        <v>FM: Thank you for intervening following the report of remote monitoring. Cold defect of 1h40.</v>
      </c>
    </row>
    <row r="3857">
      <c r="A3857" s="19" t="s">
        <v>2857</v>
      </c>
      <c r="B3857" s="20" t="str">
        <f>IFERROR(__xludf.DUMMYFUNCTION("GOOGLETRANSLATE(A3857, ""fr"", ""en"")"),"Lack of degreeing cycle")</f>
        <v>Lack of degreeing cycle</v>
      </c>
    </row>
    <row r="3858">
      <c r="A3858" s="19" t="s">
        <v>2328</v>
      </c>
      <c r="B3858" s="20" t="str">
        <f>IFERROR(__xludf.DUMMYFUNCTION("GOOGLETRANSLATE(A3858, ""fr"", ""en"")"),"FM: Basse window cleaning - Module 7 - S28. Immerately attach the checklists.")</f>
        <v>FM: Basse window cleaning - Module 7 - S28. Immerately attach the checklists.</v>
      </c>
    </row>
    <row r="3859">
      <c r="A3859" s="19" t="s">
        <v>2858</v>
      </c>
      <c r="B3859" s="20" t="str">
        <f>IFERROR(__xludf.DUMMYFUNCTION("GOOGLETRANSLATE(A3859, ""fr"", ""en"")"),"FM: Please intervene following the report of remote monitoring, several cold micro defects.")</f>
        <v>FM: Please intervene following the report of remote monitoring, several cold micro defects.</v>
      </c>
    </row>
    <row r="3860">
      <c r="A3860" s="19" t="s">
        <v>865</v>
      </c>
      <c r="B3860" s="20" t="str">
        <f>IFERROR(__xludf.DUMMYFUNCTION("GOOGLETRANSLATE(A3860, ""fr"", ""en"")"),"Sale cleaning of the parking lot Friday July 21, 2023")</f>
        <v>Sale cleaning of the parking lot Friday July 21, 2023</v>
      </c>
    </row>
    <row r="3861">
      <c r="A3861" s="19" t="s">
        <v>2859</v>
      </c>
      <c r="B3861" s="20" t="str">
        <f>IFERROR(__xludf.DUMMYFUNCTION("GOOGLETRANSLATE(A3861, ""fr"", ""en"")"),"struggles against harmful rusillememt problems in chocolates")</f>
        <v>struggles against harmful rusillememt problems in chocolates</v>
      </c>
    </row>
    <row r="3862">
      <c r="A3862" s="19" t="s">
        <v>2860</v>
      </c>
      <c r="B3862" s="20" t="str">
        <f>IFERROR(__xludf.DUMMYFUNCTION("GOOGLETRANSLATE(A3862, ""fr"", ""en"")"),"Tubes on the edge of the DEFECTEUSE door")</f>
        <v>Tubes on the edge of the DEFECTEUSE door</v>
      </c>
    </row>
    <row r="3863">
      <c r="A3863" s="19" t="s">
        <v>2246</v>
      </c>
      <c r="B3863" s="20" t="str">
        <f>IFERROR(__xludf.DUMMYFUNCTION("GOOGLETRANSLATE(A3863, ""fr"", ""en"")"),"HS Lighting")</f>
        <v>HS Lighting</v>
      </c>
    </row>
    <row r="3864">
      <c r="A3864" s="19" t="s">
        <v>2861</v>
      </c>
      <c r="B3864" s="20" t="str">
        <f>IFERROR(__xludf.DUMMYFUNCTION("GOOGLETRANSLATE(A3864, ""fr"", ""en"")"),"Faience that falls to the ground")</f>
        <v>Faience that falls to the ground</v>
      </c>
    </row>
    <row r="3865">
      <c r="A3865" s="19" t="s">
        <v>2862</v>
      </c>
      <c r="B3865" s="20" t="str">
        <f>IFERROR(__xludf.DUMMYFUNCTION("GOOGLETRANSLATE(A3865, ""fr"", ""en"")"),"FM: Please find attached the summary sheet of observations following the passage of the Bureau Véritas for the year 2023. We ask you to clear the observations as soon as possible and to return to us as soon as the intervention is completed (S ) Document ("&amp;"s) completed (s), signed (s) and hidden by you. Sincerely. ERP. The deadline is one month for lifting observations.")</f>
        <v>FM: Please find attached the summary sheet of observations following the passage of the Bureau Véritas for the year 2023. We ask you to clear the observations as soon as possible and to return to us as soon as the intervention is completed (S ) Document (s) completed (s), signed (s) and hidden by you. Sincerely. ERP. The deadline is one month for lifting observations.</v>
      </c>
    </row>
    <row r="3866">
      <c r="A3866" s="19" t="s">
        <v>2863</v>
      </c>
      <c r="B3866" s="20" t="str">
        <f>IFERROR(__xludf.DUMMYFUNCTION("GOOGLETRANSLATE(A3866, ""fr"", ""en"")"),"FM: Please find attached the summary sheet of observations following the passage of the Bureau Véritas for the year 2023. We ask you to clear the observations as soon as possible and to return to us as soon as the intervention is completed (S ) Document ("&amp;"s) completed (s), signed (s) and hidden by you. Sincerely. ELEC. Observations 4 and 8 were lifted by our electrician. The deadline is one month for lifting observations.")</f>
        <v>FM: Please find attached the summary sheet of observations following the passage of the Bureau Véritas for the year 2023. We ask you to clear the observations as soon as possible and to return to us as soon as the intervention is completed (S ) Document (s) completed (s), signed (s) and hidden by you. Sincerely. ELEC. Observations 4 and 8 were lifted by our electrician. The deadline is one month for lifting observations.</v>
      </c>
    </row>
    <row r="3867">
      <c r="A3867" s="19" t="s">
        <v>2864</v>
      </c>
      <c r="B3867" s="20" t="str">
        <f>IFERROR(__xludf.DUMMYFUNCTION("GOOGLETRANSLATE(A3867, ""fr"", ""en"")"),"FM: Thank you for intervening to raise the curves following the claim of 07/23 on furniture 5.1, 5.2 and 5.3.")</f>
        <v>FM: Thank you for intervening to raise the curves following the claim of 07/23 on furniture 5.1, 5.2 and 5.3.</v>
      </c>
    </row>
    <row r="3868">
      <c r="A3868" s="19" t="s">
        <v>2865</v>
      </c>
      <c r="B3868" s="20" t="str">
        <f>IFERROR(__xludf.DUMMYFUNCTION("GOOGLETRANSLATE(A3868, ""fr"", ""en"")"),"FM: ice intake Cf- and ceiling")</f>
        <v>FM: ice intake Cf- and ceiling</v>
      </c>
    </row>
    <row r="3869">
      <c r="A3869" s="19" t="s">
        <v>2866</v>
      </c>
      <c r="B3869" s="20" t="str">
        <f>IFERROR(__xludf.DUMMYFUNCTION("GOOGLETRANSLATE(A3869, ""fr"", ""en"")"),"sqvt")</f>
        <v>sqvt</v>
      </c>
    </row>
    <row r="3870">
      <c r="A3870" s="19" t="s">
        <v>2867</v>
      </c>
      <c r="B3870" s="20" t="str">
        <f>IFERROR(__xludf.DUMMYFUNCTION("GOOGLETRANSLATE(A3870, ""fr"", ""en"")"),"Cassė seal")</f>
        <v>Cassė seal</v>
      </c>
    </row>
    <row r="3871">
      <c r="A3871" s="19" t="s">
        <v>2868</v>
      </c>
      <c r="B3871" s="20" t="str">
        <f>IFERROR(__xludf.DUMMYFUNCTION("GOOGLETRANSLATE(A3871, ""fr"", ""en"")"),"Ventilo EB socket")</f>
        <v>Ventilo EB socket</v>
      </c>
    </row>
    <row r="3872">
      <c r="A3872" s="19" t="s">
        <v>2869</v>
      </c>
      <c r="B3872" s="20" t="str">
        <f>IFERROR(__xludf.DUMMYFUNCTION("GOOGLETRANSLATE(A3872, ""fr"", ""en"")"),"Break joint")</f>
        <v>Break joint</v>
      </c>
    </row>
    <row r="3873">
      <c r="A3873" s="19" t="s">
        <v>866</v>
      </c>
      <c r="B3873" s="20" t="str">
        <f>IFERROR(__xludf.DUMMYFUNCTION("GOOGLETRANSLATE(A3873, ""fr"", ""en"")"),"Sale cleaning parking lots on Friday August 18, 2023")</f>
        <v>Sale cleaning parking lots on Friday August 18, 2023</v>
      </c>
    </row>
    <row r="3874">
      <c r="A3874" s="19" t="s">
        <v>2870</v>
      </c>
      <c r="B3874" s="20" t="str">
        <f>IFERROR(__xludf.DUMMYFUNCTION("GOOGLETRANSLATE(A3874, ""fr"", ""en"")"),"Showcase alarm and error message")</f>
        <v>Showcase alarm and error message</v>
      </c>
    </row>
    <row r="3875">
      <c r="A3875" s="19" t="s">
        <v>2041</v>
      </c>
      <c r="B3875" s="20" t="str">
        <f>IFERROR(__xludf.DUMMYFUNCTION("GOOGLETRANSLATE(A3875, ""fr"", ""en"")"),"Sale to be made on weekdays 34 (imperatively)
 For :
 - Recover equipment from the Consomag cell
 - In the SPM reserve, mount 8 axes (feet, upright, 2 spacers per axis and gray background)
 For information :
 - the material will be available to th"&amp;"e consomag cell,
 90 180 cm amounts
 90 20 cm TEGO enhancement
 400 gray background
 160 63.5cm spacers
 90 feet of 67 cm
 10 screw sachets to mount the axes
 - SPMs will indicate or install the axes in reserve.
 - In PJ the note (to allow you a better un"&amp;"derstanding of the project)")</f>
        <v>Sale to be made on weekdays 34 (imperatively)
 For :
 - Recover equipment from the Consomag cell
 - In the SPM reserve, mount 8 axes (feet, upright, 2 spacers per axis and gray background)
 For information :
 - the material will be available to the consomag cell,
 90 180 cm amounts
 90 20 cm TEGO enhancement
 400 gray background
 160 63.5cm spacers
 90 feet of 67 cm
 10 screw sachets to mount the axes
 - SPMs will indicate or install the axes in reserve.
 - In PJ the note (to allow you a better understanding of the project)</v>
      </c>
    </row>
    <row r="3876">
      <c r="A3876" s="19" t="s">
        <v>2871</v>
      </c>
      <c r="B3876" s="20" t="str">
        <f>IFERROR(__xludf.DUMMYFUNCTION("GOOGLETRANSLATE(A3876, ""fr"", ""en"")"),"just started to ring")</f>
        <v>just started to ring</v>
      </c>
    </row>
    <row r="3877">
      <c r="A3877" s="19" t="s">
        <v>2872</v>
      </c>
      <c r="B3877" s="20" t="str">
        <f>IFERROR(__xludf.DUMMYFUNCTION("GOOGLETRANSLATE(A3877, ""fr"", ""en"")"),"Long -term alarm")</f>
        <v>Long -term alarm</v>
      </c>
    </row>
    <row r="3878">
      <c r="A3878" s="19" t="s">
        <v>2319</v>
      </c>
      <c r="B3878" s="20" t="str">
        <f>IFERROR(__xludf.DUMMYFUNCTION("GOOGLETRANSLATE(A3878, ""fr"", ""en"")"),"FM: Check if the battery tray is on the shelf. If not, you have to lower the shelf and put the tank on it. PJ photos")</f>
        <v>FM: Check if the battery tray is on the shelf. If not, you have to lower the shelf and put the tank on it. PJ photos</v>
      </c>
    </row>
    <row r="3879">
      <c r="A3879" s="19" t="s">
        <v>2873</v>
      </c>
      <c r="B3879" s="20" t="str">
        <f>IFERROR(__xludf.DUMMYFUNCTION("GOOGLETRANSLATE(A3879, ""fr"", ""en"")"),"alarm")</f>
        <v>alarm</v>
      </c>
    </row>
    <row r="3880">
      <c r="A3880" s="19" t="s">
        <v>2874</v>
      </c>
      <c r="B3880" s="20" t="str">
        <f>IFERROR(__xludf.DUMMYFUNCTION("GOOGLETRANSLATE(A3880, ""fr"", ""en"")"),"Cold alarm. no connection")</f>
        <v>Cold alarm. no connection</v>
      </c>
    </row>
    <row r="3881">
      <c r="A3881" s="19" t="s">
        <v>2875</v>
      </c>
      <c r="B3881" s="20" t="str">
        <f>IFERROR(__xludf.DUMMYFUNCTION("GOOGLETRANSLATE(A3881, ""fr"", ""en"")"),"FM: intervene to switch to SPM intrusion plants to the SFR line.")</f>
        <v>FM: intervene to switch to SPM intrusion plants to the SFR line.</v>
      </c>
    </row>
    <row r="3882">
      <c r="A3882" s="19" t="s">
        <v>872</v>
      </c>
      <c r="B3882" s="20" t="str">
        <f>IFERROR(__xludf.DUMMYFUNCTION("GOOGLETRANSLATE(A3882, ""fr"", ""en"")"),"Sale cleaning of parking lots on Friday, May 6, 2022")</f>
        <v>Sale cleaning of parking lots on Friday, May 6, 2022</v>
      </c>
    </row>
    <row r="3883">
      <c r="A3883" s="19" t="s">
        <v>2876</v>
      </c>
      <c r="B3883" s="20" t="str">
        <f>IFERROR(__xludf.DUMMYFUNCTION("GOOGLETRANSLATE(A3883, ""fr"", ""en"")"),"The EAS entrance terminal no longer sounds in the event of exit by this one")</f>
        <v>The EAS entrance terminal no longer sounds in the event of exit by this one</v>
      </c>
    </row>
    <row r="3884">
      <c r="A3884" s="19" t="s">
        <v>878</v>
      </c>
      <c r="B3884" s="20" t="str">
        <f>IFERROR(__xludf.DUMMYFUNCTION("GOOGLETRANSLATE(A3884, ""fr"", ""en"")"),"Sale cleaning of parking lots on Friday May 20, 2022")</f>
        <v>Sale cleaning of parking lots on Friday May 20, 2022</v>
      </c>
    </row>
    <row r="3885">
      <c r="A3885" s="19" t="s">
        <v>880</v>
      </c>
      <c r="B3885" s="20" t="str">
        <f>IFERROR(__xludf.DUMMYFUNCTION("GOOGLETRANSLATE(A3885, ""fr"", ""en"")"),"Sale cleaning parking lots on Friday April 1, 2022")</f>
        <v>Sale cleaning parking lots on Friday April 1, 2022</v>
      </c>
    </row>
    <row r="3886">
      <c r="A3886" s="19" t="s">
        <v>887</v>
      </c>
      <c r="B3886" s="20" t="str">
        <f>IFERROR(__xludf.DUMMYFUNCTION("GOOGLETRANSLATE(A3886, ""fr"", ""en"")"),"Sale cleaning of parking lots on Friday April 29, 2022")</f>
        <v>Sale cleaning of parking lots on Friday April 29, 2022</v>
      </c>
    </row>
    <row r="3887">
      <c r="A3887" s="19" t="s">
        <v>889</v>
      </c>
      <c r="B3887" s="20" t="str">
        <f>IFERROR(__xludf.DUMMYFUNCTION("GOOGLETRANSLATE(A3887, ""fr"", ""en"")"),"Sale cleaning parking lots on Friday May 27, 2022")</f>
        <v>Sale cleaning parking lots on Friday May 27, 2022</v>
      </c>
    </row>
    <row r="3888">
      <c r="A3888" s="19" t="s">
        <v>888</v>
      </c>
      <c r="B3888" s="20" t="str">
        <f>IFERROR(__xludf.DUMMYFUNCTION("GOOGLETRANSLATE(A3888, ""fr"", ""en"")"),"Sale cleaning of parking lots on Friday April 22, 2022")</f>
        <v>Sale cleaning of parking lots on Friday April 22, 2022</v>
      </c>
    </row>
    <row r="3889">
      <c r="A3889" s="19" t="s">
        <v>890</v>
      </c>
      <c r="B3889" s="20" t="str">
        <f>IFERROR(__xludf.DUMMYFUNCTION("GOOGLETRANSLATE(A3889, ""fr"", ""en"")"),"Sale cleaning parking lots on Friday May 13, 2022")</f>
        <v>Sale cleaning parking lots on Friday May 13, 2022</v>
      </c>
    </row>
    <row r="3890">
      <c r="A3890" s="19" t="s">
        <v>891</v>
      </c>
      <c r="B3890" s="20" t="str">
        <f>IFERROR(__xludf.DUMMYFUNCTION("GOOGLETRANSLATE(A3890, ""fr"", ""en"")"),"Sale cleaning parking lots on Friday April 8, 2022")</f>
        <v>Sale cleaning parking lots on Friday April 8, 2022</v>
      </c>
    </row>
    <row r="3891">
      <c r="A3891" s="19" t="s">
        <v>2877</v>
      </c>
      <c r="B3891" s="20" t="str">
        <f>IFERROR(__xludf.DUMMYFUNCTION("GOOGLETRANSLATE(A3891, ""fr"", ""en"")"),"At3 checklist 3862")</f>
        <v>At3 checklist 3862</v>
      </c>
    </row>
    <row r="3892">
      <c r="A3892" s="19" t="s">
        <v>2878</v>
      </c>
      <c r="B3892" s="20" t="str">
        <f>IFERROR(__xludf.DUMMYFUNCTION("GOOGLETRANSLATE(A3892, ""fr"", ""en"")"),"Replacement of the .odm defibrillator electrodes made by AT3. Finished work.")</f>
        <v>Replacement of the .odm defibrillator electrodes made by AT3. Finished work.</v>
      </c>
    </row>
    <row r="3893">
      <c r="A3893" s="19" t="s">
        <v>2879</v>
      </c>
      <c r="B3893" s="20" t="str">
        <f>IFERROR(__xludf.DUMMYFUNCTION("GOOGLETRANSLATE(A3893, ""fr"", ""en"")"),"FM: Continue passage Rentokil, check the hermeticity of the pipe with an electric room.")</f>
        <v>FM: Continue passage Rentokil, check the hermeticity of the pipe with an electric room.</v>
      </c>
    </row>
    <row r="3894">
      <c r="A3894" s="19" t="s">
        <v>2880</v>
      </c>
      <c r="B3894" s="20" t="str">
        <f>IFERROR(__xludf.DUMMYFUNCTION("GOOGLETRANSLATE(A3894, ""fr"", ""en"")"),"FM: Urgent thank you for checking the inverter please. Tell me when a tech can pass.")</f>
        <v>FM: Urgent thank you for checking the inverter please. Tell me when a tech can pass.</v>
      </c>
    </row>
    <row r="3895">
      <c r="A3895" s="19" t="s">
        <v>2881</v>
      </c>
      <c r="B3895" s="20" t="str">
        <f>IFERROR(__xludf.DUMMYFUNCTION("GOOGLETRANSLATE(A3895, ""fr"", ""en"")"),"Sale The slice blade does not switch")</f>
        <v>Sale The slice blade does not switch</v>
      </c>
    </row>
    <row r="3896">
      <c r="A3896" s="19" t="s">
        <v>2882</v>
      </c>
      <c r="B3896" s="20" t="str">
        <f>IFERROR(__xludf.DUMMYFUNCTION("GOOGLETRANSLATE(A3896, ""fr"", ""en"")"),"Detritus in the Park Cold Group .odm made by AT3. Finished work.")</f>
        <v>Detritus in the Park Cold Group .odm made by AT3. Finished work.</v>
      </c>
    </row>
    <row r="3897">
      <c r="A3897" s="19" t="s">
        <v>2883</v>
      </c>
      <c r="B3897" s="20" t="str">
        <f>IFERROR(__xludf.DUMMYFUNCTION("GOOGLETRANSLATE(A3897, ""fr"", ""en"")"),"At the request of the FM: closure of the hot air/cold air curtain supply Mag.odm made by AT3. Finished work.")</f>
        <v>At the request of the FM: closure of the hot air/cold air curtain supply Mag.odm made by AT3. Finished work.</v>
      </c>
    </row>
    <row r="3898">
      <c r="A3898" s="19" t="s">
        <v>1396</v>
      </c>
      <c r="B3898" s="20" t="str">
        <f>IFERROR(__xludf.DUMMYFUNCTION("GOOGLETRANSLATE(A3898, ""fr"", ""en"")"),"Sale - Cleaning of car parks on Friday November 18, 2022")</f>
        <v>Sale - Cleaning of car parks on Friday November 18, 2022</v>
      </c>
    </row>
    <row r="3899">
      <c r="A3899" s="19" t="s">
        <v>2884</v>
      </c>
      <c r="B3899" s="20" t="str">
        <f>IFERROR(__xludf.DUMMYFUNCTION("GOOGLETRANSLATE(A3899, ""fr"", ""en"")"),"The openings and closings buttons do not work impossible to make the ball")</f>
        <v>The openings and closings buttons do not work impossible to make the ball</v>
      </c>
    </row>
    <row r="3900">
      <c r="A3900" s="19" t="s">
        <v>2885</v>
      </c>
      <c r="B3900" s="20" t="str">
        <f>IFERROR(__xludf.DUMMYFUNCTION("GOOGLETRANSLATE(A3900, ""fr"", ""en"")"),"HS blade bread slicer sale does not go up")</f>
        <v>HS blade bread slicer sale does not go up</v>
      </c>
    </row>
    <row r="3901">
      <c r="A3901" s="19" t="s">
        <v>1398</v>
      </c>
      <c r="B3901" s="20" t="str">
        <f>IFERROR(__xludf.DUMMYFUNCTION("GOOGLETRANSLATE(A3901, ""fr"", ""en"")"),"Sale - Cleaning of parking lots on Friday April 28, 2023")</f>
        <v>Sale - Cleaning of parking lots on Friday April 28, 2023</v>
      </c>
    </row>
    <row r="3902">
      <c r="A3902" s="19" t="s">
        <v>1230</v>
      </c>
      <c r="B3902" s="20" t="str">
        <f>IFERROR(__xludf.DUMMYFUNCTION("GOOGLETRANSLATE(A3902, ""fr"", ""en"")"),"Jay cool cleaning monitoring sale from April 19 to April 29, 2022")</f>
        <v>Jay cool cleaning monitoring sale from April 19 to April 29, 2022</v>
      </c>
    </row>
    <row r="3903">
      <c r="A3903" s="19" t="s">
        <v>2886</v>
      </c>
      <c r="B3903" s="20" t="str">
        <f>IFERROR(__xludf.DUMMYFUNCTION("GOOGLETRANSLATE(A3903, ""fr"", ""en"")"),"Sale before Friday, May 20, 2022
 For :
 - In the CF- de la V2, put 7 axes on the left and 9 axes on the right
 - Put two shelves by axes in 60 cm
 For information :
 - It takes 16 axes in all with the existing
 - Put the axes at the bottom of the"&amp;" CF-
 - Take all the material at the Consomag cell,
 - No podiums to set up
 - Double spacers to set up
 - The SPM is informed
 - No melamine to set up
 - Put strips of banks in place")</f>
        <v>Sale before Friday, May 20, 2022
 For :
 - In the CF- de la V2, put 7 axes on the left and 9 axes on the right
 - Put two shelves by axes in 60 cm
 For information :
 - It takes 16 axes in all with the existing
 - Put the axes at the bottom of the CF-
 - Take all the material at the Consomag cell,
 - No podiums to set up
 - Double spacers to set up
 - The SPM is informed
 - No melamine to set up
 - Put strips of banks in place</v>
      </c>
    </row>
    <row r="3904">
      <c r="A3904" s="19" t="s">
        <v>2877</v>
      </c>
      <c r="B3904" s="20" t="str">
        <f>IFERROR(__xludf.DUMMYFUNCTION("GOOGLETRANSLATE(A3904, ""fr"", ""en"")"),"At3 checklist 3862")</f>
        <v>At3 checklist 3862</v>
      </c>
    </row>
    <row r="3905">
      <c r="A3905" s="19" t="s">
        <v>2046</v>
      </c>
      <c r="B3905" s="20" t="str">
        <f>IFERROR(__xludf.DUMMYFUNCTION("GOOGLETRANSLATE(A3905, ""fr"", ""en"")"),"Sale tour implantation")</f>
        <v>Sale tour implantation</v>
      </c>
    </row>
    <row r="3906">
      <c r="A3906" s="19" t="s">
        <v>2336</v>
      </c>
      <c r="B3906" s="20" t="str">
        <f>IFERROR(__xludf.DUMMYFUNCTION("GOOGLETRANSLATE(A3906, ""fr"", ""en"")"),"FM Eco Eclairagve: Please set up the eco lighting mode following operating mode in PJ.")</f>
        <v>FM Eco Eclairagve: Please set up the eco lighting mode following operating mode in PJ.</v>
      </c>
    </row>
    <row r="3907">
      <c r="A3907" s="19" t="s">
        <v>2887</v>
      </c>
      <c r="B3907" s="20" t="str">
        <f>IFERROR(__xludf.DUMMYFUNCTION("GOOGLETRANSLATE(A3907, ""fr"", ""en"")"),"frozen bin that flows")</f>
        <v>frozen bin that flows</v>
      </c>
    </row>
    <row r="3908">
      <c r="A3908" s="19" t="s">
        <v>897</v>
      </c>
      <c r="B3908" s="20" t="str">
        <f>IFERROR(__xludf.DUMMYFUNCTION("GOOGLETRANSLATE(A3908, ""fr"", ""en"")"),"Sale - Cleaning of car parks on Friday September 30, 2022")</f>
        <v>Sale - Cleaning of car parks on Friday September 30, 2022</v>
      </c>
    </row>
    <row r="3909">
      <c r="A3909" s="19" t="s">
        <v>2888</v>
      </c>
      <c r="B3909" s="20" t="str">
        <f>IFERROR(__xludf.DUMMYFUNCTION("GOOGLETRANSLATE(A3909, ""fr"", ""en"")"),"AT3 CHECK LIST quarterly 3862")</f>
        <v>AT3 CHECK LIST quarterly 3862</v>
      </c>
    </row>
    <row r="3910">
      <c r="A3910" s="19" t="s">
        <v>2889</v>
      </c>
      <c r="B3910" s="20" t="str">
        <f>IFERROR(__xludf.DUMMYFUNCTION("GOOGLETRANSLATE(A3910, ""fr"", ""en"")"),"Protection under M Surg Embtié.odm made by AT3. Finished work.")</f>
        <v>Protection under M Surg Embtié.odm made by AT3. Finished work.</v>
      </c>
    </row>
    <row r="3911">
      <c r="A3911" s="19" t="s">
        <v>2890</v>
      </c>
      <c r="B3911" s="20" t="str">
        <f>IFERROR(__xludf.DUMMYFUNCTION("GOOGLETRANSLATE(A3911, ""fr"", ""en"")"),"Material loading Trica at3 Following the assembly of the roof gallery for the Pirl in Strasbourg. Mounts and adjustment of the Pirl on the gallery. Odm done by AT3. Finished work.")</f>
        <v>Material loading Trica at3 Following the assembly of the roof gallery for the Pirl in Strasbourg. Mounts and adjustment of the Pirl on the gallery. Odm done by AT3. Finished work.</v>
      </c>
    </row>
    <row r="3912">
      <c r="A3912" s="19" t="s">
        <v>2891</v>
      </c>
      <c r="B3912" s="20" t="str">
        <f>IFERROR(__xludf.DUMMYFUNCTION("GOOGLETRANSLATE(A3912, ""fr"", ""en"")"),"FM: Please intervene following the Cythelia incident report, on -site verification to put the inverter in service.")</f>
        <v>FM: Please intervene following the Cythelia incident report, on -site verification to put the inverter in service.</v>
      </c>
    </row>
    <row r="3913">
      <c r="A3913" s="19" t="s">
        <v>2892</v>
      </c>
      <c r="B3913" s="20" t="str">
        <f>IFERROR(__xludf.DUMMYFUNCTION("GOOGLETRANSLATE(A3913, ""fr"", ""en"")"),"Under warranty: we are told a problem of access code and the lack of mask (see photos opposite)
 Please do the necessary as part of the guarantee.
 store phone number if necessary: ​​03 81 97 61 52")</f>
        <v>Under warranty: we are told a problem of access code and the lack of mask (see photos opposite)
 Please do the necessary as part of the guarantee.
 store phone number if necessary: ​​03 81 97 61 52</v>
      </c>
    </row>
    <row r="3914">
      <c r="A3914" s="19" t="s">
        <v>2893</v>
      </c>
      <c r="B3914" s="20" t="str">
        <f>IFERROR(__xludf.DUMMYFUNCTION("GOOGLETRANSLATE(A3914, ""fr"", ""en"")"),"Under warranty: we are told that the live and DSB password does not work, only the tech code unlocks but the system is no longer on a network even after restarting the PC. Please intervene as part of the guarantee. store phone number if necessary: ​​03 81"&amp;" 97 61 52")</f>
        <v>Under warranty: we are told that the live and DSB password does not work, only the tech code unlocks but the system is no longer on a network even after restarting the PC. Please intervene as part of the guarantee. store phone number if necessary: ​​03 81 97 61 52</v>
      </c>
    </row>
    <row r="3915">
      <c r="A3915" s="19" t="s">
        <v>2894</v>
      </c>
      <c r="B3915" s="20" t="str">
        <f>IFERROR(__xludf.DUMMYFUNCTION("GOOGLETRANSLATE(A3915, ""fr"", ""en"")"),"Nuisable problems a mouse that has come out of a palette of FL strolls in the store. seen in the bakery as well as in the reserve to the ball press")</f>
        <v>Nuisable problems a mouse that has come out of a palette of FL strolls in the store. seen in the bakery as well as in the reserve to the ball press</v>
      </c>
    </row>
    <row r="3916">
      <c r="A3916" s="19" t="s">
        <v>1574</v>
      </c>
      <c r="B3916" s="20" t="str">
        <f>IFERROR(__xludf.DUMMYFUNCTION("GOOGLETRANSLATE(A3916, ""fr"", ""en"")"),"FM: Code: Connection Fours: Please intervene for the verification of the network connection.")</f>
        <v>FM: Code: Connection Fours: Please intervene for the verification of the network connection.</v>
      </c>
    </row>
    <row r="3917">
      <c r="A3917" s="19" t="s">
        <v>2895</v>
      </c>
      <c r="B3917" s="20" t="str">
        <f>IFERROR(__xludf.DUMMYFUNCTION("GOOGLETRANSLATE(A3917, ""fr"", ""en"")"),"doors between the Negative Chamber and the Positive Chamber which goes alone and which remains open")</f>
        <v>doors between the Negative Chamber and the Positive Chamber which goes alone and which remains open</v>
      </c>
    </row>
    <row r="3918">
      <c r="A3918" s="19" t="s">
        <v>2896</v>
      </c>
      <c r="B3918" s="20" t="str">
        <f>IFERROR(__xludf.DUMMYFUNCTION("GOOGLETRANSLATE(A3918, ""fr"", ""en"")"),"Bac Surg in the bread corner is made up 60 as soon as it arrives at a certain temperature (1degrès)
 can't take a network problem with Mobi")</f>
        <v>Bac Surg in the bread corner is made up 60 as soon as it arrives at a certain temperature (1degrès)
 can't take a network problem with Mobi</v>
      </c>
    </row>
    <row r="3919">
      <c r="A3919" s="19" t="s">
        <v>898</v>
      </c>
      <c r="B3919" s="20" t="str">
        <f>IFERROR(__xludf.DUMMYFUNCTION("GOOGLETRANSLATE(A3919, ""fr"", ""en"")"),"Sale cleaning of parking lots on Wednesday October 7, 2022")</f>
        <v>Sale cleaning of parking lots on Wednesday October 7, 2022</v>
      </c>
    </row>
    <row r="3920">
      <c r="A3920" s="19" t="s">
        <v>2897</v>
      </c>
      <c r="B3920" s="20" t="str">
        <f>IFERROR(__xludf.DUMMYFUNCTION("GOOGLETRANSLATE(A3920, ""fr"", ""en"")"),"High Furniture Temperature Fresh")</f>
        <v>High Furniture Temperature Fresh</v>
      </c>
    </row>
    <row r="3921">
      <c r="A3921" s="19" t="s">
        <v>2898</v>
      </c>
      <c r="B3921" s="20" t="str">
        <f>IFERROR(__xludf.DUMMYFUNCTION("GOOGLETRANSLATE(A3921, ""fr"", ""en"")"),"high temperature")</f>
        <v>high temperature</v>
      </c>
    </row>
    <row r="3922">
      <c r="A3922" s="19" t="s">
        <v>901</v>
      </c>
      <c r="B3922" s="20" t="str">
        <f>IFERROR(__xludf.DUMMYFUNCTION("GOOGLETRANSLATE(A3922, ""fr"", ""en"")"),"Sale cleaning of parking lots on Friday September 2, 2022")</f>
        <v>Sale cleaning of parking lots on Friday September 2, 2022</v>
      </c>
    </row>
    <row r="3923">
      <c r="A3923" s="19" t="s">
        <v>1403</v>
      </c>
      <c r="B3923" s="20" t="str">
        <f>IFERROR(__xludf.DUMMYFUNCTION("GOOGLETRANSLATE(A3923, ""fr"", ""en"")"),"Sale - Cleaning of parking lots on Friday October 21, 2022")</f>
        <v>Sale - Cleaning of parking lots on Friday October 21, 2022</v>
      </c>
    </row>
    <row r="3924">
      <c r="A3924" s="19" t="s">
        <v>1404</v>
      </c>
      <c r="B3924" s="20" t="str">
        <f>IFERROR(__xludf.DUMMYFUNCTION("GOOGLETRANSLATE(A3924, ""fr"", ""en"")"),"Sale - Cleaning of car parks on Friday October 14, 2022")</f>
        <v>Sale - Cleaning of car parks on Friday October 14, 2022</v>
      </c>
    </row>
    <row r="3925">
      <c r="A3925" s="19" t="s">
        <v>2899</v>
      </c>
      <c r="B3925" s="20" t="str">
        <f>IFERROR(__xludf.DUMMYFUNCTION("GOOGLETRANSLATE(A3925, ""fr"", ""en"")"),"disjected oven that does not want to rearm")</f>
        <v>disjected oven that does not want to rearm</v>
      </c>
    </row>
    <row r="3926">
      <c r="A3926" s="19" t="s">
        <v>902</v>
      </c>
      <c r="B3926" s="20" t="str">
        <f>IFERROR(__xludf.DUMMYFUNCTION("GOOGLETRANSLATE(A3926, ""fr"", ""en"")"),"Sale cleaning of parking lots on Friday March 25, 2022")</f>
        <v>Sale cleaning of parking lots on Friday March 25, 2022</v>
      </c>
    </row>
    <row r="3927">
      <c r="A3927" s="19" t="s">
        <v>2049</v>
      </c>
      <c r="B3927" s="20" t="str">
        <f>IFERROR(__xludf.DUMMYFUNCTION("GOOGLETRANSLATE(A3927, ""fr"", ""en"")"),"Sale before the start, S17.
 For :
 - implantation DD PDT Fresh side
 - Control the operation of LED’s FL
 - Perform SAFT SECURNITY TO STRAY MANAGEMENT")</f>
        <v>Sale before the start, S17.
 For :
 - implantation DD PDT Fresh side
 - Control the operation of LED’s FL
 - Perform SAFT SECURNITY TO STRAY MANAGEMENT</v>
      </c>
    </row>
    <row r="3928">
      <c r="A3928" s="19" t="s">
        <v>2900</v>
      </c>
      <c r="B3928" s="20" t="str">
        <f>IFERROR(__xludf.DUMMYFUNCTION("GOOGLETRANSLATE(A3928, ""fr"", ""en"")"),"Sale, Thursday 14 or Friday April 15.
 For :
 - Disconnect the 3rd station B5/B10, which is in the V2
 - Bring this station + 4 Rolls B5/B10 to the Consomag cell
 For information :
 - the SPM is ""normally"" informed
 - Do not intervene before Wedne"&amp;"sday April 13")</f>
        <v>Sale, Thursday 14 or Friday April 15.
 For :
 - Disconnect the 3rd station B5/B10, which is in the V2
 - Bring this station + 4 Rolls B5/B10 to the Consomag cell
 For information :
 - the SPM is "normally" informed
 - Do not intervene before Wednesday April 13</v>
      </c>
    </row>
    <row r="3929">
      <c r="A3929" s="19" t="s">
        <v>2901</v>
      </c>
      <c r="B3929" s="20" t="str">
        <f>IFERROR(__xludf.DUMMYFUNCTION("GOOGLETRANSLATE(A3929, ""fr"", ""en"")"),"Under warranty: we are told that the inverter 3 does not work following supervision. Please do the necessary as part of the guarantee. store phone number if necessary: ​​03 81 97 61 52")</f>
        <v>Under warranty: we are told that the inverter 3 does not work following supervision. Please do the necessary as part of the guarantee. store phone number if necessary: ​​03 81 97 61 52</v>
      </c>
    </row>
    <row r="3930">
      <c r="A3930" s="19" t="s">
        <v>2902</v>
      </c>
      <c r="B3930" s="20" t="str">
        <f>IFERROR(__xludf.DUMMYFUNCTION("GOOGLETRANSLATE(A3930, ""fr"", ""en"")"),"AT3 quarterly checklist 3862")</f>
        <v>AT3 quarterly checklist 3862</v>
      </c>
    </row>
    <row r="3931">
      <c r="A3931" s="19" t="s">
        <v>2903</v>
      </c>
      <c r="B3931" s="20" t="str">
        <f>IFERROR(__xludf.DUMMYFUNCTION("GOOGLETRANSLATE(A3931, ""fr"", ""en"")"),"Unfarmed chick plate on the sidewalk of the parking lot (risk of falling) ODM made by AT3. Finished work.")</f>
        <v>Unfarmed chick plate on the sidewalk of the parking lot (risk of falling) ODM made by AT3. Finished work.</v>
      </c>
    </row>
    <row r="3932">
      <c r="A3932" s="19" t="s">
        <v>2904</v>
      </c>
      <c r="B3932" s="20" t="str">
        <f>IFERROR(__xludf.DUMMYFUNCTION("GOOGLETRANSLATE(A3932, ""fr"", ""en"")"),"FM: request following validation quote n ° FQ2210120039. Engine replacement interior exit.")</f>
        <v>FM: request following validation quote n ° FQ2210120039. Engine replacement interior exit.</v>
      </c>
    </row>
    <row r="3933">
      <c r="A3933" s="19" t="s">
        <v>2905</v>
      </c>
      <c r="B3933" s="20" t="str">
        <f>IFERROR(__xludf.DUMMYFUNCTION("GOOGLETRANSLATE(A3933, ""fr"", ""en"")"),"DEFAULT COLD TO ARRIVAL AT 7:00 PM +9 does not attest to the temperature occurring the day before also")</f>
        <v>DEFAULT COLD TO ARRIVAL AT 7:00 PM +9 does not attest to the temperature occurring the day before also</v>
      </c>
    </row>
    <row r="3934">
      <c r="A3934" s="19" t="s">
        <v>1643</v>
      </c>
      <c r="B3934" s="20" t="str">
        <f>IFERROR(__xludf.DUMMYFUNCTION("GOOGLETRANSLATE(A3934, ""fr"", ""en"")"),"FM: Please intervene following a cold defect that night.")</f>
        <v>FM: Please intervene following a cold defect that night.</v>
      </c>
    </row>
    <row r="3935">
      <c r="A3935" s="19" t="s">
        <v>2906</v>
      </c>
      <c r="B3935" s="20" t="str">
        <f>IFERROR(__xludf.DUMMYFUNCTION("GOOGLETRANSLATE(A3935, ""fr"", ""en"")"),"Lifting pump alarm")</f>
        <v>Lifting pump alarm</v>
      </c>
    </row>
    <row r="3936">
      <c r="A3936" s="19" t="s">
        <v>2907</v>
      </c>
      <c r="B3936" s="20" t="str">
        <f>IFERROR(__xludf.DUMMYFUNCTION("GOOGLETRANSLATE(A3936, ""fr"", ""en"")"),"FM: Please intervene following a cold defect of 20 minutes tonight.")</f>
        <v>FM: Please intervene following a cold defect of 20 minutes tonight.</v>
      </c>
    </row>
    <row r="3937">
      <c r="A3937" s="19" t="s">
        <v>2908</v>
      </c>
      <c r="B3937" s="20" t="str">
        <f>IFERROR(__xludf.DUMMYFUNCTION("GOOGLETRANSLATE(A3937, ""fr"", ""en"")"),"broken seal")</f>
        <v>broken seal</v>
      </c>
    </row>
    <row r="3938">
      <c r="A3938" s="19" t="s">
        <v>2909</v>
      </c>
      <c r="B3938" s="20" t="str">
        <f>IFERROR(__xludf.DUMMYFUNCTION("GOOGLETRANSLATE(A3938, ""fr"", ""en"")"),"FM: Follow -up remote monitoring report, please intervene following cold defects over 1 hour.")</f>
        <v>FM: Follow -up remote monitoring report, please intervene following cold defects over 1 hour.</v>
      </c>
    </row>
    <row r="3939">
      <c r="A3939" s="19" t="s">
        <v>2340</v>
      </c>
      <c r="B3939" s="20" t="str">
        <f>IFERROR(__xludf.DUMMYFUNCTION("GOOGLETRANSLATE(A3939, ""fr"", ""en"")"),"FM: Cleaning according to Module 7 BASSE S39 bass windows.")</f>
        <v>FM: Cleaning according to Module 7 BASSE S39 bass windows.</v>
      </c>
    </row>
    <row r="3940">
      <c r="A3940" s="19" t="s">
        <v>2910</v>
      </c>
      <c r="B3940" s="20" t="str">
        <f>IFERROR(__xludf.DUMMYFUNCTION("GOOGLETRANSLATE(A3940, ""fr"", ""en"")"),"FM: Please intervene following a cold defect that night more than 2 hours.")</f>
        <v>FM: Please intervene following a cold defect that night more than 2 hours.</v>
      </c>
    </row>
    <row r="3941">
      <c r="A3941" s="19" t="s">
        <v>2911</v>
      </c>
      <c r="B3941" s="20" t="str">
        <f>IFERROR(__xludf.DUMMYFUNCTION("GOOGLETRANSLATE(A3941, ""fr"", ""en"")"),"FM: a drinks furniture will be installed soon (see plan en pj). Please intervene before April 25 to set up the power supplies.")</f>
        <v>FM: a drinks furniture will be installed soon (see plan en pj). Please intervene before April 25 to set up the power supplies.</v>
      </c>
    </row>
    <row r="3942">
      <c r="A3942" s="19" t="s">
        <v>2912</v>
      </c>
      <c r="B3942" s="20" t="str">
        <f>IFERROR(__xludf.DUMMYFUNCTION("GOOGLETRANSLATE(A3942, ""fr"", ""en"")"),"FM: Please intervene following the validation of quote n ° FQ2202140129. Repair of the Quai sectional door.")</f>
        <v>FM: Please intervene following the validation of quote n ° FQ2202140129. Repair of the Quai sectional door.</v>
      </c>
    </row>
    <row r="3943">
      <c r="A3943" s="19" t="s">
        <v>2913</v>
      </c>
      <c r="B3943" s="20" t="str">
        <f>IFERROR(__xludf.DUMMYFUNCTION("GOOGLETRANSLATE(A3943, ""fr"", ""en"")"),"VV furniture in cold default")</f>
        <v>VV furniture in cold default</v>
      </c>
    </row>
    <row r="3944">
      <c r="A3944" s="19" t="s">
        <v>2914</v>
      </c>
      <c r="B3944" s="20" t="str">
        <f>IFERROR(__xludf.DUMMYFUNCTION("GOOGLETRANSLATE(A3944, ""fr"", ""en"")"),"Item not referring green space.")</f>
        <v>Item not referring green space.</v>
      </c>
    </row>
    <row r="3945">
      <c r="A3945" s="19" t="s">
        <v>914</v>
      </c>
      <c r="B3945" s="20" t="str">
        <f>IFERROR(__xludf.DUMMYFUNCTION("GOOGLETRANSLATE(A3945, ""fr"", ""en"")"),"Sale cleaning of parking lots on Friday June 24, 2022")</f>
        <v>Sale cleaning of parking lots on Friday June 24, 2022</v>
      </c>
    </row>
    <row r="3946">
      <c r="A3946" s="19" t="s">
        <v>2915</v>
      </c>
      <c r="B3946" s="20" t="str">
        <f>IFERROR(__xludf.DUMMYFUNCTION("GOOGLETRANSLATE(A3946, ""fr"", ""en"")"),"Entrance door shift.
 It is difficult to open it or close it")</f>
        <v>Entrance door shift.
 It is difficult to open it or close it</v>
      </c>
    </row>
    <row r="3947">
      <c r="A3947" s="19" t="s">
        <v>2916</v>
      </c>
      <c r="B3947" s="20" t="str">
        <f>IFERROR(__xludf.DUMMYFUNCTION("GOOGLETRANSLATE(A3947, ""fr"", ""en"")"),"Seen with RVS alarm is triggered every night")</f>
        <v>Seen with RVS alarm is triggered every night</v>
      </c>
    </row>
    <row r="3948">
      <c r="A3948" s="19" t="s">
        <v>2917</v>
      </c>
      <c r="B3948" s="20" t="str">
        <f>IFERROR(__xludf.DUMMYFUNCTION("GOOGLETRANSLATE(A3948, ""fr"", ""en"")"),"FM: Following ReSSURATION REPORT, there was a cold defect that night. Please check all the cold equipment.")</f>
        <v>FM: Following ReSSURATION REPORT, there was a cold defect that night. Please check all the cold equipment.</v>
      </c>
    </row>
    <row r="3949">
      <c r="A3949" s="19" t="s">
        <v>2918</v>
      </c>
      <c r="B3949" s="20" t="str">
        <f>IFERROR(__xludf.DUMMYFUNCTION("GOOGLETRANSLATE(A3949, ""fr"", ""en"")"),"The door of the emergency exit located at the level of the automatic funds becomes to get out as soon as the wind blows too hard. Alarm stations this Sunday afternoon")</f>
        <v>The door of the emergency exit located at the level of the automatic funds becomes to get out as soon as the wind blows too hard. Alarm stations this Sunday afternoon</v>
      </c>
    </row>
    <row r="3950">
      <c r="A3950" s="19" t="s">
        <v>2919</v>
      </c>
      <c r="B3950" s="20" t="str">
        <f>IFERROR(__xludf.DUMMYFUNCTION("GOOGLETRANSLATE(A3950, ""fr"", ""en"")"),"Under warranty: we are told that the lighting above the conveyor door and the emergency exit is HS (see photo)")</f>
        <v>Under warranty: we are told that the lighting above the conveyor door and the emergency exit is HS (see photo)</v>
      </c>
    </row>
    <row r="3951">
      <c r="A3951" s="19" t="s">
        <v>2920</v>
      </c>
      <c r="B3951" s="20" t="str">
        <f>IFERROR(__xludf.DUMMYFUNCTION("GOOGLETRANSLATE(A3951, ""fr"", ""en"")"),"Leak in the pre -seizure room
 drop on hose see photo")</f>
        <v>Leak in the pre -seizure room
 drop on hose see photo</v>
      </c>
    </row>
    <row r="3952">
      <c r="A3952" s="19" t="s">
        <v>2921</v>
      </c>
      <c r="B3952" s="20" t="str">
        <f>IFERROR(__xludf.DUMMYFUNCTION("GOOGLETRANSLATE(A3952, ""fr"", ""en"")"),"Under warranty: we are told that the water recuperator in the social is disconnected (right photo) + water leak (see photo on the left).")</f>
        <v>Under warranty: we are told that the water recuperator in the social is disconnected (right photo) + water leak (see photo on the left).</v>
      </c>
    </row>
    <row r="3953">
      <c r="A3953" s="19" t="s">
        <v>2922</v>
      </c>
      <c r="B3953" s="20" t="str">
        <f>IFERROR(__xludf.DUMMYFUNCTION("GOOGLETRANSLATE(A3953, ""fr"", ""en"")"),"FM: Following the remote monitoring report, there was a cold defect of 1h34 that night. Please go around all the cold equipment.")</f>
        <v>FM: Following the remote monitoring report, there was a cold defect of 1h34 that night. Please go around all the cold equipment.</v>
      </c>
    </row>
    <row r="3954">
      <c r="A3954" s="19" t="s">
        <v>2923</v>
      </c>
      <c r="B3954" s="20" t="str">
        <f>IFERROR(__xludf.DUMMYFUNCTION("GOOGLETRANSLATE(A3954, ""fr"", ""en"")"),"There is no longer any need to pass the badge for the Entree's Social Porte. Recontect door open")</f>
        <v>There is no longer any need to pass the badge for the Entree's Social Porte. Recontect door open</v>
      </c>
    </row>
    <row r="3955">
      <c r="A3955" s="19" t="s">
        <v>2924</v>
      </c>
      <c r="B3955" s="20" t="str">
        <f>IFERROR(__xludf.DUMMYFUNCTION("GOOGLETRANSLATE(A3955, ""fr"", ""en"")"),"urgent !!!")</f>
        <v>urgent !!!</v>
      </c>
    </row>
    <row r="3956">
      <c r="A3956" s="19" t="s">
        <v>2925</v>
      </c>
      <c r="B3956" s="20" t="str">
        <f>IFERROR(__xludf.DUMMYFUNCTION("GOOGLETRANSLATE(A3956, ""fr"", ""en"")"),"Installation of the new dispenser hand over the Hydroalcoholic Gel Distributor + Removal of the former dispenser wipe out and restoration of its .odm support by AT3. Finished work.")</f>
        <v>Installation of the new dispenser hand over the Hydroalcoholic Gel Distributor + Removal of the former dispenser wipe out and restoration of its .odm support by AT3. Finished work.</v>
      </c>
    </row>
    <row r="3957">
      <c r="A3957" s="19" t="s">
        <v>2877</v>
      </c>
      <c r="B3957" s="20" t="str">
        <f>IFERROR(__xludf.DUMMYFUNCTION("GOOGLETRANSLATE(A3957, ""fr"", ""en"")"),"At3 checklist 3862")</f>
        <v>At3 checklist 3862</v>
      </c>
    </row>
    <row r="3958">
      <c r="A3958" s="19" t="s">
        <v>2926</v>
      </c>
      <c r="B3958" s="20" t="str">
        <f>IFERROR(__xludf.DUMMYFUNCTION("GOOGLETRANSLATE(A3958, ""fr"", ""en"")"),"Installation of 3 thermometers in the mag .odm made by AT3. Finished work.")</f>
        <v>Installation of 3 thermometers in the mag .odm made by AT3. Finished work.</v>
      </c>
    </row>
    <row r="3959">
      <c r="A3959" s="19" t="s">
        <v>2927</v>
      </c>
      <c r="B3959" s="20" t="str">
        <f>IFERROR(__xludf.DUMMYFUNCTION("GOOGLETRANSLATE(A3959, ""fr"", ""en"")"),"Lays the explanation of the Leon.odm tablet made by AT3. Finished work.")</f>
        <v>Lays the explanation of the Leon.odm tablet made by AT3. Finished work.</v>
      </c>
    </row>
    <row r="3960">
      <c r="A3960" s="19" t="s">
        <v>2928</v>
      </c>
      <c r="B3960" s="20" t="str">
        <f>IFERROR(__xludf.DUMMYFUNCTION("GOOGLETRANSLATE(A3960, ""fr"", ""en"")"),"Installation of a padlock on the hydroalcoholic gel distributor because it has disappeared + cleaning of the cylinder and filling of gel and replacement of the broken spout .odm made by AT3. Finished work.")</f>
        <v>Installation of a padlock on the hydroalcoholic gel distributor because it has disappeared + cleaning of the cylinder and filling of gel and replacement of the broken spout .odm made by AT3. Finished work.</v>
      </c>
    </row>
    <row r="3961">
      <c r="A3961" s="19" t="s">
        <v>2877</v>
      </c>
      <c r="B3961" s="20" t="str">
        <f>IFERROR(__xludf.DUMMYFUNCTION("GOOGLETRANSLATE(A3961, ""fr"", ""en"")"),"At3 checklist 3862")</f>
        <v>At3 checklist 3862</v>
      </c>
    </row>
    <row r="3962">
      <c r="A3962" s="19" t="s">
        <v>2929</v>
      </c>
      <c r="B3962" s="20" t="str">
        <f>IFERROR(__xludf.DUMMYFUNCTION("GOOGLETRANSLATE(A3962, ""fr"", ""en"")"),"The door opens all by itself without stopping")</f>
        <v>The door opens all by itself without stopping</v>
      </c>
    </row>
    <row r="3963">
      <c r="A3963" s="19" t="s">
        <v>922</v>
      </c>
      <c r="B3963" s="20" t="str">
        <f>IFERROR(__xludf.DUMMYFUNCTION("GOOGLETRANSLATE(A3963, ""fr"", ""en"")"),"Sale cleaning parking lots on Friday February 4, 2022")</f>
        <v>Sale cleaning parking lots on Friday February 4, 2022</v>
      </c>
    </row>
    <row r="3964">
      <c r="A3964" s="19" t="s">
        <v>924</v>
      </c>
      <c r="B3964" s="20" t="str">
        <f>IFERROR(__xludf.DUMMYFUNCTION("GOOGLETRANSLATE(A3964, ""fr"", ""en"")"),"Sale cleaning parking lots on Friday March 18, 2022")</f>
        <v>Sale cleaning parking lots on Friday March 18, 2022</v>
      </c>
    </row>
    <row r="3965">
      <c r="A3965" s="19" t="s">
        <v>925</v>
      </c>
      <c r="B3965" s="20" t="str">
        <f>IFERROR(__xludf.DUMMYFUNCTION("GOOGLETRANSLATE(A3965, ""fr"", ""en"")"),"Sale cleaning parking lots on Friday March 4, 2022")</f>
        <v>Sale cleaning parking lots on Friday March 4, 2022</v>
      </c>
    </row>
    <row r="3966">
      <c r="A3966" s="19" t="s">
        <v>2930</v>
      </c>
      <c r="B3966" s="20" t="str">
        <f>IFERROR(__xludf.DUMMYFUNCTION("GOOGLETRANSLATE(A3966, ""fr"", ""en"")"),"The transpalette shows the current recharge sign then makes it as if we disconnect it on all the catches of the quay")</f>
        <v>The transpalette shows the current recharge sign then makes it as if we disconnect it on all the catches of the quay</v>
      </c>
    </row>
    <row r="3967">
      <c r="A3967" s="19" t="s">
        <v>2931</v>
      </c>
      <c r="B3967" s="20" t="str">
        <f>IFERROR(__xludf.DUMMYFUNCTION("GOOGLETRANSLATE(A3967, ""fr"", ""en"")"),"FM: Caisses Cleaning - Module 2 - S14. Immerately attach the checklists.")</f>
        <v>FM: Caisses Cleaning - Module 2 - S14. Immerately attach the checklists.</v>
      </c>
    </row>
    <row r="3968">
      <c r="A3968" s="19" t="s">
        <v>2351</v>
      </c>
      <c r="B3968" s="20" t="str">
        <f>IFERROR(__xludf.DUMMYFUNCTION("GOOGLETRANSLATE(A3968, ""fr"", ""en"")"),"FM: Basse window cleaning - Module 7 - S15. Immerately attach the checklists.")</f>
        <v>FM: Basse window cleaning - Module 7 - S15. Immerately attach the checklists.</v>
      </c>
    </row>
    <row r="3969">
      <c r="A3969" s="19" t="s">
        <v>2932</v>
      </c>
      <c r="B3969" s="20" t="str">
        <f>IFERROR(__xludf.DUMMYFUNCTION("GOOGLETRANSLATE(A3969, ""fr"", ""en"")"),"CheckPoint is passed for Dantivol deactivators with normal caisqes but it is not them for SCOs, manufacturers for anti -theft of aca sco is neap")</f>
        <v>CheckPoint is passed for Dantivol deactivators with normal caisqes but it is not them for SCOs, manufacturers for anti -theft of aca sco is neap</v>
      </c>
    </row>
    <row r="3970">
      <c r="A3970" s="19" t="s">
        <v>1414</v>
      </c>
      <c r="B3970" s="20" t="str">
        <f>IFERROR(__xludf.DUMMYFUNCTION("GOOGLETRANSLATE(A3970, ""fr"", ""en"")"),"FM: Raisement zone of Quai following joint table")</f>
        <v>FM: Raisement zone of Quai following joint table</v>
      </c>
    </row>
    <row r="3971">
      <c r="A3971" s="19" t="s">
        <v>931</v>
      </c>
      <c r="B3971" s="20" t="str">
        <f>IFERROR(__xludf.DUMMYFUNCTION("GOOGLETRANSLATE(A3971, ""fr"", ""en"")"),"Sale cleaning of parking lots on Friday March 11, 2022")</f>
        <v>Sale cleaning of parking lots on Friday March 11, 2022</v>
      </c>
    </row>
    <row r="3972">
      <c r="A3972" s="19" t="s">
        <v>933</v>
      </c>
      <c r="B3972" s="20" t="str">
        <f>IFERROR(__xludf.DUMMYFUNCTION("GOOGLETRANSLATE(A3972, ""fr"", ""en"")"),"MCM 2022 tour sale")</f>
        <v>MCM 2022 tour sale</v>
      </c>
    </row>
    <row r="3973">
      <c r="A3973" s="19" t="s">
        <v>2933</v>
      </c>
      <c r="B3973" s="20" t="str">
        <f>IFERROR(__xludf.DUMMYFUNCTION("GOOGLETRANSLATE(A3973, ""fr"", ""en"")"),"In the cosmetic allee it is necessary to add two spots until the drugstore. He had to remove a LED geande bar and put two smaller bars and 2 spots instead. Precisis at PE RVS if necessary")</f>
        <v>In the cosmetic allee it is necessary to add two spots until the drugstore. He had to remove a LED geande bar and put two smaller bars and 2 spots instead. Precisis at PE RVS if necessary</v>
      </c>
    </row>
    <row r="3974">
      <c r="A3974" s="19" t="s">
        <v>2934</v>
      </c>
      <c r="B3974" s="20" t="str">
        <f>IFERROR(__xludf.DUMMYFUNCTION("GOOGLETRANSLATE(A3974, ""fr"", ""en"")"),"Cleaning of interior and exterior windows above the arched")</f>
        <v>Cleaning of interior and exterior windows above the arched</v>
      </c>
    </row>
    <row r="3975">
      <c r="A3975" s="19" t="s">
        <v>2935</v>
      </c>
      <c r="B3975" s="20" t="str">
        <f>IFERROR(__xludf.DUMMYFUNCTION("GOOGLETRANSLATE(A3975, ""fr"", ""en"")"),"FM: At the request of the seat, check the master filter + internal service.")</f>
        <v>FM: At the request of the seat, check the master filter + internal service.</v>
      </c>
    </row>
    <row r="3976">
      <c r="A3976" s="19" t="s">
        <v>934</v>
      </c>
      <c r="B3976" s="20" t="str">
        <f>IFERROR(__xludf.DUMMYFUNCTION("GOOGLETRANSLATE(A3976, ""fr"", ""en"")"),"Sale cleaning parking lots on Friday February 11, 2022")</f>
        <v>Sale cleaning parking lots on Friday February 11, 2022</v>
      </c>
    </row>
    <row r="3977">
      <c r="A3977" s="19" t="s">
        <v>940</v>
      </c>
      <c r="B3977" s="20" t="str">
        <f>IFERROR(__xludf.DUMMYFUNCTION("GOOGLETRANSLATE(A3977, ""fr"", ""en"")"),"Sale cleaning parking lots on Friday February 25, 2022")</f>
        <v>Sale cleaning parking lots on Friday February 25, 2022</v>
      </c>
    </row>
    <row r="3978">
      <c r="A3978" s="19" t="s">
        <v>2936</v>
      </c>
      <c r="B3978" s="20" t="str">
        <f>IFERROR(__xludf.DUMMYFUNCTION("GOOGLETRANSLATE(A3978, ""fr"", ""en"")"),"Support of the pharmacy box located in the broken bread lab.
 The box no longer holds in its support")</f>
        <v>Support of the pharmacy box located in the broken bread lab.
 The box no longer holds in its support</v>
      </c>
    </row>
    <row r="3979">
      <c r="A3979" s="19" t="s">
        <v>935</v>
      </c>
      <c r="B3979" s="20" t="str">
        <f>IFERROR(__xludf.DUMMYFUNCTION("GOOGLETRANSLATE(A3979, ""fr"", ""en"")"),"MAJ SALE CONCEPT CO")</f>
        <v>MAJ SALE CONCEPT CO</v>
      </c>
    </row>
    <row r="3980">
      <c r="A3980" s="19" t="s">
        <v>939</v>
      </c>
      <c r="B3980" s="20" t="str">
        <f>IFERROR(__xludf.DUMMYFUNCTION("GOOGLETRANSLATE(A3980, ""fr"", ""en"")"),"Sale cleaning of car parks on Friday February 18. Attention visit planned on the SPM 234, 2820, 3862 and 4046, prioritize these 4 SPMs, please present to you on the first at 6 a.m., the SPM 234 will have to be done after the other 3.")</f>
        <v>Sale cleaning of car parks on Friday February 18. Attention visit planned on the SPM 234, 2820, 3862 and 4046, prioritize these 4 SPMs, please present to you on the first at 6 a.m., the SPM 234 will have to be done after the other 3.</v>
      </c>
    </row>
    <row r="3981">
      <c r="A3981" s="19" t="s">
        <v>2937</v>
      </c>
      <c r="B3981" s="20" t="str">
        <f>IFERROR(__xludf.DUMMYFUNCTION("GOOGLETRANSLATE(A3981, ""fr"", ""en"")"),"The palette draw does not load at all contact problems")</f>
        <v>The palette draw does not load at all contact problems</v>
      </c>
    </row>
    <row r="3982">
      <c r="A3982" s="19" t="s">
        <v>1057</v>
      </c>
      <c r="B3982" s="20" t="str">
        <f>IFERROR(__xludf.DUMMYFUNCTION("GOOGLETRANSLATE(A3982, ""fr"", ""en"")"),"Sale for:
 - Implementation of dry axes in the CF-
 - Put 1 level of shelves 62 cm per axis (with price strip)
 For information :
 - You take the material at the Consomag cell
 - No melamine to set up
 - No podiums to put
 - Request validation of the l"&amp;"ocation from the manager of the present SPM.
 - You have received the detail by email")</f>
        <v>Sale for:
 - Implementation of dry axes in the CF-
 - Put 1 level of shelves 62 cm per axis (with price strip)
 For information :
 - You take the material at the Consomag cell
 - No melamine to set up
 - No podiums to put
 - Request validation of the location from the manager of the present SPM.
 - You have received the detail by email</v>
      </c>
    </row>
    <row r="3983">
      <c r="A3983" s="19" t="s">
        <v>2938</v>
      </c>
      <c r="B3983" s="20" t="str">
        <f>IFERROR(__xludf.DUMMYFUNCTION("GOOGLETRANSLATE(A3983, ""fr"", ""en"")"),"Try on several take he does not want to load")</f>
        <v>Try on several take he does not want to load</v>
      </c>
    </row>
    <row r="3984">
      <c r="A3984" s="19" t="s">
        <v>2939</v>
      </c>
      <c r="B3984" s="20" t="str">
        <f>IFERROR(__xludf.DUMMYFUNCTION("GOOGLETRANSLATE(A3984, ""fr"", ""en"")"),"serious error cannot start programs + overheating engine error")</f>
        <v>serious error cannot start programs + overheating engine error</v>
      </c>
    </row>
    <row r="3985">
      <c r="A3985" s="19" t="s">
        <v>2940</v>
      </c>
      <c r="B3985" s="20" t="str">
        <f>IFERROR(__xludf.DUMMYFUNCTION("GOOGLETRANSLATE(A3985, ""fr"", ""en"")"),"Disabling HS on all boxes")</f>
        <v>Disabling HS on all boxes</v>
      </c>
    </row>
    <row r="3986">
      <c r="A3986" s="19" t="s">
        <v>2941</v>
      </c>
      <c r="B3986" s="20" t="str">
        <f>IFERROR(__xludf.DUMMYFUNCTION("GOOGLETRANSLATE(A3986, ""fr"", ""en"")"),"FM: Please intervene on 04/04 to drop off the broken BSO.")</f>
        <v>FM: Please intervene on 04/04 to drop off the broken BSO.</v>
      </c>
    </row>
    <row r="3987">
      <c r="A3987" s="19" t="s">
        <v>1420</v>
      </c>
      <c r="B3987" s="20" t="str">
        <f>IFERROR(__xludf.DUMMYFUNCTION("GOOGLETRANSLATE(A3987, ""fr"", ""en"")"),"Sale - Cleaning of car parks on Friday March 31, 2023")</f>
        <v>Sale - Cleaning of car parks on Friday March 31, 2023</v>
      </c>
    </row>
    <row r="3988">
      <c r="A3988" s="19" t="s">
        <v>2942</v>
      </c>
      <c r="B3988" s="20" t="str">
        <f>IFERROR(__xludf.DUMMYFUNCTION("GOOGLETRANSLATE(A3988, ""fr"", ""en"")"),"The two bottom ovens displays the following error message ""serious error! The program cannot be started""
 And the third bottom oven marks him to close the door while the door is closely close
 Please bring a technician to take place as soon as possible "&amp;"because the situation will quickly become complicated
 Sincerely")</f>
        <v>The two bottom ovens displays the following error message "serious error! The program cannot be started"
 And the third bottom oven marks him to close the door while the door is closely close
 Please bring a technician to take place as soon as possible because the situation will quickly become complicated
 Sincerely</v>
      </c>
    </row>
    <row r="3989">
      <c r="A3989" s="19" t="s">
        <v>2943</v>
      </c>
      <c r="B3989" s="20" t="str">
        <f>IFERROR(__xludf.DUMMYFUNCTION("GOOGLETRANSLATE(A3989, ""fr"", ""en"")"),"We can no longer open the door. The handle remains blocked")</f>
        <v>We can no longer open the door. The handle remains blocked</v>
      </c>
    </row>
    <row r="3990">
      <c r="A3990" s="19" t="s">
        <v>1423</v>
      </c>
      <c r="B3990" s="20" t="str">
        <f>IFERROR(__xludf.DUMMYFUNCTION("GOOGLETRANSLATE(A3990, ""fr"", ""en"")"),"FM display code: please put the temperature display in supermarkets according to the modop provides")</f>
        <v>FM display code: please put the temperature display in supermarkets according to the modop provides</v>
      </c>
    </row>
    <row r="3991">
      <c r="A3991" s="19" t="s">
        <v>1424</v>
      </c>
      <c r="B3991" s="20" t="str">
        <f>IFERROR(__xludf.DUMMYFUNCTION("GOOGLETRANSLATE(A3991, ""fr"", ""en"")"),"FM: replacement electrodes defibrillator according to operating mode. Thank you for bringing the old DR electrodes back.")</f>
        <v>FM: replacement electrodes defibrillator according to operating mode. Thank you for bringing the old DR electrodes back.</v>
      </c>
    </row>
    <row r="3992">
      <c r="A3992" s="19" t="s">
        <v>952</v>
      </c>
      <c r="B3992" s="20" t="str">
        <f>IFERROR(__xludf.DUMMYFUNCTION("GOOGLETRANSLATE(A3992, ""fr"", ""en"")"),"Sale cleaning of parking lots on Friday August 26, 2022")</f>
        <v>Sale cleaning of parking lots on Friday August 26, 2022</v>
      </c>
    </row>
    <row r="3993">
      <c r="A3993" s="19" t="s">
        <v>2944</v>
      </c>
      <c r="B3993" s="20" t="str">
        <f>IFERROR(__xludf.DUMMYFUNCTION("GOOGLETRANSLATE(A3993, ""fr"", ""en"")"),"FM: Please intervene after 02/21 to remove the old telephone ring.")</f>
        <v>FM: Please intervene after 02/21 to remove the old telephone ring.</v>
      </c>
    </row>
    <row r="3994">
      <c r="A3994" s="19" t="s">
        <v>2945</v>
      </c>
      <c r="B3994" s="20" t="str">
        <f>IFERROR(__xludf.DUMMYFUNCTION("GOOGLETRANSLATE(A3994, ""fr"", ""en"")"),"The blind detaches")</f>
        <v>The blind detaches</v>
      </c>
    </row>
    <row r="3995">
      <c r="A3995" s="19" t="s">
        <v>1426</v>
      </c>
      <c r="B3995" s="20" t="str">
        <f>IFERROR(__xludf.DUMMYFUNCTION("GOOGLETRANSLATE(A3995, ""fr"", ""en"")"),"Sale - Cleaning of parking lots on Friday March 10, 2023")</f>
        <v>Sale - Cleaning of parking lots on Friday March 10, 2023</v>
      </c>
    </row>
    <row r="3996">
      <c r="A3996" s="19" t="s">
        <v>1427</v>
      </c>
      <c r="B3996" s="20" t="str">
        <f>IFERROR(__xludf.DUMMYFUNCTION("GOOGLETRANSLATE(A3996, ""fr"", ""en"")"),"Sale - Cleaning of car parks on Friday March 24, 2023")</f>
        <v>Sale - Cleaning of car parks on Friday March 24, 2023</v>
      </c>
    </row>
    <row r="3997">
      <c r="A3997" s="19" t="s">
        <v>1429</v>
      </c>
      <c r="B3997" s="20" t="str">
        <f>IFERROR(__xludf.DUMMYFUNCTION("GOOGLETRANSLATE(A3997, ""fr"", ""en"")"),"Sale - Cleaning of car parks of Friday March 17, 2023")</f>
        <v>Sale - Cleaning of car parks of Friday March 17, 2023</v>
      </c>
    </row>
    <row r="3998">
      <c r="A3998" s="19" t="s">
        <v>2946</v>
      </c>
      <c r="B3998" s="20" t="str">
        <f>IFERROR(__xludf.DUMMYFUNCTION("GOOGLETRANSLATE(A3998, ""fr"", ""en"")"),"Lower the used battery tray in the Mag.odm Entrance SAS made by AT3. Finished work.")</f>
        <v>Lower the used battery tray in the Mag.odm Entrance SAS made by AT3. Finished work.</v>
      </c>
    </row>
    <row r="3999">
      <c r="A3999" s="19" t="s">
        <v>2947</v>
      </c>
      <c r="B3999" s="20" t="str">
        <f>IFERROR(__xludf.DUMMYFUNCTION("GOOGLETRANSLATE(A3999, ""fr"", ""en"")"),"Cars C3 Picasso Black Registration BH-807-WP which has been parking in the parking lot for 2 weeks it does not move at all it has the glass of the Break trunk. With a plastic bag stick it. She is just parking to say photovoltaic panels")</f>
        <v>Cars C3 Picasso Black Registration BH-807-WP which has been parking in the parking lot for 2 weeks it does not move at all it has the glass of the Break trunk. With a plastic bag stick it. She is just parking to say photovoltaic panels</v>
      </c>
    </row>
    <row r="4000">
      <c r="A4000" s="19" t="s">
        <v>2948</v>
      </c>
      <c r="B4000" s="20" t="str">
        <f>IFERROR(__xludf.DUMMYFUNCTION("GOOGLETRANSLATE(A4000, ""fr"", ""en"")"),"Citroen C3 Picasso black cars Register BH-807-WP She has the glass Break scotched chest with a trash bag. It is 2 weeks what is there. Park Phofovoltaic panels.")</f>
        <v>Citroen C3 Picasso black cars Register BH-807-WP She has the glass Break scotched chest with a trash bag. It is 2 weeks what is there. Park Phofovoltaic panels.</v>
      </c>
    </row>
    <row r="4001">
      <c r="A4001" s="19" t="s">
        <v>2949</v>
      </c>
      <c r="B4001" s="20" t="str">
        <f>IFERROR(__xludf.DUMMYFUNCTION("GOOGLETRANSLATE(A4001, ""fr"", ""en"")"),"The air conditioning does not work in the room TGBT abnormal heat")</f>
        <v>The air conditioning does not work in the room TGBT abnormal heat</v>
      </c>
    </row>
    <row r="4002">
      <c r="A4002" s="19" t="s">
        <v>2950</v>
      </c>
      <c r="B4002" s="20" t="str">
        <f>IFERROR(__xludf.DUMMYFUNCTION("GOOGLETRANSLATE(A4002, ""fr"", ""en"")"),"Do not want to charge anymore we have tests on several outlets without result")</f>
        <v>Do not want to charge anymore we have tests on several outlets without result</v>
      </c>
    </row>
    <row r="4003">
      <c r="A4003" s="19" t="s">
        <v>2359</v>
      </c>
      <c r="B4003" s="20" t="str">
        <f>IFERROR(__xludf.DUMMYFUNCTION("GOOGLETRANSLATE(A4003, ""fr"", ""en"")"),"FM: There is one of the production defects in the following SPMs: Valdahon (under warranty), Delle (under warranty), Montbéliard (under warranty), Sélestat and Eckbolsheim. thanks for intervening")</f>
        <v>FM: There is one of the production defects in the following SPMs: Valdahon (under warranty), Delle (under warranty), Montbéliard (under warranty), Sélestat and Eckbolsheim. thanks for intervening</v>
      </c>
    </row>
    <row r="4004">
      <c r="A4004" s="19" t="s">
        <v>2951</v>
      </c>
      <c r="B4004" s="20" t="str">
        <f>IFERROR(__xludf.DUMMYFUNCTION("GOOGLETRANSLATE(A4004, ""fr"", ""en"")"),"Request for a framing badge configuration for Ms. Samantha CCA Badge n ° 159151204")</f>
        <v>Request for a framing badge configuration for Ms. Samantha CCA Badge n ° 159151204</v>
      </c>
    </row>
    <row r="4005">
      <c r="A4005" s="19" t="s">
        <v>2952</v>
      </c>
      <c r="B4005" s="20" t="str">
        <f>IFERROR(__xludf.DUMMYFUNCTION("GOOGLETRANSLATE(A4005, ""fr"", ""en"")"),"FM: Cleaning according to module n ° 2: Planning S35 boxes")</f>
        <v>FM: Cleaning according to module n ° 2: Planning S35 boxes</v>
      </c>
    </row>
    <row r="4006">
      <c r="A4006" s="19" t="s">
        <v>2953</v>
      </c>
      <c r="B4006" s="20" t="str">
        <f>IFERROR(__xludf.DUMMYFUNCTION("GOOGLETRANSLATE(A4006, ""fr"", ""en"")"),"Caisse photo")</f>
        <v>Caisse photo</v>
      </c>
    </row>
    <row r="4007">
      <c r="A4007" s="19" t="s">
        <v>2954</v>
      </c>
      <c r="B4007" s="20" t="str">
        <f>IFERROR(__xludf.DUMMYFUNCTION("GOOGLETRANSLATE(A4007, ""fr"", ""en"")"),"PMR Cash photos")</f>
        <v>PMR Cash photos</v>
      </c>
    </row>
    <row r="4008">
      <c r="A4008" s="19" t="s">
        <v>2955</v>
      </c>
      <c r="B4008" s="20" t="str">
        <f>IFERROR(__xludf.DUMMYFUNCTION("GOOGLETRANSLATE(A4008, ""fr"", ""en"")"),"FM: Please intervene to replace two HS LED spots above FL.")</f>
        <v>FM: Please intervene to replace two HS LED spots above FL.</v>
      </c>
    </row>
    <row r="4009">
      <c r="A4009" s="19" t="s">
        <v>2362</v>
      </c>
      <c r="B4009" s="20" t="str">
        <f>IFERROR(__xludf.DUMMYFUNCTION("GOOGLETRANSLATE(A4009, ""fr"", ""en"")"),"FM: PDR:: Install 1 power supply to photo booth in the input airlock (work identical to Baume or Mulhouse), the device will be installed in front of the window on the outlet side (and not on the sorting furniture side). Installation in gray chute.
 Dead"&amp;"line: 24/06")</f>
        <v>FM: PDR:: Install 1 power supply to photo booth in the input airlock (work identical to Baume or Mulhouse), the device will be installed in front of the window on the outlet side (and not on the sorting furniture side). Installation in gray chute.
 Deadline: 24/06</v>
      </c>
    </row>
    <row r="4010">
      <c r="A4010" s="19" t="s">
        <v>2956</v>
      </c>
      <c r="B4010" s="20" t="str">
        <f>IFERROR(__xludf.DUMMYFUNCTION("GOOGLETRANSLATE(A4010, ""fr"", ""en"")"),"Under warranty: we are told that pieces of facing stand out from the wall. Please intervene as part of the guarantee.
 Store phone number if necessary: ​​03 81 97 61 52")</f>
        <v>Under warranty: we are told that pieces of facing stand out from the wall. Please intervene as part of the guarantee.
 Store phone number if necessary: ​​03 81 97 61 52</v>
      </c>
    </row>
    <row r="4011">
      <c r="A4011" s="19" t="s">
        <v>2957</v>
      </c>
      <c r="B4011" s="20" t="str">
        <f>IFERROR(__xludf.DUMMYFUNCTION("GOOGLETRANSLATE(A4011, ""fr"", ""en"")"),"Pose of sign on the outer fence relating to video surveillance and obligations in the parking lot .odm done by AT3. Finished work")</f>
        <v>Pose of sign on the outer fence relating to video surveillance and obligations in the parking lot .odm done by AT3. Finished work</v>
      </c>
    </row>
    <row r="4012">
      <c r="A4012" s="19" t="s">
        <v>2958</v>
      </c>
      <c r="B4012" s="20" t="str">
        <f>IFERROR(__xludf.DUMMYFUNCTION("GOOGLETRANSLATE(A4012, ""fr"", ""en"")"),"FM: Suite Mail M. Ecerman, intervene concerning the many faults in January.")</f>
        <v>FM: Suite Mail M. Ecerman, intervene concerning the many faults in January.</v>
      </c>
    </row>
    <row r="4013">
      <c r="A4013" s="19" t="s">
        <v>2959</v>
      </c>
      <c r="B4013" s="20" t="str">
        <f>IFERROR(__xludf.DUMMYFUNCTION("GOOGLETRANSLATE(A4013, ""fr"", ""en"")"),"Mouse in stores (no referencing item)")</f>
        <v>Mouse in stores (no referencing item)</v>
      </c>
    </row>
    <row r="4014">
      <c r="A4014" s="21"/>
      <c r="B4014" s="20" t="str">
        <f>IFERROR(__xludf.DUMMYFUNCTION("GOOGLETRANSLATE(A4014, ""fr"", ""en"")"),"#VALUE!")</f>
        <v>#VALUE!</v>
      </c>
    </row>
    <row r="4015">
      <c r="A4015" s="19" t="s">
        <v>2960</v>
      </c>
      <c r="B4015" s="20" t="str">
        <f>IFERROR(__xludf.DUMMYFUNCTION("GOOGLETRANSLATE(A4015, ""fr"", ""en"")"),"FM: Following TV removal report, thank you for intervening for a cold defect of 20 mins tonight.")</f>
        <v>FM: Following TV removal report, thank you for intervening for a cold defect of 20 mins tonight.</v>
      </c>
    </row>
    <row r="4016">
      <c r="A4016" s="19" t="s">
        <v>2877</v>
      </c>
      <c r="B4016" s="20" t="str">
        <f>IFERROR(__xludf.DUMMYFUNCTION("GOOGLETRANSLATE(A4016, ""fr"", ""en"")"),"At3 checklist 3862")</f>
        <v>At3 checklist 3862</v>
      </c>
    </row>
    <row r="4017">
      <c r="A4017" s="19" t="s">
        <v>2961</v>
      </c>
      <c r="B4017" s="20" t="str">
        <f>IFERROR(__xludf.DUMMYFUNCTION("GOOGLETRANSLATE(A4017, ""fr"", ""en"")"),"4 missing VVP Sol protections .odm made by AT3. Finished work.")</f>
        <v>4 missing VVP Sol protections .odm made by AT3. Finished work.</v>
      </c>
    </row>
    <row r="4018">
      <c r="A4018" s="19" t="s">
        <v>2962</v>
      </c>
      <c r="B4018" s="20" t="str">
        <f>IFERROR(__xludf.DUMMYFUNCTION("GOOGLETRANSLATE(A4018, ""fr"", ""en"")"),"For FM info: control of the absence of visuals on the boxes in live .odm mode made by AT3. Finished work.")</f>
        <v>For FM info: control of the absence of visuals on the boxes in live .odm mode made by AT3. Finished work.</v>
      </c>
    </row>
    <row r="4019">
      <c r="A4019" s="19" t="s">
        <v>2963</v>
      </c>
      <c r="B4019" s="20" t="str">
        <f>IFERROR(__xludf.DUMMYFUNCTION("GOOGLETRANSLATE(A4019, ""fr"", ""en"")"),"Please come and replace me the podiums FL (6) so the bases in stores (3)")</f>
        <v>Please come and replace me the podiums FL (6) so the bases in stores (3)</v>
      </c>
    </row>
    <row r="4020">
      <c r="A4020" s="19" t="s">
        <v>2964</v>
      </c>
      <c r="B4020" s="20" t="str">
        <f>IFERROR(__xludf.DUMMYFUNCTION("GOOGLETRANSLATE(A4020, ""fr"", ""en"")"),"Sale 3862 (work to be carried out on the Kléber SPM)
 For :
 - Go to the Consomag cell to recover (nf half back boxes, plastic pallets and transparent film)
 - Go to the Kléber SPM to dismantle 90 flower displays
 - put them in boxes, identify the box"&amp;"es and put the boxes on pallets
 For information :
 - Keys are at the Consomag cell
 - keep me informed of the date of intervention")</f>
        <v>Sale 3862 (work to be carried out on the Kléber SPM)
 For :
 - Go to the Consomag cell to recover (nf half back boxes, plastic pallets and transparent film)
 - Go to the Kléber SPM to dismantle 90 flower displays
 - put them in boxes, identify the boxes and put the boxes on pallets
 For information :
 - Keys are at the Consomag cell
 - keep me informed of the date of intervention</v>
      </c>
    </row>
    <row r="4021">
      <c r="A4021" s="19" t="s">
        <v>962</v>
      </c>
      <c r="B4021" s="20" t="str">
        <f>IFERROR(__xludf.DUMMYFUNCTION("GOOGLETRANSLATE(A4021, ""fr"", ""en"")"),"Sale cleaning parking lots on Friday August 12, 2022")</f>
        <v>Sale cleaning parking lots on Friday August 12, 2022</v>
      </c>
    </row>
    <row r="4022">
      <c r="A4022" s="19" t="s">
        <v>963</v>
      </c>
      <c r="B4022" s="20" t="str">
        <f>IFERROR(__xludf.DUMMYFUNCTION("GOOGLETRANSLATE(A4022, ""fr"", ""en"")"),"Sale cleaning of the Verdredi parking lots August 19, 2022")</f>
        <v>Sale cleaning of the Verdredi parking lots August 19, 2022</v>
      </c>
    </row>
    <row r="4023">
      <c r="A4023" s="19" t="s">
        <v>1438</v>
      </c>
      <c r="B4023" s="20" t="str">
        <f>IFERROR(__xludf.DUMMYFUNCTION("GOOGLETRANSLATE(A4023, ""fr"", ""en"")"),"FM: Cleaning according to module n ° 3: Bakery Planning S32")</f>
        <v>FM: Cleaning according to module n ° 3: Bakery Planning S32</v>
      </c>
    </row>
    <row r="4024">
      <c r="A4024" s="19" t="s">
        <v>2965</v>
      </c>
      <c r="B4024" s="20" t="str">
        <f>IFERROR(__xludf.DUMMYFUNCTION("GOOGLETRANSLATE(A4024, ""fr"", ""en"")"),"The symbol of a key is displayed on the screen, the BIP machine and no longer works")</f>
        <v>The symbol of a key is displayed on the screen, the BIP machine and no longer works</v>
      </c>
    </row>
    <row r="4025">
      <c r="A4025" s="19" t="s">
        <v>2966</v>
      </c>
      <c r="B4025" s="20" t="str">
        <f>IFERROR(__xludf.DUMMYFUNCTION("GOOGLETRANSLATE(A4025, ""fr"", ""en"")"),"Beep. Do not stop ringing and error code ""3163""")</f>
        <v>Beep. Do not stop ringing and error code "3163"</v>
      </c>
    </row>
    <row r="4026">
      <c r="A4026" s="19" t="s">
        <v>2967</v>
      </c>
      <c r="B4026" s="20" t="str">
        <f>IFERROR(__xludf.DUMMYFUNCTION("GOOGLETRANSLATE(A4026, ""fr"", ""en"")"),"Under warranty: we are told that lighting of stores on the front of the store does not work, while parking lighting is OK.
 Please intervene as part of the guarantee.
 store phone number if necessary: ​​03 81 97 61 52")</f>
        <v>Under warranty: we are told that lighting of stores on the front of the store does not work, while parking lighting is OK.
 Please intervene as part of the guarantee.
 store phone number if necessary: ​​03 81 97 61 52</v>
      </c>
    </row>
    <row r="4027">
      <c r="A4027" s="19" t="s">
        <v>2367</v>
      </c>
      <c r="B4027" s="20" t="str">
        <f>IFERROR(__xludf.DUMMYFUNCTION("GOOGLETRANSLATE(A4027, ""fr"", ""en"")"),"FM: Please check the PV installations following thunderstorms (hail). Priority check stores from 25-90-68.")</f>
        <v>FM: Please check the PV installations following thunderstorms (hail). Priority check stores from 25-90-68.</v>
      </c>
    </row>
    <row r="4028">
      <c r="A4028" s="19" t="s">
        <v>1439</v>
      </c>
      <c r="B4028" s="20" t="str">
        <f>IFERROR(__xludf.DUMMYFUNCTION("GOOGLETRANSLATE(A4028, ""fr"", ""en"")"),"FM: cleaning 7 low window module according to July planning S30")</f>
        <v>FM: cleaning 7 low window module according to July planning S30</v>
      </c>
    </row>
    <row r="4029">
      <c r="A4029" s="19" t="s">
        <v>2368</v>
      </c>
      <c r="B4029" s="20" t="str">
        <f>IFERROR(__xludf.DUMMYFUNCTION("GOOGLETRANSLATE(A4029, ""fr"", ""en"")"),"FM: Cleaning 8 High window module according to July planning S30.")</f>
        <v>FM: Cleaning 8 High window module according to July planning S30.</v>
      </c>
    </row>
    <row r="4030">
      <c r="A4030" s="19" t="s">
        <v>2968</v>
      </c>
      <c r="B4030" s="20" t="str">
        <f>IFERROR(__xludf.DUMMYFUNCTION("GOOGLETRANSLATE(A4030, ""fr"", ""en"")"),"Sale of as possible
 To: do the tour.
 For information :
 - This is a forgetfulness on my part
 - You have equipment")</f>
        <v>Sale of as possible
 To: do the tour.
 For information :
 - This is a forgetfulness on my part
 - You have equipment</v>
      </c>
    </row>
    <row r="4031">
      <c r="A4031" s="19" t="s">
        <v>2969</v>
      </c>
      <c r="B4031" s="20" t="str">
        <f>IFERROR(__xludf.DUMMYFUNCTION("GOOGLETRANSLATE(A4031, ""fr"", ""en"")"),"BAC Surg in the RėSERVE which marks error 60 It is error that it happens to 1 degrees")</f>
        <v>BAC Surg in the RėSERVE which marks error 60 It is error that it happens to 1 degrees</v>
      </c>
    </row>
    <row r="4032">
      <c r="A4032" s="19" t="s">
        <v>2970</v>
      </c>
      <c r="B4032" s="20" t="str">
        <f>IFERROR(__xludf.DUMMYFUNCTION("GOOGLETRANSLATE(A4032, ""fr"", ""en"")"),"Under warranty: we are told that an inverter has not produced since your visit from 12/22/22.
 Please intervene as part of the guarantee.
 Phone number if necessary: ​​03 81 97 61 52")</f>
        <v>Under warranty: we are told that an inverter has not produced since your visit from 12/22/22.
 Please intervene as part of the guarantee.
 Phone number if necessary: ​​03 81 97 61 52</v>
      </c>
    </row>
    <row r="4033">
      <c r="A4033" s="19" t="s">
        <v>2971</v>
      </c>
      <c r="B4033" s="20" t="str">
        <f>IFERROR(__xludf.DUMMYFUNCTION("GOOGLETRANSLATE(A4033, ""fr"", ""en"")"),"FM: Thank you for intervening following the passage of the LIDL technical agent, there is no current on the hot water tank of lab Pain.")</f>
        <v>FM: Thank you for intervening following the passage of the LIDL technical agent, there is no current on the hot water tank of lab Pain.</v>
      </c>
    </row>
    <row r="4034">
      <c r="A4034" s="19" t="s">
        <v>2972</v>
      </c>
      <c r="B4034" s="20" t="str">
        <f>IFERROR(__xludf.DUMMYFUNCTION("GOOGLETRANSLATE(A4034, ""fr"", ""en"")"),"FM: Please intervene following the report of remote monitoring, fault of 20 mins.")</f>
        <v>FM: Please intervene following the report of remote monitoring, fault of 20 mins.</v>
      </c>
    </row>
    <row r="4035">
      <c r="A4035" s="19" t="s">
        <v>1442</v>
      </c>
      <c r="B4035" s="20" t="str">
        <f>IFERROR(__xludf.DUMMYFUNCTION("GOOGLETRANSLATE(A4035, ""fr"", ""en"")"),"Sale - Cleaning of car parks on Friday February 24, 2022")</f>
        <v>Sale - Cleaning of car parks on Friday February 24, 2022</v>
      </c>
    </row>
    <row r="4036">
      <c r="A4036" s="19" t="s">
        <v>1456</v>
      </c>
      <c r="B4036" s="20" t="str">
        <f>IFERROR(__xludf.DUMMYFUNCTION("GOOGLETRANSLATE(A4036, ""fr"", ""en"")"),"Sale - Cleaning of car parks on Friday February 17, 2023")</f>
        <v>Sale - Cleaning of car parks on Friday February 17, 2023</v>
      </c>
    </row>
    <row r="4037">
      <c r="A4037" s="19" t="s">
        <v>1457</v>
      </c>
      <c r="B4037" s="20" t="str">
        <f>IFERROR(__xludf.DUMMYFUNCTION("GOOGLETRANSLATE(A4037, ""fr"", ""en"")"),"FM: Thank you for reconnecting the water heaters in the kitchens and bakery.")</f>
        <v>FM: Thank you for reconnecting the water heaters in the kitchens and bakery.</v>
      </c>
    </row>
    <row r="4038">
      <c r="A4038" s="19" t="s">
        <v>1458</v>
      </c>
      <c r="B4038" s="20" t="str">
        <f>IFERROR(__xludf.DUMMYFUNCTION("GOOGLETRANSLATE(A4038, ""fr"", ""en"")"),"FM: Control if the TGBT room is accessible from outside. If so, can we access it with the 7/7 key? If not, take the measurement of the cylinder to order. See Mail Ali from 30/12.")</f>
        <v>FM: Control if the TGBT room is accessible from outside. If so, can we access it with the 7/7 key? If not, take the measurement of the cylinder to order. See Mail Ali from 30/12.</v>
      </c>
    </row>
    <row r="4039">
      <c r="A4039" s="19" t="s">
        <v>2973</v>
      </c>
      <c r="B4039" s="20" t="str">
        <f>IFERROR(__xludf.DUMMYFUNCTION("GOOGLETRANSLATE(A4039, ""fr"", ""en"")"),"Decalee Auto Door. difficulty in closing")</f>
        <v>Decalee Auto Door. difficulty in closing</v>
      </c>
    </row>
    <row r="4040">
      <c r="A4040" s="19" t="s">
        <v>2974</v>
      </c>
      <c r="B4040" s="20" t="str">
        <f>IFERROR(__xludf.DUMMYFUNCTION("GOOGLETRANSLATE(A4040, ""fr"", ""en"")"),"broken cord in the positive cold room FL")</f>
        <v>broken cord in the positive cold room FL</v>
      </c>
    </row>
    <row r="4041">
      <c r="A4041" s="19" t="s">
        <v>2975</v>
      </c>
      <c r="B4041" s="20" t="str">
        <f>IFERROR(__xludf.DUMMYFUNCTION("GOOGLETRANSLATE(A4041, ""fr"", ""en"")"),"broken interior mirror")</f>
        <v>broken interior mirror</v>
      </c>
    </row>
    <row r="4042">
      <c r="A4042" s="19" t="s">
        <v>2976</v>
      </c>
      <c r="B4042" s="20" t="str">
        <f>IFERROR(__xludf.DUMMYFUNCTION("GOOGLETRANSLATE(A4042, ""fr"", ""en"")"),"FM: Please set up auxiliary heaters.")</f>
        <v>FM: Please set up auxiliary heaters.</v>
      </c>
    </row>
    <row r="4043">
      <c r="A4043" s="19" t="s">
        <v>1459</v>
      </c>
      <c r="B4043" s="20" t="str">
        <f>IFERROR(__xludf.DUMMYFUNCTION("GOOGLETRANSLATE(A4043, ""fr"", ""en"")"),"FM: Please control during your passages if the ""Welcome"" logo is hidden by a world record relay (see photo). If so, please remove the logo behind the locker.")</f>
        <v>FM: Please control during your passages if the "Welcome" logo is hidden by a world record relay (see photo). If so, please remove the logo behind the locker.</v>
      </c>
    </row>
    <row r="4044">
      <c r="A4044" s="19" t="s">
        <v>2977</v>
      </c>
      <c r="B4044" s="20" t="str">
        <f>IFERROR(__xludf.DUMMYFUNCTION("GOOGLETRANSLATE(A4044, ""fr"", ""en"")"),"When you put the alarm in the evening the full lighting of the store remains on for at least 10 minutes.
 When you arrive in the morning and remove the alarm The store does not light up; It remains off for a few minutes. * 30/12 KN: set by GTB, to recall "&amp;"Pro week to find out if ok")</f>
        <v>When you put the alarm in the evening the full lighting of the store remains on for at least 10 minutes.
 When you arrive in the morning and remove the alarm The store does not light up; It remains off for a few minutes. * 30/12 KN: set by GTB, to recall Pro week to find out if ok</v>
      </c>
    </row>
    <row r="4045">
      <c r="A4045" s="19" t="s">
        <v>2978</v>
      </c>
      <c r="B4045" s="20" t="str">
        <f>IFERROR(__xludf.DUMMYFUNCTION("GOOGLETRANSLATE(A4045, ""fr"", ""en"")"),"FM: defect on the voltage regulator in the TGBT.")</f>
        <v>FM: defect on the voltage regulator in the TGBT.</v>
      </c>
    </row>
    <row r="4046">
      <c r="A4046" s="19" t="s">
        <v>2979</v>
      </c>
      <c r="B4046" s="20" t="str">
        <f>IFERROR(__xludf.DUMMYFUNCTION("GOOGLETRANSLATE(A4046, ""fr"", ""en"")"),"Under warranty: since the resumption of connections in the TGBT, one of the inverters (in blue) no longer produces anything (see photo)")</f>
        <v>Under warranty: since the resumption of connections in the TGBT, one of the inverters (in blue) no longer produces anything (see photo)</v>
      </c>
    </row>
    <row r="4047">
      <c r="A4047" s="19" t="s">
        <v>2980</v>
      </c>
      <c r="B4047" s="20" t="str">
        <f>IFERROR(__xludf.DUMMYFUNCTION("GOOGLETRANSLATE(A4047, ""fr"", ""en"")"),"non -functional load terminal. There is no disjunction.")</f>
        <v>non -functional load terminal. There is no disjunction.</v>
      </c>
    </row>
    <row r="4048">
      <c r="A4048" s="19" t="s">
        <v>2981</v>
      </c>
      <c r="B4048" s="20" t="str">
        <f>IFERROR(__xludf.DUMMYFUNCTION("GOOGLETRANSLATE(A4048, ""fr"", ""en"")"),"Following an IT call, we would need an intervention on the badgeer that is offline. They asked us for a cable change.
 Sending the impossible request with the mobi")</f>
        <v>Following an IT call, we would need an intervention on the badgeer that is offline. They asked us for a cable change.
 Sending the impossible request with the mobi</v>
      </c>
    </row>
    <row r="4049">
      <c r="A4049" s="19" t="s">
        <v>1462</v>
      </c>
      <c r="B4049" s="20" t="str">
        <f>IFERROR(__xludf.DUMMYFUNCTION("GOOGLETRANSLATE(A4049, ""fr"", ""en"")"),"FM: Ba sheet code - Install the adhesives safety instructions.
 Deadline 04/30/2023")</f>
        <v>FM: Ba sheet code - Install the adhesives safety instructions.
 Deadline 04/30/2023</v>
      </c>
    </row>
    <row r="4050">
      <c r="A4050" s="19" t="s">
        <v>1463</v>
      </c>
      <c r="B4050" s="20" t="str">
        <f>IFERROR(__xludf.DUMMYFUNCTION("GOOGLETRANSLATE(A4050, ""fr"", ""en"")"),"FM: Victoire Video surveillance Display According to Mail d'Ali from 30/12.")</f>
        <v>FM: Victoire Video surveillance Display According to Mail d'Ali from 30/12.</v>
      </c>
    </row>
    <row r="4051">
      <c r="A4051" s="19" t="s">
        <v>2982</v>
      </c>
      <c r="B4051" s="20" t="str">
        <f>IFERROR(__xludf.DUMMYFUNCTION("GOOGLETRANSLATE(A4051, ""fr"", ""en"")"),"FM: Bakery cleaning - Module 3 - S19. Immerately attach the checklists.")</f>
        <v>FM: Bakery cleaning - Module 3 - S19. Immerately attach the checklists.</v>
      </c>
    </row>
    <row r="4052">
      <c r="A4052" s="19" t="s">
        <v>2983</v>
      </c>
      <c r="B4052" s="20" t="str">
        <f>IFERROR(__xludf.DUMMYFUNCTION("GOOGLETRANSLATE(A4052, ""fr"", ""en"")"),"Urgent showcase a -33 degre. Deja already called but already on site")</f>
        <v>Urgent showcase a -33 degre. Deja already called but already on site</v>
      </c>
    </row>
    <row r="4053">
      <c r="A4053" s="19" t="s">
        <v>2984</v>
      </c>
      <c r="B4053" s="20" t="str">
        <f>IFERROR(__xludf.DUMMYFUNCTION("GOOGLETRANSLATE(A4053, ""fr"", ""en"")"),"Roll in the reserve for branch the transpal no longer works")</f>
        <v>Roll in the reserve for branch the transpal no longer works</v>
      </c>
    </row>
    <row r="4054">
      <c r="A4054" s="19" t="s">
        <v>2320</v>
      </c>
      <c r="B4054" s="20" t="str">
        <f>IFERROR(__xludf.DUMMYFUNCTION("GOOGLETRANSLATE(A4054, ""fr"", ""en"")"),"FM: Please find attached the summary sheet of observations following the passage of the Bureau Véritas for the year 2023. We ask you to clear the observations as soon as possible and to return to us as soon as the intervention is completed (S ) Document ("&amp;"s) completed (s), signed (s) and hidden by you. Sincerely. ELEC.")</f>
        <v>FM: Please find attached the summary sheet of observations following the passage of the Bureau Véritas for the year 2023. We ask you to clear the observations as soon as possible and to return to us as soon as the intervention is completed (S ) Document (s) completed (s), signed (s) and hidden by you. Sincerely. ELEC.</v>
      </c>
    </row>
    <row r="4055">
      <c r="A4055" s="19" t="s">
        <v>1466</v>
      </c>
      <c r="B4055" s="20" t="str">
        <f>IFERROR(__xludf.DUMMYFUNCTION("GOOGLETRANSLATE(A4055, ""fr"", ""en"")"),"Various sale RMR Visual installation campaign aggressiveness price.
 To be done before S31 for the entire DR 02, or 69 SPM.
 Installation detail See PDF")</f>
        <v>Various sale RMR Visual installation campaign aggressiveness price.
 To be done before S31 for the entire DR 02, or 69 SPM.
 Installation detail See PDF</v>
      </c>
    </row>
    <row r="4056">
      <c r="A4056" s="19" t="s">
        <v>1615</v>
      </c>
      <c r="B4056" s="20" t="str">
        <f>IFERROR(__xludf.DUMMYFUNCTION("GOOGLETRANSLATE(A4056, ""fr"", ""en"")"),"FM: Please find attached the summary sheet of observations following the passage of the Bureau Véritas for the year 2023. We ask you to clear the observations as soon as possible and to return to us as soon as the intervention is completed (S ) Document ("&amp;"s) completed (s), signed (s) and hidden by you. Sincerely. ERP")</f>
        <v>FM: Please find attached the summary sheet of observations following the passage of the Bureau Véritas for the year 2023. We ask you to clear the observations as soon as possible and to return to us as soon as the intervention is completed (S ) Document (s) completed (s), signed (s) and hidden by you. Sincerely. ERP</v>
      </c>
    </row>
    <row r="4057">
      <c r="A4057" s="19" t="s">
        <v>969</v>
      </c>
      <c r="B4057" s="20" t="str">
        <f>IFERROR(__xludf.DUMMYFUNCTION("GOOGLETRANSLATE(A4057, ""fr"", ""en"")"),"Sale cleaning parking lots on Friday January 7, 2022")</f>
        <v>Sale cleaning parking lots on Friday January 7, 2022</v>
      </c>
    </row>
    <row r="4058">
      <c r="A4058" s="19" t="s">
        <v>973</v>
      </c>
      <c r="B4058" s="20" t="str">
        <f>IFERROR(__xludf.DUMMYFUNCTION("GOOGLETRANSLATE(A4058, ""fr"", ""en"")"),"Sale cleaning parking lots on Friday January 21, 2022")</f>
        <v>Sale cleaning parking lots on Friday January 21, 2022</v>
      </c>
    </row>
    <row r="4059">
      <c r="A4059" s="19" t="s">
        <v>974</v>
      </c>
      <c r="B4059" s="20" t="str">
        <f>IFERROR(__xludf.DUMMYFUNCTION("GOOGLETRANSLATE(A4059, ""fr"", ""en"")"),"Sale cleaning parking lots on Friday January 14, 2022")</f>
        <v>Sale cleaning parking lots on Friday January 14, 2022</v>
      </c>
    </row>
    <row r="4060">
      <c r="A4060" s="19" t="s">
        <v>975</v>
      </c>
      <c r="B4060" s="20" t="str">
        <f>IFERROR(__xludf.DUMMYFUNCTION("GOOGLETRANSLATE(A4060, ""fr"", ""en"")"),"Sale cleaning parking lots on Friday January 28, 2022")</f>
        <v>Sale cleaning parking lots on Friday January 28, 2022</v>
      </c>
    </row>
    <row r="4061">
      <c r="A4061" s="19" t="s">
        <v>2985</v>
      </c>
      <c r="B4061" s="20" t="str">
        <f>IFERROR(__xludf.DUMMYFUNCTION("GOOGLETRANSLATE(A4061, ""fr"", ""en"")"),"Connection problem between the cash register software and the scale. The balance was controlled RAS.
 No valid means of weigh everything goes at 1 €")</f>
        <v>Connection problem between the cash register software and the scale. The balance was controlled RAS.
 No valid means of weigh everything goes at 1 €</v>
      </c>
    </row>
    <row r="4062">
      <c r="A4062" s="19" t="s">
        <v>2493</v>
      </c>
      <c r="B4062" s="20" t="str">
        <f>IFERROR(__xludf.DUMMYFUNCTION("GOOGLETRANSLATE(A4062, ""fr"", ""en"")"),"FM: night guard for work on fresh furniture: Montbeliard on 07/26 // Schiltigheim on 07/27 // ECKBOLSHEIM on 07/28.")</f>
        <v>FM: night guard for work on fresh furniture: Montbeliard on 07/26 // Schiltigheim on 07/27 // ECKBOLSHEIM on 07/28.</v>
      </c>
    </row>
    <row r="4063">
      <c r="A4063" s="19" t="s">
        <v>2986</v>
      </c>
      <c r="B4063" s="20" t="str">
        <f>IFERROR(__xludf.DUMMYFUNCTION("GOOGLETRANSLATE(A4063, ""fr"", ""en"")"),"Hourish spout on HS hydroalcoholic gel distributor and freezing gel + installation of a new padlock (missing) ODM made by AT3. Finished work.")</f>
        <v>Hourish spout on HS hydroalcoholic gel distributor and freezing gel + installation of a new padlock (missing) ODM made by AT3. Finished work.</v>
      </c>
    </row>
    <row r="4064">
      <c r="A4064" s="19" t="s">
        <v>2987</v>
      </c>
      <c r="B4064" s="20" t="str">
        <f>IFERROR(__xludf.DUMMYFUNCTION("GOOGLETRANSLATE(A4064, ""fr"", ""en"")"),"Soft door side bakery hs.odm made by AT3. Finished work")</f>
        <v>Soft door side bakery hs.odm made by AT3. Finished work</v>
      </c>
    </row>
    <row r="4065">
      <c r="A4065" s="19" t="s">
        <v>2058</v>
      </c>
      <c r="B4065" s="20" t="str">
        <f>IFERROR(__xludf.DUMMYFUNCTION("GOOGLETRANSLATE(A4065, ""fr"", ""en"")"),"Tournate sale
 For :
 - Make SPM turned before 19/08.
 For information :
 - The equipment will be delivered to Baume Les Dames from 25/07
 - The equipment necessary for frozen as well as fresh adhesives will be delivered later. An email will be sent"&amp;" to you from the moment it is available in Baume le Dames.
 - The list of SPMs and points to be performed are in PJ")</f>
        <v>Tournate sale
 For :
 - Make SPM turned before 19/08.
 For information :
 - The equipment will be delivered to Baume Les Dames from 25/07
 - The equipment necessary for frozen as well as fresh adhesives will be delivered later. An email will be sent to you from the moment it is available in Baume le Dames.
 - The list of SPMs and points to be performed are in PJ</v>
      </c>
    </row>
    <row r="4066">
      <c r="A4066" s="19" t="s">
        <v>2988</v>
      </c>
      <c r="B4066" s="20" t="str">
        <f>IFERROR(__xludf.DUMMYFUNCTION("GOOGLETRANSLATE(A4066, ""fr"", ""en"")"),"Installation of FL, parcels received")</f>
        <v>Installation of FL, parcels received</v>
      </c>
    </row>
    <row r="4067">
      <c r="A4067" s="19" t="s">
        <v>2989</v>
      </c>
      <c r="B4067" s="20" t="str">
        <f>IFERROR(__xludf.DUMMYFUNCTION("GOOGLETRANSLATE(A4067, ""fr"", ""en"")"),"At3 check list 3862")</f>
        <v>At3 check list 3862</v>
      </c>
    </row>
    <row r="4068">
      <c r="A4068" s="19" t="s">
        <v>2990</v>
      </c>
      <c r="B4068" s="20" t="str">
        <f>IFERROR(__xludf.DUMMYFUNCTION("GOOGLETRANSLATE(A4068, ""fr"", ""en"")"),"At the request of the FM.Fary to make the voltage regulator disjected. After research on the electrical cabinets, no regulator found .odm made by AT3. Finished work.")</f>
        <v>At the request of the FM.Fary to make the voltage regulator disjected. After research on the electrical cabinets, no regulator found .odm made by AT3. Finished work.</v>
      </c>
    </row>
    <row r="4069">
      <c r="A4069" s="19" t="s">
        <v>2991</v>
      </c>
      <c r="B4069" s="20" t="str">
        <f>IFERROR(__xludf.DUMMYFUNCTION("GOOGLETRANSLATE(A4069, ""fr"", ""en"")"),"Installation of the mayor's decree displayed on the window of the entrance airlock. Odm made by AT3. Finished work.")</f>
        <v>Installation of the mayor's decree displayed on the window of the entrance airlock. Odm made by AT3. Finished work.</v>
      </c>
    </row>
    <row r="4070">
      <c r="A4070" s="19" t="s">
        <v>2888</v>
      </c>
      <c r="B4070" s="20" t="str">
        <f>IFERROR(__xludf.DUMMYFUNCTION("GOOGLETRANSLATE(A4070, ""fr"", ""en"")"),"AT3 CHECK LIST quarterly 3862")</f>
        <v>AT3 CHECK LIST quarterly 3862</v>
      </c>
    </row>
    <row r="4071">
      <c r="A4071" s="19" t="s">
        <v>2992</v>
      </c>
      <c r="B4071" s="20" t="str">
        <f>IFERROR(__xludf.DUMMYFUNCTION("GOOGLETRANSLATE(A4071, ""fr"", ""en"")"),"The car park entry gate no longer (high blocked closed gate)")</f>
        <v>The car park entry gate no longer (high blocked closed gate)</v>
      </c>
    </row>
    <row r="4072">
      <c r="A4072" s="19" t="s">
        <v>2993</v>
      </c>
      <c r="B4072" s="20" t="str">
        <f>IFERROR(__xludf.DUMMYFUNCTION("GOOGLETRANSLATE(A4072, ""fr"", ""en"")"),"Under warranty: we are told a leak in the booster. Please intervene as part of the guarantee.
 store phone number if necessary: ​​03 81 97 61 52")</f>
        <v>Under warranty: we are told a leak in the booster. Please intervene as part of the guarantee.
 store phone number if necessary: ​​03 81 97 61 52</v>
      </c>
    </row>
    <row r="4073">
      <c r="A4073" s="19" t="s">
        <v>2994</v>
      </c>
      <c r="B4073" s="20" t="str">
        <f>IFERROR(__xludf.DUMMYFUNCTION("GOOGLETRANSLATE(A4073, ""fr"", ""en"")"),"The upper barrier of the portal remains in the open position all day.
 Impossible photo taking with Mobi, sent by SMS")</f>
        <v>The upper barrier of the portal remains in the open position all day.
 Impossible photo taking with Mobi, sent by SMS</v>
      </c>
    </row>
    <row r="4074">
      <c r="A4074" s="19" t="s">
        <v>2995</v>
      </c>
      <c r="B4074" s="20" t="str">
        <f>IFERROR(__xludf.DUMMYFUNCTION("GOOGLETRANSLATE(A4074, ""fr"", ""en"")"),"Temperature too low in social")</f>
        <v>Temperature too low in social</v>
      </c>
    </row>
    <row r="4075">
      <c r="A4075" s="19" t="s">
        <v>2996</v>
      </c>
      <c r="B4075" s="20" t="str">
        <f>IFERROR(__xludf.DUMMYFUNCTION("GOOGLETRANSLATE(A4075, ""fr"", ""en"")"),"items not referring green space and weeding")</f>
        <v>items not referring green space and weeding</v>
      </c>
    </row>
    <row r="4076">
      <c r="A4076" s="19" t="s">
        <v>2997</v>
      </c>
      <c r="B4076" s="20" t="str">
        <f>IFERROR(__xludf.DUMMYFUNCTION("GOOGLETRANSLATE(A4076, ""fr"", ""en"")"),"Defect boost with sound alarm. No water in the toilet bakery")</f>
        <v>Defect boost with sound alarm. No water in the toilet bakery</v>
      </c>
    </row>
    <row r="4077">
      <c r="A4077" s="19" t="s">
        <v>2998</v>
      </c>
      <c r="B4077" s="20" t="str">
        <f>IFERROR(__xludf.DUMMYFUNCTION("GOOGLETRANSLATE(A4077, ""fr"", ""en"")"),"FM: Boarding problem and air detector")</f>
        <v>FM: Boarding problem and air detector</v>
      </c>
    </row>
    <row r="4078">
      <c r="A4078" s="19" t="s">
        <v>2999</v>
      </c>
      <c r="B4078" s="20" t="str">
        <f>IFERROR(__xludf.DUMMYFUNCTION("GOOGLETRANSLATE(A4078, ""fr"", ""en"")"),"FM: Thank you for intervening, 2 inverters no longer produce.")</f>
        <v>FM: Thank you for intervening, 2 inverters no longer produce.</v>
      </c>
    </row>
    <row r="4079">
      <c r="A4079" s="19" t="s">
        <v>3000</v>
      </c>
      <c r="B4079" s="20" t="str">
        <f>IFERROR(__xludf.DUMMYFUNCTION("GOOGLETRANSLATE(A4079, ""fr"", ""en"")"),"Piece in metal which is falling from the lock. The door no longer locks. door between the reserve and the break room")</f>
        <v>Piece in metal which is falling from the lock. The door no longer locks. door between the reserve and the break room</v>
      </c>
    </row>
    <row r="4080">
      <c r="A4080" s="19" t="s">
        <v>3001</v>
      </c>
      <c r="B4080" s="20" t="str">
        <f>IFERROR(__xludf.DUMMYFUNCTION("GOOGLETRANSLATE(A4080, ""fr"", ""en"")"),"does not work it is too cold in lemag")</f>
        <v>does not work it is too cold in lemag</v>
      </c>
    </row>
    <row r="4081">
      <c r="A4081" s="19" t="s">
        <v>3002</v>
      </c>
      <c r="B4081" s="20" t="str">
        <f>IFERROR(__xludf.DUMMYFUNCTION("GOOGLETRANSLATE(A4081, ""fr"", ""en"")"),"We can no longer close the door")</f>
        <v>We can no longer close the door</v>
      </c>
    </row>
    <row r="4082">
      <c r="A4082" s="19" t="s">
        <v>3003</v>
      </c>
      <c r="B4082" s="20" t="str">
        <f>IFERROR(__xludf.DUMMYFUNCTION("GOOGLETRANSLATE(A4082, ""fr"", ""en"")"),"The door of the fish room no longer closes")</f>
        <v>The door of the fish room no longer closes</v>
      </c>
    </row>
    <row r="4083">
      <c r="A4083" s="19" t="s">
        <v>1471</v>
      </c>
      <c r="B4083" s="20" t="str">
        <f>IFERROR(__xludf.DUMMYFUNCTION("GOOGLETRANSLATE(A4083, ""fr"", ""en"")"),"Sale - Cleaning of car parks of Friday May 26, 2023")</f>
        <v>Sale - Cleaning of car parks of Friday May 26, 2023</v>
      </c>
    </row>
    <row r="4084">
      <c r="A4084" s="19" t="s">
        <v>1476</v>
      </c>
      <c r="B4084" s="20" t="str">
        <f>IFERROR(__xludf.DUMMYFUNCTION("GOOGLETRANSLATE(A4084, ""fr"", ""en"")"),"Sale - Cleaning of parking lots on Friday June 16, 2023")</f>
        <v>Sale - Cleaning of parking lots on Friday June 16, 2023</v>
      </c>
    </row>
    <row r="4085">
      <c r="A4085" s="19" t="s">
        <v>3004</v>
      </c>
      <c r="B4085" s="20" t="str">
        <f>IFERROR(__xludf.DUMMYFUNCTION("GOOGLETRANSLATE(A4085, ""fr"", ""en"")"),"SCO 82 extinguished, given with the TECNICIAN SCO a priori no current arrives at the catch")</f>
        <v>SCO 82 extinguished, given with the TECNICIAN SCO a priori no current arrives at the catch</v>
      </c>
    </row>
    <row r="4086">
      <c r="A4086" s="19" t="s">
        <v>3005</v>
      </c>
      <c r="B4086" s="20" t="str">
        <f>IFERROR(__xludf.DUMMYFUNCTION("GOOGLETRANSLATE(A4086, ""fr"", ""en"")"),"Refer the aluminum bar on the podium (dph toothpaste) to tg rear
 cannot take photos, network problem with Mobi")</f>
        <v>Refer the aluminum bar on the podium (dph toothpaste) to tg rear
 cannot take photos, network problem with Mobi</v>
      </c>
    </row>
    <row r="4087">
      <c r="A4087" s="19" t="s">
        <v>981</v>
      </c>
      <c r="B4087" s="20" t="str">
        <f>IFERROR(__xludf.DUMMYFUNCTION("GOOGLETRANSLATE(A4087, ""fr"", ""en"")"),"Sale cleaning of car parks on Friday June 17, 2022")</f>
        <v>Sale cleaning of car parks on Friday June 17, 2022</v>
      </c>
    </row>
    <row r="4088">
      <c r="A4088" s="19" t="s">
        <v>982</v>
      </c>
      <c r="B4088" s="20" t="str">
        <f>IFERROR(__xludf.DUMMYFUNCTION("GOOGLETRANSLATE(A4088, ""fr"", ""en"")"),"Sale cleaning of parking lots on Friday August 5, 2022")</f>
        <v>Sale cleaning of parking lots on Friday August 5, 2022</v>
      </c>
    </row>
    <row r="4089">
      <c r="A4089" s="19" t="s">
        <v>983</v>
      </c>
      <c r="B4089" s="20" t="str">
        <f>IFERROR(__xludf.DUMMYFUNCTION("GOOGLETRANSLATE(A4089, ""fr"", ""en"")"),"Sale cleaning parking lots on Friday July 22, 2022")</f>
        <v>Sale cleaning parking lots on Friday July 22, 2022</v>
      </c>
    </row>
    <row r="4090">
      <c r="A4090" s="19" t="s">
        <v>3006</v>
      </c>
      <c r="B4090" s="20" t="str">
        <f>IFERROR(__xludf.DUMMYFUNCTION("GOOGLETRANSLATE(A4090, ""fr"", ""en"")"),"FM: Please intervene for the repair of the waterproofing airlock located on the platform.")</f>
        <v>FM: Please intervene for the repair of the waterproofing airlock located on the platform.</v>
      </c>
    </row>
    <row r="4091">
      <c r="A4091" s="19" t="s">
        <v>3007</v>
      </c>
      <c r="B4091" s="20" t="str">
        <f>IFERROR(__xludf.DUMMYFUNCTION("GOOGLETRANSLATE(A4091, ""fr"", ""en"")"),"The case does not close and it is xpe on each descent of the tire puller.")</f>
        <v>The case does not close and it is xpe on each descent of the tire puller.</v>
      </c>
    </row>
    <row r="4092">
      <c r="A4092" s="19" t="s">
        <v>989</v>
      </c>
      <c r="B4092" s="20" t="str">
        <f>IFERROR(__xludf.DUMMYFUNCTION("GOOGLETRANSLATE(A4092, ""fr"", ""en"")"),"Sale cleaning parking lots on Friday July 1, 2022")</f>
        <v>Sale cleaning parking lots on Friday July 1, 2022</v>
      </c>
    </row>
    <row r="4093">
      <c r="A4093" s="19" t="s">
        <v>3008</v>
      </c>
      <c r="B4093" s="20" t="str">
        <f>IFERROR(__xludf.DUMMYFUNCTION("GOOGLETRANSLATE(A4093, ""fr"", ""en"")"),"FM: Please intervene following the report of remote monitoring, a cold defect of more than a day.")</f>
        <v>FM: Please intervene following the report of remote monitoring, a cold defect of more than a day.</v>
      </c>
    </row>
    <row r="4094">
      <c r="A4094" s="19" t="s">
        <v>993</v>
      </c>
      <c r="B4094" s="20" t="str">
        <f>IFERROR(__xludf.DUMMYFUNCTION("GOOGLETRANSLATE(A4094, ""fr"", ""en"")"),"Sale cleaning parking lots on Friday July 29, 2022")</f>
        <v>Sale cleaning parking lots on Friday July 29, 2022</v>
      </c>
    </row>
    <row r="4095">
      <c r="A4095" s="19" t="s">
        <v>995</v>
      </c>
      <c r="B4095" s="20" t="str">
        <f>IFERROR(__xludf.DUMMYFUNCTION("GOOGLETRANSLATE(A4095, ""fr"", ""en"")"),"Sale cleaning parking lots on Friday July 15, 2022")</f>
        <v>Sale cleaning parking lots on Friday July 15, 2022</v>
      </c>
    </row>
    <row r="4096">
      <c r="A4096" s="19" t="s">
        <v>1001</v>
      </c>
      <c r="B4096" s="20" t="str">
        <f>IFERROR(__xludf.DUMMYFUNCTION("GOOGLETRANSLATE(A4096, ""fr"", ""en"")"),"Sale cleaning parking lots on Friday July 8, 2022")</f>
        <v>Sale cleaning parking lots on Friday July 8, 2022</v>
      </c>
    </row>
    <row r="4097">
      <c r="A4097" s="19" t="s">
        <v>3009</v>
      </c>
      <c r="B4097" s="20" t="str">
        <f>IFERROR(__xludf.DUMMYFUNCTION("GOOGLETRANSLATE(A4097, ""fr"", ""en"")"),"Sasmecipation SAS broken by LS driver + Verrin of the broken plate")</f>
        <v>Sasmecipation SAS broken by LS driver + Verrin of the broken plate</v>
      </c>
    </row>
    <row r="4098">
      <c r="A4098" s="19" t="s">
        <v>3010</v>
      </c>
      <c r="B4098" s="20" t="str">
        <f>IFERROR(__xludf.DUMMYFUNCTION("GOOGLETRANSLATE(A4098, ""fr"", ""en"")"),"Door joint problem")</f>
        <v>Door joint problem</v>
      </c>
    </row>
    <row r="4099">
      <c r="A4099" s="19" t="s">
        <v>3011</v>
      </c>
      <c r="B4099" s="20" t="str">
        <f>IFERROR(__xludf.DUMMYFUNCTION("GOOGLETRANSLATE(A4099, ""fr"", ""en"")"),"White wheel on the Cassė suction broom")</f>
        <v>White wheel on the Cassė suction broom</v>
      </c>
    </row>
    <row r="4100">
      <c r="A4100" s="19" t="s">
        <v>3012</v>
      </c>
      <c r="B4100" s="20" t="str">
        <f>IFERROR(__xludf.DUMMYFUNCTION("GOOGLETRANSLATE(A4100, ""fr"", ""en"")"),"FM: Please intervene following a cold defect of more than 3 p.m.")</f>
        <v>FM: Please intervene following a cold defect of more than 3 p.m.</v>
      </c>
    </row>
    <row r="4101">
      <c r="A4101" s="19" t="s">
        <v>3013</v>
      </c>
      <c r="B4101" s="20" t="str">
        <f>IFERROR(__xludf.DUMMYFUNCTION("GOOGLETRANSLATE(A4101, ""fr"", ""en"")"),"Ambloveuse very badly sucks and the left brush does not turn despite a cleaning")</f>
        <v>Ambloveuse very badly sucks and the left brush does not turn despite a cleaning</v>
      </c>
    </row>
    <row r="4102">
      <c r="A4102" s="19" t="s">
        <v>3014</v>
      </c>
      <c r="B4102" s="20" t="str">
        <f>IFERROR(__xludf.DUMMYFUNCTION("GOOGLETRANSLATE(A4102, ""fr"", ""en"")"),"does not charge")</f>
        <v>does not charge</v>
      </c>
    </row>
    <row r="4103">
      <c r="A4103" s="19" t="s">
        <v>3015</v>
      </c>
      <c r="B4103" s="20" t="str">
        <f>IFERROR(__xludf.DUMMYFUNCTION("GOOGLETRANSLATE(A4103, ""fr"", ""en"")"),"URGENT. Cables of photovoltaic panels that melt !!!!!!!!!")</f>
        <v>URGENT. Cables of photovoltaic panels that melt !!!!!!!!!</v>
      </c>
    </row>
    <row r="4104">
      <c r="A4104" s="19" t="s">
        <v>3016</v>
      </c>
      <c r="B4104" s="20" t="str">
        <f>IFERROR(__xludf.DUMMYFUNCTION("GOOGLETRANSLATE(A4104, ""fr"", ""en"")"),"Establishment of the DIXI display on the .odm control panel made by AT3. Finished work")</f>
        <v>Establishment of the DIXI display on the .odm control panel made by AT3. Finished work</v>
      </c>
    </row>
    <row r="4105">
      <c r="A4105" s="19" t="s">
        <v>2902</v>
      </c>
      <c r="B4105" s="20" t="str">
        <f>IFERROR(__xludf.DUMMYFUNCTION("GOOGLETRANSLATE(A4105, ""fr"", ""en"")"),"AT3 quarterly checklist 3862")</f>
        <v>AT3 quarterly checklist 3862</v>
      </c>
    </row>
    <row r="4106">
      <c r="A4106" s="19" t="s">
        <v>3017</v>
      </c>
      <c r="B4106" s="20" t="str">
        <f>IFERROR(__xludf.DUMMYFUNCTION("GOOGLETRANSLATE(A4106, ""fr"", ""en"")"),"All ovens remains blocking on cleaning mode
 Unable to start cooking
 Make an emergency intervention because it is impossible to offer the bread range to customers")</f>
        <v>All ovens remains blocking on cleaning mode
 Unable to start cooking
 Make an emergency intervention because it is impossible to offer the bread range to customers</v>
      </c>
    </row>
    <row r="4107">
      <c r="A4107" s="19" t="s">
        <v>3018</v>
      </c>
      <c r="B4107" s="20" t="str">
        <f>IFERROR(__xludf.DUMMYFUNCTION("GOOGLETRANSLATE(A4107, ""fr"", ""en"")"),"Doors of the positive cold room which was died we could put it back but the door cable is twisted. it makes noise at the opening")</f>
        <v>Doors of the positive cold room which was died we could put it back but the door cable is twisted. it makes noise at the opening</v>
      </c>
    </row>
    <row r="4108">
      <c r="A4108" s="19" t="s">
        <v>1484</v>
      </c>
      <c r="B4108" s="20" t="str">
        <f>IFERROR(__xludf.DUMMYFUNCTION("GOOGLETRANSLATE(A4108, ""fr"", ""en"")"),"Sale - Cleaning of parking lots on Friday February 3, 2023")</f>
        <v>Sale - Cleaning of parking lots on Friday February 3, 2023</v>
      </c>
    </row>
    <row r="4109">
      <c r="A4109" s="19" t="s">
        <v>3019</v>
      </c>
      <c r="B4109" s="20" t="str">
        <f>IFERROR(__xludf.DUMMYFUNCTION("GOOGLETRANSLATE(A4109, ""fr"", ""en"")"),"magnets to remove the anti -thefts absent on 3 boxes (1.2.4)")</f>
        <v>magnets to remove the anti -thefts absent on 3 boxes (1.2.4)</v>
      </c>
    </row>
    <row r="4110">
      <c r="A4110" s="19" t="s">
        <v>3020</v>
      </c>
      <c r="B4110" s="20" t="str">
        <f>IFERROR(__xludf.DUMMYFUNCTION("GOOGLETRANSLATE(A4110, ""fr"", ""en"")"),"FM: Following your checklist, reveal the descent of rainwater on the large parking lot.")</f>
        <v>FM: Following your checklist, reveal the descent of rainwater on the large parking lot.</v>
      </c>
    </row>
    <row r="4111">
      <c r="A4111" s="19" t="s">
        <v>1486</v>
      </c>
      <c r="B4111" s="20" t="str">
        <f>IFERROR(__xludf.DUMMYFUNCTION("GOOGLETRANSLATE(A4111, ""fr"", ""en"")"),"FM ECO ECL: extinguish COVVID counting systems at the input of SPMs. Deadline at the end of January.")</f>
        <v>FM ECO ECL: extinguish COVVID counting systems at the input of SPMs. Deadline at the end of January.</v>
      </c>
    </row>
    <row r="4112">
      <c r="A4112" s="19" t="s">
        <v>3021</v>
      </c>
      <c r="B4112" s="20" t="str">
        <f>IFERROR(__xludf.DUMMYFUNCTION("GOOGLETRANSLATE(A4112, ""fr"", ""en"")"),"FM: Following TV report, please intervene several cold flaws.")</f>
        <v>FM: Following TV report, please intervene several cold flaws.</v>
      </c>
    </row>
    <row r="4113">
      <c r="A4113" s="19" t="s">
        <v>1489</v>
      </c>
      <c r="B4113" s="20" t="str">
        <f>IFERROR(__xludf.DUMMYFUNCTION("GOOGLETRANSLATE(A4113, ""fr"", ""en"")"),"Sale - Cleaning of car parks of Friday January 13, 2023")</f>
        <v>Sale - Cleaning of car parks of Friday January 13, 2023</v>
      </c>
    </row>
    <row r="4114">
      <c r="A4114" s="19" t="s">
        <v>1494</v>
      </c>
      <c r="B4114" s="20" t="str">
        <f>IFERROR(__xludf.DUMMYFUNCTION("GOOGLETRANSLATE(A4114, ""fr"", ""en"")"),"Sale - Cleaning of parking lots on Friday January 20, 2023")</f>
        <v>Sale - Cleaning of parking lots on Friday January 20, 2023</v>
      </c>
    </row>
    <row r="4115">
      <c r="A4115" s="19" t="s">
        <v>1493</v>
      </c>
      <c r="B4115" s="20" t="str">
        <f>IFERROR(__xludf.DUMMYFUNCTION("GOOGLETRANSLATE(A4115, ""fr"", ""en"")"),"Sale - Cleaning of car parks on Friday January 6, 2023")</f>
        <v>Sale - Cleaning of car parks on Friday January 6, 2023</v>
      </c>
    </row>
    <row r="4116">
      <c r="A4116" s="19" t="s">
        <v>1496</v>
      </c>
      <c r="B4116" s="20" t="str">
        <f>IFERROR(__xludf.DUMMYFUNCTION("GOOGLETRANSLATE(A4116, ""fr"", ""en"")"),"Sale - Cleaning of car parks on Friday February 10, 2023")</f>
        <v>Sale - Cleaning of car parks on Friday February 10, 2023</v>
      </c>
    </row>
    <row r="4117">
      <c r="A4117" s="19" t="s">
        <v>3022</v>
      </c>
      <c r="B4117" s="20" t="str">
        <f>IFERROR(__xludf.DUMMYFUNCTION("GOOGLETRANSLATE(A4117, ""fr"", ""en"")"),"Local corner installation")</f>
        <v>Local corner installation</v>
      </c>
    </row>
    <row r="4118">
      <c r="A4118" s="19" t="s">
        <v>3023</v>
      </c>
      <c r="B4118" s="20" t="str">
        <f>IFERROR(__xludf.DUMMYFUNCTION("GOOGLETRANSLATE(A4118, ""fr"", ""en"")"),"The blades no longer descend to the lowest position. The pallets remain stuck.")</f>
        <v>The blades no longer descend to the lowest position. The pallets remain stuck.</v>
      </c>
    </row>
    <row r="4119">
      <c r="A4119" s="19" t="s">
        <v>3024</v>
      </c>
      <c r="B4119" s="20" t="str">
        <f>IFERROR(__xludf.DUMMYFUNCTION("GOOGLETRANSLATE(A4119, ""fr"", ""en"")"),"FM: Please make a diagnosis concerning temperature anomalies. SDV area too cold 16 ° C in S03.")</f>
        <v>FM: Please make a diagnosis concerning temperature anomalies. SDV area too cold 16 ° C in S03.</v>
      </c>
    </row>
    <row r="4120">
      <c r="A4120" s="19" t="s">
        <v>3025</v>
      </c>
      <c r="B4120" s="20" t="str">
        <f>IFERROR(__xludf.DUMMYFUNCTION("GOOGLETRANSLATE(A4120, ""fr"", ""en"")"),"Under warranty: we are told that the facade facade of the store does not hold, it fell in several places (see attached photos). There is still facing in stock at the store in the CTA room.
 Please intervene as part of the guarantee.
 Store phone number if"&amp;" necessary: ​​03 81 97 61 52")</f>
        <v>Under warranty: we are told that the facade facade of the store does not hold, it fell in several places (see attached photos). There is still facing in stock at the store in the CTA room.
 Please intervene as part of the guarantee.
 Store phone number if necessary: ​​03 81 97 61 52</v>
      </c>
    </row>
    <row r="4121">
      <c r="A4121" s="19" t="s">
        <v>2811</v>
      </c>
      <c r="B4121" s="20" t="str">
        <f>IFERROR(__xludf.DUMMYFUNCTION("GOOGLETRANSLATE(A4121, ""fr"", ""en"")"),"Hello, please find attached the summary sheet of observations following the passage of the office Veritas for the year 2022. We ask you to kindly raise observations as soon as possible and return to us as soon as the intervention is finished (s ) Document"&amp;" (s) completed (s), signed (s) and hidden by you. Sincerely. ELEC")</f>
        <v>Hello, please find attached the summary sheet of observations following the passage of the office Veritas for the year 2022. We ask you to kindly raise observations as soon as possible and return to us as soon as the intervention is finished (s ) Document (s) completed (s), signed (s) and hidden by you. Sincerely. ELEC</v>
      </c>
    </row>
    <row r="4122">
      <c r="A4122" s="19" t="s">
        <v>3026</v>
      </c>
      <c r="B4122" s="20" t="str">
        <f>IFERROR(__xludf.DUMMYFUNCTION("GOOGLETRANSLATE(A4122, ""fr"", ""en"")"),"We cannot start the programs
 ""Severe error"" mark")</f>
        <v>We cannot start the programs
 "Severe error" mark</v>
      </c>
    </row>
    <row r="4123">
      <c r="A4123" s="19" t="s">
        <v>3027</v>
      </c>
      <c r="B4123" s="20" t="str">
        <f>IFERROR(__xludf.DUMMYFUNCTION("GOOGLETRANSLATE(A4123, ""fr"", ""en"")"),"HS treadmill")</f>
        <v>HS treadmill</v>
      </c>
    </row>
    <row r="4124">
      <c r="A4124" s="19" t="s">
        <v>1020</v>
      </c>
      <c r="B4124" s="20" t="str">
        <f>IFERROR(__xludf.DUMMYFUNCTION("GOOGLETRANSLATE(A4124, ""fr"", ""en"")"),"Sale cleaning parking lots on Friday June 3, 2022")</f>
        <v>Sale cleaning parking lots on Friday June 3, 2022</v>
      </c>
    </row>
    <row r="4125">
      <c r="A4125" s="19" t="s">
        <v>1022</v>
      </c>
      <c r="B4125" s="20" t="str">
        <f>IFERROR(__xludf.DUMMYFUNCTION("GOOGLETRANSLATE(A4125, ""fr"", ""en"")"),"Sale cleaning of parking lots on Friday June 10, 2022")</f>
        <v>Sale cleaning of parking lots on Friday June 10, 2022</v>
      </c>
    </row>
    <row r="4126">
      <c r="A4126" s="19" t="s">
        <v>3028</v>
      </c>
      <c r="B4126" s="20" t="str">
        <f>IFERROR(__xludf.DUMMYFUNCTION("GOOGLETRANSLATE(A4126, ""fr"", ""en"")"),"Change of neon tubes, starters, glu plates on the insect destroyer .odm made by AT3. Finished work.")</f>
        <v>Change of neon tubes, starters, glu plates on the insect destroyer .odm made by AT3. Finished work.</v>
      </c>
    </row>
    <row r="4127">
      <c r="A4127" s="19" t="s">
        <v>3029</v>
      </c>
      <c r="B4127" s="20" t="str">
        <f>IFERROR(__xludf.DUMMYFUNCTION("GOOGLETRANSLATE(A4127, ""fr"", ""en"")"),"Delivery of the telescopic pole with its brush to a store manager .odm made by AT3. Finished work.")</f>
        <v>Delivery of the telescopic pole with its brush to a store manager .odm made by AT3. Finished work.</v>
      </c>
    </row>
    <row r="4128">
      <c r="A4128" s="19" t="s">
        <v>2877</v>
      </c>
      <c r="B4128" s="20" t="str">
        <f>IFERROR(__xludf.DUMMYFUNCTION("GOOGLETRANSLATE(A4128, ""fr"", ""en"")"),"At3 checklist 3862")</f>
        <v>At3 checklist 3862</v>
      </c>
    </row>
    <row r="4129">
      <c r="A4129" s="19" t="s">
        <v>3030</v>
      </c>
      <c r="B4129" s="20" t="str">
        <f>IFERROR(__xludf.DUMMYFUNCTION("GOOGLETRANSLATE(A4129, ""fr"", ""en"")"),"Installation of stickers on the 4 vehicle charging stations .odm made by AT3. Finished work.")</f>
        <v>Installation of stickers on the 4 vehicle charging stations .odm made by AT3. Finished work.</v>
      </c>
    </row>
    <row r="4130">
      <c r="A4130" s="19" t="s">
        <v>1508</v>
      </c>
      <c r="B4130" s="20" t="str">
        <f>IFERROR(__xludf.DUMMYFUNCTION("GOOGLETRANSLATE(A4130, ""fr"", ""en"")"),"FM: Module 7: Please intervene for clean window cleaning. Do not forget to ask for the RPS and the checklist of control signed and stamped by the supermarket.")</f>
        <v>FM: Module 7: Please intervene for clean window cleaning. Do not forget to ask for the RPS and the checklist of control signed and stamped by the supermarket.</v>
      </c>
    </row>
    <row r="4131">
      <c r="A4131" s="19" t="s">
        <v>1509</v>
      </c>
      <c r="B4131" s="20" t="str">
        <f>IFERROR(__xludf.DUMMYFUNCTION("GOOGLETRANSLATE(A4131, ""fr"", ""en"")"),"FM: Module 2: Please intervene for the full cleaning of the boxes. Do not forget to ask for the RPS and the checklist of control signed and stamped by the supermarket.")</f>
        <v>FM: Module 2: Please intervene for the full cleaning of the boxes. Do not forget to ask for the RPS and the checklist of control signed and stamped by the supermarket.</v>
      </c>
    </row>
    <row r="4132">
      <c r="A4132" s="19" t="s">
        <v>1510</v>
      </c>
      <c r="B4132" s="20" t="str">
        <f>IFERROR(__xludf.DUMMYFUNCTION("GOOGLETRANSLATE(A4132, ""fr"", ""en"")"),"FM: Module 3: Please intervene for the complete cleaning of the bakery. You don't forget to ask the RPS and the checklist of control signed and stamped by the supermarket.")</f>
        <v>FM: Module 3: Please intervene for the complete cleaning of the bakery. You don't forget to ask the RPS and the checklist of control signed and stamped by the supermarket.</v>
      </c>
    </row>
    <row r="4133">
      <c r="A4133" s="19" t="s">
        <v>3031</v>
      </c>
      <c r="B4133" s="20" t="str">
        <f>IFERROR(__xludf.DUMMYFUNCTION("GOOGLETRANSLATE(A4133, ""fr"", ""en"")"),"DEGONDEE Cold Room Porte. risk of default and danger")</f>
        <v>DEGONDEE Cold Room Porte. risk of default and danger</v>
      </c>
    </row>
    <row r="4134">
      <c r="A4134" s="19" t="s">
        <v>1513</v>
      </c>
      <c r="B4134" s="20" t="str">
        <f>IFERROR(__xludf.DUMMYFUNCTION("GOOGLETRANSLATE(A4134, ""fr"", ""en"")"),"Sale - Cleaning of car parks of Friday January 27, 2023")</f>
        <v>Sale - Cleaning of car parks of Friday January 27, 2023</v>
      </c>
    </row>
    <row r="4135">
      <c r="A4135" s="19" t="s">
        <v>1486</v>
      </c>
      <c r="B4135" s="20" t="str">
        <f>IFERROR(__xludf.DUMMYFUNCTION("GOOGLETRANSLATE(A4135, ""fr"", ""en"")"),"FM ECO ECL: extinguish COVVID counting systems at the input of SPMs. Deadline at the end of January.")</f>
        <v>FM ECO ECL: extinguish COVVID counting systems at the input of SPMs. Deadline at the end of January.</v>
      </c>
    </row>
    <row r="4136">
      <c r="A4136" s="19" t="s">
        <v>1516</v>
      </c>
      <c r="B4136" s="20" t="str">
        <f>IFERROR(__xludf.DUMMYFUNCTION("GOOGLETRANSLATE(A4136, ""fr"", ""en"")"),"Sale - Cleaning of car parks of Friday November 4, 2022")</f>
        <v>Sale - Cleaning of car parks of Friday November 4, 2022</v>
      </c>
    </row>
    <row r="4137">
      <c r="A4137" s="19" t="s">
        <v>1029</v>
      </c>
      <c r="B4137" s="20" t="str">
        <f>IFERROR(__xludf.DUMMYFUNCTION("GOOGLETRANSLATE(A4137, ""fr"", ""en"")"),"Sale cleaning parking lots on Friday September 16, 2022")</f>
        <v>Sale cleaning parking lots on Friday September 16, 2022</v>
      </c>
    </row>
    <row r="4138">
      <c r="A4138" s="19" t="s">
        <v>2888</v>
      </c>
      <c r="B4138" s="20" t="str">
        <f>IFERROR(__xludf.DUMMYFUNCTION("GOOGLETRANSLATE(A4138, ""fr"", ""en"")"),"AT3 CHECK LIST quarterly 3862")</f>
        <v>AT3 CHECK LIST quarterly 3862</v>
      </c>
    </row>
    <row r="4139">
      <c r="A4139" s="19" t="s">
        <v>3032</v>
      </c>
      <c r="B4139" s="20" t="str">
        <f>IFERROR(__xludf.DUMMYFUNCTION("GOOGLETRANSLATE(A4139, ""fr"", ""en"")"),"For :
 -Remplace a reserve a bin Surg tg by a bin Surg 210
 -Ment the protections around these bins
 For information :
 -The bin to be replaced and protections will be placed on Friday January 06, 2023
 -Iess that the equipment is in reserve before interv"&amp;"ening")</f>
        <v>For :
 -Remplace a reserve a bin Surg tg by a bin Surg 210
 -Ment the protections around these bins
 For information :
 -The bin to be replaced and protections will be placed on Friday January 06, 2023
 -Iess that the equipment is in reserve before intervening</v>
      </c>
    </row>
    <row r="4140">
      <c r="A4140" s="19" t="s">
        <v>3033</v>
      </c>
      <c r="B4140" s="20" t="str">
        <f>IFERROR(__xludf.DUMMYFUNCTION("GOOGLETRANSLATE(A4140, ""fr"", ""en"")"),"It's too cold in all the Mag")</f>
        <v>It's too cold in all the Mag</v>
      </c>
    </row>
    <row r="4141">
      <c r="A4141" s="19" t="s">
        <v>3034</v>
      </c>
      <c r="B4141" s="20" t="str">
        <f>IFERROR(__xludf.DUMMYFUNCTION("GOOGLETRANSLATE(A4141, ""fr"", ""en"")"),"Surveillance camera that does not work. (no item for that)")</f>
        <v>Surveillance camera that does not work. (no item for that)</v>
      </c>
    </row>
    <row r="4142">
      <c r="A4142" s="19" t="s">
        <v>1520</v>
      </c>
      <c r="B4142" s="20" t="str">
        <f>IFERROR(__xludf.DUMMYFUNCTION("GOOGLETRANSLATE(A4142, ""fr"", ""en"")"),"Sale - Cleaning of parking lots on Friday December 30, 2022")</f>
        <v>Sale - Cleaning of parking lots on Friday December 30, 2022</v>
      </c>
    </row>
    <row r="4143">
      <c r="A4143" s="19" t="s">
        <v>3035</v>
      </c>
      <c r="B4143" s="20" t="str">
        <f>IFERROR(__xludf.DUMMYFUNCTION("GOOGLETRANSLATE(A4143, ""fr"", ""en"")"),"Seasonal reimplantation sale of November 02, 2022")</f>
        <v>Seasonal reimplantation sale of November 02, 2022</v>
      </c>
    </row>
    <row r="4144">
      <c r="A4144" s="19" t="s">
        <v>3036</v>
      </c>
      <c r="B4144" s="20" t="str">
        <f>IFERROR(__xludf.DUMMYFUNCTION("GOOGLETRANSLATE(A4144, ""fr"", ""en"")"),"the opening system and closure of the quay door")</f>
        <v>the opening system and closure of the quay door</v>
      </c>
    </row>
    <row r="4145">
      <c r="A4145" s="19" t="s">
        <v>1522</v>
      </c>
      <c r="B4145" s="20" t="str">
        <f>IFERROR(__xludf.DUMMYFUNCTION("GOOGLETRANSLATE(A4145, ""fr"", ""en"")"),"Sale - Cleaning of parking lots of Friday, December 23, 2022")</f>
        <v>Sale - Cleaning of parking lots of Friday, December 23, 2022</v>
      </c>
    </row>
    <row r="4146">
      <c r="A4146" s="19" t="s">
        <v>1524</v>
      </c>
      <c r="B4146" s="20" t="str">
        <f>IFERROR(__xludf.DUMMYFUNCTION("GOOGLETRANSLATE(A4146, ""fr"", ""en"")"),"Sale - Cleaning of car parks of Friday November 25, 2022")</f>
        <v>Sale - Cleaning of car parks of Friday November 25, 2022</v>
      </c>
    </row>
    <row r="4147">
      <c r="A4147" s="19" t="s">
        <v>1523</v>
      </c>
      <c r="B4147" s="20" t="str">
        <f>IFERROR(__xludf.DUMMYFUNCTION("GOOGLETRANSLATE(A4147, ""fr"", ""en"")"),"Sale - Cleaning of car parks on Friday December 16, 2022")</f>
        <v>Sale - Cleaning of car parks on Friday December 16, 2022</v>
      </c>
    </row>
    <row r="4148">
      <c r="A4148" s="19" t="s">
        <v>1526</v>
      </c>
      <c r="B4148" s="20" t="str">
        <f>IFERROR(__xludf.DUMMYFUNCTION("GOOGLETRANSLATE(A4148, ""fr"", ""en"")"),"FM: Caisses Cleaning - Module 2 S47-48.")</f>
        <v>FM: Caisses Cleaning - Module 2 S47-48.</v>
      </c>
    </row>
    <row r="4149">
      <c r="A4149" s="19" t="s">
        <v>1527</v>
      </c>
      <c r="B4149" s="20" t="str">
        <f>IFERROR(__xludf.DUMMYFUNCTION("GOOGLETRANSLATE(A4149, ""fr"", ""en"")"),"FM: Bakery cleaning - 3 S49-50 module.")</f>
        <v>FM: Bakery cleaning - 3 S49-50 module.</v>
      </c>
    </row>
    <row r="4150">
      <c r="A4150" s="19" t="s">
        <v>1528</v>
      </c>
      <c r="B4150" s="20" t="str">
        <f>IFERROR(__xludf.DUMMYFUNCTION("GOOGLETRANSLATE(A4150, ""fr"", ""en"")"),"FM: Basse window cleaning - Module 7 - S46 and 47.")</f>
        <v>FM: Basse window cleaning - Module 7 - S46 and 47.</v>
      </c>
    </row>
    <row r="4151">
      <c r="A4151" s="19" t="s">
        <v>3037</v>
      </c>
      <c r="B4151" s="20" t="str">
        <f>IFERROR(__xludf.DUMMYFUNCTION("GOOGLETRANSLATE(A4151, ""fr"", ""en"")"),"Break door")</f>
        <v>Break door</v>
      </c>
    </row>
    <row r="4152">
      <c r="A4152" s="19" t="s">
        <v>3038</v>
      </c>
      <c r="B4152" s="20" t="str">
        <f>IFERROR(__xludf.DUMMYFUNCTION("GOOGLETRANSLATE(A4152, ""fr"", ""en"")"),"FM: A charging station does not work.")</f>
        <v>FM: A charging station does not work.</v>
      </c>
    </row>
    <row r="4153">
      <c r="A4153" s="19" t="s">
        <v>3039</v>
      </c>
      <c r="B4153" s="20" t="str">
        <f>IFERROR(__xludf.DUMMYFUNCTION("GOOGLETRANSLATE(A4153, ""fr"", ""en"")"),"Wet FP slab in the .ODM office made by AT3.")</f>
        <v>Wet FP slab in the .ODM office made by AT3.</v>
      </c>
    </row>
    <row r="4154">
      <c r="A4154" s="19" t="s">
        <v>3040</v>
      </c>
      <c r="B4154" s="20" t="str">
        <f>IFERROR(__xludf.DUMMYFUNCTION("GOOGLETRANSLATE(A4154, ""fr"", ""en"")"),"NOK FL lighting on half of the structure (cables cut once again) .odm done by AT3.")</f>
        <v>NOK FL lighting on half of the structure (cables cut once again) .odm done by AT3.</v>
      </c>
    </row>
    <row r="4155">
      <c r="A4155" s="19" t="s">
        <v>3041</v>
      </c>
      <c r="B4155" s="20" t="str">
        <f>IFERROR(__xludf.DUMMYFUNCTION("GOOGLETRANSLATE(A4155, ""fr"", ""en"")"),"Protection in front of Automatic Automatic Barrier .odm done by AT3.")</f>
        <v>Protection in front of Automatic Automatic Barrier .odm done by AT3.</v>
      </c>
    </row>
    <row r="4156">
      <c r="A4156" s="19" t="s">
        <v>3042</v>
      </c>
      <c r="B4156" s="20" t="str">
        <f>IFERROR(__xludf.DUMMYFUNCTION("GOOGLETRANSLATE(A4156, ""fr"", ""en"")"),"At the request of the FM: look for the Lidl tile of Lure and bring it back to Montbéliard .odm made by AT3. Finished work")</f>
        <v>At the request of the FM: look for the Lidl tile of Lure and bring it back to Montbéliard .odm made by AT3. Finished work</v>
      </c>
    </row>
    <row r="4157">
      <c r="A4157" s="19" t="s">
        <v>3043</v>
      </c>
      <c r="B4157" s="20" t="str">
        <f>IFERROR(__xludf.DUMMYFUNCTION("GOOGLETRANSLATE(A4157, ""fr"", ""en"")"),"FM: barrier maintenance")</f>
        <v>FM: barrier maintenance</v>
      </c>
    </row>
    <row r="4158">
      <c r="A4158" s="19" t="s">
        <v>1531</v>
      </c>
      <c r="B4158" s="20" t="str">
        <f>IFERROR(__xludf.DUMMYFUNCTION("GOOGLETRANSLATE(A4158, ""fr"", ""en"")"),"Sale - Cleaning of parking lots on Friday December 9, 2022")</f>
        <v>Sale - Cleaning of parking lots on Friday December 9, 2022</v>
      </c>
    </row>
    <row r="4159">
      <c r="A4159" s="19" t="s">
        <v>3044</v>
      </c>
      <c r="B4159" s="20" t="str">
        <f>IFERROR(__xludf.DUMMYFUNCTION("GOOGLETRANSLATE(A4159, ""fr"", ""en"")"),"The top of the portal does not remember and remains blocked in the middle")</f>
        <v>The top of the portal does not remember and remains blocked in the middle</v>
      </c>
    </row>
    <row r="4160">
      <c r="A4160" s="19" t="s">
        <v>3045</v>
      </c>
      <c r="B4160" s="20" t="str">
        <f>IFERROR(__xludf.DUMMYFUNCTION("GOOGLETRANSLATE(A4160, ""fr"", ""en"")"),"items not referring video surveillance public road visible TPE visible office")</f>
        <v>items not referring video surveillance public road visible TPE visible office</v>
      </c>
    </row>
    <row r="4161">
      <c r="A4161" s="19" t="s">
        <v>3046</v>
      </c>
      <c r="B4161" s="20" t="str">
        <f>IFERROR(__xludf.DUMMYFUNCTION("GOOGLETRANSLATE(A4161, ""fr"", ""en"")"),"FM: Thank you for intervening for the installation of auxiliary heating on social social.")</f>
        <v>FM: Thank you for intervening for the installation of auxiliary heating on social social.</v>
      </c>
    </row>
    <row r="4162">
      <c r="A4162" s="19" t="s">
        <v>3047</v>
      </c>
      <c r="B4162" s="20" t="str">
        <f>IFERROR(__xludf.DUMMYFUNCTION("GOOGLETRANSLATE(A4162, ""fr"", ""en"")"),"FM: Thank you for intervening on the anti-return doors, they do not ring.")</f>
        <v>FM: Thank you for intervening on the anti-return doors, they do not ring.</v>
      </c>
    </row>
    <row r="4163">
      <c r="A4163" s="19" t="s">
        <v>3048</v>
      </c>
      <c r="B4163" s="20" t="str">
        <f>IFERROR(__xludf.DUMMYFUNCTION("GOOGLETRANSLATE(A4163, ""fr"", ""en"")"),"Placement of the display is useful! In the Entrance SAS on Erratum .odm made by AT3. Finished work.")</f>
        <v>Placement of the display is useful! In the Entrance SAS on Erratum .odm made by AT3. Finished work.</v>
      </c>
    </row>
    <row r="4164">
      <c r="A4164" s="19" t="s">
        <v>3049</v>
      </c>
      <c r="B4164" s="20" t="str">
        <f>IFERROR(__xludf.DUMMYFUNCTION("GOOGLETRANSLATE(A4164, ""fr"", ""en"")"),"FM: Please intervene following remote monitoring report, a cold defect of 30 minutes.")</f>
        <v>FM: Please intervene following remote monitoring report, a cold defect of 30 minutes.</v>
      </c>
    </row>
    <row r="4165">
      <c r="A4165" s="19" t="s">
        <v>3050</v>
      </c>
      <c r="B4165" s="20" t="str">
        <f>IFERROR(__xludf.DUMMYFUNCTION("GOOGLETRANSLATE(A4165, ""fr"", ""en"")"),"FM: Following TV report, thank you for intervening, a dozen small cold flaws.")</f>
        <v>FM: Following TV report, thank you for intervening, a dozen small cold flaws.</v>
      </c>
    </row>
    <row r="4166">
      <c r="A4166" s="19" t="s">
        <v>3051</v>
      </c>
      <c r="B4166" s="20" t="str">
        <f>IFERROR(__xludf.DUMMYFUNCTION("GOOGLETRANSLATE(A4166, ""fr"", ""en"")"),"FM: Following the passage of our technical agent, he noticed that the exit barrier does not close quickly enough, the cars can go out by two.")</f>
        <v>FM: Following the passage of our technical agent, he noticed that the exit barrier does not close quickly enough, the cars can go out by two.</v>
      </c>
    </row>
    <row r="4167">
      <c r="A4167" s="19" t="s">
        <v>3052</v>
      </c>
      <c r="B4167" s="20" t="str">
        <f>IFERROR(__xludf.DUMMYFUNCTION("GOOGLETRANSLATE(A4167, ""fr"", ""en"")"),"Problem when putting the store under alarm. Could we have a control because we put the store under alarm every night but the company tells us that we are out of alarm ????
 Impossible photo")</f>
        <v>Problem when putting the store under alarm. Could we have a control because we put the store under alarm every night but the company tells us that we are out of alarm ????
 Impossible photo</v>
      </c>
    </row>
    <row r="4168">
      <c r="A4168" s="19" t="s">
        <v>3053</v>
      </c>
      <c r="B4168" s="20" t="str">
        <f>IFERROR(__xludf.DUMMYFUNCTION("GOOGLETRANSLATE(A4168, ""fr"", ""en"")"),"The roll at the bottom is not properly in front of the rails which forces the use of lifting the roll to be able to put bread in the oven bake")</f>
        <v>The roll at the bottom is not properly in front of the rails which forces the use of lifting the roll to be able to put bread in the oven bake</v>
      </c>
    </row>
    <row r="4169">
      <c r="A4169" s="19" t="s">
        <v>3054</v>
      </c>
      <c r="B4169" s="20" t="str">
        <f>IFERROR(__xludf.DUMMYFUNCTION("GOOGLETRANSLATE(A4169, ""fr"", ""en"")"),"Activation of manager in the store to put the store alarm for the following people:
 LEPARC Samantha CCA N ° Badge 523798
 Goberville Joy FFCCA Badge 1162820 Badge number")</f>
        <v>Activation of manager in the store to put the store alarm for the following people:
 LEPARC Samantha CCA N ° Badge 523798
 Goberville Joy FFCCA Badge 1162820 Badge number</v>
      </c>
    </row>
    <row r="4170">
      <c r="A4170" s="19" t="s">
        <v>1694</v>
      </c>
      <c r="B4170" s="20" t="str">
        <f>IFERROR(__xludf.DUMMYFUNCTION("GOOGLETRANSLATE(A4170, ""fr"", ""en"")"),"Hello, please find attached the summary sheet of observations following the passage of the office Veritas for the year 2022. We ask you to kindly raise observations as soon as possible and return to us as soon as the intervention is finished (s ) Document"&amp;" (s) completed (s), signed (s) and hidden by you. Sincerely. Rescue")</f>
        <v>Hello, please find attached the summary sheet of observations following the passage of the office Veritas for the year 2022. We ask you to kindly raise observations as soon as possible and return to us as soon as the intervention is finished (s ) Document (s) completed (s), signed (s) and hidden by you. Sincerely. Rescue</v>
      </c>
    </row>
    <row r="4171">
      <c r="A4171" s="19" t="s">
        <v>3055</v>
      </c>
      <c r="B4171" s="20" t="str">
        <f>IFERROR(__xludf.DUMMYFUNCTION("GOOGLETRANSLATE(A4171, ""fr"", ""en"")"),"Urgent mouse in reserve quay
 (No referenced item)")</f>
        <v>Urgent mouse in reserve quay
 (No referenced item)</v>
      </c>
    </row>
    <row r="4172">
      <c r="A4172" s="19" t="s">
        <v>3056</v>
      </c>
      <c r="B4172" s="20" t="str">
        <f>IFERROR(__xludf.DUMMYFUNCTION("GOOGLETRANSLATE(A4172, ""fr"", ""en"")"),"Recovery and loading of tiles at Lidl Chalezeule Besançon for unloading and provisional storage Lidl Montbéliard .odm made by AT3. Finished work")</f>
        <v>Recovery and loading of tiles at Lidl Chalezeule Besançon for unloading and provisional storage Lidl Montbéliard .odm made by AT3. Finished work</v>
      </c>
    </row>
    <row r="4173">
      <c r="A4173" s="19" t="s">
        <v>3057</v>
      </c>
      <c r="B4173" s="20" t="str">
        <f>IFERROR(__xludf.DUMMYFUNCTION("GOOGLETRANSLATE(A4173, ""fr"", ""en"")"),"* exit gate which remains to close continuously it does not even keep by doing the code /* KN waiting return benj to find out if record can intervene")</f>
        <v>* exit gate which remains to close continuously it does not even keep by doing the code /* KN waiting return benj to find out if record can intervene</v>
      </c>
    </row>
    <row r="4174">
      <c r="A4174" s="19" t="s">
        <v>3058</v>
      </c>
      <c r="B4174" s="20" t="str">
        <f>IFERROR(__xludf.DUMMYFUNCTION("GOOGLETRANSLATE(A4174, ""fr"", ""en"")"),"The common holding bars are no longer secure (dangerous). Odm made by AT3. Finished work")</f>
        <v>The common holding bars are no longer secure (dangerous). Odm made by AT3. Finished work</v>
      </c>
    </row>
    <row r="4175">
      <c r="A4175" s="19" t="s">
        <v>3059</v>
      </c>
      <c r="B4175" s="20" t="str">
        <f>IFERROR(__xludf.DUMMYFUNCTION("GOOGLETRANSLATE(A4175, ""fr"", ""en"")"),"Installation of stickers information relating to video surveillance on the conveyor door and quay.wodm made by AT3. Finished work")</f>
        <v>Installation of stickers information relating to video surveillance on the conveyor door and quay.wodm made by AT3. Finished work</v>
      </c>
    </row>
    <row r="4176">
      <c r="A4176" s="19" t="s">
        <v>3060</v>
      </c>
      <c r="B4176" s="20" t="str">
        <f>IFERROR(__xludf.DUMMYFUNCTION("GOOGLETRANSLATE(A4176, ""fr"", ""en"")"),"Update of the safety register of tab 40 with the accessibility document. ODM made by AT3. Finished work")</f>
        <v>Update of the safety register of tab 40 with the accessibility document. ODM made by AT3. Finished work</v>
      </c>
    </row>
    <row r="4177">
      <c r="A4177" s="19" t="s">
        <v>3061</v>
      </c>
      <c r="B4177" s="20" t="str">
        <f>IFERROR(__xludf.DUMMYFUNCTION("GOOGLETRANSLATE(A4177, ""fr"", ""en"")"),"At the FM request: video surveillance control in live and DSB mode in the area, unloading, quay, chest and office, boxes + TPE.odm made by AT3. Finished work.")</f>
        <v>At the FM request: video surveillance control in live and DSB mode in the area, unloading, quay, chest and office, boxes + TPE.odm made by AT3. Finished work.</v>
      </c>
    </row>
    <row r="4178">
      <c r="A4178" s="19" t="s">
        <v>3062</v>
      </c>
      <c r="B4178" s="20" t="str">
        <f>IFERROR(__xludf.DUMMYFUNCTION("GOOGLETRANSLATE(A4178, ""fr"", ""en"")"),"Ice taking, melting of ice in front of the door")</f>
        <v>Ice taking, melting of ice in front of the door</v>
      </c>
    </row>
    <row r="4179">
      <c r="A4179" s="19" t="s">
        <v>3063</v>
      </c>
      <c r="B4179" s="20" t="str">
        <f>IFERROR(__xludf.DUMMYFUNCTION("GOOGLETRANSLATE(A4179, ""fr"", ""en"")"),"Disabling HS anti -thefts on three boxes")</f>
        <v>Disabling HS anti -thefts on three boxes</v>
      </c>
    </row>
    <row r="4180">
      <c r="A4180" s="19" t="s">
        <v>1034</v>
      </c>
      <c r="B4180" s="20" t="str">
        <f>IFERROR(__xludf.DUMMYFUNCTION("GOOGLETRANSLATE(A4180, ""fr"", ""en"")"),"Sale cleaning parking lots of sale December 2, 2022")</f>
        <v>Sale cleaning parking lots of sale December 2, 2022</v>
      </c>
    </row>
    <row r="4181">
      <c r="A4181" s="19" t="s">
        <v>3064</v>
      </c>
      <c r="B4181" s="20" t="str">
        <f>IFERROR(__xludf.DUMMYFUNCTION("GOOGLETRANSLATE(A4181, ""fr"", ""en"")"),"Leon tablet when you connect to SFL the page remains white")</f>
        <v>Leon tablet when you connect to SFL the page remains white</v>
      </c>
    </row>
    <row r="4182">
      <c r="A4182" s="19" t="s">
        <v>1537</v>
      </c>
      <c r="B4182" s="20" t="str">
        <f>IFERROR(__xludf.DUMMYFUNCTION("GOOGLETRANSLATE(A4182, ""fr"", ""en"")"),"Sale - Cleaning of car parks on Friday December 2, 2022")</f>
        <v>Sale - Cleaning of car parks on Friday December 2, 2022</v>
      </c>
    </row>
    <row r="4183">
      <c r="A4183" s="19" t="s">
        <v>3065</v>
      </c>
      <c r="B4183" s="20" t="str">
        <f>IFERROR(__xludf.DUMMYFUNCTION("GOOGLETRANSLATE(A4183, ""fr"", ""en"")"),"FM: Following TV removal report, please intervene for two cold flaws that night.")</f>
        <v>FM: Following TV removal report, please intervene for two cold flaws that night.</v>
      </c>
    </row>
    <row r="4184">
      <c r="A4184" s="19" t="s">
        <v>3066</v>
      </c>
      <c r="B4184" s="20" t="str">
        <f>IFERROR(__xludf.DUMMYFUNCTION("GOOGLETRANSLATE(A4184, ""fr"", ""en"")"),"Various RMR sale for:
 -Remplacement of briefing paintings
 -M to fresh panels
 -Matches clips and replacement magnets VVP window panels")</f>
        <v>Various RMR sale for:
 -Remplacement of briefing paintings
 -M to fresh panels
 -Matches clips and replacement magnets VVP window panels</v>
      </c>
    </row>
    <row r="4185">
      <c r="A4185" s="19" t="s">
        <v>3067</v>
      </c>
      <c r="B4185" s="20" t="str">
        <f>IFERROR(__xludf.DUMMYFUNCTION("GOOGLETRANSLATE(A4185, ""fr"", ""en"")"),"When we open the door in the morning with the key the door does not sell we are obliged to force to reope")</f>
        <v>When we open the door in the morning with the key the door does not sell we are obliged to force to reope</v>
      </c>
    </row>
    <row r="4186">
      <c r="A4186" s="19" t="s">
        <v>3068</v>
      </c>
      <c r="B4186" s="20" t="str">
        <f>IFERROR(__xludf.DUMMYFUNCTION("GOOGLETRANSLATE(A4186, ""fr"", ""en"")"),"FM: recurring faults at night. On the Pont de Roide store, negative furniture 2 and 3. and on the Montbéliard store, on VVP 3.4 and 5 furniture")</f>
        <v>FM: recurring faults at night. On the Pont de Roide store, negative furniture 2 and 3. and on the Montbéliard store, on VVP 3.4 and 5 furniture</v>
      </c>
    </row>
    <row r="4187">
      <c r="A4187" s="19" t="s">
        <v>3069</v>
      </c>
      <c r="B4187" s="20" t="str">
        <f>IFERROR(__xludf.DUMMYFUNCTION("GOOGLETRANSLATE(A4187, ""fr"", ""en"")"),"Empty van in the Mag 3862 reserve. Looker from Lidl de Lure tiles for Montbéliard reserve storage .odm made by AT3. Finished work.")</f>
        <v>Empty van in the Mag 3862 reserve. Looker from Lidl de Lure tiles for Montbéliard reserve storage .odm made by AT3. Finished work.</v>
      </c>
    </row>
    <row r="4188">
      <c r="A4188" s="19" t="s">
        <v>3070</v>
      </c>
      <c r="B4188" s="20" t="str">
        <f>IFERROR(__xludf.DUMMYFUNCTION("GOOGLETRANSLATE(A4188, ""fr"", ""en"")"),"When you start a program the oven puts an error msg")</f>
        <v>When you start a program the oven puts an error msg</v>
      </c>
    </row>
    <row r="4189">
      <c r="A4189" s="19" t="s">
        <v>3071</v>
      </c>
      <c r="B4189" s="20" t="str">
        <f>IFERROR(__xludf.DUMMYFUNCTION("GOOGLETRANSLATE(A4189, ""fr"", ""en"")"),"Urgent The slicer has been HS for 2 months. It was put into reserve. Always awaiting repair")</f>
        <v>Urgent The slicer has been HS for 2 months. It was put into reserve. Always awaiting repair</v>
      </c>
    </row>
    <row r="4190">
      <c r="A4190" s="19" t="s">
        <v>3072</v>
      </c>
      <c r="B4190" s="20" t="str">
        <f>IFERROR(__xludf.DUMMYFUNCTION("GOOGLETRANSLATE(A4190, ""fr"", ""en"")"),"Cassement door. The cable is no longer in Lenrouleur")</f>
        <v>Cassement door. The cable is no longer in Lenrouleur</v>
      </c>
    </row>
    <row r="4191">
      <c r="A4191" s="19" t="s">
        <v>2989</v>
      </c>
      <c r="B4191" s="20" t="str">
        <f>IFERROR(__xludf.DUMMYFUNCTION("GOOGLETRANSLATE(A4191, ""fr"", ""en"")"),"At3 check list 3862")</f>
        <v>At3 check list 3862</v>
      </c>
    </row>
    <row r="4192">
      <c r="A4192" s="19" t="s">
        <v>3073</v>
      </c>
      <c r="B4192" s="20" t="str">
        <f>IFERROR(__xludf.DUMMYFUNCTION("GOOGLETRANSLATE(A4192, ""fr"", ""en"")"),"FM: replacement mixer of the bakery (continuation intervention of 10/10)")</f>
        <v>FM: replacement mixer of the bakery (continuation intervention of 10/10)</v>
      </c>
    </row>
    <row r="4193">
      <c r="A4193" s="19" t="s">
        <v>3074</v>
      </c>
      <c r="B4193" s="20" t="str">
        <f>IFERROR(__xludf.DUMMYFUNCTION("GOOGLETRANSLATE(A4193, ""fr"", ""en"")"),"Establishment of accessibility documentation in the red. Ood made by AT3. Finished work.")</f>
        <v>Establishment of accessibility documentation in the red. Ood made by AT3. Finished work.</v>
      </c>
    </row>
    <row r="4194">
      <c r="A4194" s="19" t="s">
        <v>3075</v>
      </c>
      <c r="B4194" s="20" t="str">
        <f>IFERROR(__xludf.DUMMYFUNCTION("GOOGLETRANSLATE(A4194, ""fr"", ""en"")"),"Purge of the cold group. Finished work.")</f>
        <v>Purge of the cold group. Finished work.</v>
      </c>
    </row>
    <row r="4195">
      <c r="A4195" s="19" t="s">
        <v>3076</v>
      </c>
      <c r="B4195" s="20" t="str">
        <f>IFERROR(__xludf.DUMMYFUNCTION("GOOGLETRANSLATE(A4195, ""fr"", ""en"")"),"The base which is in front of the boxes (which protects the windows) is stamped
 can't take photos via mobi
 connection problem")</f>
        <v>The base which is in front of the boxes (which protects the windows) is stamped
 can't take photos via mobi
 connection problem</v>
      </c>
    </row>
    <row r="4196">
      <c r="A4196" s="19" t="s">
        <v>1043</v>
      </c>
      <c r="B4196" s="20" t="str">
        <f>IFERROR(__xludf.DUMMYFUNCTION("GOOGLETRANSLATE(A4196, ""fr"", ""en"")"),"Sale cleaning parking lots on Friday 23 September 2022")</f>
        <v>Sale cleaning parking lots on Friday 23 September 2022</v>
      </c>
    </row>
    <row r="4197">
      <c r="A4197" s="19" t="s">
        <v>3077</v>
      </c>
      <c r="B4197" s="20" t="str">
        <f>IFERROR(__xludf.DUMMYFUNCTION("GOOGLETRANSLATE(A4197, ""fr"", ""en"")"),"Mounting shelves in the reserve to receive AT3 equipment, following the transfers from Voujeaucourt to Montbéliard. ODM made by AT3. Finished work.")</f>
        <v>Mounting shelves in the reserve to receive AT3 equipment, following the transfers from Voujeaucourt to Montbéliard. ODM made by AT3. Finished work.</v>
      </c>
    </row>
    <row r="4198">
      <c r="A4198" s="19" t="s">
        <v>3078</v>
      </c>
      <c r="B4198" s="20" t="str">
        <f>IFERROR(__xludf.DUMMYFUNCTION("GOOGLETRANSLATE(A4198, ""fr"", ""en"")"),"At the request of the DR. Pending the intervention of Ineo to tighten the connections upstream of the circuit breaker, thank you lower the photovoltaic circuit breaker .odm made by AT3. Finished work.")</f>
        <v>At the request of the DR. Pending the intervention of Ineo to tighten the connections upstream of the circuit breaker, thank you lower the photovoltaic circuit breaker .odm made by AT3. Finished work.</v>
      </c>
    </row>
    <row r="4199">
      <c r="A4199" s="19" t="s">
        <v>3079</v>
      </c>
      <c r="B4199" s="20" t="str">
        <f>IFERROR(__xludf.DUMMYFUNCTION("GOOGLETRANSLATE(A4199, ""fr"", ""en"")"),"Return the chute cache to the lighting system above the .odm flower radius made by AT3. Finished work.")</f>
        <v>Return the chute cache to the lighting system above the .odm flower radius made by AT3. Finished work.</v>
      </c>
    </row>
    <row r="4200">
      <c r="A4200" s="19" t="s">
        <v>3080</v>
      </c>
      <c r="B4200" s="20" t="str">
        <f>IFERROR(__xludf.DUMMYFUNCTION("GOOGLETRANSLATE(A4200, ""fr"", ""en"")"),"FM: Thank you for intervening at the sink level in the Pain lab, the siphon is won.")</f>
        <v>FM: Thank you for intervening at the sink level in the Pain lab, the siphon is won.</v>
      </c>
    </row>
    <row r="4201">
      <c r="A4201" s="19" t="s">
        <v>3081</v>
      </c>
      <c r="B4201" s="20" t="str">
        <f>IFERROR(__xludf.DUMMYFUNCTION("GOOGLETRANSLATE(A4201, ""fr"", ""en"")"),"Rehabilitation of the fence behind the mag side vandalized by traveling people. Arracted again by traveling people once repaired in front of AT3 .odm made by AT3. Finished work.")</f>
        <v>Rehabilitation of the fence behind the mag side vandalized by traveling people. Arracted again by traveling people once repaired in front of AT3 .odm made by AT3. Finished work.</v>
      </c>
    </row>
    <row r="4202">
      <c r="A4202" s="19" t="s">
        <v>3082</v>
      </c>
      <c r="B4202" s="20" t="str">
        <f>IFERROR(__xludf.DUMMYFUNCTION("GOOGLETRANSLATE(A4202, ""fr"", ""en"")"),"Oil leak noted in the tank below the Roll lifting area")</f>
        <v>Oil leak noted in the tank below the Roll lifting area</v>
      </c>
    </row>
    <row r="4203">
      <c r="A4203" s="19" t="s">
        <v>3083</v>
      </c>
      <c r="B4203" s="20" t="str">
        <f>IFERROR(__xludf.DUMMYFUNCTION("GOOGLETRANSLATE(A4203, ""fr"", ""en"")"),"Remove the trash into the mesh fence .odm made by AT3. Finished work.")</f>
        <v>Remove the trash into the mesh fence .odm made by AT3. Finished work.</v>
      </c>
    </row>
    <row r="4204">
      <c r="A4204" s="19" t="s">
        <v>3084</v>
      </c>
      <c r="B4204" s="20" t="str">
        <f>IFERROR(__xludf.DUMMYFUNCTION("GOOGLETRANSLATE(A4204, ""fr"", ""en"")"),"Brisee lateral window")</f>
        <v>Brisee lateral window</v>
      </c>
    </row>
    <row r="4205">
      <c r="A4205" s="19" t="s">
        <v>3085</v>
      </c>
      <c r="B4205" s="20" t="str">
        <f>IFERROR(__xludf.DUMMYFUNCTION("GOOGLETRANSLATE(A4205, ""fr"", ""en"")"),"FL room ceiling that")</f>
        <v>FL room ceiling that</v>
      </c>
    </row>
    <row r="4206">
      <c r="A4206" s="19" t="s">
        <v>2902</v>
      </c>
      <c r="B4206" s="20" t="str">
        <f>IFERROR(__xludf.DUMMYFUNCTION("GOOGLETRANSLATE(A4206, ""fr"", ""en"")"),"AT3 quarterly checklist 3862")</f>
        <v>AT3 quarterly checklist 3862</v>
      </c>
    </row>
    <row r="4207">
      <c r="A4207" s="19" t="s">
        <v>3086</v>
      </c>
      <c r="B4207" s="20" t="str">
        <f>IFERROR(__xludf.DUMMYFUNCTION("GOOGLETRANSLATE(A4207, ""fr"", ""en"")"),"Wet FP tiles in the meeting room .odm made by AT3. Finished work.")</f>
        <v>Wet FP tiles in the meeting room .odm made by AT3. Finished work.</v>
      </c>
    </row>
    <row r="4208">
      <c r="A4208" s="19" t="s">
        <v>3087</v>
      </c>
      <c r="B4208" s="20" t="str">
        <f>IFERROR(__xludf.DUMMYFUNCTION("GOOGLETRANSLATE(A4208, ""fr"", ""en"")"),"Imppssible Dooject the ashtray")</f>
        <v>Imppssible Dooject the ashtray</v>
      </c>
    </row>
    <row r="4209">
      <c r="A4209" s="19" t="s">
        <v>3088</v>
      </c>
      <c r="B4209" s="20" t="str">
        <f>IFERROR(__xludf.DUMMYFUNCTION("GOOGLETRANSLATE(A4209, ""fr"", ""en"")"),"FM: Please remove the extra heaters. Intervention to be pooled with Eco Lighting.")</f>
        <v>FM: Please remove the extra heaters. Intervention to be pooled with Eco Lighting.</v>
      </c>
    </row>
    <row r="4210">
      <c r="A4210" s="2"/>
      <c r="B4210" s="20" t="str">
        <f>IFERROR(__xludf.DUMMYFUNCTION("GOOGLETRANSLATE(A4210, ""fr"", ""en"")"),"#VALUE!")</f>
        <v>#VALUE!</v>
      </c>
    </row>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5"/>
  </cols>
  <sheetData>
    <row r="1">
      <c r="A1" s="17" t="s">
        <v>136</v>
      </c>
    </row>
    <row r="2">
      <c r="A2" s="19" t="s">
        <v>138</v>
      </c>
    </row>
    <row r="3">
      <c r="A3" s="19" t="s">
        <v>139</v>
      </c>
    </row>
    <row r="4">
      <c r="A4" s="19" t="s">
        <v>140</v>
      </c>
    </row>
    <row r="5">
      <c r="A5" s="21"/>
    </row>
    <row r="6">
      <c r="A6" s="19" t="s">
        <v>141</v>
      </c>
    </row>
    <row r="7">
      <c r="A7" s="19" t="s">
        <v>142</v>
      </c>
    </row>
    <row r="8">
      <c r="A8" s="19" t="s">
        <v>143</v>
      </c>
    </row>
    <row r="9">
      <c r="A9" s="19" t="s">
        <v>144</v>
      </c>
    </row>
    <row r="10">
      <c r="A10" s="19" t="s">
        <v>145</v>
      </c>
    </row>
    <row r="11">
      <c r="A11" s="19" t="s">
        <v>146</v>
      </c>
    </row>
    <row r="12">
      <c r="A12" s="19" t="s">
        <v>147</v>
      </c>
    </row>
    <row r="13">
      <c r="A13" s="19" t="s">
        <v>148</v>
      </c>
    </row>
    <row r="14">
      <c r="A14" s="19" t="s">
        <v>149</v>
      </c>
    </row>
    <row r="15">
      <c r="A15" s="19" t="s">
        <v>150</v>
      </c>
    </row>
    <row r="16">
      <c r="A16" s="19" t="s">
        <v>151</v>
      </c>
    </row>
    <row r="17">
      <c r="A17" s="19" t="s">
        <v>152</v>
      </c>
    </row>
    <row r="18">
      <c r="A18" s="19" t="s">
        <v>153</v>
      </c>
    </row>
    <row r="19">
      <c r="A19" s="19" t="s">
        <v>154</v>
      </c>
    </row>
    <row r="20">
      <c r="A20" s="19" t="s">
        <v>155</v>
      </c>
    </row>
    <row r="21">
      <c r="A21" s="19" t="s">
        <v>156</v>
      </c>
    </row>
    <row r="22">
      <c r="A22" s="19" t="s">
        <v>157</v>
      </c>
    </row>
    <row r="23">
      <c r="A23" s="19" t="s">
        <v>158</v>
      </c>
    </row>
    <row r="24">
      <c r="A24" s="21"/>
    </row>
    <row r="25">
      <c r="A25" s="19" t="s">
        <v>159</v>
      </c>
    </row>
    <row r="26">
      <c r="A26" s="19" t="s">
        <v>160</v>
      </c>
    </row>
    <row r="27">
      <c r="A27" s="19" t="s">
        <v>161</v>
      </c>
    </row>
    <row r="28">
      <c r="A28" s="19" t="s">
        <v>162</v>
      </c>
    </row>
    <row r="29">
      <c r="A29" s="19" t="s">
        <v>163</v>
      </c>
    </row>
    <row r="30">
      <c r="A30" s="19" t="s">
        <v>164</v>
      </c>
    </row>
    <row r="31">
      <c r="A31" s="19" t="s">
        <v>165</v>
      </c>
    </row>
    <row r="32">
      <c r="A32" s="19" t="s">
        <v>166</v>
      </c>
    </row>
    <row r="33">
      <c r="A33" s="19" t="s">
        <v>167</v>
      </c>
    </row>
    <row r="34">
      <c r="A34" s="19" t="s">
        <v>168</v>
      </c>
    </row>
    <row r="35">
      <c r="A35" s="19" t="s">
        <v>169</v>
      </c>
    </row>
    <row r="36">
      <c r="A36" s="19" t="s">
        <v>170</v>
      </c>
    </row>
    <row r="37">
      <c r="A37" s="19" t="s">
        <v>171</v>
      </c>
    </row>
    <row r="38">
      <c r="A38" s="19" t="s">
        <v>172</v>
      </c>
    </row>
    <row r="39">
      <c r="A39" s="19" t="s">
        <v>173</v>
      </c>
    </row>
    <row r="40">
      <c r="A40" s="19" t="s">
        <v>174</v>
      </c>
    </row>
    <row r="41">
      <c r="A41" s="19" t="s">
        <v>175</v>
      </c>
    </row>
    <row r="42">
      <c r="A42" s="19" t="s">
        <v>176</v>
      </c>
    </row>
    <row r="43">
      <c r="A43" s="19" t="s">
        <v>177</v>
      </c>
    </row>
    <row r="44">
      <c r="A44" s="19" t="s">
        <v>178</v>
      </c>
    </row>
    <row r="45">
      <c r="A45" s="19" t="s">
        <v>179</v>
      </c>
    </row>
    <row r="46">
      <c r="A46" s="19" t="s">
        <v>180</v>
      </c>
    </row>
    <row r="47">
      <c r="A47" s="19" t="s">
        <v>181</v>
      </c>
    </row>
    <row r="48">
      <c r="A48" s="19" t="s">
        <v>182</v>
      </c>
    </row>
    <row r="49">
      <c r="A49" s="19" t="s">
        <v>182</v>
      </c>
    </row>
    <row r="50">
      <c r="A50" s="21"/>
    </row>
    <row r="51">
      <c r="A51" s="19" t="s">
        <v>183</v>
      </c>
    </row>
    <row r="52">
      <c r="A52" s="19" t="s">
        <v>184</v>
      </c>
    </row>
    <row r="53">
      <c r="A53" s="19" t="s">
        <v>185</v>
      </c>
    </row>
    <row r="54">
      <c r="A54" s="19" t="s">
        <v>186</v>
      </c>
    </row>
    <row r="55">
      <c r="A55" s="19" t="s">
        <v>187</v>
      </c>
    </row>
    <row r="56">
      <c r="A56" s="19" t="s">
        <v>188</v>
      </c>
    </row>
    <row r="57">
      <c r="A57" s="19" t="s">
        <v>189</v>
      </c>
    </row>
    <row r="58">
      <c r="A58" s="19" t="s">
        <v>190</v>
      </c>
    </row>
    <row r="59">
      <c r="A59" s="19" t="s">
        <v>191</v>
      </c>
    </row>
    <row r="60">
      <c r="A60" s="19" t="s">
        <v>192</v>
      </c>
    </row>
    <row r="61">
      <c r="A61" s="19" t="s">
        <v>193</v>
      </c>
    </row>
    <row r="62">
      <c r="A62" s="19" t="s">
        <v>194</v>
      </c>
    </row>
    <row r="63">
      <c r="A63" s="19" t="s">
        <v>195</v>
      </c>
    </row>
    <row r="64">
      <c r="A64" s="19" t="s">
        <v>196</v>
      </c>
    </row>
    <row r="65">
      <c r="A65" s="19" t="s">
        <v>197</v>
      </c>
    </row>
    <row r="66">
      <c r="A66" s="19" t="s">
        <v>198</v>
      </c>
    </row>
    <row r="67">
      <c r="A67" s="19" t="s">
        <v>199</v>
      </c>
    </row>
    <row r="68">
      <c r="A68" s="19" t="s">
        <v>200</v>
      </c>
    </row>
    <row r="69">
      <c r="A69" s="19" t="s">
        <v>201</v>
      </c>
    </row>
    <row r="70">
      <c r="A70" s="19" t="s">
        <v>202</v>
      </c>
    </row>
    <row r="71">
      <c r="A71" s="19" t="s">
        <v>203</v>
      </c>
    </row>
    <row r="72">
      <c r="A72" s="19" t="s">
        <v>204</v>
      </c>
    </row>
    <row r="73">
      <c r="A73" s="19" t="s">
        <v>205</v>
      </c>
    </row>
    <row r="74">
      <c r="A74" s="19" t="s">
        <v>206</v>
      </c>
    </row>
    <row r="75">
      <c r="A75" s="19" t="s">
        <v>207</v>
      </c>
    </row>
    <row r="76">
      <c r="A76" s="19" t="s">
        <v>208</v>
      </c>
    </row>
    <row r="77">
      <c r="A77" s="19" t="s">
        <v>209</v>
      </c>
    </row>
    <row r="78">
      <c r="A78" s="19" t="s">
        <v>210</v>
      </c>
    </row>
    <row r="79">
      <c r="A79" s="19" t="s">
        <v>211</v>
      </c>
    </row>
    <row r="80">
      <c r="A80" s="19" t="s">
        <v>212</v>
      </c>
    </row>
    <row r="81">
      <c r="A81" s="19" t="s">
        <v>213</v>
      </c>
    </row>
    <row r="82">
      <c r="A82" s="19" t="s">
        <v>214</v>
      </c>
    </row>
    <row r="83">
      <c r="A83" s="19" t="s">
        <v>215</v>
      </c>
    </row>
    <row r="84">
      <c r="A84" s="19" t="s">
        <v>216</v>
      </c>
    </row>
    <row r="85">
      <c r="A85" s="19" t="s">
        <v>217</v>
      </c>
    </row>
    <row r="86">
      <c r="A86" s="19" t="s">
        <v>218</v>
      </c>
    </row>
    <row r="87">
      <c r="A87" s="19" t="s">
        <v>219</v>
      </c>
    </row>
    <row r="88">
      <c r="A88" s="19" t="s">
        <v>220</v>
      </c>
    </row>
    <row r="89">
      <c r="A89" s="19" t="s">
        <v>221</v>
      </c>
    </row>
    <row r="90">
      <c r="A90" s="19" t="s">
        <v>222</v>
      </c>
    </row>
    <row r="91">
      <c r="A91" s="19" t="s">
        <v>223</v>
      </c>
    </row>
    <row r="92">
      <c r="A92" s="19" t="s">
        <v>224</v>
      </c>
    </row>
    <row r="93">
      <c r="A93" s="19" t="s">
        <v>225</v>
      </c>
    </row>
    <row r="94">
      <c r="A94" s="19" t="s">
        <v>226</v>
      </c>
    </row>
    <row r="95">
      <c r="A95" s="21"/>
    </row>
    <row r="96">
      <c r="A96" s="19" t="s">
        <v>227</v>
      </c>
    </row>
    <row r="97">
      <c r="A97" s="19" t="s">
        <v>228</v>
      </c>
    </row>
    <row r="98">
      <c r="A98" s="19" t="s">
        <v>229</v>
      </c>
    </row>
    <row r="99">
      <c r="A99" s="19" t="s">
        <v>230</v>
      </c>
    </row>
    <row r="100">
      <c r="A100" s="19" t="s">
        <v>231</v>
      </c>
    </row>
    <row r="101">
      <c r="A101" s="19" t="s">
        <v>232</v>
      </c>
    </row>
    <row r="102">
      <c r="A102" s="19" t="s">
        <v>233</v>
      </c>
    </row>
    <row r="103">
      <c r="A103" s="19" t="s">
        <v>234</v>
      </c>
    </row>
    <row r="104">
      <c r="A104" s="19" t="s">
        <v>235</v>
      </c>
    </row>
    <row r="105">
      <c r="A105" s="19" t="s">
        <v>236</v>
      </c>
    </row>
    <row r="106">
      <c r="A106" s="19" t="s">
        <v>207</v>
      </c>
    </row>
    <row r="107">
      <c r="A107" s="21"/>
    </row>
    <row r="108">
      <c r="A108" s="19" t="s">
        <v>237</v>
      </c>
    </row>
    <row r="109">
      <c r="A109" s="19" t="s">
        <v>238</v>
      </c>
    </row>
    <row r="110">
      <c r="A110" s="19" t="s">
        <v>239</v>
      </c>
    </row>
    <row r="111">
      <c r="A111" s="19" t="s">
        <v>240</v>
      </c>
    </row>
    <row r="112">
      <c r="A112" s="19" t="s">
        <v>241</v>
      </c>
    </row>
    <row r="113">
      <c r="A113" s="19" t="s">
        <v>242</v>
      </c>
    </row>
    <row r="114">
      <c r="A114" s="19" t="s">
        <v>243</v>
      </c>
    </row>
    <row r="115">
      <c r="A115" s="19" t="s">
        <v>244</v>
      </c>
    </row>
    <row r="116">
      <c r="A116" s="19" t="s">
        <v>245</v>
      </c>
    </row>
    <row r="117">
      <c r="A117" s="19" t="s">
        <v>246</v>
      </c>
    </row>
    <row r="118">
      <c r="A118" s="19" t="s">
        <v>247</v>
      </c>
    </row>
    <row r="119">
      <c r="A119" s="19" t="s">
        <v>248</v>
      </c>
    </row>
    <row r="120">
      <c r="A120" s="19" t="s">
        <v>249</v>
      </c>
    </row>
    <row r="121">
      <c r="A121" s="19" t="s">
        <v>250</v>
      </c>
    </row>
    <row r="122">
      <c r="A122" s="19" t="s">
        <v>251</v>
      </c>
    </row>
    <row r="123">
      <c r="A123" s="19" t="s">
        <v>252</v>
      </c>
    </row>
    <row r="124">
      <c r="A124" s="19" t="s">
        <v>253</v>
      </c>
    </row>
    <row r="125">
      <c r="A125" s="19" t="s">
        <v>254</v>
      </c>
    </row>
    <row r="126">
      <c r="A126" s="19" t="s">
        <v>255</v>
      </c>
    </row>
    <row r="127">
      <c r="A127" s="19" t="s">
        <v>256</v>
      </c>
    </row>
    <row r="128">
      <c r="A128" s="19" t="s">
        <v>257</v>
      </c>
    </row>
    <row r="129">
      <c r="A129" s="19" t="s">
        <v>258</v>
      </c>
    </row>
    <row r="130">
      <c r="A130" s="19" t="s">
        <v>259</v>
      </c>
    </row>
    <row r="131">
      <c r="A131" s="19" t="s">
        <v>260</v>
      </c>
    </row>
    <row r="132">
      <c r="A132" s="19" t="s">
        <v>261</v>
      </c>
    </row>
    <row r="133">
      <c r="A133" s="19" t="s">
        <v>262</v>
      </c>
    </row>
    <row r="134">
      <c r="A134" s="19" t="s">
        <v>263</v>
      </c>
    </row>
    <row r="135">
      <c r="A135" s="19" t="s">
        <v>264</v>
      </c>
    </row>
    <row r="136">
      <c r="A136" s="19" t="s">
        <v>265</v>
      </c>
    </row>
    <row r="137">
      <c r="A137" s="19" t="s">
        <v>266</v>
      </c>
    </row>
    <row r="138">
      <c r="A138" s="19" t="s">
        <v>267</v>
      </c>
    </row>
    <row r="139">
      <c r="A139" s="19" t="s">
        <v>268</v>
      </c>
    </row>
    <row r="140">
      <c r="A140" s="19" t="s">
        <v>269</v>
      </c>
    </row>
    <row r="141">
      <c r="A141" s="19" t="s">
        <v>270</v>
      </c>
    </row>
    <row r="142">
      <c r="A142" s="19" t="s">
        <v>271</v>
      </c>
    </row>
    <row r="143">
      <c r="A143" s="19" t="s">
        <v>272</v>
      </c>
    </row>
    <row r="144">
      <c r="A144" s="19" t="s">
        <v>273</v>
      </c>
    </row>
    <row r="145">
      <c r="A145" s="19" t="s">
        <v>274</v>
      </c>
    </row>
    <row r="146">
      <c r="A146" s="19" t="s">
        <v>275</v>
      </c>
    </row>
    <row r="147">
      <c r="A147" s="19" t="s">
        <v>276</v>
      </c>
    </row>
    <row r="148">
      <c r="A148" s="19" t="s">
        <v>277</v>
      </c>
    </row>
    <row r="149">
      <c r="A149" s="19" t="s">
        <v>278</v>
      </c>
    </row>
    <row r="150">
      <c r="A150" s="19" t="s">
        <v>279</v>
      </c>
    </row>
    <row r="151">
      <c r="A151" s="19" t="s">
        <v>280</v>
      </c>
    </row>
    <row r="152">
      <c r="A152" s="19" t="s">
        <v>281</v>
      </c>
    </row>
    <row r="153">
      <c r="A153" s="19" t="s">
        <v>282</v>
      </c>
    </row>
    <row r="154">
      <c r="A154" s="19" t="s">
        <v>283</v>
      </c>
    </row>
    <row r="155">
      <c r="A155" s="21"/>
    </row>
    <row r="156">
      <c r="A156" s="19" t="s">
        <v>284</v>
      </c>
    </row>
    <row r="157">
      <c r="A157" s="19" t="s">
        <v>285</v>
      </c>
    </row>
    <row r="158">
      <c r="A158" s="19" t="s">
        <v>286</v>
      </c>
    </row>
    <row r="159">
      <c r="A159" s="19" t="s">
        <v>287</v>
      </c>
    </row>
    <row r="160">
      <c r="A160" s="19" t="s">
        <v>288</v>
      </c>
    </row>
    <row r="161">
      <c r="A161" s="19" t="s">
        <v>289</v>
      </c>
    </row>
    <row r="162">
      <c r="A162" s="19" t="s">
        <v>290</v>
      </c>
    </row>
    <row r="163">
      <c r="A163" s="19" t="s">
        <v>291</v>
      </c>
    </row>
    <row r="164">
      <c r="A164" s="21"/>
    </row>
    <row r="165">
      <c r="A165" s="19" t="s">
        <v>292</v>
      </c>
    </row>
    <row r="166">
      <c r="A166" s="19" t="s">
        <v>293</v>
      </c>
    </row>
    <row r="167">
      <c r="A167" s="19" t="s">
        <v>294</v>
      </c>
    </row>
    <row r="168">
      <c r="A168" s="19" t="s">
        <v>295</v>
      </c>
    </row>
    <row r="169">
      <c r="A169" s="19" t="s">
        <v>296</v>
      </c>
    </row>
    <row r="170">
      <c r="A170" s="19" t="s">
        <v>297</v>
      </c>
    </row>
    <row r="171">
      <c r="A171" s="19" t="s">
        <v>298</v>
      </c>
    </row>
    <row r="172">
      <c r="A172" s="19" t="s">
        <v>299</v>
      </c>
    </row>
    <row r="173">
      <c r="A173" s="19" t="s">
        <v>300</v>
      </c>
    </row>
    <row r="174">
      <c r="A174" s="19" t="s">
        <v>301</v>
      </c>
    </row>
    <row r="175">
      <c r="A175" s="19" t="s">
        <v>302</v>
      </c>
    </row>
    <row r="176">
      <c r="A176" s="19" t="s">
        <v>303</v>
      </c>
    </row>
    <row r="177">
      <c r="A177" s="19" t="s">
        <v>304</v>
      </c>
    </row>
    <row r="178">
      <c r="A178" s="19" t="s">
        <v>304</v>
      </c>
    </row>
    <row r="179">
      <c r="A179" s="19" t="s">
        <v>304</v>
      </c>
    </row>
    <row r="180">
      <c r="A180" s="21"/>
    </row>
    <row r="181">
      <c r="A181" s="19" t="s">
        <v>305</v>
      </c>
    </row>
    <row r="182">
      <c r="A182" s="19" t="s">
        <v>306</v>
      </c>
    </row>
    <row r="183">
      <c r="A183" s="19" t="s">
        <v>307</v>
      </c>
    </row>
    <row r="184">
      <c r="A184" s="19" t="s">
        <v>308</v>
      </c>
    </row>
    <row r="185">
      <c r="A185" s="19" t="s">
        <v>309</v>
      </c>
    </row>
    <row r="186">
      <c r="A186" s="19" t="s">
        <v>310</v>
      </c>
    </row>
    <row r="187">
      <c r="A187" s="19" t="s">
        <v>311</v>
      </c>
    </row>
    <row r="188">
      <c r="A188" s="19" t="s">
        <v>312</v>
      </c>
    </row>
    <row r="189">
      <c r="A189" s="19" t="s">
        <v>313</v>
      </c>
    </row>
    <row r="190">
      <c r="A190" s="19" t="s">
        <v>314</v>
      </c>
    </row>
    <row r="191">
      <c r="A191" s="19" t="s">
        <v>315</v>
      </c>
    </row>
    <row r="192">
      <c r="A192" s="19" t="s">
        <v>316</v>
      </c>
    </row>
    <row r="193">
      <c r="A193" s="19" t="s">
        <v>317</v>
      </c>
    </row>
    <row r="194">
      <c r="A194" s="19" t="s">
        <v>318</v>
      </c>
    </row>
    <row r="195">
      <c r="A195" s="19" t="s">
        <v>319</v>
      </c>
    </row>
    <row r="196">
      <c r="A196" s="19" t="s">
        <v>320</v>
      </c>
    </row>
    <row r="197">
      <c r="A197" s="19" t="s">
        <v>321</v>
      </c>
    </row>
    <row r="198">
      <c r="A198" s="19" t="s">
        <v>322</v>
      </c>
    </row>
    <row r="199">
      <c r="A199" s="19" t="s">
        <v>323</v>
      </c>
    </row>
    <row r="200">
      <c r="A200" s="19" t="s">
        <v>324</v>
      </c>
    </row>
    <row r="201">
      <c r="A201" s="19" t="s">
        <v>325</v>
      </c>
    </row>
    <row r="202">
      <c r="A202" s="19" t="s">
        <v>149</v>
      </c>
    </row>
    <row r="203">
      <c r="A203" s="21"/>
    </row>
    <row r="204">
      <c r="A204" s="19" t="s">
        <v>326</v>
      </c>
    </row>
    <row r="205">
      <c r="A205" s="19" t="s">
        <v>327</v>
      </c>
    </row>
    <row r="206">
      <c r="A206" s="19" t="s">
        <v>328</v>
      </c>
    </row>
    <row r="207">
      <c r="A207" s="19" t="s">
        <v>329</v>
      </c>
    </row>
    <row r="208">
      <c r="A208" s="19" t="s">
        <v>330</v>
      </c>
    </row>
    <row r="209">
      <c r="A209" s="19" t="s">
        <v>331</v>
      </c>
    </row>
    <row r="210">
      <c r="A210" s="19" t="s">
        <v>332</v>
      </c>
    </row>
    <row r="211">
      <c r="A211" s="19" t="s">
        <v>333</v>
      </c>
    </row>
    <row r="212">
      <c r="A212" s="19" t="s">
        <v>334</v>
      </c>
    </row>
    <row r="213">
      <c r="A213" s="19" t="s">
        <v>335</v>
      </c>
    </row>
    <row r="214">
      <c r="A214" s="19" t="s">
        <v>336</v>
      </c>
    </row>
    <row r="215">
      <c r="A215" s="19" t="s">
        <v>337</v>
      </c>
    </row>
    <row r="216">
      <c r="A216" s="19" t="s">
        <v>338</v>
      </c>
    </row>
    <row r="217">
      <c r="A217" s="19" t="s">
        <v>339</v>
      </c>
    </row>
    <row r="218">
      <c r="A218" s="19" t="s">
        <v>340</v>
      </c>
    </row>
    <row r="219">
      <c r="A219" s="19" t="s">
        <v>341</v>
      </c>
    </row>
    <row r="220">
      <c r="A220" s="19" t="s">
        <v>342</v>
      </c>
    </row>
    <row r="221">
      <c r="A221" s="19" t="s">
        <v>343</v>
      </c>
    </row>
    <row r="222">
      <c r="A222" s="19" t="s">
        <v>344</v>
      </c>
    </row>
    <row r="223">
      <c r="A223" s="19" t="s">
        <v>345</v>
      </c>
    </row>
    <row r="224">
      <c r="A224" s="19" t="s">
        <v>346</v>
      </c>
    </row>
    <row r="225">
      <c r="A225" s="21"/>
    </row>
    <row r="226">
      <c r="A226" s="19" t="s">
        <v>347</v>
      </c>
    </row>
    <row r="227">
      <c r="A227" s="19" t="s">
        <v>348</v>
      </c>
    </row>
    <row r="228">
      <c r="A228" s="19" t="s">
        <v>349</v>
      </c>
    </row>
    <row r="229">
      <c r="A229" s="19" t="s">
        <v>350</v>
      </c>
    </row>
    <row r="230">
      <c r="A230" s="19" t="s">
        <v>351</v>
      </c>
    </row>
    <row r="231">
      <c r="A231" s="19" t="s">
        <v>352</v>
      </c>
    </row>
    <row r="232">
      <c r="A232" s="19" t="s">
        <v>353</v>
      </c>
    </row>
    <row r="233">
      <c r="A233" s="19" t="s">
        <v>354</v>
      </c>
    </row>
    <row r="234">
      <c r="A234" s="19" t="s">
        <v>355</v>
      </c>
    </row>
    <row r="235">
      <c r="A235" s="19" t="s">
        <v>356</v>
      </c>
    </row>
    <row r="236">
      <c r="A236" s="19" t="s">
        <v>357</v>
      </c>
    </row>
    <row r="237">
      <c r="A237" s="19" t="s">
        <v>358</v>
      </c>
    </row>
    <row r="238">
      <c r="A238" s="19" t="s">
        <v>359</v>
      </c>
    </row>
    <row r="239">
      <c r="A239" s="19" t="s">
        <v>360</v>
      </c>
    </row>
    <row r="240">
      <c r="A240" s="19" t="s">
        <v>361</v>
      </c>
    </row>
    <row r="241">
      <c r="A241" s="19" t="s">
        <v>362</v>
      </c>
    </row>
    <row r="242">
      <c r="A242" s="19" t="s">
        <v>363</v>
      </c>
    </row>
    <row r="243">
      <c r="A243" s="19" t="s">
        <v>364</v>
      </c>
    </row>
    <row r="244">
      <c r="A244" s="19" t="s">
        <v>365</v>
      </c>
    </row>
    <row r="245">
      <c r="A245" s="19" t="s">
        <v>366</v>
      </c>
    </row>
    <row r="246">
      <c r="A246" s="19" t="s">
        <v>367</v>
      </c>
    </row>
    <row r="247">
      <c r="A247" s="19" t="s">
        <v>368</v>
      </c>
    </row>
    <row r="248">
      <c r="A248" s="19" t="s">
        <v>369</v>
      </c>
    </row>
    <row r="249">
      <c r="A249" s="19" t="s">
        <v>370</v>
      </c>
    </row>
    <row r="250">
      <c r="A250" s="19" t="s">
        <v>371</v>
      </c>
    </row>
    <row r="251">
      <c r="A251" s="19" t="s">
        <v>372</v>
      </c>
    </row>
    <row r="252">
      <c r="A252" s="19" t="s">
        <v>373</v>
      </c>
    </row>
    <row r="253">
      <c r="A253" s="19" t="s">
        <v>374</v>
      </c>
    </row>
    <row r="254">
      <c r="A254" s="19" t="s">
        <v>375</v>
      </c>
    </row>
    <row r="255">
      <c r="A255" s="19" t="s">
        <v>376</v>
      </c>
    </row>
    <row r="256">
      <c r="A256" s="19" t="s">
        <v>377</v>
      </c>
    </row>
    <row r="257">
      <c r="A257" s="19" t="s">
        <v>378</v>
      </c>
    </row>
    <row r="258">
      <c r="A258" s="19" t="s">
        <v>379</v>
      </c>
    </row>
    <row r="259">
      <c r="A259" s="19" t="s">
        <v>380</v>
      </c>
    </row>
    <row r="260">
      <c r="A260" s="19" t="s">
        <v>381</v>
      </c>
    </row>
    <row r="261">
      <c r="A261" s="19" t="s">
        <v>382</v>
      </c>
    </row>
    <row r="262">
      <c r="A262" s="21"/>
    </row>
    <row r="263">
      <c r="A263" s="19" t="s">
        <v>383</v>
      </c>
    </row>
    <row r="264">
      <c r="A264" s="21"/>
    </row>
    <row r="265">
      <c r="A265" s="19" t="s">
        <v>384</v>
      </c>
    </row>
    <row r="266">
      <c r="A266" s="19" t="s">
        <v>385</v>
      </c>
    </row>
    <row r="267">
      <c r="A267" s="19" t="s">
        <v>386</v>
      </c>
    </row>
    <row r="268">
      <c r="A268" s="19" t="s">
        <v>387</v>
      </c>
    </row>
    <row r="269">
      <c r="A269" s="19" t="s">
        <v>388</v>
      </c>
    </row>
    <row r="270">
      <c r="A270" s="19" t="s">
        <v>389</v>
      </c>
    </row>
    <row r="271">
      <c r="A271" s="19" t="s">
        <v>390</v>
      </c>
    </row>
    <row r="272">
      <c r="A272" s="19" t="s">
        <v>391</v>
      </c>
    </row>
    <row r="273">
      <c r="A273" s="19" t="s">
        <v>392</v>
      </c>
    </row>
    <row r="274">
      <c r="A274" s="19" t="s">
        <v>393</v>
      </c>
    </row>
    <row r="275">
      <c r="A275" s="19" t="s">
        <v>394</v>
      </c>
    </row>
    <row r="276">
      <c r="A276" s="19" t="s">
        <v>395</v>
      </c>
    </row>
    <row r="277">
      <c r="A277" s="19" t="s">
        <v>396</v>
      </c>
    </row>
    <row r="278">
      <c r="A278" s="21"/>
    </row>
    <row r="279">
      <c r="A279" s="21"/>
    </row>
    <row r="280">
      <c r="A280" s="21"/>
    </row>
    <row r="281">
      <c r="A281" s="19" t="s">
        <v>397</v>
      </c>
    </row>
    <row r="282">
      <c r="A282" s="19" t="s">
        <v>398</v>
      </c>
    </row>
    <row r="283">
      <c r="A283" s="19" t="s">
        <v>399</v>
      </c>
    </row>
    <row r="284">
      <c r="A284" s="19" t="s">
        <v>400</v>
      </c>
    </row>
    <row r="285">
      <c r="A285" s="19" t="s">
        <v>401</v>
      </c>
    </row>
    <row r="286">
      <c r="A286" s="19" t="s">
        <v>402</v>
      </c>
    </row>
    <row r="287">
      <c r="A287" s="19" t="s">
        <v>403</v>
      </c>
    </row>
    <row r="288">
      <c r="A288" s="21"/>
    </row>
    <row r="289">
      <c r="A289" s="19" t="s">
        <v>404</v>
      </c>
    </row>
    <row r="290">
      <c r="A290" s="19" t="s">
        <v>405</v>
      </c>
    </row>
    <row r="291">
      <c r="A291" s="19" t="s">
        <v>406</v>
      </c>
    </row>
    <row r="292">
      <c r="A292" s="19" t="s">
        <v>407</v>
      </c>
    </row>
    <row r="293">
      <c r="A293" s="19" t="s">
        <v>408</v>
      </c>
    </row>
    <row r="294">
      <c r="A294" s="19" t="s">
        <v>409</v>
      </c>
    </row>
    <row r="295">
      <c r="A295" s="19" t="s">
        <v>410</v>
      </c>
    </row>
    <row r="296">
      <c r="A296" s="19" t="s">
        <v>411</v>
      </c>
    </row>
    <row r="297">
      <c r="A297" s="19" t="s">
        <v>412</v>
      </c>
    </row>
    <row r="298">
      <c r="A298" s="19" t="s">
        <v>413</v>
      </c>
    </row>
    <row r="299">
      <c r="A299" s="19" t="s">
        <v>414</v>
      </c>
    </row>
    <row r="300">
      <c r="A300" s="19" t="s">
        <v>415</v>
      </c>
    </row>
    <row r="301">
      <c r="A301" s="19" t="s">
        <v>416</v>
      </c>
    </row>
    <row r="302">
      <c r="A302" s="19" t="s">
        <v>417</v>
      </c>
    </row>
    <row r="303">
      <c r="A303" s="19" t="s">
        <v>418</v>
      </c>
    </row>
    <row r="304">
      <c r="A304" s="19" t="s">
        <v>419</v>
      </c>
    </row>
    <row r="305">
      <c r="A305" s="19" t="s">
        <v>420</v>
      </c>
    </row>
    <row r="306">
      <c r="A306" s="19" t="s">
        <v>421</v>
      </c>
    </row>
    <row r="307">
      <c r="A307" s="19" t="s">
        <v>422</v>
      </c>
    </row>
    <row r="308">
      <c r="A308" s="19" t="s">
        <v>423</v>
      </c>
    </row>
    <row r="309">
      <c r="A309" s="19" t="s">
        <v>424</v>
      </c>
    </row>
    <row r="310">
      <c r="A310" s="19" t="s">
        <v>320</v>
      </c>
    </row>
    <row r="311">
      <c r="A311" s="19" t="s">
        <v>425</v>
      </c>
    </row>
    <row r="312">
      <c r="A312" s="19" t="s">
        <v>426</v>
      </c>
    </row>
    <row r="313">
      <c r="A313" s="19" t="s">
        <v>427</v>
      </c>
    </row>
    <row r="314">
      <c r="A314" s="19" t="s">
        <v>428</v>
      </c>
    </row>
    <row r="315">
      <c r="A315" s="19" t="s">
        <v>429</v>
      </c>
    </row>
    <row r="316">
      <c r="A316" s="19" t="s">
        <v>430</v>
      </c>
    </row>
    <row r="317">
      <c r="A317" s="19" t="s">
        <v>431</v>
      </c>
    </row>
    <row r="318">
      <c r="A318" s="19" t="s">
        <v>432</v>
      </c>
    </row>
    <row r="319">
      <c r="A319" s="19" t="s">
        <v>433</v>
      </c>
    </row>
    <row r="320">
      <c r="A320" s="19" t="s">
        <v>434</v>
      </c>
    </row>
    <row r="321">
      <c r="A321" s="19" t="s">
        <v>435</v>
      </c>
    </row>
    <row r="322">
      <c r="A322" s="19" t="s">
        <v>436</v>
      </c>
    </row>
    <row r="323">
      <c r="A323" s="19" t="s">
        <v>437</v>
      </c>
    </row>
    <row r="324">
      <c r="A324" s="19" t="s">
        <v>438</v>
      </c>
    </row>
    <row r="325">
      <c r="A325" s="19" t="s">
        <v>439</v>
      </c>
    </row>
    <row r="326">
      <c r="A326" s="19" t="s">
        <v>440</v>
      </c>
    </row>
    <row r="327">
      <c r="A327" s="19" t="s">
        <v>441</v>
      </c>
    </row>
    <row r="328">
      <c r="A328" s="19" t="s">
        <v>442</v>
      </c>
    </row>
    <row r="329">
      <c r="A329" s="19" t="s">
        <v>443</v>
      </c>
    </row>
    <row r="330">
      <c r="A330" s="19" t="s">
        <v>444</v>
      </c>
    </row>
    <row r="331">
      <c r="A331" s="19" t="s">
        <v>445</v>
      </c>
    </row>
    <row r="332">
      <c r="A332" s="19" t="s">
        <v>446</v>
      </c>
    </row>
    <row r="333">
      <c r="A333" s="19" t="s">
        <v>447</v>
      </c>
    </row>
    <row r="334">
      <c r="A334" s="19" t="s">
        <v>437</v>
      </c>
    </row>
    <row r="335">
      <c r="A335" s="19" t="s">
        <v>448</v>
      </c>
    </row>
    <row r="336">
      <c r="A336" s="19" t="s">
        <v>449</v>
      </c>
    </row>
    <row r="337">
      <c r="A337" s="19" t="s">
        <v>450</v>
      </c>
    </row>
    <row r="338">
      <c r="A338" s="19" t="s">
        <v>451</v>
      </c>
    </row>
    <row r="339">
      <c r="A339" s="19" t="s">
        <v>452</v>
      </c>
    </row>
    <row r="340">
      <c r="A340" s="19" t="s">
        <v>453</v>
      </c>
    </row>
    <row r="341">
      <c r="A341" s="19" t="s">
        <v>454</v>
      </c>
    </row>
    <row r="342">
      <c r="A342" s="19" t="s">
        <v>455</v>
      </c>
    </row>
    <row r="343">
      <c r="A343" s="19" t="s">
        <v>456</v>
      </c>
    </row>
    <row r="344">
      <c r="A344" s="19" t="s">
        <v>457</v>
      </c>
    </row>
    <row r="345">
      <c r="A345" s="19" t="s">
        <v>458</v>
      </c>
    </row>
    <row r="346">
      <c r="A346" s="19" t="s">
        <v>459</v>
      </c>
    </row>
    <row r="347">
      <c r="A347" s="19" t="s">
        <v>460</v>
      </c>
    </row>
    <row r="348">
      <c r="A348" s="19" t="s">
        <v>461</v>
      </c>
    </row>
    <row r="349">
      <c r="A349" s="19" t="s">
        <v>462</v>
      </c>
    </row>
    <row r="350">
      <c r="A350" s="19" t="s">
        <v>463</v>
      </c>
    </row>
    <row r="351">
      <c r="A351" s="19" t="s">
        <v>464</v>
      </c>
    </row>
    <row r="352">
      <c r="A352" s="19" t="s">
        <v>465</v>
      </c>
    </row>
    <row r="353">
      <c r="A353" s="19" t="s">
        <v>466</v>
      </c>
    </row>
    <row r="354">
      <c r="A354" s="19" t="s">
        <v>467</v>
      </c>
    </row>
    <row r="355">
      <c r="A355" s="19" t="s">
        <v>468</v>
      </c>
    </row>
    <row r="356">
      <c r="A356" s="19" t="s">
        <v>469</v>
      </c>
    </row>
    <row r="357">
      <c r="A357" s="19" t="s">
        <v>470</v>
      </c>
    </row>
    <row r="358">
      <c r="A358" s="19" t="s">
        <v>471</v>
      </c>
    </row>
    <row r="359">
      <c r="A359" s="19" t="s">
        <v>472</v>
      </c>
    </row>
    <row r="360">
      <c r="A360" s="19" t="s">
        <v>473</v>
      </c>
    </row>
    <row r="361">
      <c r="A361" s="19" t="s">
        <v>474</v>
      </c>
    </row>
    <row r="362">
      <c r="A362" s="21"/>
    </row>
    <row r="363">
      <c r="A363" s="19" t="s">
        <v>475</v>
      </c>
    </row>
    <row r="364">
      <c r="A364" s="21"/>
    </row>
    <row r="365">
      <c r="A365" s="19" t="s">
        <v>476</v>
      </c>
    </row>
    <row r="366">
      <c r="A366" s="19" t="s">
        <v>477</v>
      </c>
    </row>
    <row r="367">
      <c r="A367" s="19" t="s">
        <v>478</v>
      </c>
    </row>
    <row r="368">
      <c r="A368" s="19" t="s">
        <v>479</v>
      </c>
    </row>
    <row r="369">
      <c r="A369" s="19" t="s">
        <v>480</v>
      </c>
    </row>
    <row r="370">
      <c r="A370" s="19" t="s">
        <v>481</v>
      </c>
    </row>
    <row r="371">
      <c r="A371" s="19" t="s">
        <v>482</v>
      </c>
    </row>
    <row r="372">
      <c r="A372" s="19" t="s">
        <v>483</v>
      </c>
    </row>
    <row r="373">
      <c r="A373" s="19" t="s">
        <v>484</v>
      </c>
    </row>
    <row r="374">
      <c r="A374" s="19" t="s">
        <v>485</v>
      </c>
    </row>
    <row r="375">
      <c r="A375" s="19" t="s">
        <v>486</v>
      </c>
    </row>
    <row r="376">
      <c r="A376" s="19" t="s">
        <v>487</v>
      </c>
    </row>
    <row r="377">
      <c r="A377" s="19" t="s">
        <v>488</v>
      </c>
    </row>
    <row r="378">
      <c r="A378" s="19" t="s">
        <v>489</v>
      </c>
    </row>
    <row r="379">
      <c r="A379" s="19" t="s">
        <v>490</v>
      </c>
    </row>
    <row r="380">
      <c r="A380" s="19" t="s">
        <v>491</v>
      </c>
    </row>
    <row r="381">
      <c r="A381" s="19" t="s">
        <v>492</v>
      </c>
    </row>
    <row r="382">
      <c r="A382" s="19" t="s">
        <v>493</v>
      </c>
    </row>
    <row r="383">
      <c r="A383" s="19" t="s">
        <v>494</v>
      </c>
    </row>
    <row r="384">
      <c r="A384" s="19" t="s">
        <v>495</v>
      </c>
    </row>
    <row r="385">
      <c r="A385" s="19" t="s">
        <v>496</v>
      </c>
    </row>
    <row r="386">
      <c r="A386" s="19" t="s">
        <v>497</v>
      </c>
    </row>
    <row r="387">
      <c r="A387" s="19" t="s">
        <v>498</v>
      </c>
    </row>
    <row r="388">
      <c r="A388" s="19" t="s">
        <v>499</v>
      </c>
    </row>
    <row r="389">
      <c r="A389" s="19" t="s">
        <v>500</v>
      </c>
    </row>
    <row r="390">
      <c r="A390" s="19" t="s">
        <v>501</v>
      </c>
    </row>
    <row r="391">
      <c r="A391" s="19" t="s">
        <v>502</v>
      </c>
    </row>
    <row r="392">
      <c r="A392" s="19" t="s">
        <v>503</v>
      </c>
    </row>
    <row r="393">
      <c r="A393" s="21"/>
    </row>
    <row r="394">
      <c r="A394" s="19" t="s">
        <v>504</v>
      </c>
    </row>
    <row r="395">
      <c r="A395" s="19" t="s">
        <v>505</v>
      </c>
    </row>
    <row r="396">
      <c r="A396" s="19" t="s">
        <v>506</v>
      </c>
    </row>
    <row r="397">
      <c r="A397" s="19" t="s">
        <v>507</v>
      </c>
    </row>
    <row r="398">
      <c r="A398" s="19" t="s">
        <v>508</v>
      </c>
    </row>
    <row r="399">
      <c r="A399" s="19" t="s">
        <v>509</v>
      </c>
    </row>
    <row r="400">
      <c r="A400" s="19" t="s">
        <v>510</v>
      </c>
    </row>
    <row r="401">
      <c r="A401" s="19" t="s">
        <v>511</v>
      </c>
    </row>
    <row r="402">
      <c r="A402" s="19" t="s">
        <v>512</v>
      </c>
    </row>
    <row r="403">
      <c r="A403" s="21"/>
    </row>
    <row r="404">
      <c r="A404" s="19" t="s">
        <v>513</v>
      </c>
    </row>
    <row r="405">
      <c r="A405" s="19" t="s">
        <v>514</v>
      </c>
    </row>
    <row r="406">
      <c r="A406" s="19" t="s">
        <v>515</v>
      </c>
    </row>
    <row r="407">
      <c r="A407" s="19" t="s">
        <v>516</v>
      </c>
    </row>
    <row r="408">
      <c r="A408" s="19" t="s">
        <v>517</v>
      </c>
    </row>
    <row r="409">
      <c r="A409" s="19" t="s">
        <v>518</v>
      </c>
    </row>
    <row r="410">
      <c r="A410" s="19" t="s">
        <v>519</v>
      </c>
    </row>
    <row r="411">
      <c r="A411" s="19" t="s">
        <v>520</v>
      </c>
    </row>
    <row r="412">
      <c r="A412" s="19" t="s">
        <v>521</v>
      </c>
    </row>
    <row r="413">
      <c r="A413" s="19" t="s">
        <v>522</v>
      </c>
    </row>
    <row r="414">
      <c r="A414" s="19" t="s">
        <v>523</v>
      </c>
    </row>
    <row r="415">
      <c r="A415" s="19" t="s">
        <v>524</v>
      </c>
    </row>
    <row r="416">
      <c r="A416" s="19" t="s">
        <v>523</v>
      </c>
    </row>
    <row r="417">
      <c r="A417" s="19" t="s">
        <v>525</v>
      </c>
    </row>
    <row r="418">
      <c r="A418" s="19" t="s">
        <v>526</v>
      </c>
    </row>
    <row r="419">
      <c r="A419" s="19" t="s">
        <v>527</v>
      </c>
    </row>
    <row r="420">
      <c r="A420" s="19" t="s">
        <v>528</v>
      </c>
    </row>
    <row r="421">
      <c r="A421" s="19" t="s">
        <v>529</v>
      </c>
    </row>
    <row r="422">
      <c r="A422" s="19" t="s">
        <v>530</v>
      </c>
    </row>
    <row r="423">
      <c r="A423" s="19" t="s">
        <v>531</v>
      </c>
    </row>
    <row r="424">
      <c r="A424" s="19" t="s">
        <v>532</v>
      </c>
    </row>
    <row r="425">
      <c r="A425" s="19" t="s">
        <v>533</v>
      </c>
    </row>
    <row r="426">
      <c r="A426" s="19" t="s">
        <v>534</v>
      </c>
    </row>
    <row r="427">
      <c r="A427" s="19" t="s">
        <v>535</v>
      </c>
    </row>
    <row r="428">
      <c r="A428" s="21"/>
    </row>
    <row r="429">
      <c r="A429" s="19" t="s">
        <v>536</v>
      </c>
    </row>
    <row r="430">
      <c r="A430" s="19" t="s">
        <v>537</v>
      </c>
    </row>
    <row r="431">
      <c r="A431" s="19" t="s">
        <v>538</v>
      </c>
    </row>
    <row r="432">
      <c r="A432" s="21"/>
    </row>
    <row r="433">
      <c r="A433" s="21"/>
    </row>
    <row r="434">
      <c r="A434" s="19" t="s">
        <v>539</v>
      </c>
    </row>
    <row r="435">
      <c r="A435" s="21"/>
    </row>
    <row r="436">
      <c r="A436" s="19" t="s">
        <v>540</v>
      </c>
    </row>
    <row r="437">
      <c r="A437" s="19" t="s">
        <v>541</v>
      </c>
    </row>
    <row r="438">
      <c r="A438" s="19" t="s">
        <v>542</v>
      </c>
    </row>
    <row r="439">
      <c r="A439" s="19" t="s">
        <v>543</v>
      </c>
    </row>
    <row r="440">
      <c r="A440" s="19" t="s">
        <v>544</v>
      </c>
    </row>
    <row r="441">
      <c r="A441" s="19" t="s">
        <v>545</v>
      </c>
    </row>
    <row r="442">
      <c r="A442" s="19" t="s">
        <v>546</v>
      </c>
    </row>
    <row r="443">
      <c r="A443" s="21"/>
    </row>
    <row r="444">
      <c r="A444" s="19" t="s">
        <v>547</v>
      </c>
    </row>
    <row r="445">
      <c r="A445" s="19" t="s">
        <v>548</v>
      </c>
    </row>
    <row r="446">
      <c r="A446" s="19" t="s">
        <v>549</v>
      </c>
    </row>
    <row r="447">
      <c r="A447" s="19" t="s">
        <v>550</v>
      </c>
    </row>
    <row r="448">
      <c r="A448" s="21"/>
    </row>
    <row r="449">
      <c r="A449" s="19" t="s">
        <v>551</v>
      </c>
    </row>
    <row r="450">
      <c r="A450" s="19" t="s">
        <v>552</v>
      </c>
    </row>
    <row r="451">
      <c r="A451" s="19" t="s">
        <v>553</v>
      </c>
    </row>
    <row r="452">
      <c r="A452" s="19" t="s">
        <v>554</v>
      </c>
    </row>
    <row r="453">
      <c r="A453" s="19" t="s">
        <v>555</v>
      </c>
    </row>
    <row r="454">
      <c r="A454" s="19" t="s">
        <v>556</v>
      </c>
    </row>
    <row r="455">
      <c r="A455" s="19" t="s">
        <v>557</v>
      </c>
    </row>
    <row r="456">
      <c r="A456" s="19" t="s">
        <v>558</v>
      </c>
    </row>
    <row r="457">
      <c r="A457" s="19" t="s">
        <v>559</v>
      </c>
    </row>
    <row r="458">
      <c r="A458" s="19" t="s">
        <v>560</v>
      </c>
    </row>
    <row r="459">
      <c r="A459" s="19" t="s">
        <v>561</v>
      </c>
    </row>
    <row r="460">
      <c r="A460" s="19" t="s">
        <v>562</v>
      </c>
    </row>
    <row r="461">
      <c r="A461" s="19" t="s">
        <v>563</v>
      </c>
    </row>
    <row r="462">
      <c r="A462" s="19" t="s">
        <v>564</v>
      </c>
    </row>
    <row r="463">
      <c r="A463" s="19" t="s">
        <v>565</v>
      </c>
    </row>
    <row r="464">
      <c r="A464" s="19" t="s">
        <v>566</v>
      </c>
    </row>
    <row r="465">
      <c r="A465" s="19" t="s">
        <v>567</v>
      </c>
    </row>
    <row r="466">
      <c r="A466" s="19" t="s">
        <v>568</v>
      </c>
    </row>
    <row r="467">
      <c r="A467" s="19" t="s">
        <v>569</v>
      </c>
    </row>
    <row r="468">
      <c r="A468" s="19" t="s">
        <v>570</v>
      </c>
    </row>
    <row r="469">
      <c r="A469" s="19" t="s">
        <v>571</v>
      </c>
    </row>
    <row r="470">
      <c r="A470" s="19" t="s">
        <v>572</v>
      </c>
    </row>
    <row r="471">
      <c r="A471" s="19" t="s">
        <v>573</v>
      </c>
    </row>
    <row r="472">
      <c r="A472" s="19" t="s">
        <v>574</v>
      </c>
    </row>
    <row r="473">
      <c r="A473" s="19" t="s">
        <v>575</v>
      </c>
    </row>
    <row r="474">
      <c r="A474" s="19" t="s">
        <v>576</v>
      </c>
    </row>
    <row r="475">
      <c r="A475" s="19" t="s">
        <v>577</v>
      </c>
    </row>
    <row r="476">
      <c r="A476" s="19" t="s">
        <v>578</v>
      </c>
    </row>
    <row r="477">
      <c r="A477" s="19" t="s">
        <v>579</v>
      </c>
    </row>
    <row r="478">
      <c r="A478" s="19" t="s">
        <v>580</v>
      </c>
    </row>
    <row r="479">
      <c r="A479" s="19" t="s">
        <v>581</v>
      </c>
    </row>
    <row r="480">
      <c r="A480" s="19" t="s">
        <v>582</v>
      </c>
    </row>
    <row r="481">
      <c r="A481" s="19" t="s">
        <v>583</v>
      </c>
    </row>
    <row r="482">
      <c r="A482" s="19" t="s">
        <v>584</v>
      </c>
    </row>
    <row r="483">
      <c r="A483" s="19" t="s">
        <v>585</v>
      </c>
    </row>
    <row r="484">
      <c r="A484" s="21"/>
    </row>
    <row r="485">
      <c r="A485" s="21"/>
    </row>
    <row r="486">
      <c r="A486" s="19" t="s">
        <v>586</v>
      </c>
    </row>
    <row r="487">
      <c r="A487" s="19" t="s">
        <v>587</v>
      </c>
    </row>
    <row r="488">
      <c r="A488" s="19" t="s">
        <v>588</v>
      </c>
    </row>
    <row r="489">
      <c r="A489" s="19" t="s">
        <v>400</v>
      </c>
    </row>
    <row r="490">
      <c r="A490" s="19" t="s">
        <v>589</v>
      </c>
    </row>
    <row r="491">
      <c r="A491" s="19" t="s">
        <v>590</v>
      </c>
    </row>
    <row r="492">
      <c r="A492" s="19" t="s">
        <v>591</v>
      </c>
    </row>
    <row r="493">
      <c r="A493" s="21"/>
    </row>
    <row r="494">
      <c r="A494" s="21"/>
    </row>
    <row r="495">
      <c r="A495" s="19" t="s">
        <v>592</v>
      </c>
    </row>
    <row r="496">
      <c r="A496" s="19" t="s">
        <v>593</v>
      </c>
    </row>
    <row r="497">
      <c r="A497" s="19" t="s">
        <v>594</v>
      </c>
    </row>
    <row r="498">
      <c r="A498" s="19" t="s">
        <v>595</v>
      </c>
    </row>
    <row r="499">
      <c r="A499" s="21"/>
    </row>
    <row r="500">
      <c r="A500" s="19" t="s">
        <v>596</v>
      </c>
    </row>
    <row r="501">
      <c r="A501" s="19" t="s">
        <v>597</v>
      </c>
    </row>
    <row r="502">
      <c r="A502" s="19" t="s">
        <v>598</v>
      </c>
    </row>
    <row r="503">
      <c r="A503" s="19" t="s">
        <v>599</v>
      </c>
    </row>
    <row r="504">
      <c r="A504" s="19" t="s">
        <v>600</v>
      </c>
    </row>
    <row r="505">
      <c r="A505" s="21"/>
    </row>
    <row r="506">
      <c r="A506" s="19" t="s">
        <v>601</v>
      </c>
    </row>
    <row r="507">
      <c r="A507" s="19" t="s">
        <v>602</v>
      </c>
    </row>
    <row r="508">
      <c r="A508" s="19" t="s">
        <v>603</v>
      </c>
    </row>
    <row r="509">
      <c r="A509" s="19" t="s">
        <v>604</v>
      </c>
    </row>
    <row r="510">
      <c r="A510" s="19" t="s">
        <v>605</v>
      </c>
    </row>
    <row r="511">
      <c r="A511" s="19" t="s">
        <v>606</v>
      </c>
    </row>
    <row r="512">
      <c r="A512" s="19" t="s">
        <v>607</v>
      </c>
    </row>
    <row r="513">
      <c r="A513" s="19" t="s">
        <v>608</v>
      </c>
    </row>
    <row r="514">
      <c r="A514" s="19" t="s">
        <v>609</v>
      </c>
    </row>
    <row r="515">
      <c r="A515" s="19" t="s">
        <v>610</v>
      </c>
    </row>
    <row r="516">
      <c r="A516" s="19" t="s">
        <v>611</v>
      </c>
    </row>
    <row r="517">
      <c r="A517" s="19" t="s">
        <v>612</v>
      </c>
    </row>
    <row r="518">
      <c r="A518" s="21"/>
    </row>
    <row r="519">
      <c r="A519" s="19" t="s">
        <v>613</v>
      </c>
    </row>
    <row r="520">
      <c r="A520" s="19" t="s">
        <v>614</v>
      </c>
    </row>
    <row r="521">
      <c r="A521" s="19" t="s">
        <v>615</v>
      </c>
    </row>
    <row r="522">
      <c r="A522" s="19" t="s">
        <v>616</v>
      </c>
    </row>
    <row r="523">
      <c r="A523" s="19" t="s">
        <v>617</v>
      </c>
    </row>
    <row r="524">
      <c r="A524" s="19" t="s">
        <v>618</v>
      </c>
    </row>
    <row r="525">
      <c r="A525" s="19" t="s">
        <v>619</v>
      </c>
    </row>
    <row r="526">
      <c r="A526" s="19" t="s">
        <v>620</v>
      </c>
    </row>
    <row r="527">
      <c r="A527" s="19" t="s">
        <v>621</v>
      </c>
    </row>
    <row r="528">
      <c r="A528" s="19" t="s">
        <v>622</v>
      </c>
    </row>
    <row r="529">
      <c r="A529" s="19" t="s">
        <v>623</v>
      </c>
    </row>
    <row r="530">
      <c r="A530" s="19" t="s">
        <v>624</v>
      </c>
    </row>
    <row r="531">
      <c r="A531" s="19" t="s">
        <v>625</v>
      </c>
    </row>
    <row r="532">
      <c r="A532" s="19" t="s">
        <v>626</v>
      </c>
    </row>
    <row r="533">
      <c r="A533" s="19" t="s">
        <v>627</v>
      </c>
    </row>
    <row r="534">
      <c r="A534" s="19" t="s">
        <v>628</v>
      </c>
    </row>
    <row r="535">
      <c r="A535" s="19" t="s">
        <v>629</v>
      </c>
    </row>
    <row r="536">
      <c r="A536" s="19" t="s">
        <v>630</v>
      </c>
    </row>
    <row r="537">
      <c r="A537" s="19" t="s">
        <v>631</v>
      </c>
    </row>
    <row r="538">
      <c r="A538" s="19" t="s">
        <v>632</v>
      </c>
    </row>
    <row r="539">
      <c r="A539" s="19" t="s">
        <v>633</v>
      </c>
    </row>
    <row r="540">
      <c r="A540" s="19" t="s">
        <v>634</v>
      </c>
    </row>
    <row r="541">
      <c r="A541" s="19" t="s">
        <v>635</v>
      </c>
    </row>
    <row r="542">
      <c r="A542" s="19" t="s">
        <v>636</v>
      </c>
    </row>
    <row r="543">
      <c r="A543" s="19" t="s">
        <v>637</v>
      </c>
    </row>
    <row r="544">
      <c r="A544" s="19" t="s">
        <v>638</v>
      </c>
    </row>
    <row r="545">
      <c r="A545" s="19" t="s">
        <v>639</v>
      </c>
    </row>
    <row r="546">
      <c r="A546" s="19" t="s">
        <v>640</v>
      </c>
    </row>
    <row r="547">
      <c r="A547" s="19" t="s">
        <v>641</v>
      </c>
    </row>
    <row r="548">
      <c r="A548" s="19" t="s">
        <v>642</v>
      </c>
    </row>
    <row r="549">
      <c r="A549" s="19" t="s">
        <v>643</v>
      </c>
    </row>
    <row r="550">
      <c r="A550" s="19" t="s">
        <v>644</v>
      </c>
    </row>
    <row r="551">
      <c r="A551" s="19" t="s">
        <v>645</v>
      </c>
    </row>
    <row r="552">
      <c r="A552" s="19" t="s">
        <v>646</v>
      </c>
    </row>
    <row r="553">
      <c r="A553" s="19" t="s">
        <v>647</v>
      </c>
    </row>
    <row r="554">
      <c r="A554" s="19" t="s">
        <v>648</v>
      </c>
    </row>
    <row r="555">
      <c r="A555" s="19" t="s">
        <v>649</v>
      </c>
    </row>
    <row r="556">
      <c r="A556" s="19" t="s">
        <v>650</v>
      </c>
    </row>
    <row r="557">
      <c r="A557" s="19" t="s">
        <v>651</v>
      </c>
    </row>
    <row r="558">
      <c r="A558" s="19" t="s">
        <v>652</v>
      </c>
    </row>
    <row r="559">
      <c r="A559" s="19" t="s">
        <v>653</v>
      </c>
    </row>
    <row r="560">
      <c r="A560" s="19" t="s">
        <v>654</v>
      </c>
    </row>
    <row r="561">
      <c r="A561" s="19" t="s">
        <v>655</v>
      </c>
    </row>
    <row r="562">
      <c r="A562" s="19" t="s">
        <v>656</v>
      </c>
    </row>
    <row r="563">
      <c r="A563" s="21"/>
    </row>
    <row r="564">
      <c r="A564" s="21"/>
    </row>
    <row r="565">
      <c r="A565" s="19" t="s">
        <v>657</v>
      </c>
    </row>
    <row r="566">
      <c r="A566" s="19" t="s">
        <v>658</v>
      </c>
    </row>
    <row r="567">
      <c r="A567" s="19" t="s">
        <v>659</v>
      </c>
    </row>
    <row r="568">
      <c r="A568" s="19" t="s">
        <v>660</v>
      </c>
    </row>
    <row r="569">
      <c r="A569" s="19" t="s">
        <v>661</v>
      </c>
    </row>
    <row r="570">
      <c r="A570" s="19" t="s">
        <v>662</v>
      </c>
    </row>
    <row r="571">
      <c r="A571" s="19" t="s">
        <v>663</v>
      </c>
    </row>
    <row r="572">
      <c r="A572" s="19" t="s">
        <v>664</v>
      </c>
    </row>
    <row r="573">
      <c r="A573" s="19" t="s">
        <v>665</v>
      </c>
    </row>
    <row r="574">
      <c r="A574" s="19" t="s">
        <v>666</v>
      </c>
    </row>
    <row r="575">
      <c r="A575" s="19" t="s">
        <v>667</v>
      </c>
    </row>
    <row r="576">
      <c r="A576" s="19" t="s">
        <v>668</v>
      </c>
    </row>
    <row r="577">
      <c r="A577" s="19" t="s">
        <v>669</v>
      </c>
    </row>
    <row r="578">
      <c r="A578" s="19" t="s">
        <v>670</v>
      </c>
    </row>
    <row r="579">
      <c r="A579" s="19" t="s">
        <v>671</v>
      </c>
    </row>
    <row r="580">
      <c r="A580" s="19" t="s">
        <v>672</v>
      </c>
    </row>
    <row r="581">
      <c r="A581" s="19" t="s">
        <v>673</v>
      </c>
    </row>
    <row r="582">
      <c r="A582" s="21"/>
    </row>
    <row r="583">
      <c r="A583" s="19" t="s">
        <v>674</v>
      </c>
    </row>
    <row r="584">
      <c r="A584" s="19" t="s">
        <v>675</v>
      </c>
    </row>
    <row r="585">
      <c r="A585" s="21"/>
    </row>
    <row r="586">
      <c r="A586" s="19" t="s">
        <v>676</v>
      </c>
    </row>
    <row r="587">
      <c r="A587" s="19" t="s">
        <v>677</v>
      </c>
    </row>
    <row r="588">
      <c r="A588" s="21"/>
    </row>
    <row r="589">
      <c r="A589" s="19" t="s">
        <v>678</v>
      </c>
    </row>
    <row r="590">
      <c r="A590" s="19" t="s">
        <v>679</v>
      </c>
    </row>
    <row r="591">
      <c r="A591" s="21"/>
    </row>
    <row r="592">
      <c r="A592" s="19" t="s">
        <v>680</v>
      </c>
    </row>
    <row r="593">
      <c r="A593" s="19" t="s">
        <v>681</v>
      </c>
    </row>
    <row r="594">
      <c r="A594" s="19" t="s">
        <v>682</v>
      </c>
    </row>
    <row r="595">
      <c r="A595" s="19" t="s">
        <v>683</v>
      </c>
    </row>
    <row r="596">
      <c r="A596" s="19" t="s">
        <v>684</v>
      </c>
    </row>
    <row r="597">
      <c r="A597" s="19" t="s">
        <v>685</v>
      </c>
    </row>
    <row r="598">
      <c r="A598" s="19" t="s">
        <v>686</v>
      </c>
    </row>
    <row r="599">
      <c r="A599" s="19" t="s">
        <v>687</v>
      </c>
    </row>
    <row r="600">
      <c r="A600" s="19" t="s">
        <v>688</v>
      </c>
    </row>
    <row r="601">
      <c r="A601" s="19" t="s">
        <v>689</v>
      </c>
    </row>
    <row r="602">
      <c r="A602" s="19" t="s">
        <v>690</v>
      </c>
    </row>
    <row r="603">
      <c r="A603" s="19" t="s">
        <v>691</v>
      </c>
    </row>
    <row r="604">
      <c r="A604" s="19" t="s">
        <v>692</v>
      </c>
    </row>
    <row r="605">
      <c r="A605" s="19" t="s">
        <v>693</v>
      </c>
    </row>
    <row r="606">
      <c r="A606" s="19" t="s">
        <v>694</v>
      </c>
    </row>
    <row r="607">
      <c r="A607" s="19" t="s">
        <v>695</v>
      </c>
    </row>
    <row r="608">
      <c r="A608" s="19" t="s">
        <v>694</v>
      </c>
    </row>
    <row r="609">
      <c r="A609" s="19" t="s">
        <v>696</v>
      </c>
    </row>
    <row r="610">
      <c r="A610" s="19" t="s">
        <v>697</v>
      </c>
    </row>
    <row r="611">
      <c r="A611" s="19" t="s">
        <v>698</v>
      </c>
    </row>
    <row r="612">
      <c r="A612" s="21"/>
    </row>
    <row r="613">
      <c r="A613" s="19" t="s">
        <v>699</v>
      </c>
    </row>
    <row r="614">
      <c r="A614" s="19" t="s">
        <v>700</v>
      </c>
    </row>
    <row r="615">
      <c r="A615" s="19" t="s">
        <v>701</v>
      </c>
    </row>
    <row r="616">
      <c r="A616" s="19" t="s">
        <v>702</v>
      </c>
    </row>
    <row r="617">
      <c r="A617" s="19" t="s">
        <v>703</v>
      </c>
    </row>
    <row r="618">
      <c r="A618" s="19" t="s">
        <v>704</v>
      </c>
    </row>
    <row r="619">
      <c r="A619" s="19" t="s">
        <v>705</v>
      </c>
    </row>
    <row r="620">
      <c r="A620" s="19" t="s">
        <v>706</v>
      </c>
    </row>
    <row r="621">
      <c r="A621" s="19" t="s">
        <v>707</v>
      </c>
    </row>
    <row r="622">
      <c r="A622" s="19" t="s">
        <v>708</v>
      </c>
    </row>
    <row r="623">
      <c r="A623" s="19" t="s">
        <v>709</v>
      </c>
    </row>
    <row r="624">
      <c r="A624" s="19" t="s">
        <v>710</v>
      </c>
    </row>
    <row r="625">
      <c r="A625" s="19" t="s">
        <v>711</v>
      </c>
    </row>
    <row r="626">
      <c r="A626" s="19" t="s">
        <v>712</v>
      </c>
    </row>
    <row r="627">
      <c r="A627" s="21"/>
    </row>
    <row r="628">
      <c r="A628" s="19" t="s">
        <v>713</v>
      </c>
    </row>
    <row r="629">
      <c r="A629" s="19" t="s">
        <v>714</v>
      </c>
    </row>
    <row r="630">
      <c r="A630" s="19" t="s">
        <v>715</v>
      </c>
    </row>
    <row r="631">
      <c r="A631" s="19" t="s">
        <v>716</v>
      </c>
    </row>
    <row r="632">
      <c r="A632" s="21"/>
    </row>
    <row r="633">
      <c r="A633" s="19" t="s">
        <v>717</v>
      </c>
    </row>
    <row r="634">
      <c r="A634" s="19" t="s">
        <v>718</v>
      </c>
    </row>
    <row r="635">
      <c r="A635" s="19" t="s">
        <v>719</v>
      </c>
    </row>
    <row r="636">
      <c r="A636" s="19" t="s">
        <v>720</v>
      </c>
    </row>
    <row r="637">
      <c r="A637" s="19" t="s">
        <v>721</v>
      </c>
    </row>
    <row r="638">
      <c r="A638" s="19" t="s">
        <v>722</v>
      </c>
    </row>
    <row r="639">
      <c r="A639" s="19" t="s">
        <v>723</v>
      </c>
    </row>
    <row r="640">
      <c r="A640" s="19" t="s">
        <v>724</v>
      </c>
    </row>
    <row r="641">
      <c r="A641" s="19" t="s">
        <v>725</v>
      </c>
    </row>
    <row r="642">
      <c r="A642" s="19" t="s">
        <v>726</v>
      </c>
    </row>
    <row r="643">
      <c r="A643" s="19" t="s">
        <v>727</v>
      </c>
    </row>
    <row r="644">
      <c r="A644" s="19" t="s">
        <v>728</v>
      </c>
    </row>
    <row r="645">
      <c r="A645" s="19" t="s">
        <v>729</v>
      </c>
    </row>
    <row r="646">
      <c r="A646" s="21"/>
    </row>
    <row r="647">
      <c r="A647" s="19" t="s">
        <v>730</v>
      </c>
    </row>
    <row r="648">
      <c r="A648" s="19" t="s">
        <v>731</v>
      </c>
    </row>
    <row r="649">
      <c r="A649" s="19" t="s">
        <v>732</v>
      </c>
    </row>
    <row r="650">
      <c r="A650" s="19" t="s">
        <v>733</v>
      </c>
    </row>
    <row r="651">
      <c r="A651" s="19" t="s">
        <v>734</v>
      </c>
    </row>
    <row r="652">
      <c r="A652" s="19" t="s">
        <v>735</v>
      </c>
    </row>
    <row r="653">
      <c r="A653" s="19" t="s">
        <v>736</v>
      </c>
    </row>
    <row r="654">
      <c r="A654" s="19" t="s">
        <v>737</v>
      </c>
    </row>
    <row r="655">
      <c r="A655" s="19" t="s">
        <v>738</v>
      </c>
    </row>
    <row r="656">
      <c r="A656" s="19" t="s">
        <v>739</v>
      </c>
    </row>
    <row r="657">
      <c r="A657" s="19" t="s">
        <v>740</v>
      </c>
    </row>
    <row r="658">
      <c r="A658" s="19" t="s">
        <v>741</v>
      </c>
    </row>
    <row r="659">
      <c r="A659" s="19" t="s">
        <v>742</v>
      </c>
    </row>
    <row r="660">
      <c r="A660" s="21"/>
    </row>
    <row r="661">
      <c r="A661" s="19" t="s">
        <v>743</v>
      </c>
    </row>
    <row r="662">
      <c r="A662" s="19" t="s">
        <v>744</v>
      </c>
    </row>
    <row r="663">
      <c r="A663" s="19" t="s">
        <v>745</v>
      </c>
    </row>
    <row r="664">
      <c r="A664" s="19" t="s">
        <v>746</v>
      </c>
    </row>
    <row r="665">
      <c r="A665" s="19" t="s">
        <v>747</v>
      </c>
    </row>
    <row r="666">
      <c r="A666" s="19" t="s">
        <v>748</v>
      </c>
    </row>
    <row r="667">
      <c r="A667" s="19" t="s">
        <v>749</v>
      </c>
    </row>
    <row r="668">
      <c r="A668" s="19" t="s">
        <v>750</v>
      </c>
    </row>
    <row r="669">
      <c r="A669" s="19" t="s">
        <v>751</v>
      </c>
    </row>
    <row r="670">
      <c r="A670" s="19" t="s">
        <v>752</v>
      </c>
    </row>
    <row r="671">
      <c r="A671" s="19" t="s">
        <v>753</v>
      </c>
    </row>
    <row r="672">
      <c r="A672" s="19" t="s">
        <v>754</v>
      </c>
    </row>
    <row r="673">
      <c r="A673" s="19" t="s">
        <v>755</v>
      </c>
    </row>
    <row r="674">
      <c r="A674" s="21"/>
    </row>
    <row r="675">
      <c r="A675" s="19" t="s">
        <v>756</v>
      </c>
    </row>
    <row r="676">
      <c r="A676" s="19" t="s">
        <v>757</v>
      </c>
    </row>
    <row r="677">
      <c r="A677" s="19" t="s">
        <v>758</v>
      </c>
    </row>
    <row r="678">
      <c r="A678" s="19" t="s">
        <v>759</v>
      </c>
    </row>
    <row r="679">
      <c r="A679" s="19" t="s">
        <v>760</v>
      </c>
    </row>
    <row r="680">
      <c r="A680" s="19" t="s">
        <v>761</v>
      </c>
    </row>
    <row r="681">
      <c r="A681" s="21"/>
    </row>
    <row r="682">
      <c r="A682" s="19" t="s">
        <v>762</v>
      </c>
    </row>
    <row r="683">
      <c r="A683" s="19" t="s">
        <v>763</v>
      </c>
    </row>
    <row r="684">
      <c r="A684" s="19" t="s">
        <v>764</v>
      </c>
    </row>
    <row r="685">
      <c r="A685" s="19" t="s">
        <v>765</v>
      </c>
    </row>
    <row r="686">
      <c r="A686" s="19" t="s">
        <v>766</v>
      </c>
    </row>
    <row r="687">
      <c r="A687" s="19" t="s">
        <v>767</v>
      </c>
    </row>
    <row r="688">
      <c r="A688" s="19" t="s">
        <v>768</v>
      </c>
    </row>
    <row r="689">
      <c r="A689" s="19" t="s">
        <v>769</v>
      </c>
    </row>
    <row r="690">
      <c r="A690" s="19" t="s">
        <v>770</v>
      </c>
    </row>
    <row r="691">
      <c r="A691" s="19" t="s">
        <v>771</v>
      </c>
    </row>
    <row r="692">
      <c r="A692" s="19" t="s">
        <v>772</v>
      </c>
    </row>
    <row r="693">
      <c r="A693" s="19" t="s">
        <v>773</v>
      </c>
    </row>
    <row r="694">
      <c r="A694" s="19" t="s">
        <v>774</v>
      </c>
    </row>
    <row r="695">
      <c r="A695" s="19" t="s">
        <v>775</v>
      </c>
    </row>
    <row r="696">
      <c r="A696" s="19" t="s">
        <v>776</v>
      </c>
    </row>
    <row r="697">
      <c r="A697" s="19" t="s">
        <v>777</v>
      </c>
    </row>
    <row r="698">
      <c r="A698" s="19" t="s">
        <v>778</v>
      </c>
    </row>
    <row r="699">
      <c r="A699" s="19" t="s">
        <v>779</v>
      </c>
    </row>
    <row r="700">
      <c r="A700" s="19" t="s">
        <v>780</v>
      </c>
    </row>
    <row r="701">
      <c r="A701" s="19" t="s">
        <v>781</v>
      </c>
    </row>
    <row r="702">
      <c r="A702" s="21"/>
    </row>
    <row r="703">
      <c r="A703" s="19" t="s">
        <v>782</v>
      </c>
    </row>
    <row r="704">
      <c r="A704" s="19" t="s">
        <v>783</v>
      </c>
    </row>
    <row r="705">
      <c r="A705" s="19" t="s">
        <v>784</v>
      </c>
    </row>
    <row r="706">
      <c r="A706" s="19" t="s">
        <v>785</v>
      </c>
    </row>
    <row r="707">
      <c r="A707" s="19" t="s">
        <v>786</v>
      </c>
    </row>
    <row r="708">
      <c r="A708" s="19" t="s">
        <v>787</v>
      </c>
    </row>
    <row r="709">
      <c r="A709" s="19" t="s">
        <v>788</v>
      </c>
    </row>
    <row r="710">
      <c r="A710" s="19" t="s">
        <v>789</v>
      </c>
    </row>
    <row r="711">
      <c r="A711" s="19" t="s">
        <v>790</v>
      </c>
    </row>
    <row r="712">
      <c r="A712" s="19" t="s">
        <v>791</v>
      </c>
    </row>
    <row r="713">
      <c r="A713" s="19" t="s">
        <v>792</v>
      </c>
    </row>
    <row r="714">
      <c r="A714" s="19" t="s">
        <v>793</v>
      </c>
    </row>
    <row r="715">
      <c r="A715" s="19" t="s">
        <v>794</v>
      </c>
    </row>
    <row r="716">
      <c r="A716" s="19" t="s">
        <v>795</v>
      </c>
    </row>
    <row r="717">
      <c r="A717" s="19" t="s">
        <v>796</v>
      </c>
    </row>
    <row r="718">
      <c r="A718" s="19" t="s">
        <v>797</v>
      </c>
    </row>
    <row r="719">
      <c r="A719" s="21"/>
    </row>
    <row r="720">
      <c r="A720" s="19" t="s">
        <v>798</v>
      </c>
    </row>
    <row r="721">
      <c r="A721" s="19" t="s">
        <v>799</v>
      </c>
    </row>
    <row r="722">
      <c r="A722" s="19" t="s">
        <v>800</v>
      </c>
    </row>
    <row r="723">
      <c r="A723" s="21"/>
    </row>
    <row r="724">
      <c r="A724" s="19" t="s">
        <v>801</v>
      </c>
    </row>
    <row r="725">
      <c r="A725" s="19" t="s">
        <v>802</v>
      </c>
    </row>
    <row r="726">
      <c r="A726" s="19" t="s">
        <v>803</v>
      </c>
    </row>
    <row r="727">
      <c r="A727" s="19" t="s">
        <v>804</v>
      </c>
    </row>
    <row r="728">
      <c r="A728" s="21"/>
    </row>
    <row r="729">
      <c r="A729" s="19" t="s">
        <v>805</v>
      </c>
    </row>
    <row r="730">
      <c r="A730" s="19" t="s">
        <v>806</v>
      </c>
    </row>
    <row r="731">
      <c r="A731" s="19" t="s">
        <v>807</v>
      </c>
    </row>
    <row r="732">
      <c r="A732" s="19" t="s">
        <v>808</v>
      </c>
    </row>
    <row r="733">
      <c r="A733" s="19" t="s">
        <v>809</v>
      </c>
    </row>
    <row r="734">
      <c r="A734" s="19" t="s">
        <v>810</v>
      </c>
    </row>
    <row r="735">
      <c r="A735" s="19" t="s">
        <v>811</v>
      </c>
    </row>
    <row r="736">
      <c r="A736" s="19" t="s">
        <v>812</v>
      </c>
    </row>
    <row r="737">
      <c r="A737" s="19" t="s">
        <v>813</v>
      </c>
    </row>
    <row r="738">
      <c r="A738" s="19" t="s">
        <v>814</v>
      </c>
    </row>
    <row r="739">
      <c r="A739" s="19" t="s">
        <v>815</v>
      </c>
    </row>
    <row r="740">
      <c r="A740" s="19" t="s">
        <v>816</v>
      </c>
    </row>
    <row r="741">
      <c r="A741" s="19" t="s">
        <v>817</v>
      </c>
    </row>
    <row r="742">
      <c r="A742" s="19" t="s">
        <v>818</v>
      </c>
    </row>
    <row r="743">
      <c r="A743" s="19" t="s">
        <v>819</v>
      </c>
    </row>
    <row r="744">
      <c r="A744" s="19" t="s">
        <v>820</v>
      </c>
    </row>
    <row r="745">
      <c r="A745" s="19" t="s">
        <v>821</v>
      </c>
    </row>
    <row r="746">
      <c r="A746" s="19" t="s">
        <v>822</v>
      </c>
    </row>
    <row r="747">
      <c r="A747" s="19" t="s">
        <v>823</v>
      </c>
    </row>
    <row r="748">
      <c r="A748" s="19" t="s">
        <v>824</v>
      </c>
    </row>
    <row r="749">
      <c r="A749" s="19" t="s">
        <v>825</v>
      </c>
    </row>
    <row r="750">
      <c r="A750" s="19" t="s">
        <v>826</v>
      </c>
    </row>
    <row r="751">
      <c r="A751" s="19" t="s">
        <v>827</v>
      </c>
    </row>
    <row r="752">
      <c r="A752" s="19" t="s">
        <v>828</v>
      </c>
    </row>
    <row r="753">
      <c r="A753" s="19" t="s">
        <v>829</v>
      </c>
    </row>
    <row r="754">
      <c r="A754" s="19" t="s">
        <v>830</v>
      </c>
    </row>
    <row r="755">
      <c r="A755" s="19" t="s">
        <v>831</v>
      </c>
    </row>
    <row r="756">
      <c r="A756" s="19" t="s">
        <v>832</v>
      </c>
    </row>
    <row r="757">
      <c r="A757" s="19" t="s">
        <v>833</v>
      </c>
    </row>
    <row r="758">
      <c r="A758" s="19" t="s">
        <v>834</v>
      </c>
    </row>
    <row r="759">
      <c r="A759" s="19" t="s">
        <v>835</v>
      </c>
    </row>
    <row r="760">
      <c r="A760" s="19" t="s">
        <v>836</v>
      </c>
    </row>
    <row r="761">
      <c r="A761" s="19" t="s">
        <v>837</v>
      </c>
    </row>
    <row r="762">
      <c r="A762" s="19" t="s">
        <v>838</v>
      </c>
    </row>
    <row r="763">
      <c r="A763" s="19" t="s">
        <v>839</v>
      </c>
    </row>
    <row r="764">
      <c r="A764" s="19" t="s">
        <v>840</v>
      </c>
    </row>
    <row r="765">
      <c r="A765" s="21"/>
    </row>
    <row r="766">
      <c r="A766" s="19" t="s">
        <v>841</v>
      </c>
    </row>
    <row r="767">
      <c r="A767" s="19" t="s">
        <v>842</v>
      </c>
    </row>
    <row r="768">
      <c r="A768" s="19" t="s">
        <v>843</v>
      </c>
    </row>
    <row r="769">
      <c r="A769" s="19" t="s">
        <v>844</v>
      </c>
    </row>
    <row r="770">
      <c r="A770" s="19" t="s">
        <v>845</v>
      </c>
    </row>
    <row r="771">
      <c r="A771" s="19" t="s">
        <v>846</v>
      </c>
    </row>
    <row r="772">
      <c r="A772" s="19" t="s">
        <v>847</v>
      </c>
    </row>
    <row r="773">
      <c r="A773" s="19" t="s">
        <v>847</v>
      </c>
    </row>
    <row r="774">
      <c r="A774" s="19" t="s">
        <v>848</v>
      </c>
    </row>
    <row r="775">
      <c r="A775" s="19" t="s">
        <v>848</v>
      </c>
    </row>
    <row r="776">
      <c r="A776" s="19" t="s">
        <v>849</v>
      </c>
    </row>
    <row r="777">
      <c r="A777" s="19" t="s">
        <v>850</v>
      </c>
    </row>
    <row r="778">
      <c r="A778" s="19" t="s">
        <v>851</v>
      </c>
    </row>
    <row r="779">
      <c r="A779" s="19" t="s">
        <v>852</v>
      </c>
    </row>
    <row r="780">
      <c r="A780" s="19" t="s">
        <v>853</v>
      </c>
    </row>
    <row r="781">
      <c r="A781" s="19" t="s">
        <v>854</v>
      </c>
    </row>
    <row r="782">
      <c r="A782" s="19" t="s">
        <v>855</v>
      </c>
    </row>
    <row r="783">
      <c r="A783" s="19" t="s">
        <v>856</v>
      </c>
    </row>
    <row r="784">
      <c r="A784" s="19" t="s">
        <v>857</v>
      </c>
    </row>
    <row r="785">
      <c r="A785" s="19" t="s">
        <v>858</v>
      </c>
    </row>
    <row r="786">
      <c r="A786" s="19" t="s">
        <v>859</v>
      </c>
    </row>
    <row r="787">
      <c r="A787" s="19" t="s">
        <v>860</v>
      </c>
    </row>
    <row r="788">
      <c r="A788" s="19" t="s">
        <v>861</v>
      </c>
    </row>
    <row r="789">
      <c r="A789" s="19" t="s">
        <v>862</v>
      </c>
    </row>
    <row r="790">
      <c r="A790" s="19" t="s">
        <v>863</v>
      </c>
    </row>
    <row r="791">
      <c r="A791" s="19" t="s">
        <v>864</v>
      </c>
    </row>
    <row r="792">
      <c r="A792" s="19" t="s">
        <v>865</v>
      </c>
    </row>
    <row r="793">
      <c r="A793" s="19" t="s">
        <v>866</v>
      </c>
    </row>
    <row r="794">
      <c r="A794" s="19" t="s">
        <v>867</v>
      </c>
    </row>
    <row r="795">
      <c r="A795" s="19" t="s">
        <v>868</v>
      </c>
    </row>
    <row r="796">
      <c r="A796" s="19" t="s">
        <v>869</v>
      </c>
    </row>
    <row r="797">
      <c r="A797" s="19" t="s">
        <v>870</v>
      </c>
    </row>
    <row r="798">
      <c r="A798" s="19" t="s">
        <v>871</v>
      </c>
    </row>
    <row r="799">
      <c r="A799" s="19" t="s">
        <v>872</v>
      </c>
    </row>
    <row r="800">
      <c r="A800" s="19" t="s">
        <v>873</v>
      </c>
    </row>
    <row r="801">
      <c r="A801" s="19" t="s">
        <v>874</v>
      </c>
    </row>
    <row r="802">
      <c r="A802" s="19" t="s">
        <v>875</v>
      </c>
    </row>
    <row r="803">
      <c r="A803" s="19" t="s">
        <v>876</v>
      </c>
    </row>
    <row r="804">
      <c r="A804" s="19" t="s">
        <v>877</v>
      </c>
    </row>
    <row r="805">
      <c r="A805" s="19" t="s">
        <v>878</v>
      </c>
    </row>
    <row r="806">
      <c r="A806" s="19" t="s">
        <v>879</v>
      </c>
    </row>
    <row r="807">
      <c r="A807" s="19" t="s">
        <v>880</v>
      </c>
    </row>
    <row r="808">
      <c r="A808" s="19" t="s">
        <v>881</v>
      </c>
    </row>
    <row r="809">
      <c r="A809" s="19" t="s">
        <v>882</v>
      </c>
    </row>
    <row r="810">
      <c r="A810" s="19" t="s">
        <v>883</v>
      </c>
    </row>
    <row r="811">
      <c r="A811" s="19" t="s">
        <v>884</v>
      </c>
    </row>
    <row r="812">
      <c r="A812" s="19" t="s">
        <v>885</v>
      </c>
    </row>
    <row r="813">
      <c r="A813" s="19" t="s">
        <v>886</v>
      </c>
    </row>
    <row r="814">
      <c r="A814" s="19" t="s">
        <v>887</v>
      </c>
    </row>
    <row r="815">
      <c r="A815" s="19" t="s">
        <v>888</v>
      </c>
    </row>
    <row r="816">
      <c r="A816" s="19" t="s">
        <v>889</v>
      </c>
    </row>
    <row r="817">
      <c r="A817" s="19" t="s">
        <v>890</v>
      </c>
    </row>
    <row r="818">
      <c r="A818" s="19" t="s">
        <v>891</v>
      </c>
    </row>
    <row r="819">
      <c r="A819" s="19" t="s">
        <v>892</v>
      </c>
    </row>
    <row r="820">
      <c r="A820" s="19" t="s">
        <v>893</v>
      </c>
    </row>
    <row r="821">
      <c r="A821" s="19" t="s">
        <v>894</v>
      </c>
    </row>
    <row r="822">
      <c r="A822" s="19" t="s">
        <v>895</v>
      </c>
    </row>
    <row r="823">
      <c r="A823" s="19" t="s">
        <v>896</v>
      </c>
    </row>
    <row r="824">
      <c r="A824" s="19" t="s">
        <v>897</v>
      </c>
    </row>
    <row r="825">
      <c r="A825" s="19" t="s">
        <v>560</v>
      </c>
    </row>
    <row r="826">
      <c r="A826" s="19" t="s">
        <v>898</v>
      </c>
    </row>
    <row r="827">
      <c r="A827" s="19" t="s">
        <v>899</v>
      </c>
    </row>
    <row r="828">
      <c r="A828" s="19" t="s">
        <v>900</v>
      </c>
    </row>
    <row r="829">
      <c r="A829" s="19" t="s">
        <v>901</v>
      </c>
    </row>
    <row r="830">
      <c r="A830" s="19" t="s">
        <v>902</v>
      </c>
    </row>
    <row r="831">
      <c r="A831" s="19" t="s">
        <v>903</v>
      </c>
    </row>
    <row r="832">
      <c r="A832" s="19" t="s">
        <v>904</v>
      </c>
    </row>
    <row r="833">
      <c r="A833" s="19" t="s">
        <v>905</v>
      </c>
    </row>
    <row r="834">
      <c r="A834" s="19" t="s">
        <v>906</v>
      </c>
    </row>
    <row r="835">
      <c r="A835" s="19" t="s">
        <v>907</v>
      </c>
    </row>
    <row r="836">
      <c r="A836" s="21"/>
    </row>
    <row r="837">
      <c r="A837" s="19" t="s">
        <v>908</v>
      </c>
    </row>
    <row r="838">
      <c r="A838" s="19" t="s">
        <v>909</v>
      </c>
    </row>
    <row r="839">
      <c r="A839" s="19" t="s">
        <v>910</v>
      </c>
    </row>
    <row r="840">
      <c r="A840" s="19" t="s">
        <v>911</v>
      </c>
    </row>
    <row r="841">
      <c r="A841" s="19" t="s">
        <v>912</v>
      </c>
    </row>
    <row r="842">
      <c r="A842" s="19" t="s">
        <v>913</v>
      </c>
    </row>
    <row r="843">
      <c r="A843" s="19" t="s">
        <v>914</v>
      </c>
    </row>
    <row r="844">
      <c r="A844" s="19" t="s">
        <v>915</v>
      </c>
    </row>
    <row r="845">
      <c r="A845" s="21"/>
    </row>
    <row r="846">
      <c r="A846" s="19" t="s">
        <v>916</v>
      </c>
    </row>
    <row r="847">
      <c r="A847" s="19" t="s">
        <v>917</v>
      </c>
    </row>
    <row r="848">
      <c r="A848" s="19" t="s">
        <v>918</v>
      </c>
    </row>
    <row r="849">
      <c r="A849" s="19" t="s">
        <v>894</v>
      </c>
    </row>
    <row r="850">
      <c r="A850" s="19" t="s">
        <v>894</v>
      </c>
    </row>
    <row r="851">
      <c r="A851" s="19" t="s">
        <v>919</v>
      </c>
    </row>
    <row r="852">
      <c r="A852" s="21"/>
    </row>
    <row r="853">
      <c r="A853" s="21"/>
    </row>
    <row r="854">
      <c r="A854" s="19" t="s">
        <v>920</v>
      </c>
    </row>
    <row r="855">
      <c r="A855" s="19" t="s">
        <v>921</v>
      </c>
    </row>
    <row r="856">
      <c r="A856" s="19" t="s">
        <v>922</v>
      </c>
    </row>
    <row r="857">
      <c r="A857" s="19" t="s">
        <v>923</v>
      </c>
    </row>
    <row r="858">
      <c r="A858" s="19" t="s">
        <v>924</v>
      </c>
    </row>
    <row r="859">
      <c r="A859" s="19" t="s">
        <v>925</v>
      </c>
    </row>
    <row r="860">
      <c r="A860" s="19" t="s">
        <v>926</v>
      </c>
    </row>
    <row r="861">
      <c r="A861" s="19" t="s">
        <v>927</v>
      </c>
    </row>
    <row r="862">
      <c r="A862" s="19" t="s">
        <v>928</v>
      </c>
    </row>
    <row r="863">
      <c r="A863" s="19" t="s">
        <v>929</v>
      </c>
    </row>
    <row r="864">
      <c r="A864" s="19" t="s">
        <v>930</v>
      </c>
    </row>
    <row r="865">
      <c r="A865" s="19" t="s">
        <v>931</v>
      </c>
    </row>
    <row r="866">
      <c r="A866" s="19" t="s">
        <v>932</v>
      </c>
    </row>
    <row r="867">
      <c r="A867" s="19" t="s">
        <v>933</v>
      </c>
    </row>
    <row r="868">
      <c r="A868" s="19" t="s">
        <v>934</v>
      </c>
    </row>
    <row r="869">
      <c r="A869" s="19" t="s">
        <v>935</v>
      </c>
    </row>
    <row r="870">
      <c r="A870" s="19" t="s">
        <v>936</v>
      </c>
    </row>
    <row r="871">
      <c r="A871" s="19" t="s">
        <v>937</v>
      </c>
    </row>
    <row r="872">
      <c r="A872" s="19" t="s">
        <v>938</v>
      </c>
    </row>
    <row r="873">
      <c r="A873" s="19" t="s">
        <v>939</v>
      </c>
    </row>
    <row r="874">
      <c r="A874" s="19" t="s">
        <v>940</v>
      </c>
    </row>
    <row r="875">
      <c r="A875" s="19" t="s">
        <v>941</v>
      </c>
    </row>
    <row r="876">
      <c r="A876" s="19" t="s">
        <v>942</v>
      </c>
    </row>
    <row r="877">
      <c r="A877" s="19" t="s">
        <v>943</v>
      </c>
    </row>
    <row r="878">
      <c r="A878" s="19" t="s">
        <v>944</v>
      </c>
    </row>
    <row r="879">
      <c r="A879" s="19" t="s">
        <v>945</v>
      </c>
    </row>
    <row r="880">
      <c r="A880" s="19" t="s">
        <v>946</v>
      </c>
    </row>
    <row r="881">
      <c r="A881" s="19" t="s">
        <v>947</v>
      </c>
    </row>
    <row r="882">
      <c r="A882" s="19" t="s">
        <v>948</v>
      </c>
    </row>
    <row r="883">
      <c r="A883" s="19" t="s">
        <v>949</v>
      </c>
    </row>
    <row r="884">
      <c r="A884" s="19" t="s">
        <v>950</v>
      </c>
    </row>
    <row r="885">
      <c r="A885" s="19" t="s">
        <v>951</v>
      </c>
    </row>
    <row r="886">
      <c r="A886" s="19" t="s">
        <v>952</v>
      </c>
    </row>
    <row r="887">
      <c r="A887" s="19" t="s">
        <v>894</v>
      </c>
    </row>
    <row r="888">
      <c r="A888" s="19" t="s">
        <v>896</v>
      </c>
    </row>
    <row r="889">
      <c r="A889" s="19" t="s">
        <v>953</v>
      </c>
    </row>
    <row r="890">
      <c r="A890" s="19" t="s">
        <v>954</v>
      </c>
    </row>
    <row r="891">
      <c r="A891" s="19" t="s">
        <v>955</v>
      </c>
    </row>
    <row r="892">
      <c r="A892" s="19" t="s">
        <v>956</v>
      </c>
    </row>
    <row r="893">
      <c r="A893" s="19" t="s">
        <v>957</v>
      </c>
    </row>
    <row r="894">
      <c r="A894" s="19" t="s">
        <v>958</v>
      </c>
    </row>
    <row r="895">
      <c r="A895" s="19" t="s">
        <v>959</v>
      </c>
    </row>
    <row r="896">
      <c r="A896" s="19" t="s">
        <v>960</v>
      </c>
    </row>
    <row r="897">
      <c r="A897" s="19" t="s">
        <v>961</v>
      </c>
    </row>
    <row r="898">
      <c r="A898" s="19" t="s">
        <v>962</v>
      </c>
    </row>
    <row r="899">
      <c r="A899" s="19" t="s">
        <v>963</v>
      </c>
    </row>
    <row r="900">
      <c r="A900" s="19" t="s">
        <v>964</v>
      </c>
    </row>
    <row r="901">
      <c r="A901" s="19" t="s">
        <v>965</v>
      </c>
    </row>
    <row r="902">
      <c r="A902" s="19" t="s">
        <v>966</v>
      </c>
    </row>
    <row r="903">
      <c r="A903" s="19" t="s">
        <v>967</v>
      </c>
    </row>
    <row r="904">
      <c r="A904" s="19" t="s">
        <v>968</v>
      </c>
    </row>
    <row r="905">
      <c r="A905" s="21"/>
    </row>
    <row r="906">
      <c r="A906" s="19" t="s">
        <v>969</v>
      </c>
    </row>
    <row r="907">
      <c r="A907" s="19" t="s">
        <v>970</v>
      </c>
    </row>
    <row r="908">
      <c r="A908" s="19" t="s">
        <v>971</v>
      </c>
    </row>
    <row r="909">
      <c r="A909" s="19" t="s">
        <v>972</v>
      </c>
    </row>
    <row r="910">
      <c r="A910" s="19" t="s">
        <v>973</v>
      </c>
    </row>
    <row r="911">
      <c r="A911" s="19" t="s">
        <v>974</v>
      </c>
    </row>
    <row r="912">
      <c r="A912" s="19" t="s">
        <v>975</v>
      </c>
    </row>
    <row r="913">
      <c r="A913" s="19" t="s">
        <v>947</v>
      </c>
    </row>
    <row r="914">
      <c r="A914" s="19" t="s">
        <v>976</v>
      </c>
    </row>
    <row r="915">
      <c r="A915" s="19" t="s">
        <v>977</v>
      </c>
    </row>
    <row r="916">
      <c r="A916" s="19" t="s">
        <v>978</v>
      </c>
    </row>
    <row r="917">
      <c r="A917" s="19" t="s">
        <v>979</v>
      </c>
    </row>
    <row r="918">
      <c r="A918" s="19" t="s">
        <v>980</v>
      </c>
    </row>
    <row r="919">
      <c r="A919" s="19" t="s">
        <v>981</v>
      </c>
    </row>
    <row r="920">
      <c r="A920" s="19" t="s">
        <v>982</v>
      </c>
    </row>
    <row r="921">
      <c r="A921" s="19" t="s">
        <v>983</v>
      </c>
    </row>
    <row r="922">
      <c r="A922" s="19" t="s">
        <v>984</v>
      </c>
    </row>
    <row r="923">
      <c r="A923" s="19" t="s">
        <v>894</v>
      </c>
    </row>
    <row r="924">
      <c r="A924" s="19" t="s">
        <v>985</v>
      </c>
    </row>
    <row r="925">
      <c r="A925" s="19" t="s">
        <v>986</v>
      </c>
    </row>
    <row r="926">
      <c r="A926" s="19" t="s">
        <v>987</v>
      </c>
    </row>
    <row r="927">
      <c r="A927" s="19" t="s">
        <v>988</v>
      </c>
    </row>
    <row r="928">
      <c r="A928" s="19" t="s">
        <v>989</v>
      </c>
    </row>
    <row r="929">
      <c r="A929" s="19" t="s">
        <v>990</v>
      </c>
    </row>
    <row r="930">
      <c r="A930" s="19" t="s">
        <v>991</v>
      </c>
    </row>
    <row r="931">
      <c r="A931" s="19" t="s">
        <v>992</v>
      </c>
    </row>
    <row r="932">
      <c r="A932" s="19" t="s">
        <v>993</v>
      </c>
    </row>
    <row r="933">
      <c r="A933" s="19" t="s">
        <v>994</v>
      </c>
    </row>
    <row r="934">
      <c r="A934" s="19" t="s">
        <v>995</v>
      </c>
    </row>
    <row r="935">
      <c r="A935" s="19" t="s">
        <v>996</v>
      </c>
    </row>
    <row r="936">
      <c r="A936" s="19" t="s">
        <v>997</v>
      </c>
    </row>
    <row r="937">
      <c r="A937" s="19" t="s">
        <v>998</v>
      </c>
    </row>
    <row r="938">
      <c r="A938" s="19" t="s">
        <v>999</v>
      </c>
    </row>
    <row r="939">
      <c r="A939" s="19" t="s">
        <v>1000</v>
      </c>
    </row>
    <row r="940">
      <c r="A940" s="19" t="s">
        <v>1001</v>
      </c>
    </row>
    <row r="941">
      <c r="A941" s="19" t="s">
        <v>1002</v>
      </c>
    </row>
    <row r="942">
      <c r="A942" s="19" t="s">
        <v>1003</v>
      </c>
    </row>
    <row r="943">
      <c r="A943" s="19" t="s">
        <v>1004</v>
      </c>
    </row>
    <row r="944">
      <c r="A944" s="19" t="s">
        <v>1005</v>
      </c>
    </row>
    <row r="945">
      <c r="A945" s="21"/>
    </row>
    <row r="946">
      <c r="A946" s="19" t="s">
        <v>1006</v>
      </c>
    </row>
    <row r="947">
      <c r="A947" s="19" t="s">
        <v>1007</v>
      </c>
    </row>
    <row r="948">
      <c r="A948" s="19" t="s">
        <v>1008</v>
      </c>
    </row>
    <row r="949">
      <c r="A949" s="21"/>
    </row>
    <row r="950">
      <c r="A950" s="19" t="s">
        <v>1009</v>
      </c>
    </row>
    <row r="951">
      <c r="A951" s="19" t="s">
        <v>1010</v>
      </c>
    </row>
    <row r="952">
      <c r="A952" s="19" t="s">
        <v>1011</v>
      </c>
    </row>
    <row r="953">
      <c r="A953" s="19" t="s">
        <v>1012</v>
      </c>
    </row>
    <row r="954">
      <c r="A954" s="19" t="s">
        <v>1013</v>
      </c>
    </row>
    <row r="955">
      <c r="A955" s="19" t="s">
        <v>1014</v>
      </c>
    </row>
    <row r="956">
      <c r="A956" s="19" t="s">
        <v>1015</v>
      </c>
    </row>
    <row r="957">
      <c r="A957" s="19" t="s">
        <v>1016</v>
      </c>
    </row>
    <row r="958">
      <c r="A958" s="19" t="s">
        <v>1017</v>
      </c>
    </row>
    <row r="959">
      <c r="A959" s="19" t="s">
        <v>1018</v>
      </c>
    </row>
    <row r="960">
      <c r="A960" s="19" t="s">
        <v>1019</v>
      </c>
    </row>
    <row r="961">
      <c r="A961" s="19" t="s">
        <v>1020</v>
      </c>
    </row>
    <row r="962">
      <c r="A962" s="19" t="s">
        <v>1021</v>
      </c>
    </row>
    <row r="963">
      <c r="A963" s="19" t="s">
        <v>1022</v>
      </c>
    </row>
    <row r="964">
      <c r="A964" s="19" t="s">
        <v>1023</v>
      </c>
    </row>
    <row r="965">
      <c r="A965" s="19" t="s">
        <v>894</v>
      </c>
    </row>
    <row r="966">
      <c r="A966" s="19" t="s">
        <v>1024</v>
      </c>
    </row>
    <row r="967">
      <c r="A967" s="19" t="s">
        <v>1025</v>
      </c>
    </row>
    <row r="968">
      <c r="A968" s="19" t="s">
        <v>1026</v>
      </c>
    </row>
    <row r="969">
      <c r="A969" s="19" t="s">
        <v>1027</v>
      </c>
    </row>
    <row r="970">
      <c r="A970" s="19" t="s">
        <v>1028</v>
      </c>
    </row>
    <row r="971">
      <c r="A971" s="19" t="s">
        <v>1029</v>
      </c>
    </row>
    <row r="972">
      <c r="A972" s="19" t="s">
        <v>1030</v>
      </c>
    </row>
    <row r="973">
      <c r="A973" s="19" t="s">
        <v>1031</v>
      </c>
    </row>
    <row r="974">
      <c r="A974" s="19" t="s">
        <v>560</v>
      </c>
    </row>
    <row r="975">
      <c r="A975" s="21"/>
    </row>
    <row r="976">
      <c r="A976" s="19" t="s">
        <v>1032</v>
      </c>
    </row>
    <row r="977">
      <c r="A977" s="19" t="s">
        <v>977</v>
      </c>
    </row>
    <row r="978">
      <c r="A978" s="19" t="s">
        <v>977</v>
      </c>
    </row>
    <row r="979">
      <c r="A979" s="19" t="s">
        <v>1033</v>
      </c>
    </row>
    <row r="980">
      <c r="A980" s="19" t="s">
        <v>304</v>
      </c>
    </row>
    <row r="981">
      <c r="A981" s="19" t="s">
        <v>1034</v>
      </c>
    </row>
    <row r="982">
      <c r="A982" s="19" t="s">
        <v>1035</v>
      </c>
    </row>
    <row r="983">
      <c r="A983" s="19" t="s">
        <v>1036</v>
      </c>
    </row>
    <row r="984">
      <c r="A984" s="19" t="s">
        <v>1037</v>
      </c>
    </row>
    <row r="985">
      <c r="A985" s="19" t="s">
        <v>1038</v>
      </c>
    </row>
    <row r="986">
      <c r="A986" s="19" t="s">
        <v>1039</v>
      </c>
    </row>
    <row r="987">
      <c r="A987" s="19" t="s">
        <v>1040</v>
      </c>
    </row>
    <row r="988">
      <c r="A988" s="19" t="s">
        <v>1041</v>
      </c>
    </row>
    <row r="989">
      <c r="A989" s="19" t="s">
        <v>1042</v>
      </c>
    </row>
    <row r="990">
      <c r="A990" s="19" t="s">
        <v>1043</v>
      </c>
    </row>
    <row r="991">
      <c r="A991" s="19" t="s">
        <v>1044</v>
      </c>
    </row>
    <row r="992">
      <c r="A992" s="19" t="s">
        <v>1045</v>
      </c>
    </row>
    <row r="993">
      <c r="A993" s="19" t="s">
        <v>1046</v>
      </c>
    </row>
    <row r="994">
      <c r="A994" s="19" t="s">
        <v>1047</v>
      </c>
    </row>
    <row r="995">
      <c r="A995" s="19" t="s">
        <v>560</v>
      </c>
    </row>
    <row r="996">
      <c r="A996" s="19" t="s">
        <v>859</v>
      </c>
    </row>
    <row r="997">
      <c r="A997" s="19" t="s">
        <v>860</v>
      </c>
    </row>
    <row r="998">
      <c r="A998" s="19" t="s">
        <v>861</v>
      </c>
    </row>
    <row r="999">
      <c r="A999" s="19" t="s">
        <v>863</v>
      </c>
    </row>
    <row r="1000">
      <c r="A1000" s="19" t="s">
        <v>1048</v>
      </c>
    </row>
    <row r="1001">
      <c r="A1001" s="19" t="s">
        <v>864</v>
      </c>
    </row>
    <row r="1002">
      <c r="A1002" s="19" t="s">
        <v>865</v>
      </c>
    </row>
    <row r="1003">
      <c r="A1003" s="19" t="s">
        <v>1048</v>
      </c>
    </row>
    <row r="1004">
      <c r="A1004" s="19" t="s">
        <v>866</v>
      </c>
    </row>
    <row r="1005">
      <c r="A1005" s="19" t="s">
        <v>867</v>
      </c>
    </row>
    <row r="1006">
      <c r="A1006" s="19" t="s">
        <v>869</v>
      </c>
    </row>
    <row r="1007">
      <c r="A1007" s="19" t="s">
        <v>870</v>
      </c>
    </row>
    <row r="1008">
      <c r="A1008" s="19" t="s">
        <v>872</v>
      </c>
    </row>
    <row r="1009">
      <c r="A1009" s="19" t="s">
        <v>873</v>
      </c>
    </row>
    <row r="1010">
      <c r="A1010" s="19" t="s">
        <v>874</v>
      </c>
    </row>
    <row r="1011">
      <c r="A1011" s="19" t="s">
        <v>877</v>
      </c>
    </row>
    <row r="1012">
      <c r="A1012" s="19" t="s">
        <v>875</v>
      </c>
    </row>
    <row r="1013">
      <c r="A1013" s="19" t="s">
        <v>876</v>
      </c>
    </row>
    <row r="1014">
      <c r="A1014" s="19" t="s">
        <v>878</v>
      </c>
    </row>
    <row r="1015">
      <c r="A1015" s="19" t="s">
        <v>879</v>
      </c>
    </row>
    <row r="1016">
      <c r="A1016" s="19" t="s">
        <v>881</v>
      </c>
    </row>
    <row r="1017">
      <c r="A1017" s="19" t="s">
        <v>882</v>
      </c>
    </row>
    <row r="1018">
      <c r="A1018" s="19" t="s">
        <v>880</v>
      </c>
    </row>
    <row r="1019">
      <c r="A1019" s="19" t="s">
        <v>883</v>
      </c>
    </row>
    <row r="1020">
      <c r="A1020" s="19" t="s">
        <v>885</v>
      </c>
    </row>
    <row r="1021">
      <c r="A1021" s="19" t="s">
        <v>886</v>
      </c>
    </row>
    <row r="1022">
      <c r="A1022" s="19" t="s">
        <v>887</v>
      </c>
    </row>
    <row r="1023">
      <c r="A1023" s="19" t="s">
        <v>891</v>
      </c>
    </row>
    <row r="1024">
      <c r="A1024" s="19" t="s">
        <v>888</v>
      </c>
    </row>
    <row r="1025">
      <c r="A1025" s="19" t="s">
        <v>889</v>
      </c>
    </row>
    <row r="1026">
      <c r="A1026" s="19" t="s">
        <v>890</v>
      </c>
    </row>
    <row r="1027">
      <c r="A1027" s="19" t="s">
        <v>868</v>
      </c>
    </row>
    <row r="1028">
      <c r="A1028" s="19" t="s">
        <v>892</v>
      </c>
    </row>
    <row r="1029">
      <c r="A1029" s="21"/>
    </row>
    <row r="1030">
      <c r="A1030" s="19" t="s">
        <v>1049</v>
      </c>
    </row>
    <row r="1031">
      <c r="A1031" s="19" t="s">
        <v>895</v>
      </c>
    </row>
    <row r="1032">
      <c r="A1032" s="19" t="s">
        <v>1050</v>
      </c>
    </row>
    <row r="1033">
      <c r="A1033" s="19" t="s">
        <v>1051</v>
      </c>
    </row>
    <row r="1034">
      <c r="A1034" s="19" t="s">
        <v>897</v>
      </c>
    </row>
    <row r="1035">
      <c r="A1035" s="21"/>
    </row>
    <row r="1036">
      <c r="A1036" s="19" t="s">
        <v>1052</v>
      </c>
    </row>
    <row r="1037">
      <c r="A1037" s="19" t="s">
        <v>898</v>
      </c>
    </row>
    <row r="1038">
      <c r="A1038" s="19" t="s">
        <v>899</v>
      </c>
    </row>
    <row r="1039">
      <c r="A1039" s="19" t="s">
        <v>900</v>
      </c>
    </row>
    <row r="1040">
      <c r="A1040" s="19" t="s">
        <v>901</v>
      </c>
    </row>
    <row r="1041">
      <c r="A1041" s="19" t="s">
        <v>902</v>
      </c>
    </row>
    <row r="1042">
      <c r="A1042" s="21"/>
    </row>
    <row r="1043">
      <c r="A1043" s="19" t="s">
        <v>1053</v>
      </c>
    </row>
    <row r="1044">
      <c r="A1044" s="19" t="s">
        <v>903</v>
      </c>
    </row>
    <row r="1045">
      <c r="A1045" s="19" t="s">
        <v>904</v>
      </c>
    </row>
    <row r="1046">
      <c r="A1046" s="19" t="s">
        <v>905</v>
      </c>
    </row>
    <row r="1047">
      <c r="A1047" s="19" t="s">
        <v>1054</v>
      </c>
    </row>
    <row r="1048">
      <c r="A1048" s="19" t="s">
        <v>927</v>
      </c>
    </row>
    <row r="1049">
      <c r="A1049" s="21"/>
    </row>
    <row r="1050">
      <c r="A1050" s="21"/>
    </row>
    <row r="1051">
      <c r="A1051" s="21"/>
    </row>
    <row r="1052">
      <c r="A1052" s="19" t="s">
        <v>907</v>
      </c>
    </row>
    <row r="1053">
      <c r="A1053" s="21"/>
    </row>
    <row r="1054">
      <c r="A1054" s="21"/>
    </row>
    <row r="1055">
      <c r="A1055" s="19" t="s">
        <v>914</v>
      </c>
    </row>
    <row r="1056">
      <c r="A1056" s="19" t="s">
        <v>915</v>
      </c>
    </row>
    <row r="1057">
      <c r="A1057" s="19" t="s">
        <v>1055</v>
      </c>
    </row>
    <row r="1058">
      <c r="A1058" s="19" t="s">
        <v>1049</v>
      </c>
    </row>
    <row r="1059">
      <c r="A1059" s="19" t="s">
        <v>1049</v>
      </c>
    </row>
    <row r="1060">
      <c r="A1060" s="19" t="s">
        <v>919</v>
      </c>
    </row>
    <row r="1061">
      <c r="A1061" s="19" t="s">
        <v>929</v>
      </c>
    </row>
    <row r="1062">
      <c r="A1062" s="19" t="s">
        <v>921</v>
      </c>
    </row>
    <row r="1063">
      <c r="A1063" s="19" t="s">
        <v>922</v>
      </c>
    </row>
    <row r="1064">
      <c r="A1064" s="19" t="s">
        <v>923</v>
      </c>
    </row>
    <row r="1065">
      <c r="A1065" s="19" t="s">
        <v>924</v>
      </c>
    </row>
    <row r="1066">
      <c r="A1066" s="19" t="s">
        <v>925</v>
      </c>
    </row>
    <row r="1067">
      <c r="A1067" s="19" t="s">
        <v>926</v>
      </c>
    </row>
    <row r="1068">
      <c r="A1068" s="19" t="s">
        <v>928</v>
      </c>
    </row>
    <row r="1069">
      <c r="A1069" s="19" t="s">
        <v>920</v>
      </c>
    </row>
    <row r="1070">
      <c r="A1070" s="19" t="s">
        <v>930</v>
      </c>
    </row>
    <row r="1071">
      <c r="A1071" s="19" t="s">
        <v>931</v>
      </c>
    </row>
    <row r="1072">
      <c r="A1072" s="19" t="s">
        <v>932</v>
      </c>
    </row>
    <row r="1073">
      <c r="A1073" s="19" t="s">
        <v>1056</v>
      </c>
    </row>
    <row r="1074">
      <c r="A1074" s="19" t="s">
        <v>933</v>
      </c>
    </row>
    <row r="1075">
      <c r="A1075" s="19" t="s">
        <v>934</v>
      </c>
    </row>
    <row r="1076">
      <c r="A1076" s="19" t="s">
        <v>936</v>
      </c>
    </row>
    <row r="1077">
      <c r="A1077" s="19" t="s">
        <v>937</v>
      </c>
    </row>
    <row r="1078">
      <c r="A1078" s="19" t="s">
        <v>938</v>
      </c>
    </row>
    <row r="1079">
      <c r="A1079" s="19" t="s">
        <v>939</v>
      </c>
    </row>
    <row r="1080">
      <c r="A1080" s="19" t="s">
        <v>940</v>
      </c>
    </row>
    <row r="1081">
      <c r="A1081" s="19" t="s">
        <v>941</v>
      </c>
    </row>
    <row r="1082">
      <c r="A1082" s="19" t="s">
        <v>1057</v>
      </c>
    </row>
    <row r="1083">
      <c r="A1083" s="19" t="s">
        <v>935</v>
      </c>
    </row>
    <row r="1084">
      <c r="A1084" s="19" t="s">
        <v>942</v>
      </c>
    </row>
    <row r="1085">
      <c r="A1085" s="19" t="s">
        <v>943</v>
      </c>
    </row>
    <row r="1086">
      <c r="A1086" s="19" t="s">
        <v>944</v>
      </c>
    </row>
    <row r="1087">
      <c r="A1087" s="19" t="s">
        <v>1058</v>
      </c>
    </row>
    <row r="1088">
      <c r="A1088" s="19" t="s">
        <v>945</v>
      </c>
    </row>
    <row r="1089">
      <c r="A1089" s="19" t="s">
        <v>1048</v>
      </c>
    </row>
    <row r="1090">
      <c r="A1090" s="19" t="s">
        <v>946</v>
      </c>
    </row>
    <row r="1091">
      <c r="A1091" s="19" t="s">
        <v>950</v>
      </c>
    </row>
    <row r="1092">
      <c r="A1092" s="19" t="s">
        <v>951</v>
      </c>
    </row>
    <row r="1093">
      <c r="A1093" s="19" t="s">
        <v>952</v>
      </c>
    </row>
    <row r="1094">
      <c r="A1094" s="19" t="s">
        <v>1059</v>
      </c>
    </row>
    <row r="1095">
      <c r="A1095" s="19" t="s">
        <v>1060</v>
      </c>
    </row>
    <row r="1096">
      <c r="A1096" s="21"/>
    </row>
    <row r="1097">
      <c r="A1097" s="19" t="s">
        <v>1049</v>
      </c>
    </row>
    <row r="1098">
      <c r="A1098" s="19" t="s">
        <v>1050</v>
      </c>
    </row>
    <row r="1099">
      <c r="A1099" s="19" t="s">
        <v>953</v>
      </c>
    </row>
    <row r="1100">
      <c r="A1100" s="19" t="s">
        <v>954</v>
      </c>
    </row>
    <row r="1101">
      <c r="A1101" s="19" t="s">
        <v>955</v>
      </c>
    </row>
    <row r="1102">
      <c r="A1102" s="19" t="s">
        <v>956</v>
      </c>
    </row>
    <row r="1103">
      <c r="A1103" s="19" t="s">
        <v>957</v>
      </c>
    </row>
    <row r="1104">
      <c r="A1104" s="19" t="s">
        <v>958</v>
      </c>
    </row>
    <row r="1105">
      <c r="A1105" s="19" t="s">
        <v>959</v>
      </c>
    </row>
    <row r="1106">
      <c r="A1106" s="19" t="s">
        <v>960</v>
      </c>
    </row>
    <row r="1107">
      <c r="A1107" s="19" t="s">
        <v>962</v>
      </c>
    </row>
    <row r="1108">
      <c r="A1108" s="19" t="s">
        <v>968</v>
      </c>
    </row>
    <row r="1109">
      <c r="A1109" s="19" t="s">
        <v>963</v>
      </c>
    </row>
    <row r="1110">
      <c r="A1110" s="19" t="s">
        <v>964</v>
      </c>
    </row>
    <row r="1111">
      <c r="A1111" s="19" t="s">
        <v>966</v>
      </c>
    </row>
    <row r="1112">
      <c r="A1112" s="19" t="s">
        <v>965</v>
      </c>
    </row>
    <row r="1113">
      <c r="A1113" s="19" t="s">
        <v>967</v>
      </c>
    </row>
    <row r="1114">
      <c r="A1114" s="19" t="s">
        <v>971</v>
      </c>
    </row>
    <row r="1115">
      <c r="A1115" s="19" t="s">
        <v>970</v>
      </c>
    </row>
    <row r="1116">
      <c r="A1116" s="19" t="s">
        <v>969</v>
      </c>
    </row>
    <row r="1117">
      <c r="A1117" s="19" t="s">
        <v>972</v>
      </c>
    </row>
    <row r="1118">
      <c r="A1118" s="19" t="s">
        <v>973</v>
      </c>
    </row>
    <row r="1119">
      <c r="A1119" s="19" t="s">
        <v>974</v>
      </c>
    </row>
    <row r="1120">
      <c r="A1120" s="19" t="s">
        <v>975</v>
      </c>
    </row>
    <row r="1121">
      <c r="A1121" s="19" t="s">
        <v>976</v>
      </c>
    </row>
    <row r="1122">
      <c r="A1122" s="19" t="s">
        <v>978</v>
      </c>
    </row>
    <row r="1123">
      <c r="A1123" s="19" t="s">
        <v>980</v>
      </c>
    </row>
    <row r="1124">
      <c r="A1124" s="19" t="s">
        <v>981</v>
      </c>
    </row>
    <row r="1125">
      <c r="A1125" s="19" t="s">
        <v>982</v>
      </c>
    </row>
    <row r="1126">
      <c r="A1126" s="19" t="s">
        <v>983</v>
      </c>
    </row>
    <row r="1127">
      <c r="A1127" s="19" t="s">
        <v>984</v>
      </c>
    </row>
    <row r="1128">
      <c r="A1128" s="19" t="s">
        <v>985</v>
      </c>
    </row>
    <row r="1129">
      <c r="A1129" s="19" t="s">
        <v>986</v>
      </c>
    </row>
    <row r="1130">
      <c r="A1130" s="19" t="s">
        <v>987</v>
      </c>
    </row>
    <row r="1131">
      <c r="A1131" s="19" t="s">
        <v>1048</v>
      </c>
    </row>
    <row r="1132">
      <c r="A1132" s="19" t="s">
        <v>988</v>
      </c>
    </row>
    <row r="1133">
      <c r="A1133" s="19" t="s">
        <v>1049</v>
      </c>
    </row>
    <row r="1134">
      <c r="A1134" s="19" t="s">
        <v>989</v>
      </c>
    </row>
    <row r="1135">
      <c r="A1135" s="19" t="s">
        <v>990</v>
      </c>
    </row>
    <row r="1136">
      <c r="A1136" s="19" t="s">
        <v>1002</v>
      </c>
    </row>
    <row r="1137">
      <c r="A1137" s="19" t="s">
        <v>994</v>
      </c>
    </row>
    <row r="1138">
      <c r="A1138" s="19" t="s">
        <v>993</v>
      </c>
    </row>
    <row r="1139">
      <c r="A1139" s="19" t="s">
        <v>992</v>
      </c>
    </row>
    <row r="1140">
      <c r="A1140" s="19" t="s">
        <v>995</v>
      </c>
    </row>
    <row r="1141">
      <c r="A1141" s="19" t="s">
        <v>996</v>
      </c>
    </row>
    <row r="1142">
      <c r="A1142" s="19" t="s">
        <v>998</v>
      </c>
    </row>
    <row r="1143">
      <c r="A1143" s="19" t="s">
        <v>997</v>
      </c>
    </row>
    <row r="1144">
      <c r="A1144" s="19" t="s">
        <v>999</v>
      </c>
    </row>
    <row r="1145">
      <c r="A1145" s="19" t="s">
        <v>1000</v>
      </c>
    </row>
    <row r="1146">
      <c r="A1146" s="19" t="s">
        <v>1001</v>
      </c>
    </row>
    <row r="1147">
      <c r="A1147" s="19" t="s">
        <v>1010</v>
      </c>
    </row>
    <row r="1148">
      <c r="A1148" s="19" t="s">
        <v>1011</v>
      </c>
    </row>
    <row r="1149">
      <c r="A1149" s="19" t="s">
        <v>1012</v>
      </c>
    </row>
    <row r="1150">
      <c r="A1150" s="19" t="s">
        <v>1013</v>
      </c>
    </row>
    <row r="1151">
      <c r="A1151" s="19" t="s">
        <v>1016</v>
      </c>
    </row>
    <row r="1152">
      <c r="A1152" s="19" t="s">
        <v>1019</v>
      </c>
    </row>
    <row r="1153">
      <c r="A1153" s="19" t="s">
        <v>1020</v>
      </c>
    </row>
    <row r="1154">
      <c r="A1154" s="19" t="s">
        <v>1021</v>
      </c>
    </row>
    <row r="1155">
      <c r="A1155" s="19" t="s">
        <v>1022</v>
      </c>
    </row>
    <row r="1156">
      <c r="A1156" s="19" t="s">
        <v>1023</v>
      </c>
    </row>
    <row r="1157">
      <c r="A1157" s="19" t="s">
        <v>1018</v>
      </c>
    </row>
    <row r="1158">
      <c r="A1158" s="19" t="s">
        <v>1049</v>
      </c>
    </row>
    <row r="1159">
      <c r="A1159" s="19" t="s">
        <v>1028</v>
      </c>
    </row>
    <row r="1160">
      <c r="A1160" s="19" t="s">
        <v>1029</v>
      </c>
    </row>
    <row r="1161">
      <c r="A1161" s="19" t="s">
        <v>1048</v>
      </c>
    </row>
    <row r="1162">
      <c r="A1162" s="19" t="s">
        <v>1061</v>
      </c>
    </row>
    <row r="1163">
      <c r="A1163" s="19" t="s">
        <v>1062</v>
      </c>
    </row>
    <row r="1164">
      <c r="A1164" s="21"/>
    </row>
    <row r="1165">
      <c r="A1165" s="19" t="s">
        <v>1063</v>
      </c>
    </row>
    <row r="1166">
      <c r="A1166" s="19" t="s">
        <v>1064</v>
      </c>
    </row>
    <row r="1167">
      <c r="A1167" s="19" t="s">
        <v>304</v>
      </c>
    </row>
    <row r="1168">
      <c r="A1168" s="19" t="s">
        <v>1034</v>
      </c>
    </row>
    <row r="1169">
      <c r="A1169" s="19" t="s">
        <v>1035</v>
      </c>
    </row>
    <row r="1170">
      <c r="A1170" s="19" t="s">
        <v>1036</v>
      </c>
    </row>
    <row r="1171">
      <c r="A1171" s="19" t="s">
        <v>1037</v>
      </c>
    </row>
    <row r="1172">
      <c r="A1172" s="19" t="s">
        <v>1038</v>
      </c>
    </row>
    <row r="1173">
      <c r="A1173" s="19" t="s">
        <v>1039</v>
      </c>
    </row>
    <row r="1174">
      <c r="A1174" s="19" t="s">
        <v>1040</v>
      </c>
    </row>
    <row r="1175">
      <c r="A1175" s="19" t="s">
        <v>1041</v>
      </c>
    </row>
    <row r="1176">
      <c r="A1176" s="19" t="s">
        <v>1042</v>
      </c>
    </row>
    <row r="1177">
      <c r="A1177" s="19" t="s">
        <v>1043</v>
      </c>
    </row>
    <row r="1178">
      <c r="A1178" s="19" t="s">
        <v>1044</v>
      </c>
    </row>
    <row r="1179">
      <c r="A1179" s="19" t="s">
        <v>1045</v>
      </c>
    </row>
    <row r="1180">
      <c r="A1180" s="19" t="s">
        <v>1046</v>
      </c>
    </row>
    <row r="1181">
      <c r="A1181" s="21"/>
    </row>
    <row r="1182">
      <c r="A1182" s="19" t="s">
        <v>861</v>
      </c>
    </row>
    <row r="1183">
      <c r="A1183" s="19" t="s">
        <v>863</v>
      </c>
    </row>
    <row r="1184">
      <c r="A1184" s="19" t="s">
        <v>1065</v>
      </c>
    </row>
    <row r="1185">
      <c r="A1185" s="19" t="s">
        <v>1066</v>
      </c>
    </row>
    <row r="1186">
      <c r="A1186" s="19" t="s">
        <v>1067</v>
      </c>
    </row>
    <row r="1187">
      <c r="A1187" s="19" t="s">
        <v>867</v>
      </c>
    </row>
    <row r="1188">
      <c r="A1188" s="19" t="s">
        <v>1068</v>
      </c>
    </row>
    <row r="1189">
      <c r="A1189" s="19" t="s">
        <v>870</v>
      </c>
    </row>
    <row r="1190">
      <c r="A1190" s="19" t="s">
        <v>873</v>
      </c>
    </row>
    <row r="1191">
      <c r="A1191" s="19" t="s">
        <v>876</v>
      </c>
    </row>
    <row r="1192">
      <c r="A1192" s="19" t="s">
        <v>881</v>
      </c>
    </row>
    <row r="1193">
      <c r="A1193" s="19" t="s">
        <v>882</v>
      </c>
    </row>
    <row r="1194">
      <c r="A1194" s="19" t="s">
        <v>883</v>
      </c>
    </row>
    <row r="1195">
      <c r="A1195" s="19" t="s">
        <v>886</v>
      </c>
    </row>
    <row r="1196">
      <c r="A1196" s="19" t="s">
        <v>892</v>
      </c>
    </row>
    <row r="1197">
      <c r="A1197" s="21"/>
    </row>
    <row r="1198">
      <c r="A1198" s="19" t="s">
        <v>1069</v>
      </c>
    </row>
    <row r="1199">
      <c r="A1199" s="19" t="s">
        <v>1070</v>
      </c>
    </row>
    <row r="1200">
      <c r="A1200" s="19" t="s">
        <v>1071</v>
      </c>
    </row>
    <row r="1201">
      <c r="A1201" s="19" t="s">
        <v>895</v>
      </c>
    </row>
    <row r="1202">
      <c r="A1202" s="21"/>
    </row>
    <row r="1203">
      <c r="A1203" s="21"/>
    </row>
    <row r="1204">
      <c r="A1204" s="19" t="s">
        <v>899</v>
      </c>
    </row>
    <row r="1205">
      <c r="A1205" s="19" t="s">
        <v>900</v>
      </c>
    </row>
    <row r="1206">
      <c r="A1206" s="19" t="s">
        <v>1072</v>
      </c>
    </row>
    <row r="1207">
      <c r="A1207" s="19" t="s">
        <v>1066</v>
      </c>
    </row>
    <row r="1208">
      <c r="A1208" s="19" t="s">
        <v>903</v>
      </c>
    </row>
    <row r="1209">
      <c r="A1209" s="19" t="s">
        <v>905</v>
      </c>
    </row>
    <row r="1210">
      <c r="A1210" s="19" t="s">
        <v>919</v>
      </c>
    </row>
    <row r="1211">
      <c r="A1211" s="19" t="s">
        <v>1073</v>
      </c>
    </row>
    <row r="1212">
      <c r="A1212" s="21"/>
    </row>
    <row r="1213">
      <c r="A1213" s="19" t="s">
        <v>1066</v>
      </c>
    </row>
    <row r="1214">
      <c r="A1214" s="21"/>
    </row>
    <row r="1215">
      <c r="A1215" s="21"/>
    </row>
    <row r="1216">
      <c r="A1216" s="19" t="s">
        <v>907</v>
      </c>
    </row>
    <row r="1217">
      <c r="A1217" s="19" t="s">
        <v>1067</v>
      </c>
    </row>
    <row r="1218">
      <c r="A1218" s="19" t="s">
        <v>1074</v>
      </c>
    </row>
    <row r="1219">
      <c r="A1219" s="19" t="s">
        <v>1075</v>
      </c>
    </row>
    <row r="1220">
      <c r="A1220" s="19" t="s">
        <v>1067</v>
      </c>
    </row>
    <row r="1221">
      <c r="A1221" s="19" t="s">
        <v>1076</v>
      </c>
    </row>
    <row r="1222">
      <c r="A1222" s="19" t="s">
        <v>915</v>
      </c>
    </row>
    <row r="1223">
      <c r="A1223" s="19" t="s">
        <v>1077</v>
      </c>
    </row>
    <row r="1224">
      <c r="A1224" s="19" t="s">
        <v>1071</v>
      </c>
    </row>
    <row r="1225">
      <c r="A1225" s="21"/>
    </row>
    <row r="1226">
      <c r="A1226" s="19" t="s">
        <v>1071</v>
      </c>
    </row>
    <row r="1227">
      <c r="A1227" s="21"/>
    </row>
    <row r="1228">
      <c r="A1228" s="21"/>
    </row>
    <row r="1229">
      <c r="A1229" s="19" t="s">
        <v>1071</v>
      </c>
    </row>
    <row r="1230">
      <c r="A1230" s="21"/>
    </row>
    <row r="1231">
      <c r="A1231" s="19" t="s">
        <v>920</v>
      </c>
    </row>
    <row r="1232">
      <c r="A1232" s="19" t="s">
        <v>921</v>
      </c>
    </row>
    <row r="1233">
      <c r="A1233" s="19" t="s">
        <v>926</v>
      </c>
    </row>
    <row r="1234">
      <c r="A1234" s="19" t="s">
        <v>930</v>
      </c>
    </row>
    <row r="1235">
      <c r="A1235" s="19" t="s">
        <v>1078</v>
      </c>
    </row>
    <row r="1236">
      <c r="A1236" s="21"/>
    </row>
    <row r="1237">
      <c r="A1237" s="19" t="s">
        <v>932</v>
      </c>
    </row>
    <row r="1238">
      <c r="A1238" s="19" t="s">
        <v>933</v>
      </c>
    </row>
    <row r="1239">
      <c r="A1239" s="19" t="s">
        <v>937</v>
      </c>
    </row>
    <row r="1240">
      <c r="A1240" s="19" t="s">
        <v>938</v>
      </c>
    </row>
    <row r="1241">
      <c r="A1241" s="19" t="s">
        <v>935</v>
      </c>
    </row>
    <row r="1242">
      <c r="A1242" s="19" t="s">
        <v>942</v>
      </c>
    </row>
    <row r="1243">
      <c r="A1243" s="19" t="s">
        <v>944</v>
      </c>
    </row>
    <row r="1244">
      <c r="A1244" s="19" t="s">
        <v>1079</v>
      </c>
    </row>
    <row r="1245">
      <c r="A1245" s="19" t="s">
        <v>1080</v>
      </c>
    </row>
    <row r="1246">
      <c r="A1246" s="19" t="s">
        <v>1081</v>
      </c>
    </row>
    <row r="1247">
      <c r="A1247" s="19" t="s">
        <v>946</v>
      </c>
    </row>
    <row r="1248">
      <c r="A1248" s="19" t="s">
        <v>1082</v>
      </c>
    </row>
    <row r="1249">
      <c r="A1249" s="19" t="s">
        <v>1083</v>
      </c>
    </row>
    <row r="1250">
      <c r="A1250" s="19" t="s">
        <v>1084</v>
      </c>
    </row>
    <row r="1251">
      <c r="A1251" s="19" t="s">
        <v>1085</v>
      </c>
    </row>
    <row r="1252">
      <c r="A1252" s="21"/>
    </row>
    <row r="1253">
      <c r="A1253" s="21"/>
    </row>
    <row r="1254">
      <c r="A1254" s="21"/>
    </row>
    <row r="1255">
      <c r="A1255" s="19" t="s">
        <v>950</v>
      </c>
    </row>
    <row r="1256">
      <c r="A1256" s="21"/>
    </row>
    <row r="1257">
      <c r="A1257" s="21"/>
    </row>
    <row r="1258">
      <c r="A1258" s="19" t="s">
        <v>1086</v>
      </c>
    </row>
    <row r="1259">
      <c r="A1259" s="19" t="s">
        <v>1087</v>
      </c>
    </row>
    <row r="1260">
      <c r="A1260" s="19" t="s">
        <v>1088</v>
      </c>
    </row>
    <row r="1261">
      <c r="A1261" s="19" t="s">
        <v>1071</v>
      </c>
    </row>
    <row r="1262">
      <c r="A1262" s="19" t="s">
        <v>955</v>
      </c>
    </row>
    <row r="1263">
      <c r="A1263" s="19" t="s">
        <v>958</v>
      </c>
    </row>
    <row r="1264">
      <c r="A1264" s="19" t="s">
        <v>959</v>
      </c>
    </row>
    <row r="1265">
      <c r="A1265" s="21"/>
    </row>
    <row r="1266">
      <c r="A1266" s="19" t="s">
        <v>968</v>
      </c>
    </row>
    <row r="1267">
      <c r="A1267" s="19" t="s">
        <v>966</v>
      </c>
    </row>
    <row r="1268">
      <c r="A1268" s="19" t="s">
        <v>965</v>
      </c>
    </row>
    <row r="1269">
      <c r="A1269" s="19" t="s">
        <v>967</v>
      </c>
    </row>
    <row r="1270">
      <c r="A1270" s="19" t="s">
        <v>1071</v>
      </c>
    </row>
    <row r="1271">
      <c r="A1271" s="19" t="s">
        <v>1089</v>
      </c>
    </row>
    <row r="1272">
      <c r="A1272" s="21"/>
    </row>
    <row r="1273">
      <c r="A1273" s="19" t="s">
        <v>1090</v>
      </c>
    </row>
    <row r="1274">
      <c r="A1274" s="19" t="s">
        <v>971</v>
      </c>
    </row>
    <row r="1275">
      <c r="A1275" s="19" t="s">
        <v>970</v>
      </c>
    </row>
    <row r="1276">
      <c r="A1276" s="19" t="s">
        <v>972</v>
      </c>
    </row>
    <row r="1277">
      <c r="A1277" s="21"/>
    </row>
    <row r="1278">
      <c r="A1278" s="21"/>
    </row>
    <row r="1279">
      <c r="A1279" s="21"/>
    </row>
    <row r="1280">
      <c r="A1280" s="19" t="s">
        <v>976</v>
      </c>
    </row>
    <row r="1281">
      <c r="A1281" s="19" t="s">
        <v>980</v>
      </c>
    </row>
    <row r="1282">
      <c r="A1282" s="19" t="s">
        <v>1067</v>
      </c>
    </row>
    <row r="1283">
      <c r="A1283" s="19" t="s">
        <v>1091</v>
      </c>
    </row>
    <row r="1284">
      <c r="A1284" s="19" t="s">
        <v>1092</v>
      </c>
    </row>
    <row r="1285">
      <c r="A1285" s="19" t="s">
        <v>985</v>
      </c>
    </row>
    <row r="1286">
      <c r="A1286" s="19" t="s">
        <v>988</v>
      </c>
    </row>
    <row r="1287">
      <c r="A1287" s="19" t="s">
        <v>990</v>
      </c>
    </row>
    <row r="1288">
      <c r="A1288" s="19" t="s">
        <v>1002</v>
      </c>
    </row>
    <row r="1289">
      <c r="A1289" s="19" t="s">
        <v>992</v>
      </c>
    </row>
    <row r="1290">
      <c r="A1290" s="19" t="s">
        <v>996</v>
      </c>
    </row>
    <row r="1291">
      <c r="A1291" s="19" t="s">
        <v>1093</v>
      </c>
    </row>
    <row r="1292">
      <c r="A1292" s="21"/>
    </row>
    <row r="1293">
      <c r="A1293" s="21"/>
    </row>
    <row r="1294">
      <c r="A1294" s="21"/>
    </row>
    <row r="1295">
      <c r="A1295" s="19" t="s">
        <v>1094</v>
      </c>
    </row>
    <row r="1296">
      <c r="A1296" s="19" t="s">
        <v>1095</v>
      </c>
    </row>
    <row r="1297">
      <c r="A1297" s="21"/>
    </row>
    <row r="1298">
      <c r="A1298" s="21"/>
    </row>
    <row r="1299">
      <c r="A1299" s="19" t="s">
        <v>1096</v>
      </c>
    </row>
    <row r="1300">
      <c r="A1300" s="19" t="s">
        <v>1097</v>
      </c>
    </row>
    <row r="1301">
      <c r="A1301" s="19" t="s">
        <v>1098</v>
      </c>
    </row>
    <row r="1302">
      <c r="A1302" s="19" t="s">
        <v>1010</v>
      </c>
    </row>
    <row r="1303">
      <c r="A1303" s="19" t="s">
        <v>1011</v>
      </c>
    </row>
    <row r="1304">
      <c r="A1304" s="19" t="s">
        <v>1012</v>
      </c>
    </row>
    <row r="1305">
      <c r="A1305" s="19" t="s">
        <v>1013</v>
      </c>
    </row>
    <row r="1306">
      <c r="A1306" s="19" t="s">
        <v>1016</v>
      </c>
    </row>
    <row r="1307">
      <c r="A1307" s="19" t="s">
        <v>1099</v>
      </c>
    </row>
    <row r="1308">
      <c r="A1308" s="19" t="s">
        <v>1100</v>
      </c>
    </row>
    <row r="1309">
      <c r="A1309" s="19" t="s">
        <v>1019</v>
      </c>
    </row>
    <row r="1310">
      <c r="A1310" s="19" t="s">
        <v>1021</v>
      </c>
    </row>
    <row r="1311">
      <c r="A1311" s="19" t="s">
        <v>1023</v>
      </c>
    </row>
    <row r="1312">
      <c r="A1312" s="19" t="s">
        <v>1071</v>
      </c>
    </row>
    <row r="1313">
      <c r="A1313" s="19" t="s">
        <v>1101</v>
      </c>
    </row>
    <row r="1314">
      <c r="A1314" s="19" t="s">
        <v>1028</v>
      </c>
    </row>
    <row r="1315">
      <c r="A1315" s="19" t="s">
        <v>1078</v>
      </c>
    </row>
    <row r="1316">
      <c r="A1316" s="19" t="s">
        <v>1102</v>
      </c>
    </row>
    <row r="1317">
      <c r="A1317" s="21"/>
    </row>
    <row r="1318">
      <c r="A1318" s="19" t="s">
        <v>1103</v>
      </c>
    </row>
    <row r="1319">
      <c r="A1319" s="21"/>
    </row>
    <row r="1320">
      <c r="A1320" s="21"/>
    </row>
    <row r="1321">
      <c r="A1321" s="21"/>
    </row>
    <row r="1322">
      <c r="A1322" s="19" t="s">
        <v>304</v>
      </c>
    </row>
    <row r="1323">
      <c r="A1323" s="19" t="s">
        <v>1036</v>
      </c>
    </row>
    <row r="1324">
      <c r="A1324" s="19" t="s">
        <v>1045</v>
      </c>
    </row>
    <row r="1325">
      <c r="A1325" s="19" t="s">
        <v>1038</v>
      </c>
    </row>
    <row r="1326">
      <c r="A1326" s="19" t="s">
        <v>1040</v>
      </c>
    </row>
    <row r="1327">
      <c r="A1327" s="19" t="s">
        <v>1104</v>
      </c>
    </row>
    <row r="1328">
      <c r="A1328" s="19" t="s">
        <v>1037</v>
      </c>
    </row>
    <row r="1329">
      <c r="A1329" s="21"/>
    </row>
    <row r="1330">
      <c r="A1330" s="19" t="s">
        <v>1046</v>
      </c>
    </row>
    <row r="1331">
      <c r="A1331" s="21"/>
    </row>
    <row r="1332">
      <c r="A1332" s="19" t="s">
        <v>1105</v>
      </c>
    </row>
    <row r="1333">
      <c r="A1333" s="19" t="s">
        <v>1106</v>
      </c>
    </row>
    <row r="1334">
      <c r="A1334" s="19" t="s">
        <v>1107</v>
      </c>
    </row>
    <row r="1335">
      <c r="A1335" s="21"/>
    </row>
    <row r="1336">
      <c r="A1336" s="19" t="s">
        <v>1108</v>
      </c>
    </row>
    <row r="1337">
      <c r="A1337" s="21"/>
    </row>
    <row r="1338">
      <c r="A1338" s="21"/>
    </row>
    <row r="1339">
      <c r="A1339" s="19" t="s">
        <v>1109</v>
      </c>
    </row>
    <row r="1340">
      <c r="A1340" s="19" t="s">
        <v>1110</v>
      </c>
    </row>
    <row r="1341">
      <c r="A1341" s="21"/>
    </row>
    <row r="1342">
      <c r="A1342" s="19" t="s">
        <v>1111</v>
      </c>
    </row>
    <row r="1343">
      <c r="A1343" s="19" t="s">
        <v>1112</v>
      </c>
    </row>
    <row r="1344">
      <c r="A1344" s="19" t="s">
        <v>1113</v>
      </c>
    </row>
    <row r="1345">
      <c r="A1345" s="21"/>
    </row>
    <row r="1346">
      <c r="A1346" s="21"/>
    </row>
    <row r="1347">
      <c r="A1347" s="21"/>
    </row>
    <row r="1348">
      <c r="A1348" s="19" t="s">
        <v>1114</v>
      </c>
    </row>
    <row r="1349">
      <c r="A1349" s="19" t="s">
        <v>1107</v>
      </c>
    </row>
    <row r="1350">
      <c r="A1350" s="19" t="s">
        <v>1109</v>
      </c>
    </row>
    <row r="1351">
      <c r="A1351" s="19" t="s">
        <v>1109</v>
      </c>
    </row>
    <row r="1352">
      <c r="A1352" s="21"/>
    </row>
    <row r="1353">
      <c r="A1353" s="21"/>
    </row>
    <row r="1354">
      <c r="A1354" s="19" t="s">
        <v>1107</v>
      </c>
    </row>
    <row r="1355">
      <c r="A1355" s="19" t="s">
        <v>933</v>
      </c>
    </row>
    <row r="1356">
      <c r="A1356" s="19" t="s">
        <v>935</v>
      </c>
    </row>
    <row r="1357">
      <c r="A1357" s="21"/>
    </row>
    <row r="1358">
      <c r="A1358" s="19" t="s">
        <v>1115</v>
      </c>
    </row>
    <row r="1359">
      <c r="A1359" s="21"/>
    </row>
    <row r="1360">
      <c r="A1360" s="21"/>
    </row>
    <row r="1361">
      <c r="A1361" s="21"/>
    </row>
    <row r="1362">
      <c r="A1362" s="21"/>
    </row>
    <row r="1363">
      <c r="A1363" s="21"/>
    </row>
    <row r="1364">
      <c r="A1364" s="21"/>
    </row>
    <row r="1365">
      <c r="A1365" s="19" t="s">
        <v>1109</v>
      </c>
    </row>
    <row r="1366">
      <c r="A1366" s="19" t="s">
        <v>1113</v>
      </c>
    </row>
    <row r="1367">
      <c r="A1367" s="19" t="s">
        <v>968</v>
      </c>
    </row>
    <row r="1368">
      <c r="A1368" s="21"/>
    </row>
    <row r="1369">
      <c r="A1369" s="19" t="s">
        <v>1116</v>
      </c>
    </row>
    <row r="1370">
      <c r="A1370" s="19" t="s">
        <v>1117</v>
      </c>
    </row>
    <row r="1371">
      <c r="A1371" s="21"/>
    </row>
    <row r="1372">
      <c r="A1372" s="21"/>
    </row>
    <row r="1373">
      <c r="A1373" s="19" t="s">
        <v>1118</v>
      </c>
    </row>
    <row r="1374">
      <c r="A1374" s="21"/>
    </row>
    <row r="1375">
      <c r="A1375" s="19" t="s">
        <v>1119</v>
      </c>
    </row>
    <row r="1376">
      <c r="A1376" s="19" t="s">
        <v>1107</v>
      </c>
    </row>
    <row r="1377">
      <c r="A1377" s="19" t="s">
        <v>1120</v>
      </c>
    </row>
    <row r="1378">
      <c r="A1378" s="19" t="s">
        <v>1121</v>
      </c>
    </row>
    <row r="1379">
      <c r="A1379" s="19" t="s">
        <v>1122</v>
      </c>
    </row>
    <row r="1380">
      <c r="A1380" s="21"/>
    </row>
    <row r="1381">
      <c r="A1381" s="21"/>
    </row>
    <row r="1382">
      <c r="A1382" s="21"/>
    </row>
    <row r="1383">
      <c r="A1383" s="19" t="s">
        <v>1123</v>
      </c>
    </row>
    <row r="1384">
      <c r="A1384" s="19" t="s">
        <v>1124</v>
      </c>
    </row>
    <row r="1385">
      <c r="A1385" s="19" t="s">
        <v>1016</v>
      </c>
    </row>
    <row r="1386">
      <c r="A1386" s="21"/>
    </row>
    <row r="1387">
      <c r="A1387" s="21"/>
    </row>
    <row r="1388">
      <c r="A1388" s="21"/>
    </row>
    <row r="1389">
      <c r="A1389" s="19" t="s">
        <v>1109</v>
      </c>
    </row>
    <row r="1390">
      <c r="A1390" s="19" t="s">
        <v>1107</v>
      </c>
    </row>
    <row r="1391">
      <c r="A1391" s="19" t="s">
        <v>1125</v>
      </c>
    </row>
    <row r="1392">
      <c r="A1392" s="19" t="s">
        <v>1126</v>
      </c>
    </row>
    <row r="1393">
      <c r="A1393" s="19" t="s">
        <v>1127</v>
      </c>
    </row>
    <row r="1394">
      <c r="A1394" s="21"/>
    </row>
    <row r="1395">
      <c r="A1395" s="19" t="s">
        <v>1128</v>
      </c>
    </row>
    <row r="1396">
      <c r="A1396" s="19" t="s">
        <v>1129</v>
      </c>
    </row>
    <row r="1397">
      <c r="A1397" s="19" t="s">
        <v>1130</v>
      </c>
    </row>
    <row r="1398">
      <c r="A1398" s="19" t="s">
        <v>1130</v>
      </c>
    </row>
    <row r="1399">
      <c r="A1399" s="19" t="s">
        <v>1131</v>
      </c>
    </row>
    <row r="1400">
      <c r="A1400" s="19" t="s">
        <v>1132</v>
      </c>
    </row>
    <row r="1401">
      <c r="A1401" s="19" t="s">
        <v>1132</v>
      </c>
    </row>
    <row r="1402">
      <c r="A1402" s="19" t="s">
        <v>1133</v>
      </c>
    </row>
    <row r="1403">
      <c r="A1403" s="19" t="s">
        <v>1134</v>
      </c>
    </row>
    <row r="1404">
      <c r="A1404" s="19" t="s">
        <v>1135</v>
      </c>
    </row>
    <row r="1405">
      <c r="A1405" s="19" t="s">
        <v>1136</v>
      </c>
    </row>
    <row r="1406">
      <c r="A1406" s="19" t="s">
        <v>1137</v>
      </c>
    </row>
    <row r="1407">
      <c r="A1407" s="19" t="s">
        <v>1138</v>
      </c>
    </row>
    <row r="1408">
      <c r="A1408" s="19" t="s">
        <v>1139</v>
      </c>
    </row>
    <row r="1409">
      <c r="A1409" s="19" t="s">
        <v>1140</v>
      </c>
    </row>
    <row r="1410">
      <c r="A1410" s="19" t="s">
        <v>1141</v>
      </c>
    </row>
    <row r="1411">
      <c r="A1411" s="19" t="s">
        <v>1142</v>
      </c>
    </row>
    <row r="1412">
      <c r="A1412" s="19" t="s">
        <v>1143</v>
      </c>
    </row>
    <row r="1413">
      <c r="A1413" s="19" t="s">
        <v>1144</v>
      </c>
    </row>
    <row r="1414">
      <c r="A1414" s="19" t="s">
        <v>1145</v>
      </c>
    </row>
    <row r="1415">
      <c r="A1415" s="19" t="s">
        <v>1146</v>
      </c>
    </row>
    <row r="1416">
      <c r="A1416" s="19" t="s">
        <v>1147</v>
      </c>
    </row>
    <row r="1417">
      <c r="A1417" s="19" t="s">
        <v>1148</v>
      </c>
    </row>
    <row r="1418">
      <c r="A1418" s="21"/>
    </row>
    <row r="1419">
      <c r="A1419" s="19" t="s">
        <v>1149</v>
      </c>
    </row>
    <row r="1420">
      <c r="A1420" s="19" t="s">
        <v>1150</v>
      </c>
    </row>
    <row r="1421">
      <c r="A1421" s="19" t="s">
        <v>1151</v>
      </c>
    </row>
    <row r="1422">
      <c r="A1422" s="19" t="s">
        <v>1152</v>
      </c>
    </row>
    <row r="1423">
      <c r="A1423" s="19" t="s">
        <v>1153</v>
      </c>
    </row>
    <row r="1424">
      <c r="A1424" s="19" t="s">
        <v>1154</v>
      </c>
    </row>
    <row r="1425">
      <c r="A1425" s="21"/>
    </row>
    <row r="1426">
      <c r="A1426" s="19" t="s">
        <v>425</v>
      </c>
    </row>
    <row r="1427">
      <c r="A1427" s="19" t="s">
        <v>271</v>
      </c>
    </row>
    <row r="1428">
      <c r="A1428" s="19" t="s">
        <v>1155</v>
      </c>
    </row>
    <row r="1429">
      <c r="A1429" s="19" t="s">
        <v>1156</v>
      </c>
    </row>
    <row r="1430">
      <c r="A1430" s="19" t="s">
        <v>1157</v>
      </c>
    </row>
    <row r="1431">
      <c r="A1431" s="19" t="s">
        <v>1158</v>
      </c>
    </row>
    <row r="1432">
      <c r="A1432" s="19" t="s">
        <v>1159</v>
      </c>
    </row>
    <row r="1433">
      <c r="A1433" s="19" t="s">
        <v>1160</v>
      </c>
    </row>
    <row r="1434">
      <c r="A1434" s="19" t="s">
        <v>1161</v>
      </c>
    </row>
    <row r="1435">
      <c r="A1435" s="21"/>
    </row>
    <row r="1436">
      <c r="A1436" s="19" t="s">
        <v>1162</v>
      </c>
    </row>
    <row r="1437">
      <c r="A1437" s="19" t="s">
        <v>1163</v>
      </c>
    </row>
    <row r="1438">
      <c r="A1438" s="21"/>
    </row>
    <row r="1439">
      <c r="A1439" s="19" t="s">
        <v>1164</v>
      </c>
    </row>
    <row r="1440">
      <c r="A1440" s="19" t="s">
        <v>1165</v>
      </c>
    </row>
    <row r="1441">
      <c r="A1441" s="19" t="s">
        <v>1166</v>
      </c>
    </row>
    <row r="1442">
      <c r="A1442" s="21"/>
    </row>
    <row r="1443">
      <c r="A1443" s="19" t="s">
        <v>1167</v>
      </c>
    </row>
    <row r="1444">
      <c r="A1444" s="19" t="s">
        <v>1168</v>
      </c>
    </row>
    <row r="1445">
      <c r="A1445" s="19" t="s">
        <v>493</v>
      </c>
    </row>
    <row r="1446">
      <c r="A1446" s="19" t="s">
        <v>1169</v>
      </c>
    </row>
    <row r="1447">
      <c r="A1447" s="19" t="s">
        <v>1170</v>
      </c>
    </row>
    <row r="1448">
      <c r="A1448" s="19" t="s">
        <v>1171</v>
      </c>
    </row>
    <row r="1449">
      <c r="A1449" s="19" t="s">
        <v>1172</v>
      </c>
    </row>
    <row r="1450">
      <c r="A1450" s="19" t="s">
        <v>1173</v>
      </c>
    </row>
    <row r="1451">
      <c r="A1451" s="19" t="s">
        <v>1174</v>
      </c>
    </row>
    <row r="1452">
      <c r="A1452" s="19" t="s">
        <v>1175</v>
      </c>
    </row>
    <row r="1453">
      <c r="A1453" s="19" t="s">
        <v>1176</v>
      </c>
    </row>
    <row r="1454">
      <c r="A1454" s="19" t="s">
        <v>1177</v>
      </c>
    </row>
    <row r="1455">
      <c r="A1455" s="19" t="s">
        <v>1178</v>
      </c>
    </row>
    <row r="1456">
      <c r="A1456" s="19" t="s">
        <v>1179</v>
      </c>
    </row>
    <row r="1457">
      <c r="A1457" s="19" t="s">
        <v>1180</v>
      </c>
    </row>
    <row r="1458">
      <c r="A1458" s="19" t="s">
        <v>1181</v>
      </c>
    </row>
    <row r="1459">
      <c r="A1459" s="21"/>
    </row>
    <row r="1460">
      <c r="A1460" s="19" t="s">
        <v>1182</v>
      </c>
    </row>
    <row r="1461">
      <c r="A1461" s="19" t="s">
        <v>1183</v>
      </c>
    </row>
    <row r="1462">
      <c r="A1462" s="19" t="s">
        <v>1184</v>
      </c>
    </row>
    <row r="1463">
      <c r="A1463" s="19" t="s">
        <v>1185</v>
      </c>
    </row>
    <row r="1464">
      <c r="A1464" s="19" t="s">
        <v>1186</v>
      </c>
    </row>
    <row r="1465">
      <c r="A1465" s="19" t="s">
        <v>1187</v>
      </c>
    </row>
    <row r="1466">
      <c r="A1466" s="19" t="s">
        <v>1187</v>
      </c>
    </row>
    <row r="1467">
      <c r="A1467" s="19" t="s">
        <v>1188</v>
      </c>
    </row>
    <row r="1468">
      <c r="A1468" s="19" t="s">
        <v>1189</v>
      </c>
    </row>
    <row r="1469">
      <c r="A1469" s="19" t="s">
        <v>1190</v>
      </c>
    </row>
    <row r="1470">
      <c r="A1470" s="21"/>
    </row>
    <row r="1471">
      <c r="A1471" s="19" t="s">
        <v>1191</v>
      </c>
    </row>
    <row r="1472">
      <c r="A1472" s="19" t="s">
        <v>1192</v>
      </c>
    </row>
    <row r="1473">
      <c r="A1473" s="19" t="s">
        <v>1193</v>
      </c>
    </row>
    <row r="1474">
      <c r="A1474" s="19" t="s">
        <v>1194</v>
      </c>
    </row>
    <row r="1475">
      <c r="A1475" s="19" t="s">
        <v>1195</v>
      </c>
    </row>
    <row r="1476">
      <c r="A1476" s="19" t="s">
        <v>1196</v>
      </c>
    </row>
    <row r="1477">
      <c r="A1477" s="19" t="s">
        <v>1197</v>
      </c>
    </row>
    <row r="1478">
      <c r="A1478" s="19" t="s">
        <v>1198</v>
      </c>
    </row>
    <row r="1479">
      <c r="A1479" s="19" t="s">
        <v>1199</v>
      </c>
    </row>
    <row r="1480">
      <c r="A1480" s="19" t="s">
        <v>1200</v>
      </c>
    </row>
    <row r="1481">
      <c r="A1481" s="19" t="s">
        <v>1201</v>
      </c>
    </row>
    <row r="1482">
      <c r="A1482" s="19" t="s">
        <v>1202</v>
      </c>
    </row>
    <row r="1483">
      <c r="A1483" s="19" t="s">
        <v>1203</v>
      </c>
    </row>
    <row r="1484">
      <c r="A1484" s="21"/>
    </row>
    <row r="1485">
      <c r="A1485" s="19" t="s">
        <v>1204</v>
      </c>
    </row>
    <row r="1486">
      <c r="A1486" s="19" t="s">
        <v>1205</v>
      </c>
    </row>
    <row r="1487">
      <c r="A1487" s="19" t="s">
        <v>1206</v>
      </c>
    </row>
    <row r="1488">
      <c r="A1488" s="19" t="s">
        <v>1207</v>
      </c>
    </row>
    <row r="1489">
      <c r="A1489" s="19" t="s">
        <v>1208</v>
      </c>
    </row>
    <row r="1490">
      <c r="A1490" s="19" t="s">
        <v>1209</v>
      </c>
    </row>
    <row r="1491">
      <c r="A1491" s="19" t="s">
        <v>1210</v>
      </c>
    </row>
    <row r="1492">
      <c r="A1492" s="19" t="s">
        <v>1211</v>
      </c>
    </row>
    <row r="1493">
      <c r="A1493" s="19" t="s">
        <v>1212</v>
      </c>
    </row>
    <row r="1494">
      <c r="A1494" s="19" t="s">
        <v>1213</v>
      </c>
    </row>
    <row r="1495">
      <c r="A1495" s="19" t="s">
        <v>1214</v>
      </c>
    </row>
    <row r="1496">
      <c r="A1496" s="19" t="s">
        <v>1215</v>
      </c>
    </row>
    <row r="1497">
      <c r="A1497" s="19" t="s">
        <v>1216</v>
      </c>
    </row>
    <row r="1498">
      <c r="A1498" s="19" t="s">
        <v>1217</v>
      </c>
    </row>
    <row r="1499">
      <c r="A1499" s="19" t="s">
        <v>1218</v>
      </c>
    </row>
    <row r="1500">
      <c r="A1500" s="19" t="s">
        <v>1219</v>
      </c>
    </row>
    <row r="1501">
      <c r="A1501" s="19" t="s">
        <v>1220</v>
      </c>
    </row>
    <row r="1502">
      <c r="A1502" s="19" t="s">
        <v>1221</v>
      </c>
    </row>
    <row r="1503">
      <c r="A1503" s="19" t="s">
        <v>1222</v>
      </c>
    </row>
    <row r="1504">
      <c r="A1504" s="19" t="s">
        <v>1223</v>
      </c>
    </row>
    <row r="1505">
      <c r="A1505" s="19" t="s">
        <v>1224</v>
      </c>
    </row>
    <row r="1506">
      <c r="A1506" s="19" t="s">
        <v>1225</v>
      </c>
    </row>
    <row r="1507">
      <c r="A1507" s="19" t="s">
        <v>1226</v>
      </c>
    </row>
    <row r="1508">
      <c r="A1508" s="19" t="s">
        <v>1227</v>
      </c>
    </row>
    <row r="1509">
      <c r="A1509" s="19" t="s">
        <v>1228</v>
      </c>
    </row>
    <row r="1510">
      <c r="A1510" s="19" t="s">
        <v>1229</v>
      </c>
    </row>
    <row r="1511">
      <c r="A1511" s="19" t="s">
        <v>1230</v>
      </c>
    </row>
    <row r="1512">
      <c r="A1512" s="19" t="s">
        <v>1231</v>
      </c>
    </row>
    <row r="1513">
      <c r="A1513" s="19" t="s">
        <v>1232</v>
      </c>
    </row>
    <row r="1514">
      <c r="A1514" s="19" t="s">
        <v>1233</v>
      </c>
    </row>
    <row r="1515">
      <c r="A1515" s="19" t="s">
        <v>1230</v>
      </c>
    </row>
    <row r="1516">
      <c r="A1516" s="19" t="s">
        <v>1234</v>
      </c>
    </row>
    <row r="1517">
      <c r="A1517" s="19" t="s">
        <v>1235</v>
      </c>
    </row>
    <row r="1518">
      <c r="A1518" s="19" t="s">
        <v>1236</v>
      </c>
    </row>
    <row r="1519">
      <c r="A1519" s="19" t="s">
        <v>1237</v>
      </c>
    </row>
    <row r="1520">
      <c r="A1520" s="19" t="s">
        <v>1230</v>
      </c>
    </row>
    <row r="1521">
      <c r="A1521" s="19" t="s">
        <v>1238</v>
      </c>
    </row>
    <row r="1522">
      <c r="A1522" s="19" t="s">
        <v>1230</v>
      </c>
    </row>
    <row r="1523">
      <c r="A1523" s="19" t="s">
        <v>1239</v>
      </c>
    </row>
    <row r="1524">
      <c r="A1524" s="19" t="s">
        <v>1240</v>
      </c>
    </row>
    <row r="1525">
      <c r="A1525" s="19" t="s">
        <v>1241</v>
      </c>
    </row>
    <row r="1526">
      <c r="A1526" s="19" t="s">
        <v>1242</v>
      </c>
    </row>
    <row r="1527">
      <c r="A1527" s="19" t="s">
        <v>1243</v>
      </c>
    </row>
    <row r="1528">
      <c r="A1528" s="19" t="s">
        <v>1244</v>
      </c>
    </row>
    <row r="1529">
      <c r="A1529" s="19" t="s">
        <v>1245</v>
      </c>
    </row>
    <row r="1530">
      <c r="A1530" s="19" t="s">
        <v>1246</v>
      </c>
    </row>
    <row r="1531">
      <c r="A1531" s="19" t="s">
        <v>1247</v>
      </c>
    </row>
    <row r="1532">
      <c r="A1532" s="19" t="s">
        <v>1248</v>
      </c>
    </row>
    <row r="1533">
      <c r="A1533" s="19" t="s">
        <v>1249</v>
      </c>
    </row>
    <row r="1534">
      <c r="A1534" s="19" t="s">
        <v>1250</v>
      </c>
    </row>
    <row r="1535">
      <c r="A1535" s="19" t="s">
        <v>1187</v>
      </c>
    </row>
    <row r="1536">
      <c r="A1536" s="19" t="s">
        <v>1251</v>
      </c>
    </row>
    <row r="1537">
      <c r="A1537" s="19" t="s">
        <v>1252</v>
      </c>
    </row>
    <row r="1538">
      <c r="A1538" s="19" t="s">
        <v>1253</v>
      </c>
    </row>
    <row r="1539">
      <c r="A1539" s="21"/>
    </row>
    <row r="1540">
      <c r="A1540" s="21"/>
    </row>
    <row r="1541">
      <c r="A1541" s="19" t="s">
        <v>1254</v>
      </c>
    </row>
    <row r="1542">
      <c r="A1542" s="19" t="s">
        <v>1255</v>
      </c>
    </row>
    <row r="1543">
      <c r="A1543" s="19" t="s">
        <v>1256</v>
      </c>
    </row>
    <row r="1544">
      <c r="A1544" s="19" t="s">
        <v>1257</v>
      </c>
    </row>
    <row r="1545">
      <c r="A1545" s="19" t="s">
        <v>1258</v>
      </c>
    </row>
    <row r="1546">
      <c r="A1546" s="19" t="s">
        <v>1259</v>
      </c>
    </row>
    <row r="1547">
      <c r="A1547" s="19" t="s">
        <v>1260</v>
      </c>
    </row>
    <row r="1548">
      <c r="A1548" s="19" t="s">
        <v>1261</v>
      </c>
    </row>
    <row r="1549">
      <c r="A1549" s="19" t="s">
        <v>1262</v>
      </c>
    </row>
    <row r="1550">
      <c r="A1550" s="19" t="s">
        <v>1263</v>
      </c>
    </row>
    <row r="1551">
      <c r="A1551" s="19" t="s">
        <v>1264</v>
      </c>
    </row>
    <row r="1552">
      <c r="A1552" s="19" t="s">
        <v>1265</v>
      </c>
    </row>
    <row r="1553">
      <c r="A1553" s="19" t="s">
        <v>1266</v>
      </c>
    </row>
    <row r="1554">
      <c r="A1554" s="19" t="s">
        <v>1267</v>
      </c>
    </row>
    <row r="1555">
      <c r="A1555" s="19" t="s">
        <v>1268</v>
      </c>
    </row>
    <row r="1556">
      <c r="A1556" s="19" t="s">
        <v>1269</v>
      </c>
    </row>
    <row r="1557">
      <c r="A1557" s="19" t="s">
        <v>1270</v>
      </c>
    </row>
    <row r="1558">
      <c r="A1558" s="19" t="s">
        <v>1271</v>
      </c>
    </row>
    <row r="1559">
      <c r="A1559" s="19" t="s">
        <v>1272</v>
      </c>
    </row>
    <row r="1560">
      <c r="A1560" s="19" t="s">
        <v>1273</v>
      </c>
    </row>
    <row r="1561">
      <c r="A1561" s="19" t="s">
        <v>1274</v>
      </c>
    </row>
    <row r="1562">
      <c r="A1562" s="19" t="s">
        <v>1275</v>
      </c>
    </row>
    <row r="1563">
      <c r="A1563" s="19" t="s">
        <v>1276</v>
      </c>
    </row>
    <row r="1564">
      <c r="A1564" s="19" t="s">
        <v>1277</v>
      </c>
    </row>
    <row r="1565">
      <c r="A1565" s="19" t="s">
        <v>1278</v>
      </c>
    </row>
    <row r="1566">
      <c r="A1566" s="19" t="s">
        <v>1279</v>
      </c>
    </row>
    <row r="1567">
      <c r="A1567" s="19" t="s">
        <v>1280</v>
      </c>
    </row>
    <row r="1568">
      <c r="A1568" s="19" t="s">
        <v>1281</v>
      </c>
    </row>
    <row r="1569">
      <c r="A1569" s="19" t="s">
        <v>1282</v>
      </c>
    </row>
    <row r="1570">
      <c r="A1570" s="19" t="s">
        <v>1283</v>
      </c>
    </row>
    <row r="1571">
      <c r="A1571" s="19" t="s">
        <v>1284</v>
      </c>
    </row>
    <row r="1572">
      <c r="A1572" s="19" t="s">
        <v>1285</v>
      </c>
    </row>
    <row r="1573">
      <c r="A1573" s="21"/>
    </row>
    <row r="1574">
      <c r="A1574" s="19" t="s">
        <v>1286</v>
      </c>
    </row>
    <row r="1575">
      <c r="A1575" s="19" t="s">
        <v>1287</v>
      </c>
    </row>
    <row r="1576">
      <c r="A1576" s="21"/>
    </row>
    <row r="1577">
      <c r="A1577" s="19" t="s">
        <v>1288</v>
      </c>
    </row>
    <row r="1578">
      <c r="A1578" s="19" t="s">
        <v>1289</v>
      </c>
    </row>
    <row r="1579">
      <c r="A1579" s="19" t="s">
        <v>1290</v>
      </c>
    </row>
    <row r="1580">
      <c r="A1580" s="19" t="s">
        <v>1291</v>
      </c>
    </row>
    <row r="1581">
      <c r="A1581" s="19" t="s">
        <v>1292</v>
      </c>
    </row>
    <row r="1582">
      <c r="A1582" s="19" t="s">
        <v>1293</v>
      </c>
    </row>
    <row r="1583">
      <c r="A1583" s="19" t="s">
        <v>1294</v>
      </c>
    </row>
    <row r="1584">
      <c r="A1584" s="21"/>
    </row>
    <row r="1585">
      <c r="A1585" s="19" t="s">
        <v>1295</v>
      </c>
    </row>
    <row r="1586">
      <c r="A1586" s="19" t="s">
        <v>1296</v>
      </c>
    </row>
    <row r="1587">
      <c r="A1587" s="19" t="s">
        <v>425</v>
      </c>
    </row>
    <row r="1588">
      <c r="A1588" s="19" t="s">
        <v>1297</v>
      </c>
    </row>
    <row r="1589">
      <c r="A1589" s="19" t="s">
        <v>1298</v>
      </c>
    </row>
    <row r="1590">
      <c r="A1590" s="19" t="s">
        <v>1299</v>
      </c>
    </row>
    <row r="1591">
      <c r="A1591" s="19" t="s">
        <v>1300</v>
      </c>
    </row>
    <row r="1592">
      <c r="A1592" s="19" t="s">
        <v>1301</v>
      </c>
    </row>
    <row r="1593">
      <c r="A1593" s="19" t="s">
        <v>1302</v>
      </c>
    </row>
    <row r="1594">
      <c r="A1594" s="19" t="s">
        <v>1303</v>
      </c>
    </row>
    <row r="1595">
      <c r="A1595" s="19" t="s">
        <v>1304</v>
      </c>
    </row>
    <row r="1596">
      <c r="A1596" s="19" t="s">
        <v>1305</v>
      </c>
    </row>
    <row r="1597">
      <c r="A1597" s="19" t="s">
        <v>1306</v>
      </c>
    </row>
    <row r="1598">
      <c r="A1598" s="19" t="s">
        <v>1307</v>
      </c>
    </row>
    <row r="1599">
      <c r="A1599" s="19" t="s">
        <v>1308</v>
      </c>
    </row>
    <row r="1600">
      <c r="A1600" s="19" t="s">
        <v>1309</v>
      </c>
    </row>
    <row r="1601">
      <c r="A1601" s="19" t="s">
        <v>1310</v>
      </c>
    </row>
    <row r="1602">
      <c r="A1602" s="19" t="s">
        <v>1311</v>
      </c>
    </row>
    <row r="1603">
      <c r="A1603" s="19" t="s">
        <v>1312</v>
      </c>
    </row>
    <row r="1604">
      <c r="A1604" s="19" t="s">
        <v>1313</v>
      </c>
    </row>
    <row r="1605">
      <c r="A1605" s="19" t="s">
        <v>1314</v>
      </c>
    </row>
    <row r="1606">
      <c r="A1606" s="19" t="s">
        <v>1314</v>
      </c>
    </row>
    <row r="1607">
      <c r="A1607" s="19" t="s">
        <v>1315</v>
      </c>
    </row>
    <row r="1608">
      <c r="A1608" s="19" t="s">
        <v>1316</v>
      </c>
    </row>
    <row r="1609">
      <c r="A1609" s="19" t="s">
        <v>1317</v>
      </c>
    </row>
    <row r="1610">
      <c r="A1610" s="19" t="s">
        <v>1318</v>
      </c>
    </row>
    <row r="1611">
      <c r="A1611" s="19" t="s">
        <v>1319</v>
      </c>
    </row>
    <row r="1612">
      <c r="A1612" s="19" t="s">
        <v>1320</v>
      </c>
    </row>
    <row r="1613">
      <c r="A1613" s="19" t="s">
        <v>1321</v>
      </c>
    </row>
    <row r="1614">
      <c r="A1614" s="21"/>
    </row>
    <row r="1615">
      <c r="A1615" s="19" t="s">
        <v>1322</v>
      </c>
    </row>
    <row r="1616">
      <c r="A1616" s="19" t="s">
        <v>1323</v>
      </c>
    </row>
    <row r="1617">
      <c r="A1617" s="19" t="s">
        <v>1324</v>
      </c>
    </row>
    <row r="1618">
      <c r="A1618" s="19" t="s">
        <v>1325</v>
      </c>
    </row>
    <row r="1619">
      <c r="A1619" s="19" t="s">
        <v>1326</v>
      </c>
    </row>
    <row r="1620">
      <c r="A1620" s="19" t="s">
        <v>1327</v>
      </c>
    </row>
    <row r="1621">
      <c r="A1621" s="19" t="s">
        <v>1328</v>
      </c>
    </row>
    <row r="1622">
      <c r="A1622" s="19" t="s">
        <v>1329</v>
      </c>
    </row>
    <row r="1623">
      <c r="A1623" s="19" t="s">
        <v>1330</v>
      </c>
    </row>
    <row r="1624">
      <c r="A1624" s="19" t="s">
        <v>1331</v>
      </c>
    </row>
    <row r="1625">
      <c r="A1625" s="19" t="s">
        <v>1332</v>
      </c>
    </row>
    <row r="1626">
      <c r="A1626" s="19" t="s">
        <v>1333</v>
      </c>
    </row>
    <row r="1627">
      <c r="A1627" s="19" t="s">
        <v>1334</v>
      </c>
    </row>
    <row r="1628">
      <c r="A1628" s="19" t="s">
        <v>1335</v>
      </c>
    </row>
    <row r="1629">
      <c r="A1629" s="19" t="s">
        <v>1336</v>
      </c>
    </row>
    <row r="1630">
      <c r="A1630" s="19" t="s">
        <v>1337</v>
      </c>
    </row>
    <row r="1631">
      <c r="A1631" s="19" t="s">
        <v>1338</v>
      </c>
    </row>
    <row r="1632">
      <c r="A1632" s="19" t="s">
        <v>1339</v>
      </c>
    </row>
    <row r="1633">
      <c r="A1633" s="19" t="s">
        <v>1340</v>
      </c>
    </row>
    <row r="1634">
      <c r="A1634" s="19" t="s">
        <v>1341</v>
      </c>
    </row>
    <row r="1635">
      <c r="A1635" s="19" t="s">
        <v>1342</v>
      </c>
    </row>
    <row r="1636">
      <c r="A1636" s="19" t="s">
        <v>1343</v>
      </c>
    </row>
    <row r="1637">
      <c r="A1637" s="19" t="s">
        <v>1343</v>
      </c>
    </row>
    <row r="1638">
      <c r="A1638" s="19" t="s">
        <v>1344</v>
      </c>
    </row>
    <row r="1639">
      <c r="A1639" s="19" t="s">
        <v>1345</v>
      </c>
    </row>
    <row r="1640">
      <c r="A1640" s="19" t="s">
        <v>1346</v>
      </c>
    </row>
    <row r="1641">
      <c r="A1641" s="19" t="s">
        <v>1347</v>
      </c>
    </row>
    <row r="1642">
      <c r="A1642" s="19" t="s">
        <v>1348</v>
      </c>
    </row>
    <row r="1643">
      <c r="A1643" s="19" t="s">
        <v>1349</v>
      </c>
    </row>
    <row r="1644">
      <c r="A1644" s="19" t="s">
        <v>1350</v>
      </c>
    </row>
    <row r="1645">
      <c r="A1645" s="19" t="s">
        <v>1351</v>
      </c>
    </row>
    <row r="1646">
      <c r="A1646" s="19" t="s">
        <v>1352</v>
      </c>
    </row>
    <row r="1647">
      <c r="A1647" s="19" t="s">
        <v>1353</v>
      </c>
    </row>
    <row r="1648">
      <c r="A1648" s="19" t="s">
        <v>1354</v>
      </c>
    </row>
    <row r="1649">
      <c r="A1649" s="19" t="s">
        <v>1355</v>
      </c>
    </row>
    <row r="1650">
      <c r="A1650" s="19" t="s">
        <v>1356</v>
      </c>
    </row>
    <row r="1651">
      <c r="A1651" s="19" t="s">
        <v>1357</v>
      </c>
    </row>
    <row r="1652">
      <c r="A1652" s="19" t="s">
        <v>1358</v>
      </c>
    </row>
    <row r="1653">
      <c r="A1653" s="19" t="s">
        <v>1359</v>
      </c>
    </row>
    <row r="1654">
      <c r="A1654" s="19" t="s">
        <v>1360</v>
      </c>
    </row>
    <row r="1655">
      <c r="A1655" s="19" t="s">
        <v>520</v>
      </c>
    </row>
    <row r="1656">
      <c r="A1656" s="21"/>
    </row>
    <row r="1657">
      <c r="A1657" s="19" t="s">
        <v>1361</v>
      </c>
    </row>
    <row r="1658">
      <c r="A1658" s="19" t="s">
        <v>1362</v>
      </c>
    </row>
    <row r="1659">
      <c r="A1659" s="19" t="s">
        <v>1363</v>
      </c>
    </row>
    <row r="1660">
      <c r="A1660" s="19" t="s">
        <v>1364</v>
      </c>
    </row>
    <row r="1661">
      <c r="A1661" s="19" t="s">
        <v>1365</v>
      </c>
    </row>
    <row r="1662">
      <c r="A1662" s="19" t="s">
        <v>1366</v>
      </c>
    </row>
    <row r="1663">
      <c r="A1663" s="19" t="s">
        <v>1367</v>
      </c>
    </row>
    <row r="1664">
      <c r="A1664" s="19" t="s">
        <v>1368</v>
      </c>
    </row>
    <row r="1665">
      <c r="A1665" s="19" t="s">
        <v>1369</v>
      </c>
    </row>
    <row r="1666">
      <c r="A1666" s="19" t="s">
        <v>1370</v>
      </c>
    </row>
    <row r="1667">
      <c r="A1667" s="19" t="s">
        <v>1371</v>
      </c>
    </row>
    <row r="1668">
      <c r="A1668" s="19" t="s">
        <v>1372</v>
      </c>
    </row>
    <row r="1669">
      <c r="A1669" s="19" t="s">
        <v>1373</v>
      </c>
    </row>
    <row r="1670">
      <c r="A1670" s="19" t="s">
        <v>1374</v>
      </c>
    </row>
    <row r="1671">
      <c r="A1671" s="19" t="s">
        <v>1375</v>
      </c>
    </row>
    <row r="1672">
      <c r="A1672" s="19" t="s">
        <v>1376</v>
      </c>
    </row>
    <row r="1673">
      <c r="A1673" s="19" t="s">
        <v>1377</v>
      </c>
    </row>
    <row r="1674">
      <c r="A1674" s="19" t="s">
        <v>1378</v>
      </c>
    </row>
    <row r="1675">
      <c r="A1675" s="19" t="s">
        <v>1379</v>
      </c>
    </row>
    <row r="1676">
      <c r="A1676" s="19" t="s">
        <v>1380</v>
      </c>
    </row>
    <row r="1677">
      <c r="A1677" s="19" t="s">
        <v>1381</v>
      </c>
    </row>
    <row r="1678">
      <c r="A1678" s="19" t="s">
        <v>1382</v>
      </c>
    </row>
    <row r="1679">
      <c r="A1679" s="19" t="s">
        <v>1383</v>
      </c>
    </row>
    <row r="1680">
      <c r="A1680" s="19" t="s">
        <v>1384</v>
      </c>
    </row>
    <row r="1681">
      <c r="A1681" s="19" t="s">
        <v>1385</v>
      </c>
    </row>
    <row r="1682">
      <c r="A1682" s="19" t="s">
        <v>1386</v>
      </c>
    </row>
    <row r="1683">
      <c r="A1683" s="19" t="s">
        <v>1387</v>
      </c>
    </row>
    <row r="1684">
      <c r="A1684" s="19" t="s">
        <v>1388</v>
      </c>
    </row>
    <row r="1685">
      <c r="A1685" s="19" t="s">
        <v>1389</v>
      </c>
    </row>
    <row r="1686">
      <c r="A1686" s="19" t="s">
        <v>1390</v>
      </c>
    </row>
    <row r="1687">
      <c r="A1687" s="19" t="s">
        <v>1391</v>
      </c>
    </row>
    <row r="1688">
      <c r="A1688" s="19" t="s">
        <v>1392</v>
      </c>
    </row>
    <row r="1689">
      <c r="A1689" s="19" t="s">
        <v>1393</v>
      </c>
    </row>
    <row r="1690">
      <c r="A1690" s="19" t="s">
        <v>1394</v>
      </c>
    </row>
    <row r="1691">
      <c r="A1691" s="19" t="s">
        <v>1395</v>
      </c>
    </row>
    <row r="1692">
      <c r="A1692" s="19" t="s">
        <v>1396</v>
      </c>
    </row>
    <row r="1693">
      <c r="A1693" s="19" t="s">
        <v>1397</v>
      </c>
    </row>
    <row r="1694">
      <c r="A1694" s="19" t="s">
        <v>1398</v>
      </c>
    </row>
    <row r="1695">
      <c r="A1695" s="19" t="s">
        <v>1399</v>
      </c>
    </row>
    <row r="1696">
      <c r="A1696" s="19" t="s">
        <v>1400</v>
      </c>
    </row>
    <row r="1697">
      <c r="A1697" s="19" t="s">
        <v>1401</v>
      </c>
    </row>
    <row r="1698">
      <c r="A1698" s="19" t="s">
        <v>1402</v>
      </c>
    </row>
    <row r="1699">
      <c r="A1699" s="19" t="s">
        <v>1403</v>
      </c>
    </row>
    <row r="1700">
      <c r="A1700" s="19" t="s">
        <v>1404</v>
      </c>
    </row>
    <row r="1701">
      <c r="A1701" s="19" t="s">
        <v>1405</v>
      </c>
    </row>
    <row r="1702">
      <c r="A1702" s="19" t="s">
        <v>1406</v>
      </c>
    </row>
    <row r="1703">
      <c r="A1703" s="19" t="s">
        <v>1407</v>
      </c>
    </row>
    <row r="1704">
      <c r="A1704" s="19" t="s">
        <v>1408</v>
      </c>
    </row>
    <row r="1705">
      <c r="A1705" s="19" t="s">
        <v>1409</v>
      </c>
    </row>
    <row r="1706">
      <c r="A1706" s="19" t="s">
        <v>1410</v>
      </c>
    </row>
    <row r="1707">
      <c r="A1707" s="19" t="s">
        <v>1411</v>
      </c>
    </row>
    <row r="1708">
      <c r="A1708" s="19" t="s">
        <v>1412</v>
      </c>
    </row>
    <row r="1709">
      <c r="A1709" s="19" t="s">
        <v>1413</v>
      </c>
    </row>
    <row r="1710">
      <c r="A1710" s="19" t="s">
        <v>1414</v>
      </c>
    </row>
    <row r="1711">
      <c r="A1711" s="19" t="s">
        <v>1415</v>
      </c>
    </row>
    <row r="1712">
      <c r="A1712" s="19" t="s">
        <v>1416</v>
      </c>
    </row>
    <row r="1713">
      <c r="A1713" s="19" t="s">
        <v>1417</v>
      </c>
    </row>
    <row r="1714">
      <c r="A1714" s="19" t="s">
        <v>1418</v>
      </c>
    </row>
    <row r="1715">
      <c r="A1715" s="19" t="s">
        <v>1419</v>
      </c>
    </row>
    <row r="1716">
      <c r="A1716" s="19" t="s">
        <v>1420</v>
      </c>
    </row>
    <row r="1717">
      <c r="A1717" s="19" t="s">
        <v>1421</v>
      </c>
    </row>
    <row r="1718">
      <c r="A1718" s="19" t="s">
        <v>1422</v>
      </c>
    </row>
    <row r="1719">
      <c r="A1719" s="19" t="s">
        <v>1423</v>
      </c>
    </row>
    <row r="1720">
      <c r="A1720" s="19" t="s">
        <v>1424</v>
      </c>
    </row>
    <row r="1721">
      <c r="A1721" s="19" t="s">
        <v>1425</v>
      </c>
    </row>
    <row r="1722">
      <c r="A1722" s="19" t="s">
        <v>1426</v>
      </c>
    </row>
    <row r="1723">
      <c r="A1723" s="19" t="s">
        <v>1427</v>
      </c>
    </row>
    <row r="1724">
      <c r="A1724" s="19" t="s">
        <v>1428</v>
      </c>
    </row>
    <row r="1725">
      <c r="A1725" s="19" t="s">
        <v>1429</v>
      </c>
    </row>
    <row r="1726">
      <c r="A1726" s="19" t="s">
        <v>1430</v>
      </c>
    </row>
    <row r="1727">
      <c r="A1727" s="19" t="s">
        <v>1431</v>
      </c>
    </row>
    <row r="1728">
      <c r="A1728" s="19" t="s">
        <v>1432</v>
      </c>
    </row>
    <row r="1729">
      <c r="A1729" s="19" t="s">
        <v>1433</v>
      </c>
    </row>
    <row r="1730">
      <c r="A1730" s="19" t="s">
        <v>1434</v>
      </c>
    </row>
    <row r="1731">
      <c r="A1731" s="19" t="s">
        <v>1435</v>
      </c>
    </row>
    <row r="1732">
      <c r="A1732" s="19" t="s">
        <v>1436</v>
      </c>
    </row>
    <row r="1733">
      <c r="A1733" s="19" t="s">
        <v>1437</v>
      </c>
    </row>
    <row r="1734">
      <c r="A1734" s="19" t="s">
        <v>1438</v>
      </c>
    </row>
    <row r="1735">
      <c r="A1735" s="19" t="s">
        <v>1439</v>
      </c>
    </row>
    <row r="1736">
      <c r="A1736" s="19" t="s">
        <v>1440</v>
      </c>
    </row>
    <row r="1737">
      <c r="A1737" s="19" t="s">
        <v>1441</v>
      </c>
    </row>
    <row r="1738">
      <c r="A1738" s="19" t="s">
        <v>1442</v>
      </c>
    </row>
    <row r="1739">
      <c r="A1739" s="19" t="s">
        <v>1443</v>
      </c>
    </row>
    <row r="1740">
      <c r="A1740" s="19" t="s">
        <v>1444</v>
      </c>
    </row>
    <row r="1741">
      <c r="A1741" s="19" t="s">
        <v>1445</v>
      </c>
    </row>
    <row r="1742">
      <c r="A1742" s="19" t="s">
        <v>1446</v>
      </c>
    </row>
    <row r="1743">
      <c r="A1743" s="19" t="s">
        <v>1447</v>
      </c>
    </row>
    <row r="1744">
      <c r="A1744" s="19" t="s">
        <v>1448</v>
      </c>
    </row>
    <row r="1745">
      <c r="A1745" s="19" t="s">
        <v>1449</v>
      </c>
    </row>
    <row r="1746">
      <c r="A1746" s="19" t="s">
        <v>1450</v>
      </c>
    </row>
    <row r="1747">
      <c r="A1747" s="19" t="s">
        <v>1451</v>
      </c>
    </row>
    <row r="1748">
      <c r="A1748" s="19" t="s">
        <v>1452</v>
      </c>
    </row>
    <row r="1749">
      <c r="A1749" s="19" t="s">
        <v>1453</v>
      </c>
    </row>
    <row r="1750">
      <c r="A1750" s="19" t="s">
        <v>1454</v>
      </c>
    </row>
    <row r="1751">
      <c r="A1751" s="19" t="s">
        <v>1455</v>
      </c>
    </row>
    <row r="1752">
      <c r="A1752" s="19" t="s">
        <v>1456</v>
      </c>
    </row>
    <row r="1753">
      <c r="A1753" s="19" t="s">
        <v>1457</v>
      </c>
    </row>
    <row r="1754">
      <c r="A1754" s="19" t="s">
        <v>1458</v>
      </c>
    </row>
    <row r="1755">
      <c r="A1755" s="19" t="s">
        <v>1459</v>
      </c>
    </row>
    <row r="1756">
      <c r="A1756" s="19" t="s">
        <v>1460</v>
      </c>
    </row>
    <row r="1757">
      <c r="A1757" s="19" t="s">
        <v>1461</v>
      </c>
    </row>
    <row r="1758">
      <c r="A1758" s="19" t="s">
        <v>1462</v>
      </c>
    </row>
    <row r="1759">
      <c r="A1759" s="19" t="s">
        <v>1463</v>
      </c>
    </row>
    <row r="1760">
      <c r="A1760" s="19" t="s">
        <v>1464</v>
      </c>
    </row>
    <row r="1761">
      <c r="A1761" s="19" t="s">
        <v>1465</v>
      </c>
    </row>
    <row r="1762">
      <c r="A1762" s="19" t="s">
        <v>1466</v>
      </c>
    </row>
    <row r="1763">
      <c r="A1763" s="19" t="s">
        <v>1467</v>
      </c>
    </row>
    <row r="1764">
      <c r="A1764" s="19" t="s">
        <v>1468</v>
      </c>
    </row>
    <row r="1765">
      <c r="A1765" s="19" t="s">
        <v>1469</v>
      </c>
    </row>
    <row r="1766">
      <c r="A1766" s="21"/>
    </row>
    <row r="1767">
      <c r="A1767" s="19" t="s">
        <v>1470</v>
      </c>
    </row>
    <row r="1768">
      <c r="A1768" s="19" t="s">
        <v>1471</v>
      </c>
    </row>
    <row r="1769">
      <c r="A1769" s="19" t="s">
        <v>1472</v>
      </c>
    </row>
    <row r="1770">
      <c r="A1770" s="19" t="s">
        <v>1473</v>
      </c>
    </row>
    <row r="1771">
      <c r="A1771" s="19" t="s">
        <v>1474</v>
      </c>
    </row>
    <row r="1772">
      <c r="A1772" s="19" t="s">
        <v>1475</v>
      </c>
    </row>
    <row r="1773">
      <c r="A1773" s="19" t="s">
        <v>1476</v>
      </c>
    </row>
    <row r="1774">
      <c r="A1774" s="19" t="s">
        <v>1477</v>
      </c>
    </row>
    <row r="1775">
      <c r="A1775" s="19" t="s">
        <v>1478</v>
      </c>
    </row>
    <row r="1776">
      <c r="A1776" s="19" t="s">
        <v>1479</v>
      </c>
    </row>
    <row r="1777">
      <c r="A1777" s="19" t="s">
        <v>1480</v>
      </c>
    </row>
    <row r="1778">
      <c r="A1778" s="19" t="s">
        <v>1481</v>
      </c>
    </row>
    <row r="1779">
      <c r="A1779" s="19" t="s">
        <v>1481</v>
      </c>
    </row>
    <row r="1780">
      <c r="A1780" s="19" t="s">
        <v>1482</v>
      </c>
    </row>
    <row r="1781">
      <c r="A1781" s="19" t="s">
        <v>1483</v>
      </c>
    </row>
    <row r="1782">
      <c r="A1782" s="19" t="s">
        <v>1484</v>
      </c>
    </row>
    <row r="1783">
      <c r="A1783" s="19" t="s">
        <v>1485</v>
      </c>
    </row>
    <row r="1784">
      <c r="A1784" s="19" t="s">
        <v>1486</v>
      </c>
    </row>
    <row r="1785">
      <c r="A1785" s="19" t="s">
        <v>1487</v>
      </c>
    </row>
    <row r="1786">
      <c r="A1786" s="19" t="s">
        <v>1488</v>
      </c>
    </row>
    <row r="1787">
      <c r="A1787" s="19" t="s">
        <v>1489</v>
      </c>
    </row>
    <row r="1788">
      <c r="A1788" s="19" t="s">
        <v>1490</v>
      </c>
    </row>
    <row r="1789">
      <c r="A1789" s="19" t="s">
        <v>1491</v>
      </c>
    </row>
    <row r="1790">
      <c r="A1790" s="19" t="s">
        <v>1492</v>
      </c>
    </row>
    <row r="1791">
      <c r="A1791" s="19" t="s">
        <v>1493</v>
      </c>
    </row>
    <row r="1792">
      <c r="A1792" s="19" t="s">
        <v>1494</v>
      </c>
    </row>
    <row r="1793">
      <c r="A1793" s="19" t="s">
        <v>1495</v>
      </c>
    </row>
    <row r="1794">
      <c r="A1794" s="19" t="s">
        <v>1496</v>
      </c>
    </row>
    <row r="1795">
      <c r="A1795" s="19" t="s">
        <v>1497</v>
      </c>
    </row>
    <row r="1796">
      <c r="A1796" s="19" t="s">
        <v>1498</v>
      </c>
    </row>
    <row r="1797">
      <c r="A1797" s="19" t="s">
        <v>1499</v>
      </c>
    </row>
    <row r="1798">
      <c r="A1798" s="19" t="s">
        <v>1500</v>
      </c>
    </row>
    <row r="1799">
      <c r="A1799" s="19" t="s">
        <v>1501</v>
      </c>
    </row>
    <row r="1800">
      <c r="A1800" s="19" t="s">
        <v>1502</v>
      </c>
    </row>
    <row r="1801">
      <c r="A1801" s="19" t="s">
        <v>1503</v>
      </c>
    </row>
    <row r="1802">
      <c r="A1802" s="19" t="s">
        <v>1504</v>
      </c>
    </row>
    <row r="1803">
      <c r="A1803" s="19" t="s">
        <v>1505</v>
      </c>
    </row>
    <row r="1804">
      <c r="A1804" s="19" t="s">
        <v>1506</v>
      </c>
    </row>
    <row r="1805">
      <c r="A1805" s="19" t="s">
        <v>1507</v>
      </c>
    </row>
    <row r="1806">
      <c r="A1806" s="19" t="s">
        <v>1423</v>
      </c>
    </row>
    <row r="1807">
      <c r="A1807" s="19" t="s">
        <v>1508</v>
      </c>
    </row>
    <row r="1808">
      <c r="A1808" s="19" t="s">
        <v>1509</v>
      </c>
    </row>
    <row r="1809">
      <c r="A1809" s="19" t="s">
        <v>1510</v>
      </c>
    </row>
    <row r="1810">
      <c r="A1810" s="19" t="s">
        <v>1511</v>
      </c>
    </row>
    <row r="1811">
      <c r="A1811" s="19" t="s">
        <v>1512</v>
      </c>
    </row>
    <row r="1812">
      <c r="A1812" s="19" t="s">
        <v>1513</v>
      </c>
    </row>
    <row r="1813">
      <c r="A1813" s="19" t="s">
        <v>1514</v>
      </c>
    </row>
    <row r="1814">
      <c r="A1814" s="19" t="s">
        <v>1486</v>
      </c>
    </row>
    <row r="1815">
      <c r="A1815" s="19" t="s">
        <v>1515</v>
      </c>
    </row>
    <row r="1816">
      <c r="A1816" s="19" t="s">
        <v>1516</v>
      </c>
    </row>
    <row r="1817">
      <c r="A1817" s="19" t="s">
        <v>1517</v>
      </c>
    </row>
    <row r="1818">
      <c r="A1818" s="19" t="s">
        <v>1518</v>
      </c>
    </row>
    <row r="1819">
      <c r="A1819" s="19" t="s">
        <v>1519</v>
      </c>
    </row>
    <row r="1820">
      <c r="A1820" s="19" t="s">
        <v>1520</v>
      </c>
    </row>
    <row r="1821">
      <c r="A1821" s="19" t="s">
        <v>1521</v>
      </c>
    </row>
    <row r="1822">
      <c r="A1822" s="19" t="s">
        <v>1522</v>
      </c>
    </row>
    <row r="1823">
      <c r="A1823" s="19" t="s">
        <v>1523</v>
      </c>
    </row>
    <row r="1824">
      <c r="A1824" s="19" t="s">
        <v>1524</v>
      </c>
    </row>
    <row r="1825">
      <c r="A1825" s="19" t="s">
        <v>1525</v>
      </c>
    </row>
    <row r="1826">
      <c r="A1826" s="19" t="s">
        <v>1526</v>
      </c>
    </row>
    <row r="1827">
      <c r="A1827" s="19" t="s">
        <v>1527</v>
      </c>
    </row>
    <row r="1828">
      <c r="A1828" s="19" t="s">
        <v>1528</v>
      </c>
    </row>
    <row r="1829">
      <c r="A1829" s="19" t="s">
        <v>1529</v>
      </c>
    </row>
    <row r="1830">
      <c r="A1830" s="19" t="s">
        <v>1530</v>
      </c>
    </row>
    <row r="1831">
      <c r="A1831" s="19" t="s">
        <v>1531</v>
      </c>
    </row>
    <row r="1832">
      <c r="A1832" s="19" t="s">
        <v>1532</v>
      </c>
    </row>
    <row r="1833">
      <c r="A1833" s="19" t="s">
        <v>1533</v>
      </c>
    </row>
    <row r="1834">
      <c r="A1834" s="19" t="s">
        <v>1534</v>
      </c>
    </row>
    <row r="1835">
      <c r="A1835" s="19" t="s">
        <v>1535</v>
      </c>
    </row>
    <row r="1836">
      <c r="A1836" s="19" t="s">
        <v>1536</v>
      </c>
    </row>
    <row r="1837">
      <c r="A1837" s="21"/>
    </row>
    <row r="1838">
      <c r="A1838" s="19" t="s">
        <v>1537</v>
      </c>
    </row>
    <row r="1839">
      <c r="A1839" s="19" t="s">
        <v>1538</v>
      </c>
    </row>
    <row r="1840">
      <c r="A1840" s="19" t="s">
        <v>1539</v>
      </c>
    </row>
    <row r="1841">
      <c r="A1841" s="19" t="s">
        <v>1446</v>
      </c>
    </row>
    <row r="1842">
      <c r="A1842" s="19" t="s">
        <v>1540</v>
      </c>
    </row>
    <row r="1843">
      <c r="A1843" s="19" t="s">
        <v>1541</v>
      </c>
    </row>
    <row r="1844">
      <c r="A1844" s="19" t="s">
        <v>1542</v>
      </c>
    </row>
    <row r="1845">
      <c r="A1845" s="19" t="s">
        <v>1543</v>
      </c>
    </row>
    <row r="1846">
      <c r="A1846" s="19" t="s">
        <v>1544</v>
      </c>
    </row>
    <row r="1847">
      <c r="A1847" s="19" t="s">
        <v>1545</v>
      </c>
    </row>
    <row r="1848">
      <c r="A1848" s="19" t="s">
        <v>1546</v>
      </c>
    </row>
    <row r="1849">
      <c r="A1849" s="19" t="s">
        <v>1547</v>
      </c>
    </row>
    <row r="1850">
      <c r="A1850" s="19" t="s">
        <v>1548</v>
      </c>
    </row>
    <row r="1851">
      <c r="A1851" s="19" t="s">
        <v>1549</v>
      </c>
    </row>
    <row r="1852">
      <c r="A1852" s="19" t="s">
        <v>1550</v>
      </c>
    </row>
    <row r="1853">
      <c r="A1853" s="19" t="s">
        <v>1551</v>
      </c>
    </row>
    <row r="1854">
      <c r="A1854" s="19" t="s">
        <v>1552</v>
      </c>
    </row>
    <row r="1855">
      <c r="A1855" s="19" t="s">
        <v>1386</v>
      </c>
    </row>
    <row r="1856">
      <c r="A1856" s="19" t="s">
        <v>1390</v>
      </c>
    </row>
    <row r="1857">
      <c r="A1857" s="19" t="s">
        <v>1553</v>
      </c>
    </row>
    <row r="1858">
      <c r="A1858" s="19" t="s">
        <v>1554</v>
      </c>
    </row>
    <row r="1859">
      <c r="A1859" s="19" t="s">
        <v>1555</v>
      </c>
    </row>
    <row r="1860">
      <c r="A1860" s="19" t="s">
        <v>1556</v>
      </c>
    </row>
    <row r="1861">
      <c r="A1861" s="19" t="s">
        <v>1557</v>
      </c>
    </row>
    <row r="1862">
      <c r="A1862" s="19" t="s">
        <v>1558</v>
      </c>
    </row>
    <row r="1863">
      <c r="A1863" s="19" t="s">
        <v>1559</v>
      </c>
    </row>
    <row r="1864">
      <c r="A1864" s="19" t="s">
        <v>1560</v>
      </c>
    </row>
    <row r="1865">
      <c r="A1865" s="19" t="s">
        <v>1561</v>
      </c>
    </row>
    <row r="1866">
      <c r="A1866" s="19" t="s">
        <v>1562</v>
      </c>
    </row>
    <row r="1867">
      <c r="A1867" s="19" t="s">
        <v>1563</v>
      </c>
    </row>
    <row r="1868">
      <c r="A1868" s="19" t="s">
        <v>1564</v>
      </c>
    </row>
    <row r="1869">
      <c r="A1869" s="19" t="s">
        <v>1565</v>
      </c>
    </row>
    <row r="1870">
      <c r="A1870" s="19" t="s">
        <v>1566</v>
      </c>
    </row>
    <row r="1871">
      <c r="A1871" s="19" t="s">
        <v>1567</v>
      </c>
    </row>
    <row r="1872">
      <c r="A1872" s="19" t="s">
        <v>1568</v>
      </c>
    </row>
    <row r="1873">
      <c r="A1873" s="19" t="s">
        <v>1569</v>
      </c>
    </row>
    <row r="1874">
      <c r="A1874" s="19" t="s">
        <v>1570</v>
      </c>
    </row>
    <row r="1875">
      <c r="A1875" s="19" t="s">
        <v>1571</v>
      </c>
    </row>
    <row r="1876">
      <c r="A1876" s="19" t="s">
        <v>1387</v>
      </c>
    </row>
    <row r="1877">
      <c r="A1877" s="19" t="s">
        <v>1394</v>
      </c>
    </row>
    <row r="1878">
      <c r="A1878" s="19" t="s">
        <v>1572</v>
      </c>
    </row>
    <row r="1879">
      <c r="A1879" s="19" t="s">
        <v>1396</v>
      </c>
    </row>
    <row r="1880">
      <c r="A1880" s="19" t="s">
        <v>1398</v>
      </c>
    </row>
    <row r="1881">
      <c r="A1881" s="19" t="s">
        <v>1573</v>
      </c>
    </row>
    <row r="1882">
      <c r="A1882" s="19" t="s">
        <v>1400</v>
      </c>
    </row>
    <row r="1883">
      <c r="A1883" s="19" t="s">
        <v>1402</v>
      </c>
    </row>
    <row r="1884">
      <c r="A1884" s="19" t="s">
        <v>1574</v>
      </c>
    </row>
    <row r="1885">
      <c r="A1885" s="19" t="s">
        <v>1403</v>
      </c>
    </row>
    <row r="1886">
      <c r="A1886" s="19" t="s">
        <v>1404</v>
      </c>
    </row>
    <row r="1887">
      <c r="A1887" s="19" t="s">
        <v>1575</v>
      </c>
    </row>
    <row r="1888">
      <c r="A1888" s="19" t="s">
        <v>1576</v>
      </c>
    </row>
    <row r="1889">
      <c r="A1889" s="19" t="s">
        <v>1577</v>
      </c>
    </row>
    <row r="1890">
      <c r="A1890" s="19" t="s">
        <v>1578</v>
      </c>
    </row>
    <row r="1891">
      <c r="A1891" s="19" t="s">
        <v>1579</v>
      </c>
    </row>
    <row r="1892">
      <c r="A1892" s="19" t="s">
        <v>1580</v>
      </c>
    </row>
    <row r="1893">
      <c r="A1893" s="19" t="s">
        <v>1410</v>
      </c>
    </row>
    <row r="1894">
      <c r="A1894" s="19" t="s">
        <v>1581</v>
      </c>
    </row>
    <row r="1895">
      <c r="A1895" s="19" t="s">
        <v>1582</v>
      </c>
    </row>
    <row r="1896">
      <c r="A1896" s="19" t="s">
        <v>1411</v>
      </c>
    </row>
    <row r="1897">
      <c r="A1897" s="19" t="s">
        <v>1412</v>
      </c>
    </row>
    <row r="1898">
      <c r="A1898" s="19" t="s">
        <v>1583</v>
      </c>
    </row>
    <row r="1899">
      <c r="A1899" s="19" t="s">
        <v>1584</v>
      </c>
    </row>
    <row r="1900">
      <c r="A1900" s="19" t="s">
        <v>1414</v>
      </c>
    </row>
    <row r="1901">
      <c r="A1901" s="19" t="s">
        <v>1415</v>
      </c>
    </row>
    <row r="1902">
      <c r="A1902" s="19" t="s">
        <v>1585</v>
      </c>
    </row>
    <row r="1903">
      <c r="A1903" s="19" t="s">
        <v>1586</v>
      </c>
    </row>
    <row r="1904">
      <c r="A1904" s="19" t="s">
        <v>1587</v>
      </c>
    </row>
    <row r="1905">
      <c r="A1905" s="19" t="s">
        <v>1419</v>
      </c>
    </row>
    <row r="1906">
      <c r="A1906" s="19" t="s">
        <v>1420</v>
      </c>
    </row>
    <row r="1907">
      <c r="A1907" s="19" t="s">
        <v>1421</v>
      </c>
    </row>
    <row r="1908">
      <c r="A1908" s="19" t="s">
        <v>1422</v>
      </c>
    </row>
    <row r="1909">
      <c r="A1909" s="19" t="s">
        <v>1423</v>
      </c>
    </row>
    <row r="1910">
      <c r="A1910" s="19" t="s">
        <v>1426</v>
      </c>
    </row>
    <row r="1911">
      <c r="A1911" s="19" t="s">
        <v>1427</v>
      </c>
    </row>
    <row r="1912">
      <c r="A1912" s="19" t="s">
        <v>1429</v>
      </c>
    </row>
    <row r="1913">
      <c r="A1913" s="19" t="s">
        <v>1588</v>
      </c>
    </row>
    <row r="1914">
      <c r="A1914" s="19" t="s">
        <v>1589</v>
      </c>
    </row>
    <row r="1915">
      <c r="A1915" s="19" t="s">
        <v>1590</v>
      </c>
    </row>
    <row r="1916">
      <c r="A1916" s="19" t="s">
        <v>1432</v>
      </c>
    </row>
    <row r="1917">
      <c r="A1917" s="19" t="s">
        <v>1591</v>
      </c>
    </row>
    <row r="1918">
      <c r="A1918" s="19" t="s">
        <v>1592</v>
      </c>
    </row>
    <row r="1919">
      <c r="A1919" s="19" t="s">
        <v>1433</v>
      </c>
    </row>
    <row r="1920">
      <c r="A1920" s="19" t="s">
        <v>1435</v>
      </c>
    </row>
    <row r="1921">
      <c r="A1921" s="19" t="s">
        <v>1436</v>
      </c>
    </row>
    <row r="1922">
      <c r="A1922" s="19" t="s">
        <v>1593</v>
      </c>
    </row>
    <row r="1923">
      <c r="A1923" s="19" t="s">
        <v>1594</v>
      </c>
    </row>
    <row r="1924">
      <c r="A1924" s="19" t="s">
        <v>1595</v>
      </c>
    </row>
    <row r="1925">
      <c r="A1925" s="19" t="s">
        <v>1438</v>
      </c>
    </row>
    <row r="1926">
      <c r="A1926" s="19" t="s">
        <v>1439</v>
      </c>
    </row>
    <row r="1927">
      <c r="A1927" s="19" t="s">
        <v>1596</v>
      </c>
    </row>
    <row r="1928">
      <c r="A1928" s="19" t="s">
        <v>1454</v>
      </c>
    </row>
    <row r="1929">
      <c r="A1929" s="19" t="s">
        <v>1441</v>
      </c>
    </row>
    <row r="1930">
      <c r="A1930" s="19" t="s">
        <v>1442</v>
      </c>
    </row>
    <row r="1931">
      <c r="A1931" s="19" t="s">
        <v>1443</v>
      </c>
    </row>
    <row r="1932">
      <c r="A1932" s="19" t="s">
        <v>1444</v>
      </c>
    </row>
    <row r="1933">
      <c r="A1933" s="19" t="s">
        <v>1445</v>
      </c>
    </row>
    <row r="1934">
      <c r="A1934" s="19" t="s">
        <v>1446</v>
      </c>
    </row>
    <row r="1935">
      <c r="A1935" s="19" t="s">
        <v>1447</v>
      </c>
    </row>
    <row r="1936">
      <c r="A1936" s="19" t="s">
        <v>1448</v>
      </c>
    </row>
    <row r="1937">
      <c r="A1937" s="19" t="s">
        <v>1449</v>
      </c>
    </row>
    <row r="1938">
      <c r="A1938" s="19" t="s">
        <v>1450</v>
      </c>
    </row>
    <row r="1939">
      <c r="A1939" s="19" t="s">
        <v>1451</v>
      </c>
    </row>
    <row r="1940">
      <c r="A1940" s="19" t="s">
        <v>1452</v>
      </c>
    </row>
    <row r="1941">
      <c r="A1941" s="19" t="s">
        <v>1453</v>
      </c>
    </row>
    <row r="1942">
      <c r="A1942" s="19" t="s">
        <v>1456</v>
      </c>
    </row>
    <row r="1943">
      <c r="A1943" s="19" t="s">
        <v>1457</v>
      </c>
    </row>
    <row r="1944">
      <c r="A1944" s="19" t="s">
        <v>1458</v>
      </c>
    </row>
    <row r="1945">
      <c r="A1945" s="19" t="s">
        <v>1455</v>
      </c>
    </row>
    <row r="1946">
      <c r="A1946" s="19" t="s">
        <v>1459</v>
      </c>
    </row>
    <row r="1947">
      <c r="A1947" s="19" t="s">
        <v>1462</v>
      </c>
    </row>
    <row r="1948">
      <c r="A1948" s="19" t="s">
        <v>1463</v>
      </c>
    </row>
    <row r="1949">
      <c r="A1949" s="19" t="s">
        <v>1597</v>
      </c>
    </row>
    <row r="1950">
      <c r="A1950" s="19" t="s">
        <v>1465</v>
      </c>
    </row>
    <row r="1951">
      <c r="A1951" s="19" t="s">
        <v>1598</v>
      </c>
    </row>
    <row r="1952">
      <c r="A1952" s="19" t="s">
        <v>1466</v>
      </c>
    </row>
    <row r="1953">
      <c r="A1953" s="19" t="s">
        <v>1599</v>
      </c>
    </row>
    <row r="1954">
      <c r="A1954" s="19" t="s">
        <v>1600</v>
      </c>
    </row>
    <row r="1955">
      <c r="A1955" s="19" t="s">
        <v>1471</v>
      </c>
    </row>
    <row r="1956">
      <c r="A1956" s="19" t="s">
        <v>1473</v>
      </c>
    </row>
    <row r="1957">
      <c r="A1957" s="19" t="s">
        <v>1472</v>
      </c>
    </row>
    <row r="1958">
      <c r="A1958" s="19" t="s">
        <v>1474</v>
      </c>
    </row>
    <row r="1959">
      <c r="A1959" s="19" t="s">
        <v>1475</v>
      </c>
    </row>
    <row r="1960">
      <c r="A1960" s="19" t="s">
        <v>1476</v>
      </c>
    </row>
    <row r="1961">
      <c r="A1961" s="19" t="s">
        <v>1477</v>
      </c>
    </row>
    <row r="1962">
      <c r="A1962" s="19" t="s">
        <v>1478</v>
      </c>
    </row>
    <row r="1963">
      <c r="A1963" s="19" t="s">
        <v>1479</v>
      </c>
    </row>
    <row r="1964">
      <c r="A1964" s="19" t="s">
        <v>1601</v>
      </c>
    </row>
    <row r="1965">
      <c r="A1965" s="19" t="s">
        <v>1602</v>
      </c>
    </row>
    <row r="1966">
      <c r="A1966" s="19" t="s">
        <v>1603</v>
      </c>
    </row>
    <row r="1967">
      <c r="A1967" s="19" t="s">
        <v>1604</v>
      </c>
    </row>
    <row r="1968">
      <c r="A1968" s="19" t="s">
        <v>1481</v>
      </c>
    </row>
    <row r="1969">
      <c r="A1969" s="19" t="s">
        <v>1483</v>
      </c>
    </row>
    <row r="1970">
      <c r="A1970" s="19" t="s">
        <v>1484</v>
      </c>
    </row>
    <row r="1971">
      <c r="A1971" s="19" t="s">
        <v>1605</v>
      </c>
    </row>
    <row r="1972">
      <c r="A1972" s="19" t="s">
        <v>1486</v>
      </c>
    </row>
    <row r="1973">
      <c r="A1973" s="19" t="s">
        <v>1487</v>
      </c>
    </row>
    <row r="1974">
      <c r="A1974" s="19" t="s">
        <v>1488</v>
      </c>
    </row>
    <row r="1975">
      <c r="A1975" s="19" t="s">
        <v>1489</v>
      </c>
    </row>
    <row r="1976">
      <c r="A1976" s="19" t="s">
        <v>1490</v>
      </c>
    </row>
    <row r="1977">
      <c r="A1977" s="19" t="s">
        <v>1491</v>
      </c>
    </row>
    <row r="1978">
      <c r="A1978" s="19" t="s">
        <v>1493</v>
      </c>
    </row>
    <row r="1979">
      <c r="A1979" s="19" t="s">
        <v>1494</v>
      </c>
    </row>
    <row r="1980">
      <c r="A1980" s="19" t="s">
        <v>1495</v>
      </c>
    </row>
    <row r="1981">
      <c r="A1981" s="19" t="s">
        <v>1492</v>
      </c>
    </row>
    <row r="1982">
      <c r="A1982" s="19" t="s">
        <v>1496</v>
      </c>
    </row>
    <row r="1983">
      <c r="A1983" s="19" t="s">
        <v>1497</v>
      </c>
    </row>
    <row r="1984">
      <c r="A1984" s="19" t="s">
        <v>1498</v>
      </c>
    </row>
    <row r="1985">
      <c r="A1985" s="19" t="s">
        <v>1499</v>
      </c>
    </row>
    <row r="1986">
      <c r="A1986" s="19" t="s">
        <v>1500</v>
      </c>
    </row>
    <row r="1987">
      <c r="A1987" s="19" t="s">
        <v>1501</v>
      </c>
    </row>
    <row r="1988">
      <c r="A1988" s="19" t="s">
        <v>1503</v>
      </c>
    </row>
    <row r="1989">
      <c r="A1989" s="19" t="s">
        <v>1502</v>
      </c>
    </row>
    <row r="1990">
      <c r="A1990" s="19" t="s">
        <v>1504</v>
      </c>
    </row>
    <row r="1991">
      <c r="A1991" s="19" t="s">
        <v>1506</v>
      </c>
    </row>
    <row r="1992">
      <c r="A1992" s="19" t="s">
        <v>1505</v>
      </c>
    </row>
    <row r="1993">
      <c r="A1993" s="19" t="s">
        <v>1606</v>
      </c>
    </row>
    <row r="1994">
      <c r="A1994" s="19" t="s">
        <v>1423</v>
      </c>
    </row>
    <row r="1995">
      <c r="A1995" s="19" t="s">
        <v>1607</v>
      </c>
    </row>
    <row r="1996">
      <c r="A1996" s="19" t="s">
        <v>1508</v>
      </c>
    </row>
    <row r="1997">
      <c r="A1997" s="19" t="s">
        <v>1509</v>
      </c>
    </row>
    <row r="1998">
      <c r="A1998" s="19" t="s">
        <v>1510</v>
      </c>
    </row>
    <row r="1999">
      <c r="A1999" s="19" t="s">
        <v>1608</v>
      </c>
    </row>
    <row r="2000">
      <c r="A2000" s="19" t="s">
        <v>1513</v>
      </c>
    </row>
    <row r="2001">
      <c r="A2001" s="19" t="s">
        <v>1514</v>
      </c>
    </row>
    <row r="2002">
      <c r="A2002" s="19" t="s">
        <v>1486</v>
      </c>
    </row>
    <row r="2003">
      <c r="A2003" s="19" t="s">
        <v>1516</v>
      </c>
    </row>
    <row r="2004">
      <c r="A2004" s="19" t="s">
        <v>1609</v>
      </c>
    </row>
    <row r="2005">
      <c r="A2005" s="19" t="s">
        <v>1610</v>
      </c>
    </row>
    <row r="2006">
      <c r="A2006" s="19" t="s">
        <v>1611</v>
      </c>
    </row>
    <row r="2007">
      <c r="A2007" s="19" t="s">
        <v>1520</v>
      </c>
    </row>
    <row r="2008">
      <c r="A2008" s="19" t="s">
        <v>1521</v>
      </c>
    </row>
    <row r="2009">
      <c r="A2009" s="19" t="s">
        <v>1522</v>
      </c>
    </row>
    <row r="2010">
      <c r="A2010" s="19" t="s">
        <v>1523</v>
      </c>
    </row>
    <row r="2011">
      <c r="A2011" s="19" t="s">
        <v>1524</v>
      </c>
    </row>
    <row r="2012">
      <c r="A2012" s="19" t="s">
        <v>1525</v>
      </c>
    </row>
    <row r="2013">
      <c r="A2013" s="19" t="s">
        <v>1526</v>
      </c>
    </row>
    <row r="2014">
      <c r="A2014" s="19" t="s">
        <v>1527</v>
      </c>
    </row>
    <row r="2015">
      <c r="A2015" s="19" t="s">
        <v>1528</v>
      </c>
    </row>
    <row r="2016">
      <c r="A2016" s="19" t="s">
        <v>1612</v>
      </c>
    </row>
    <row r="2017">
      <c r="A2017" s="19" t="s">
        <v>1613</v>
      </c>
    </row>
    <row r="2018">
      <c r="A2018" s="19" t="s">
        <v>1614</v>
      </c>
    </row>
    <row r="2019">
      <c r="A2019" s="19" t="s">
        <v>1615</v>
      </c>
    </row>
    <row r="2020">
      <c r="A2020" s="19" t="s">
        <v>1530</v>
      </c>
    </row>
    <row r="2021">
      <c r="A2021" s="19" t="s">
        <v>1531</v>
      </c>
    </row>
    <row r="2022">
      <c r="A2022" s="19" t="s">
        <v>1616</v>
      </c>
    </row>
    <row r="2023">
      <c r="A2023" s="19" t="s">
        <v>1537</v>
      </c>
    </row>
    <row r="2024">
      <c r="A2024" s="19" t="s">
        <v>1617</v>
      </c>
    </row>
    <row r="2025">
      <c r="A2025" s="19" t="s">
        <v>1618</v>
      </c>
    </row>
    <row r="2026">
      <c r="A2026" s="19" t="s">
        <v>1619</v>
      </c>
    </row>
    <row r="2027">
      <c r="A2027" s="19" t="s">
        <v>1620</v>
      </c>
    </row>
    <row r="2028">
      <c r="A2028" s="19" t="s">
        <v>1621</v>
      </c>
    </row>
    <row r="2029">
      <c r="A2029" s="19" t="s">
        <v>1622</v>
      </c>
    </row>
    <row r="2030">
      <c r="A2030" s="19" t="s">
        <v>1539</v>
      </c>
    </row>
    <row r="2031">
      <c r="A2031" s="19" t="s">
        <v>1446</v>
      </c>
    </row>
    <row r="2032">
      <c r="A2032" s="19" t="s">
        <v>1540</v>
      </c>
    </row>
    <row r="2033">
      <c r="A2033" s="19" t="s">
        <v>1541</v>
      </c>
    </row>
    <row r="2034">
      <c r="A2034" s="19" t="s">
        <v>1542</v>
      </c>
    </row>
    <row r="2035">
      <c r="A2035" s="19" t="s">
        <v>1623</v>
      </c>
    </row>
    <row r="2036">
      <c r="A2036" s="19" t="s">
        <v>1543</v>
      </c>
    </row>
    <row r="2037">
      <c r="A2037" s="19" t="s">
        <v>1544</v>
      </c>
    </row>
    <row r="2038">
      <c r="A2038" s="19" t="s">
        <v>1624</v>
      </c>
    </row>
    <row r="2039">
      <c r="A2039" s="19" t="s">
        <v>1625</v>
      </c>
    </row>
    <row r="2040">
      <c r="A2040" s="19" t="s">
        <v>1626</v>
      </c>
    </row>
    <row r="2041">
      <c r="A2041" s="19" t="s">
        <v>1627</v>
      </c>
    </row>
    <row r="2042">
      <c r="A2042" s="19" t="s">
        <v>1390</v>
      </c>
    </row>
    <row r="2043">
      <c r="A2043" s="19" t="s">
        <v>1628</v>
      </c>
    </row>
    <row r="2044">
      <c r="A2044" s="19" t="s">
        <v>1629</v>
      </c>
    </row>
    <row r="2045">
      <c r="A2045" s="19" t="s">
        <v>1630</v>
      </c>
    </row>
    <row r="2046">
      <c r="A2046" s="19" t="s">
        <v>1631</v>
      </c>
    </row>
    <row r="2047">
      <c r="A2047" s="19" t="s">
        <v>1632</v>
      </c>
    </row>
    <row r="2048">
      <c r="A2048" s="19" t="s">
        <v>1633</v>
      </c>
    </row>
    <row r="2049">
      <c r="A2049" s="19" t="s">
        <v>1634</v>
      </c>
    </row>
    <row r="2050">
      <c r="A2050" s="19" t="s">
        <v>1635</v>
      </c>
    </row>
    <row r="2051">
      <c r="A2051" s="19" t="s">
        <v>1636</v>
      </c>
    </row>
    <row r="2052">
      <c r="A2052" s="19" t="s">
        <v>1637</v>
      </c>
    </row>
    <row r="2053">
      <c r="A2053" s="19" t="s">
        <v>1638</v>
      </c>
    </row>
    <row r="2054">
      <c r="A2054" s="19" t="s">
        <v>1639</v>
      </c>
    </row>
    <row r="2055">
      <c r="A2055" s="19" t="s">
        <v>1640</v>
      </c>
    </row>
    <row r="2056">
      <c r="A2056" s="19" t="s">
        <v>1641</v>
      </c>
    </row>
    <row r="2057">
      <c r="A2057" s="19" t="s">
        <v>1642</v>
      </c>
    </row>
    <row r="2058">
      <c r="A2058" s="19" t="s">
        <v>1643</v>
      </c>
    </row>
    <row r="2059">
      <c r="A2059" s="19" t="s">
        <v>1644</v>
      </c>
    </row>
    <row r="2060">
      <c r="A2060" s="19" t="s">
        <v>1574</v>
      </c>
    </row>
    <row r="2061">
      <c r="A2061" s="19" t="s">
        <v>1645</v>
      </c>
    </row>
    <row r="2062">
      <c r="A2062" s="19" t="s">
        <v>1646</v>
      </c>
    </row>
    <row r="2063">
      <c r="A2063" s="19" t="s">
        <v>1647</v>
      </c>
    </row>
    <row r="2064">
      <c r="A2064" s="19" t="s">
        <v>1648</v>
      </c>
    </row>
    <row r="2065">
      <c r="A2065" s="19" t="s">
        <v>1649</v>
      </c>
    </row>
    <row r="2066">
      <c r="A2066" s="19" t="s">
        <v>1650</v>
      </c>
    </row>
    <row r="2067">
      <c r="A2067" s="19" t="s">
        <v>1410</v>
      </c>
    </row>
    <row r="2068">
      <c r="A2068" s="19" t="s">
        <v>1651</v>
      </c>
    </row>
    <row r="2069">
      <c r="A2069" s="19" t="s">
        <v>1412</v>
      </c>
    </row>
    <row r="2070">
      <c r="A2070" s="19" t="s">
        <v>1414</v>
      </c>
    </row>
    <row r="2071">
      <c r="A2071" s="19" t="s">
        <v>1652</v>
      </c>
    </row>
    <row r="2072">
      <c r="A2072" s="19" t="s">
        <v>1423</v>
      </c>
    </row>
    <row r="2073">
      <c r="A2073" s="19" t="s">
        <v>1653</v>
      </c>
    </row>
    <row r="2074">
      <c r="A2074" s="19" t="s">
        <v>1431</v>
      </c>
    </row>
    <row r="2075">
      <c r="A2075" s="19" t="s">
        <v>1432</v>
      </c>
    </row>
    <row r="2076">
      <c r="A2076" s="19" t="s">
        <v>1654</v>
      </c>
    </row>
    <row r="2077">
      <c r="A2077" s="19" t="s">
        <v>1436</v>
      </c>
    </row>
    <row r="2078">
      <c r="A2078" s="19" t="s">
        <v>1655</v>
      </c>
    </row>
    <row r="2079">
      <c r="A2079" s="19" t="s">
        <v>1656</v>
      </c>
    </row>
    <row r="2080">
      <c r="A2080" s="19" t="s">
        <v>1657</v>
      </c>
    </row>
    <row r="2081">
      <c r="A2081" s="19" t="s">
        <v>1658</v>
      </c>
    </row>
    <row r="2082">
      <c r="A2082" s="19" t="s">
        <v>1659</v>
      </c>
    </row>
    <row r="2083">
      <c r="A2083" s="19" t="s">
        <v>1439</v>
      </c>
    </row>
    <row r="2084">
      <c r="A2084" s="19" t="s">
        <v>1660</v>
      </c>
    </row>
    <row r="2085">
      <c r="A2085" s="19" t="s">
        <v>1443</v>
      </c>
    </row>
    <row r="2086">
      <c r="A2086" s="19" t="s">
        <v>1448</v>
      </c>
    </row>
    <row r="2087">
      <c r="A2087" s="19" t="s">
        <v>1451</v>
      </c>
    </row>
    <row r="2088">
      <c r="A2088" s="19" t="s">
        <v>1453</v>
      </c>
    </row>
    <row r="2089">
      <c r="A2089" s="19" t="s">
        <v>1454</v>
      </c>
    </row>
    <row r="2090">
      <c r="A2090" s="19" t="s">
        <v>1455</v>
      </c>
    </row>
    <row r="2091">
      <c r="A2091" s="19" t="s">
        <v>1458</v>
      </c>
    </row>
    <row r="2092">
      <c r="A2092" s="19" t="s">
        <v>1457</v>
      </c>
    </row>
    <row r="2093">
      <c r="A2093" s="19" t="s">
        <v>1661</v>
      </c>
    </row>
    <row r="2094">
      <c r="A2094" s="19" t="s">
        <v>1662</v>
      </c>
    </row>
    <row r="2095">
      <c r="A2095" s="19" t="s">
        <v>1459</v>
      </c>
    </row>
    <row r="2096">
      <c r="A2096" s="19" t="s">
        <v>1462</v>
      </c>
    </row>
    <row r="2097">
      <c r="A2097" s="19" t="s">
        <v>1463</v>
      </c>
    </row>
    <row r="2098">
      <c r="A2098" s="19" t="s">
        <v>1466</v>
      </c>
    </row>
    <row r="2099">
      <c r="A2099" s="19" t="s">
        <v>1663</v>
      </c>
    </row>
    <row r="2100">
      <c r="A2100" s="19" t="s">
        <v>1664</v>
      </c>
    </row>
    <row r="2101">
      <c r="A2101" s="19" t="s">
        <v>1665</v>
      </c>
    </row>
    <row r="2102">
      <c r="A2102" s="19" t="s">
        <v>1666</v>
      </c>
    </row>
    <row r="2103">
      <c r="A2103" s="19" t="s">
        <v>1667</v>
      </c>
    </row>
    <row r="2104">
      <c r="A2104" s="19" t="s">
        <v>1668</v>
      </c>
    </row>
    <row r="2105">
      <c r="A2105" s="19" t="s">
        <v>1472</v>
      </c>
    </row>
    <row r="2106">
      <c r="A2106" s="19" t="s">
        <v>1477</v>
      </c>
    </row>
    <row r="2107">
      <c r="A2107" s="19" t="s">
        <v>1478</v>
      </c>
    </row>
    <row r="2108">
      <c r="A2108" s="19" t="s">
        <v>1669</v>
      </c>
    </row>
    <row r="2109">
      <c r="A2109" s="19" t="s">
        <v>1423</v>
      </c>
    </row>
    <row r="2110">
      <c r="A2110" s="19" t="s">
        <v>1424</v>
      </c>
    </row>
    <row r="2111">
      <c r="A2111" s="19" t="s">
        <v>1670</v>
      </c>
    </row>
    <row r="2112">
      <c r="A2112" s="19" t="s">
        <v>1671</v>
      </c>
    </row>
    <row r="2113">
      <c r="A2113" s="19" t="s">
        <v>1672</v>
      </c>
    </row>
    <row r="2114">
      <c r="A2114" s="19" t="s">
        <v>1673</v>
      </c>
    </row>
    <row r="2115">
      <c r="A2115" s="19" t="s">
        <v>1483</v>
      </c>
    </row>
    <row r="2116">
      <c r="A2116" s="19" t="s">
        <v>1605</v>
      </c>
    </row>
    <row r="2117">
      <c r="A2117" s="19" t="s">
        <v>1486</v>
      </c>
    </row>
    <row r="2118">
      <c r="A2118" s="19" t="s">
        <v>1488</v>
      </c>
    </row>
    <row r="2119">
      <c r="A2119" s="19" t="s">
        <v>1491</v>
      </c>
    </row>
    <row r="2120">
      <c r="A2120" s="19" t="s">
        <v>1492</v>
      </c>
    </row>
    <row r="2121">
      <c r="A2121" s="19" t="s">
        <v>1499</v>
      </c>
    </row>
    <row r="2122">
      <c r="A2122" s="19" t="s">
        <v>1498</v>
      </c>
    </row>
    <row r="2123">
      <c r="A2123" s="19" t="s">
        <v>1504</v>
      </c>
    </row>
    <row r="2124">
      <c r="A2124" s="19" t="s">
        <v>1674</v>
      </c>
    </row>
    <row r="2125">
      <c r="A2125" s="19" t="s">
        <v>1675</v>
      </c>
    </row>
    <row r="2126">
      <c r="A2126" s="19" t="s">
        <v>1676</v>
      </c>
    </row>
    <row r="2127">
      <c r="A2127" s="19" t="s">
        <v>1677</v>
      </c>
    </row>
    <row r="2128">
      <c r="A2128" s="19" t="s">
        <v>1678</v>
      </c>
    </row>
    <row r="2129">
      <c r="A2129" s="19" t="s">
        <v>1508</v>
      </c>
    </row>
    <row r="2130">
      <c r="A2130" s="19" t="s">
        <v>1486</v>
      </c>
    </row>
    <row r="2131">
      <c r="A2131" s="19" t="s">
        <v>1530</v>
      </c>
    </row>
    <row r="2132">
      <c r="A2132" s="19" t="s">
        <v>1521</v>
      </c>
    </row>
    <row r="2133">
      <c r="A2133" s="19" t="s">
        <v>1525</v>
      </c>
    </row>
    <row r="2134">
      <c r="A2134" s="19" t="s">
        <v>1528</v>
      </c>
    </row>
    <row r="2135">
      <c r="A2135" s="19" t="s">
        <v>1679</v>
      </c>
    </row>
    <row r="2136">
      <c r="A2136" s="19" t="s">
        <v>1680</v>
      </c>
    </row>
    <row r="2137">
      <c r="A2137" s="19" t="s">
        <v>1681</v>
      </c>
    </row>
    <row r="2138">
      <c r="A2138" s="19" t="s">
        <v>1682</v>
      </c>
    </row>
    <row r="2139">
      <c r="A2139" s="19" t="s">
        <v>1683</v>
      </c>
    </row>
    <row r="2140">
      <c r="A2140" s="19" t="s">
        <v>1684</v>
      </c>
    </row>
    <row r="2141">
      <c r="A2141" s="19" t="s">
        <v>1685</v>
      </c>
    </row>
    <row r="2142">
      <c r="A2142" s="19" t="s">
        <v>1622</v>
      </c>
    </row>
    <row r="2143">
      <c r="A2143" s="19" t="s">
        <v>1539</v>
      </c>
    </row>
    <row r="2144">
      <c r="A2144" s="19" t="s">
        <v>1541</v>
      </c>
    </row>
    <row r="2145">
      <c r="A2145" s="19" t="s">
        <v>1686</v>
      </c>
    </row>
    <row r="2146">
      <c r="A2146" s="19" t="s">
        <v>1687</v>
      </c>
    </row>
    <row r="2147">
      <c r="A2147" s="19" t="s">
        <v>1688</v>
      </c>
    </row>
    <row r="2148">
      <c r="A2148" s="19" t="s">
        <v>1689</v>
      </c>
    </row>
    <row r="2149">
      <c r="A2149" s="19" t="s">
        <v>1690</v>
      </c>
    </row>
    <row r="2150">
      <c r="A2150" s="19" t="s">
        <v>1544</v>
      </c>
    </row>
    <row r="2151">
      <c r="A2151" s="19" t="s">
        <v>1691</v>
      </c>
    </row>
    <row r="2152">
      <c r="A2152" s="19" t="s">
        <v>1692</v>
      </c>
    </row>
    <row r="2153">
      <c r="A2153" s="19" t="s">
        <v>1693</v>
      </c>
    </row>
    <row r="2154">
      <c r="A2154" s="19" t="s">
        <v>1587</v>
      </c>
    </row>
    <row r="2155">
      <c r="A2155" s="19" t="s">
        <v>1694</v>
      </c>
    </row>
    <row r="2156">
      <c r="A2156" s="19" t="s">
        <v>1695</v>
      </c>
    </row>
    <row r="2157">
      <c r="A2157" s="19" t="s">
        <v>1696</v>
      </c>
    </row>
    <row r="2158">
      <c r="A2158" s="19" t="s">
        <v>1697</v>
      </c>
    </row>
    <row r="2159">
      <c r="A2159" s="19" t="s">
        <v>1698</v>
      </c>
    </row>
    <row r="2160">
      <c r="A2160" s="19" t="s">
        <v>1699</v>
      </c>
    </row>
    <row r="2161">
      <c r="A2161" s="19" t="s">
        <v>1700</v>
      </c>
    </row>
    <row r="2162">
      <c r="A2162" s="19" t="s">
        <v>1551</v>
      </c>
    </row>
    <row r="2163">
      <c r="A2163" s="19" t="s">
        <v>1701</v>
      </c>
    </row>
    <row r="2164">
      <c r="A2164" s="19" t="s">
        <v>1390</v>
      </c>
    </row>
    <row r="2165">
      <c r="A2165" s="19" t="s">
        <v>1702</v>
      </c>
    </row>
    <row r="2166">
      <c r="A2166" s="19" t="s">
        <v>1703</v>
      </c>
    </row>
    <row r="2167">
      <c r="A2167" s="19" t="s">
        <v>1704</v>
      </c>
    </row>
    <row r="2168">
      <c r="A2168" s="19" t="s">
        <v>1705</v>
      </c>
    </row>
    <row r="2169">
      <c r="A2169" s="19" t="s">
        <v>1706</v>
      </c>
    </row>
    <row r="2170">
      <c r="A2170" s="19" t="s">
        <v>1707</v>
      </c>
    </row>
    <row r="2171">
      <c r="A2171" s="19" t="s">
        <v>1400</v>
      </c>
    </row>
    <row r="2172">
      <c r="A2172" s="19" t="s">
        <v>1708</v>
      </c>
    </row>
    <row r="2173">
      <c r="A2173" s="19" t="s">
        <v>1709</v>
      </c>
    </row>
    <row r="2174">
      <c r="A2174" s="19" t="s">
        <v>1710</v>
      </c>
    </row>
    <row r="2175">
      <c r="A2175" s="19" t="s">
        <v>1711</v>
      </c>
    </row>
    <row r="2176">
      <c r="A2176" s="19" t="s">
        <v>1712</v>
      </c>
    </row>
    <row r="2177">
      <c r="A2177" s="19" t="s">
        <v>1713</v>
      </c>
    </row>
    <row r="2178">
      <c r="A2178" s="19" t="s">
        <v>1578</v>
      </c>
    </row>
    <row r="2179">
      <c r="A2179" s="19" t="s">
        <v>1714</v>
      </c>
    </row>
    <row r="2180">
      <c r="A2180" s="19" t="s">
        <v>1715</v>
      </c>
    </row>
    <row r="2181">
      <c r="A2181" s="19" t="s">
        <v>1716</v>
      </c>
    </row>
    <row r="2182">
      <c r="A2182" s="19" t="s">
        <v>1717</v>
      </c>
    </row>
    <row r="2183">
      <c r="A2183" s="19" t="s">
        <v>1718</v>
      </c>
    </row>
    <row r="2184">
      <c r="A2184" s="19" t="s">
        <v>1719</v>
      </c>
    </row>
    <row r="2185">
      <c r="A2185" s="19" t="s">
        <v>1414</v>
      </c>
    </row>
    <row r="2186">
      <c r="A2186" s="19" t="s">
        <v>1720</v>
      </c>
    </row>
    <row r="2187">
      <c r="A2187" s="19" t="s">
        <v>1721</v>
      </c>
    </row>
    <row r="2188">
      <c r="A2188" s="19" t="s">
        <v>1722</v>
      </c>
    </row>
    <row r="2189">
      <c r="A2189" s="19" t="s">
        <v>1723</v>
      </c>
    </row>
    <row r="2190">
      <c r="A2190" s="19" t="s">
        <v>1724</v>
      </c>
    </row>
    <row r="2191">
      <c r="A2191" s="19" t="s">
        <v>1423</v>
      </c>
    </row>
    <row r="2192">
      <c r="A2192" s="19" t="s">
        <v>1725</v>
      </c>
    </row>
    <row r="2193">
      <c r="A2193" s="19" t="s">
        <v>1726</v>
      </c>
    </row>
    <row r="2194">
      <c r="A2194" s="19" t="s">
        <v>1431</v>
      </c>
    </row>
    <row r="2195">
      <c r="A2195" s="19" t="s">
        <v>1727</v>
      </c>
    </row>
    <row r="2196">
      <c r="A2196" s="19" t="s">
        <v>1728</v>
      </c>
    </row>
    <row r="2197">
      <c r="A2197" s="19" t="s">
        <v>1729</v>
      </c>
    </row>
    <row r="2198">
      <c r="A2198" s="19" t="s">
        <v>1730</v>
      </c>
    </row>
    <row r="2199">
      <c r="A2199" s="19" t="s">
        <v>1731</v>
      </c>
    </row>
    <row r="2200">
      <c r="A2200" s="19" t="s">
        <v>1732</v>
      </c>
    </row>
    <row r="2201">
      <c r="A2201" s="19" t="s">
        <v>1733</v>
      </c>
    </row>
    <row r="2202">
      <c r="A2202" s="19" t="s">
        <v>1439</v>
      </c>
    </row>
    <row r="2203">
      <c r="A2203" s="19" t="s">
        <v>1734</v>
      </c>
    </row>
    <row r="2204">
      <c r="A2204" s="19" t="s">
        <v>1457</v>
      </c>
    </row>
    <row r="2205">
      <c r="A2205" s="19" t="s">
        <v>1458</v>
      </c>
    </row>
    <row r="2206">
      <c r="A2206" s="19" t="s">
        <v>1735</v>
      </c>
    </row>
    <row r="2207">
      <c r="A2207" s="19" t="s">
        <v>1736</v>
      </c>
    </row>
    <row r="2208">
      <c r="A2208" s="19" t="s">
        <v>1459</v>
      </c>
    </row>
    <row r="2209">
      <c r="A2209" s="19" t="s">
        <v>1737</v>
      </c>
    </row>
    <row r="2210">
      <c r="A2210" s="19" t="s">
        <v>1462</v>
      </c>
    </row>
    <row r="2211">
      <c r="A2211" s="19" t="s">
        <v>1463</v>
      </c>
    </row>
    <row r="2212">
      <c r="A2212" s="19" t="s">
        <v>1466</v>
      </c>
    </row>
    <row r="2213">
      <c r="A2213" s="19" t="s">
        <v>1738</v>
      </c>
    </row>
    <row r="2214">
      <c r="A2214" s="19" t="s">
        <v>1739</v>
      </c>
    </row>
    <row r="2215">
      <c r="A2215" s="19" t="s">
        <v>1740</v>
      </c>
    </row>
    <row r="2216">
      <c r="A2216" s="19" t="s">
        <v>1741</v>
      </c>
    </row>
    <row r="2217">
      <c r="A2217" s="19" t="s">
        <v>1742</v>
      </c>
    </row>
    <row r="2218">
      <c r="A2218" s="19" t="s">
        <v>1479</v>
      </c>
    </row>
    <row r="2219">
      <c r="A2219" s="19" t="s">
        <v>1743</v>
      </c>
    </row>
    <row r="2220">
      <c r="A2220" s="19" t="s">
        <v>1744</v>
      </c>
    </row>
    <row r="2221">
      <c r="A2221" s="19" t="s">
        <v>1745</v>
      </c>
    </row>
    <row r="2222">
      <c r="A2222" s="19" t="s">
        <v>1481</v>
      </c>
    </row>
    <row r="2223">
      <c r="A2223" s="19" t="s">
        <v>1746</v>
      </c>
    </row>
    <row r="2224">
      <c r="A2224" s="19" t="s">
        <v>1747</v>
      </c>
    </row>
    <row r="2225">
      <c r="A2225" s="19" t="s">
        <v>1605</v>
      </c>
    </row>
    <row r="2226">
      <c r="A2226" s="19" t="s">
        <v>1486</v>
      </c>
    </row>
    <row r="2227">
      <c r="A2227" s="19" t="s">
        <v>1748</v>
      </c>
    </row>
    <row r="2228">
      <c r="A2228" s="19" t="s">
        <v>1423</v>
      </c>
    </row>
    <row r="2229">
      <c r="A2229" s="19" t="s">
        <v>1749</v>
      </c>
    </row>
    <row r="2230">
      <c r="A2230" s="19" t="s">
        <v>1508</v>
      </c>
    </row>
    <row r="2231">
      <c r="A2231" s="19" t="s">
        <v>1750</v>
      </c>
    </row>
    <row r="2232">
      <c r="A2232" s="19" t="s">
        <v>1751</v>
      </c>
    </row>
    <row r="2233">
      <c r="A2233" s="19" t="s">
        <v>1486</v>
      </c>
    </row>
    <row r="2234">
      <c r="A2234" s="19" t="s">
        <v>1530</v>
      </c>
    </row>
    <row r="2235">
      <c r="A2235" s="19" t="s">
        <v>1752</v>
      </c>
    </row>
    <row r="2236">
      <c r="A2236" s="19" t="s">
        <v>1753</v>
      </c>
    </row>
    <row r="2237">
      <c r="A2237" s="19" t="s">
        <v>1528</v>
      </c>
    </row>
    <row r="2238">
      <c r="A2238" s="19" t="s">
        <v>1716</v>
      </c>
    </row>
    <row r="2239">
      <c r="A2239" s="19" t="s">
        <v>1754</v>
      </c>
    </row>
    <row r="2240">
      <c r="A2240" s="19" t="s">
        <v>1755</v>
      </c>
    </row>
    <row r="2241">
      <c r="A2241" s="19" t="s">
        <v>1756</v>
      </c>
    </row>
    <row r="2242">
      <c r="A2242" s="19" t="s">
        <v>1757</v>
      </c>
    </row>
    <row r="2243">
      <c r="A2243" s="19" t="s">
        <v>1758</v>
      </c>
    </row>
    <row r="2244">
      <c r="A2244" s="19" t="s">
        <v>1759</v>
      </c>
    </row>
    <row r="2245">
      <c r="A2245" s="19" t="s">
        <v>1760</v>
      </c>
    </row>
    <row r="2246">
      <c r="A2246" s="19" t="s">
        <v>1761</v>
      </c>
    </row>
    <row r="2247">
      <c r="A2247" s="19" t="s">
        <v>1762</v>
      </c>
    </row>
    <row r="2248">
      <c r="A2248" s="19" t="s">
        <v>1763</v>
      </c>
    </row>
    <row r="2249">
      <c r="A2249" s="19" t="s">
        <v>1544</v>
      </c>
    </row>
    <row r="2250">
      <c r="A2250" s="19" t="s">
        <v>1764</v>
      </c>
    </row>
    <row r="2251">
      <c r="A2251" s="19" t="s">
        <v>1765</v>
      </c>
    </row>
    <row r="2252">
      <c r="A2252" s="19" t="s">
        <v>1766</v>
      </c>
    </row>
    <row r="2253">
      <c r="A2253" s="19" t="s">
        <v>1767</v>
      </c>
    </row>
    <row r="2254">
      <c r="A2254" s="19" t="s">
        <v>1768</v>
      </c>
    </row>
    <row r="2255">
      <c r="A2255" s="19" t="s">
        <v>1769</v>
      </c>
    </row>
    <row r="2256">
      <c r="A2256" s="19" t="s">
        <v>1770</v>
      </c>
    </row>
    <row r="2257">
      <c r="A2257" s="21"/>
    </row>
    <row r="2258">
      <c r="A2258" s="19" t="s">
        <v>1771</v>
      </c>
    </row>
    <row r="2259">
      <c r="A2259" s="19" t="s">
        <v>1772</v>
      </c>
    </row>
    <row r="2260">
      <c r="A2260" s="19" t="s">
        <v>1773</v>
      </c>
    </row>
    <row r="2261">
      <c r="A2261" s="19" t="s">
        <v>1774</v>
      </c>
    </row>
    <row r="2262">
      <c r="A2262" s="19" t="s">
        <v>1775</v>
      </c>
    </row>
    <row r="2263">
      <c r="A2263" s="19" t="s">
        <v>1776</v>
      </c>
    </row>
    <row r="2264">
      <c r="A2264" s="19" t="s">
        <v>1777</v>
      </c>
    </row>
    <row r="2265">
      <c r="A2265" s="19" t="s">
        <v>1778</v>
      </c>
    </row>
    <row r="2266">
      <c r="A2266" s="19" t="s">
        <v>1779</v>
      </c>
    </row>
    <row r="2267">
      <c r="A2267" s="19" t="s">
        <v>1780</v>
      </c>
    </row>
    <row r="2268">
      <c r="A2268" s="19" t="s">
        <v>1781</v>
      </c>
    </row>
    <row r="2269">
      <c r="A2269" s="19" t="s">
        <v>1782</v>
      </c>
    </row>
    <row r="2270">
      <c r="A2270" s="19" t="s">
        <v>1783</v>
      </c>
    </row>
    <row r="2271">
      <c r="A2271" s="19" t="s">
        <v>1784</v>
      </c>
    </row>
    <row r="2272">
      <c r="A2272" s="19" t="s">
        <v>1785</v>
      </c>
    </row>
    <row r="2273">
      <c r="A2273" s="19" t="s">
        <v>1786</v>
      </c>
    </row>
    <row r="2274">
      <c r="A2274" s="19" t="s">
        <v>1787</v>
      </c>
    </row>
    <row r="2275">
      <c r="A2275" s="19" t="s">
        <v>1788</v>
      </c>
    </row>
    <row r="2276">
      <c r="A2276" s="21"/>
    </row>
    <row r="2277">
      <c r="A2277" s="19" t="s">
        <v>1789</v>
      </c>
    </row>
    <row r="2278">
      <c r="A2278" s="19" t="s">
        <v>1790</v>
      </c>
    </row>
    <row r="2279">
      <c r="A2279" s="19" t="s">
        <v>1791</v>
      </c>
    </row>
    <row r="2280">
      <c r="A2280" s="19" t="s">
        <v>1792</v>
      </c>
    </row>
    <row r="2281">
      <c r="A2281" s="21"/>
    </row>
    <row r="2282">
      <c r="A2282" s="19" t="s">
        <v>1793</v>
      </c>
    </row>
    <row r="2283">
      <c r="A2283" s="19" t="s">
        <v>1794</v>
      </c>
    </row>
    <row r="2284">
      <c r="A2284" s="19" t="s">
        <v>1795</v>
      </c>
    </row>
    <row r="2285">
      <c r="A2285" s="19" t="s">
        <v>1796</v>
      </c>
    </row>
    <row r="2286">
      <c r="A2286" s="19" t="s">
        <v>1797</v>
      </c>
    </row>
    <row r="2287">
      <c r="A2287" s="19" t="s">
        <v>1798</v>
      </c>
    </row>
    <row r="2288">
      <c r="A2288" s="19" t="s">
        <v>1799</v>
      </c>
    </row>
    <row r="2289">
      <c r="A2289" s="21"/>
    </row>
    <row r="2290">
      <c r="A2290" s="19" t="s">
        <v>1800</v>
      </c>
    </row>
    <row r="2291">
      <c r="A2291" s="19" t="s">
        <v>1801</v>
      </c>
    </row>
    <row r="2292">
      <c r="A2292" s="19" t="s">
        <v>1802</v>
      </c>
    </row>
    <row r="2293">
      <c r="A2293" s="19" t="s">
        <v>1803</v>
      </c>
    </row>
    <row r="2294">
      <c r="A2294" s="19" t="s">
        <v>1804</v>
      </c>
    </row>
    <row r="2295">
      <c r="A2295" s="19" t="s">
        <v>1805</v>
      </c>
    </row>
    <row r="2296">
      <c r="A2296" s="19" t="s">
        <v>1806</v>
      </c>
    </row>
    <row r="2297">
      <c r="A2297" s="19" t="s">
        <v>1807</v>
      </c>
    </row>
    <row r="2298">
      <c r="A2298" s="19" t="s">
        <v>1808</v>
      </c>
    </row>
    <row r="2299">
      <c r="A2299" s="19" t="s">
        <v>1809</v>
      </c>
    </row>
    <row r="2300">
      <c r="A2300" s="19" t="s">
        <v>1810</v>
      </c>
    </row>
    <row r="2301">
      <c r="A2301" s="19" t="s">
        <v>1811</v>
      </c>
    </row>
    <row r="2302">
      <c r="A2302" s="19" t="s">
        <v>1812</v>
      </c>
    </row>
    <row r="2303">
      <c r="A2303" s="19" t="s">
        <v>1813</v>
      </c>
    </row>
    <row r="2304">
      <c r="A2304" s="19" t="s">
        <v>1814</v>
      </c>
    </row>
    <row r="2305">
      <c r="A2305" s="19" t="s">
        <v>1815</v>
      </c>
    </row>
    <row r="2306">
      <c r="A2306" s="19" t="s">
        <v>1816</v>
      </c>
    </row>
    <row r="2307">
      <c r="A2307" s="19" t="s">
        <v>1817</v>
      </c>
    </row>
    <row r="2308">
      <c r="A2308" s="19" t="s">
        <v>1818</v>
      </c>
    </row>
    <row r="2309">
      <c r="A2309" s="19" t="s">
        <v>1819</v>
      </c>
    </row>
    <row r="2310">
      <c r="A2310" s="19" t="s">
        <v>1820</v>
      </c>
    </row>
    <row r="2311">
      <c r="A2311" s="19" t="s">
        <v>1821</v>
      </c>
    </row>
    <row r="2312">
      <c r="A2312" s="19" t="s">
        <v>1822</v>
      </c>
    </row>
    <row r="2313">
      <c r="A2313" s="19" t="s">
        <v>1823</v>
      </c>
    </row>
    <row r="2314">
      <c r="A2314" s="19" t="s">
        <v>1824</v>
      </c>
    </row>
    <row r="2315">
      <c r="A2315" s="19" t="s">
        <v>1825</v>
      </c>
    </row>
    <row r="2316">
      <c r="A2316" s="19" t="s">
        <v>1826</v>
      </c>
    </row>
    <row r="2317">
      <c r="A2317" s="19" t="s">
        <v>1827</v>
      </c>
    </row>
    <row r="2318">
      <c r="A2318" s="19" t="s">
        <v>1828</v>
      </c>
    </row>
    <row r="2319">
      <c r="A2319" s="19" t="s">
        <v>1829</v>
      </c>
    </row>
    <row r="2320">
      <c r="A2320" s="19" t="s">
        <v>1830</v>
      </c>
    </row>
    <row r="2321">
      <c r="A2321" s="19" t="s">
        <v>1831</v>
      </c>
    </row>
    <row r="2322">
      <c r="A2322" s="19" t="s">
        <v>1832</v>
      </c>
    </row>
    <row r="2323">
      <c r="A2323" s="19" t="s">
        <v>1833</v>
      </c>
    </row>
    <row r="2324">
      <c r="A2324" s="19" t="s">
        <v>1834</v>
      </c>
    </row>
    <row r="2325">
      <c r="A2325" s="19" t="s">
        <v>1835</v>
      </c>
    </row>
    <row r="2326">
      <c r="A2326" s="19" t="s">
        <v>1836</v>
      </c>
    </row>
    <row r="2327">
      <c r="A2327" s="19" t="s">
        <v>1837</v>
      </c>
    </row>
    <row r="2328">
      <c r="A2328" s="19" t="s">
        <v>1838</v>
      </c>
    </row>
    <row r="2329">
      <c r="A2329" s="19" t="s">
        <v>1839</v>
      </c>
    </row>
    <row r="2330">
      <c r="A2330" s="19" t="s">
        <v>1840</v>
      </c>
    </row>
    <row r="2331">
      <c r="A2331" s="19" t="s">
        <v>1841</v>
      </c>
    </row>
    <row r="2332">
      <c r="A2332" s="19" t="s">
        <v>1842</v>
      </c>
    </row>
    <row r="2333">
      <c r="A2333" s="19" t="s">
        <v>1843</v>
      </c>
    </row>
    <row r="2334">
      <c r="A2334" s="19" t="s">
        <v>1844</v>
      </c>
    </row>
    <row r="2335">
      <c r="A2335" s="19" t="s">
        <v>1845</v>
      </c>
    </row>
    <row r="2336">
      <c r="A2336" s="19" t="s">
        <v>1846</v>
      </c>
    </row>
    <row r="2337">
      <c r="A2337" s="19" t="s">
        <v>1847</v>
      </c>
    </row>
    <row r="2338">
      <c r="A2338" s="19" t="s">
        <v>1848</v>
      </c>
    </row>
    <row r="2339">
      <c r="A2339" s="19" t="s">
        <v>1849</v>
      </c>
    </row>
    <row r="2340">
      <c r="A2340" s="19" t="s">
        <v>1850</v>
      </c>
    </row>
    <row r="2341">
      <c r="A2341" s="19" t="s">
        <v>1851</v>
      </c>
    </row>
    <row r="2342">
      <c r="A2342" s="19" t="s">
        <v>1852</v>
      </c>
    </row>
    <row r="2343">
      <c r="A2343" s="19" t="s">
        <v>1853</v>
      </c>
    </row>
    <row r="2344">
      <c r="A2344" s="19" t="s">
        <v>1854</v>
      </c>
    </row>
    <row r="2345">
      <c r="A2345" s="19" t="s">
        <v>1855</v>
      </c>
    </row>
    <row r="2346">
      <c r="A2346" s="19" t="s">
        <v>1856</v>
      </c>
    </row>
    <row r="2347">
      <c r="A2347" s="19" t="s">
        <v>1857</v>
      </c>
    </row>
    <row r="2348">
      <c r="A2348" s="19" t="s">
        <v>1858</v>
      </c>
    </row>
    <row r="2349">
      <c r="A2349" s="19" t="s">
        <v>1859</v>
      </c>
    </row>
    <row r="2350">
      <c r="A2350" s="19" t="s">
        <v>1860</v>
      </c>
    </row>
    <row r="2351">
      <c r="A2351" s="19" t="s">
        <v>1861</v>
      </c>
    </row>
    <row r="2352">
      <c r="A2352" s="19" t="s">
        <v>1862</v>
      </c>
    </row>
    <row r="2353">
      <c r="A2353" s="19" t="s">
        <v>1863</v>
      </c>
    </row>
    <row r="2354">
      <c r="A2354" s="19" t="s">
        <v>1864</v>
      </c>
    </row>
    <row r="2355">
      <c r="A2355" s="19" t="s">
        <v>1865</v>
      </c>
    </row>
    <row r="2356">
      <c r="A2356" s="19" t="s">
        <v>1866</v>
      </c>
    </row>
    <row r="2357">
      <c r="A2357" s="19" t="s">
        <v>1867</v>
      </c>
    </row>
    <row r="2358">
      <c r="A2358" s="19" t="s">
        <v>1868</v>
      </c>
    </row>
    <row r="2359">
      <c r="A2359" s="19" t="s">
        <v>1869</v>
      </c>
    </row>
    <row r="2360">
      <c r="A2360" s="19" t="s">
        <v>1870</v>
      </c>
    </row>
    <row r="2361">
      <c r="A2361" s="19" t="s">
        <v>1871</v>
      </c>
    </row>
    <row r="2362">
      <c r="A2362" s="19" t="s">
        <v>1872</v>
      </c>
    </row>
    <row r="2363">
      <c r="A2363" s="19" t="s">
        <v>1873</v>
      </c>
    </row>
    <row r="2364">
      <c r="A2364" s="19" t="s">
        <v>1874</v>
      </c>
    </row>
    <row r="2365">
      <c r="A2365" s="19" t="s">
        <v>1875</v>
      </c>
    </row>
    <row r="2366">
      <c r="A2366" s="19" t="s">
        <v>1876</v>
      </c>
    </row>
    <row r="2367">
      <c r="A2367" s="19" t="s">
        <v>1877</v>
      </c>
    </row>
    <row r="2368">
      <c r="A2368" s="19" t="s">
        <v>1878</v>
      </c>
    </row>
    <row r="2369">
      <c r="A2369" s="19" t="s">
        <v>1879</v>
      </c>
    </row>
    <row r="2370">
      <c r="A2370" s="19" t="s">
        <v>1880</v>
      </c>
    </row>
    <row r="2371">
      <c r="A2371" s="19" t="s">
        <v>1881</v>
      </c>
    </row>
    <row r="2372">
      <c r="A2372" s="19" t="s">
        <v>1882</v>
      </c>
    </row>
    <row r="2373">
      <c r="A2373" s="19" t="s">
        <v>1883</v>
      </c>
    </row>
    <row r="2374">
      <c r="A2374" s="19" t="s">
        <v>1884</v>
      </c>
    </row>
    <row r="2375">
      <c r="A2375" s="19" t="s">
        <v>1885</v>
      </c>
    </row>
    <row r="2376">
      <c r="A2376" s="19" t="s">
        <v>1886</v>
      </c>
    </row>
    <row r="2377">
      <c r="A2377" s="19" t="s">
        <v>1887</v>
      </c>
    </row>
    <row r="2378">
      <c r="A2378" s="19" t="s">
        <v>1888</v>
      </c>
    </row>
    <row r="2379">
      <c r="A2379" s="19" t="s">
        <v>1889</v>
      </c>
    </row>
    <row r="2380">
      <c r="A2380" s="19" t="s">
        <v>1890</v>
      </c>
    </row>
    <row r="2381">
      <c r="A2381" s="19" t="s">
        <v>1891</v>
      </c>
    </row>
    <row r="2382">
      <c r="A2382" s="19" t="s">
        <v>1892</v>
      </c>
    </row>
    <row r="2383">
      <c r="A2383" s="19" t="s">
        <v>1893</v>
      </c>
    </row>
    <row r="2384">
      <c r="A2384" s="19" t="s">
        <v>1894</v>
      </c>
    </row>
    <row r="2385">
      <c r="A2385" s="19" t="s">
        <v>1895</v>
      </c>
    </row>
    <row r="2386">
      <c r="A2386" s="19" t="s">
        <v>1882</v>
      </c>
    </row>
    <row r="2387">
      <c r="A2387" s="19" t="s">
        <v>1896</v>
      </c>
    </row>
    <row r="2388">
      <c r="A2388" s="19" t="s">
        <v>1897</v>
      </c>
    </row>
    <row r="2389">
      <c r="A2389" s="19" t="s">
        <v>1898</v>
      </c>
    </row>
    <row r="2390">
      <c r="A2390" s="19" t="s">
        <v>1899</v>
      </c>
    </row>
    <row r="2391">
      <c r="A2391" s="19" t="s">
        <v>1900</v>
      </c>
    </row>
    <row r="2392">
      <c r="A2392" s="19" t="s">
        <v>1901</v>
      </c>
    </row>
    <row r="2393">
      <c r="A2393" s="19" t="s">
        <v>1902</v>
      </c>
    </row>
    <row r="2394">
      <c r="A2394" s="19" t="s">
        <v>1903</v>
      </c>
    </row>
    <row r="2395">
      <c r="A2395" s="21"/>
    </row>
    <row r="2396">
      <c r="A2396" s="19" t="s">
        <v>1904</v>
      </c>
    </row>
    <row r="2397">
      <c r="A2397" s="19" t="s">
        <v>1905</v>
      </c>
    </row>
    <row r="2398">
      <c r="A2398" s="19" t="s">
        <v>1906</v>
      </c>
    </row>
    <row r="2399">
      <c r="A2399" s="19" t="s">
        <v>1907</v>
      </c>
    </row>
    <row r="2400">
      <c r="A2400" s="19" t="s">
        <v>1908</v>
      </c>
    </row>
    <row r="2401">
      <c r="A2401" s="19" t="s">
        <v>1909</v>
      </c>
    </row>
    <row r="2402">
      <c r="A2402" s="19" t="s">
        <v>1910</v>
      </c>
    </row>
    <row r="2403">
      <c r="A2403" s="19" t="s">
        <v>1911</v>
      </c>
    </row>
    <row r="2404">
      <c r="A2404" s="19" t="s">
        <v>1912</v>
      </c>
    </row>
    <row r="2405">
      <c r="A2405" s="19" t="s">
        <v>1913</v>
      </c>
    </row>
    <row r="2406">
      <c r="A2406" s="19" t="s">
        <v>1914</v>
      </c>
    </row>
    <row r="2407">
      <c r="A2407" s="19" t="s">
        <v>1915</v>
      </c>
    </row>
    <row r="2408">
      <c r="A2408" s="19" t="s">
        <v>1916</v>
      </c>
    </row>
    <row r="2409">
      <c r="A2409" s="19" t="s">
        <v>1917</v>
      </c>
    </row>
    <row r="2410">
      <c r="A2410" s="19" t="s">
        <v>1918</v>
      </c>
    </row>
    <row r="2411">
      <c r="A2411" s="19" t="s">
        <v>1919</v>
      </c>
    </row>
    <row r="2412">
      <c r="A2412" s="19" t="s">
        <v>1920</v>
      </c>
    </row>
    <row r="2413">
      <c r="A2413" s="19" t="s">
        <v>1921</v>
      </c>
    </row>
    <row r="2414">
      <c r="A2414" s="19" t="s">
        <v>1922</v>
      </c>
    </row>
    <row r="2415">
      <c r="A2415" s="19" t="s">
        <v>1923</v>
      </c>
    </row>
    <row r="2416">
      <c r="A2416" s="19" t="s">
        <v>1924</v>
      </c>
    </row>
    <row r="2417">
      <c r="A2417" s="19" t="s">
        <v>1925</v>
      </c>
    </row>
    <row r="2418">
      <c r="A2418" s="19" t="s">
        <v>1926</v>
      </c>
    </row>
    <row r="2419">
      <c r="A2419" s="19" t="s">
        <v>1927</v>
      </c>
    </row>
    <row r="2420">
      <c r="A2420" s="19" t="s">
        <v>1928</v>
      </c>
    </row>
    <row r="2421">
      <c r="A2421" s="19" t="s">
        <v>1929</v>
      </c>
    </row>
    <row r="2422">
      <c r="A2422" s="19" t="s">
        <v>1930</v>
      </c>
    </row>
    <row r="2423">
      <c r="A2423" s="19" t="s">
        <v>1931</v>
      </c>
    </row>
    <row r="2424">
      <c r="A2424" s="19" t="s">
        <v>1932</v>
      </c>
    </row>
    <row r="2425">
      <c r="A2425" s="19" t="s">
        <v>1933</v>
      </c>
    </row>
    <row r="2426">
      <c r="A2426" s="19" t="s">
        <v>1934</v>
      </c>
    </row>
    <row r="2427">
      <c r="A2427" s="19" t="s">
        <v>1935</v>
      </c>
    </row>
    <row r="2428">
      <c r="A2428" s="19" t="s">
        <v>1936</v>
      </c>
    </row>
    <row r="2429">
      <c r="A2429" s="19" t="s">
        <v>1937</v>
      </c>
    </row>
    <row r="2430">
      <c r="A2430" s="19" t="s">
        <v>1938</v>
      </c>
    </row>
    <row r="2431">
      <c r="A2431" s="19" t="s">
        <v>1939</v>
      </c>
    </row>
    <row r="2432">
      <c r="A2432" s="19" t="s">
        <v>1940</v>
      </c>
    </row>
    <row r="2433">
      <c r="A2433" s="19" t="s">
        <v>1941</v>
      </c>
    </row>
    <row r="2434">
      <c r="A2434" s="21"/>
    </row>
    <row r="2435">
      <c r="A2435" s="19" t="s">
        <v>1942</v>
      </c>
    </row>
    <row r="2436">
      <c r="A2436" s="19" t="s">
        <v>1943</v>
      </c>
    </row>
    <row r="2437">
      <c r="A2437" s="19" t="s">
        <v>1944</v>
      </c>
    </row>
    <row r="2438">
      <c r="A2438" s="19" t="s">
        <v>1945</v>
      </c>
    </row>
    <row r="2439">
      <c r="A2439" s="19" t="s">
        <v>1946</v>
      </c>
    </row>
    <row r="2440">
      <c r="A2440" s="19" t="s">
        <v>1947</v>
      </c>
    </row>
    <row r="2441">
      <c r="A2441" s="19" t="s">
        <v>1948</v>
      </c>
    </row>
    <row r="2442">
      <c r="A2442" s="19" t="s">
        <v>1949</v>
      </c>
    </row>
    <row r="2443">
      <c r="A2443" s="19" t="s">
        <v>1950</v>
      </c>
    </row>
    <row r="2444">
      <c r="A2444" s="19" t="s">
        <v>1951</v>
      </c>
    </row>
    <row r="2445">
      <c r="A2445" s="19" t="s">
        <v>1952</v>
      </c>
    </row>
    <row r="2446">
      <c r="A2446" s="19" t="s">
        <v>1953</v>
      </c>
    </row>
    <row r="2447">
      <c r="A2447" s="21"/>
    </row>
    <row r="2448">
      <c r="A2448" s="21"/>
    </row>
    <row r="2449">
      <c r="A2449" s="19" t="s">
        <v>1954</v>
      </c>
    </row>
    <row r="2450">
      <c r="A2450" s="19" t="s">
        <v>1955</v>
      </c>
    </row>
    <row r="2451">
      <c r="A2451" s="19" t="s">
        <v>1956</v>
      </c>
    </row>
    <row r="2452">
      <c r="A2452" s="19" t="s">
        <v>1957</v>
      </c>
    </row>
    <row r="2453">
      <c r="A2453" s="19" t="s">
        <v>1958</v>
      </c>
    </row>
    <row r="2454">
      <c r="A2454" s="19" t="s">
        <v>1959</v>
      </c>
    </row>
    <row r="2455">
      <c r="A2455" s="19" t="s">
        <v>1960</v>
      </c>
    </row>
    <row r="2456">
      <c r="A2456" s="19" t="s">
        <v>1961</v>
      </c>
    </row>
    <row r="2457">
      <c r="A2457" s="21"/>
    </row>
    <row r="2458">
      <c r="A2458" s="19" t="s">
        <v>1962</v>
      </c>
    </row>
    <row r="2459">
      <c r="A2459" s="19" t="s">
        <v>1963</v>
      </c>
    </row>
    <row r="2460">
      <c r="A2460" s="19" t="s">
        <v>1964</v>
      </c>
    </row>
    <row r="2461">
      <c r="A2461" s="19" t="s">
        <v>1965</v>
      </c>
    </row>
    <row r="2462">
      <c r="A2462" s="19" t="s">
        <v>1966</v>
      </c>
    </row>
    <row r="2463">
      <c r="A2463" s="19" t="s">
        <v>1967</v>
      </c>
    </row>
    <row r="2464">
      <c r="A2464" s="19" t="s">
        <v>1968</v>
      </c>
    </row>
    <row r="2465">
      <c r="A2465" s="19" t="s">
        <v>1967</v>
      </c>
    </row>
    <row r="2466">
      <c r="A2466" s="19" t="s">
        <v>1969</v>
      </c>
    </row>
    <row r="2467">
      <c r="A2467" s="19" t="s">
        <v>1970</v>
      </c>
    </row>
    <row r="2468">
      <c r="A2468" s="19" t="s">
        <v>1971</v>
      </c>
    </row>
    <row r="2469">
      <c r="A2469" s="19" t="s">
        <v>1972</v>
      </c>
    </row>
    <row r="2470">
      <c r="A2470" s="19" t="s">
        <v>1973</v>
      </c>
    </row>
    <row r="2471">
      <c r="A2471" s="19" t="s">
        <v>1974</v>
      </c>
    </row>
    <row r="2472">
      <c r="A2472" s="19" t="s">
        <v>1975</v>
      </c>
    </row>
    <row r="2473">
      <c r="A2473" s="19" t="s">
        <v>1976</v>
      </c>
    </row>
    <row r="2474">
      <c r="A2474" s="19" t="s">
        <v>1977</v>
      </c>
    </row>
    <row r="2475">
      <c r="A2475" s="19" t="s">
        <v>1978</v>
      </c>
    </row>
    <row r="2476">
      <c r="A2476" s="19" t="s">
        <v>1979</v>
      </c>
    </row>
    <row r="2477">
      <c r="A2477" s="21"/>
    </row>
    <row r="2478">
      <c r="A2478" s="19" t="s">
        <v>1980</v>
      </c>
    </row>
    <row r="2479">
      <c r="A2479" s="19" t="s">
        <v>1981</v>
      </c>
    </row>
    <row r="2480">
      <c r="A2480" s="19" t="s">
        <v>1982</v>
      </c>
    </row>
    <row r="2481">
      <c r="A2481" s="19" t="s">
        <v>1983</v>
      </c>
    </row>
    <row r="2482">
      <c r="A2482" s="19" t="s">
        <v>1984</v>
      </c>
    </row>
    <row r="2483">
      <c r="A2483" s="19" t="s">
        <v>1985</v>
      </c>
    </row>
    <row r="2484">
      <c r="A2484" s="19" t="s">
        <v>1986</v>
      </c>
    </row>
    <row r="2485">
      <c r="A2485" s="19" t="s">
        <v>1987</v>
      </c>
    </row>
    <row r="2486">
      <c r="A2486" s="19" t="s">
        <v>1988</v>
      </c>
    </row>
    <row r="2487">
      <c r="A2487" s="19" t="s">
        <v>1989</v>
      </c>
    </row>
    <row r="2488">
      <c r="A2488" s="19" t="s">
        <v>1990</v>
      </c>
    </row>
    <row r="2489">
      <c r="A2489" s="19" t="s">
        <v>1991</v>
      </c>
    </row>
    <row r="2490">
      <c r="A2490" s="19" t="s">
        <v>1992</v>
      </c>
    </row>
    <row r="2491">
      <c r="A2491" s="19" t="s">
        <v>1993</v>
      </c>
    </row>
    <row r="2492">
      <c r="A2492" s="19" t="s">
        <v>1994</v>
      </c>
    </row>
    <row r="2493">
      <c r="A2493" s="19" t="s">
        <v>1995</v>
      </c>
    </row>
    <row r="2494">
      <c r="A2494" s="19" t="s">
        <v>1996</v>
      </c>
    </row>
    <row r="2495">
      <c r="A2495" s="19" t="s">
        <v>1997</v>
      </c>
    </row>
    <row r="2496">
      <c r="A2496" s="19" t="s">
        <v>1998</v>
      </c>
    </row>
    <row r="2497">
      <c r="A2497" s="19" t="s">
        <v>1999</v>
      </c>
    </row>
    <row r="2498">
      <c r="A2498" s="19" t="s">
        <v>2000</v>
      </c>
    </row>
    <row r="2499">
      <c r="A2499" s="19" t="s">
        <v>2001</v>
      </c>
    </row>
    <row r="2500">
      <c r="A2500" s="19" t="s">
        <v>2002</v>
      </c>
    </row>
    <row r="2501">
      <c r="A2501" s="19" t="s">
        <v>2003</v>
      </c>
    </row>
    <row r="2502">
      <c r="A2502" s="19" t="s">
        <v>2004</v>
      </c>
    </row>
    <row r="2503">
      <c r="A2503" s="19" t="s">
        <v>2005</v>
      </c>
    </row>
    <row r="2504">
      <c r="A2504" s="19" t="s">
        <v>2006</v>
      </c>
    </row>
    <row r="2505">
      <c r="A2505" s="19" t="s">
        <v>2007</v>
      </c>
    </row>
    <row r="2506">
      <c r="A2506" s="19" t="s">
        <v>2008</v>
      </c>
    </row>
    <row r="2507">
      <c r="A2507" s="19" t="s">
        <v>2009</v>
      </c>
    </row>
    <row r="2508">
      <c r="A2508" s="19" t="s">
        <v>2010</v>
      </c>
    </row>
    <row r="2509">
      <c r="A2509" s="19" t="s">
        <v>2011</v>
      </c>
    </row>
    <row r="2510">
      <c r="A2510" s="19" t="s">
        <v>2012</v>
      </c>
    </row>
    <row r="2511">
      <c r="A2511" s="19" t="s">
        <v>2013</v>
      </c>
    </row>
    <row r="2512">
      <c r="A2512" s="19" t="s">
        <v>2014</v>
      </c>
    </row>
    <row r="2513">
      <c r="A2513" s="19" t="s">
        <v>2015</v>
      </c>
    </row>
    <row r="2514">
      <c r="A2514" s="19" t="s">
        <v>2016</v>
      </c>
    </row>
    <row r="2515">
      <c r="A2515" s="19" t="s">
        <v>2017</v>
      </c>
    </row>
    <row r="2516">
      <c r="A2516" s="19" t="s">
        <v>2018</v>
      </c>
    </row>
    <row r="2517">
      <c r="A2517" s="21"/>
    </row>
    <row r="2518">
      <c r="A2518" s="19" t="s">
        <v>2019</v>
      </c>
    </row>
    <row r="2519">
      <c r="A2519" s="19" t="s">
        <v>2020</v>
      </c>
    </row>
    <row r="2520">
      <c r="A2520" s="19" t="s">
        <v>2021</v>
      </c>
    </row>
    <row r="2521">
      <c r="A2521" s="19" t="s">
        <v>2022</v>
      </c>
    </row>
    <row r="2522">
      <c r="A2522" s="19" t="s">
        <v>2023</v>
      </c>
    </row>
    <row r="2523">
      <c r="A2523" s="19" t="s">
        <v>2024</v>
      </c>
    </row>
    <row r="2524">
      <c r="A2524" s="19" t="s">
        <v>2025</v>
      </c>
    </row>
    <row r="2525">
      <c r="A2525" s="19" t="s">
        <v>2026</v>
      </c>
    </row>
    <row r="2526">
      <c r="A2526" s="19" t="s">
        <v>2027</v>
      </c>
    </row>
    <row r="2527">
      <c r="A2527" s="19" t="s">
        <v>2028</v>
      </c>
    </row>
    <row r="2528">
      <c r="A2528" s="19" t="s">
        <v>2029</v>
      </c>
    </row>
    <row r="2529">
      <c r="A2529" s="19" t="s">
        <v>2030</v>
      </c>
    </row>
    <row r="2530">
      <c r="A2530" s="19" t="s">
        <v>2031</v>
      </c>
    </row>
    <row r="2531">
      <c r="A2531" s="19" t="s">
        <v>2032</v>
      </c>
    </row>
    <row r="2532">
      <c r="A2532" s="19" t="s">
        <v>2033</v>
      </c>
    </row>
    <row r="2533">
      <c r="A2533" s="19" t="s">
        <v>2034</v>
      </c>
    </row>
    <row r="2534">
      <c r="A2534" s="19" t="s">
        <v>2035</v>
      </c>
    </row>
    <row r="2535">
      <c r="A2535" s="19" t="s">
        <v>2036</v>
      </c>
    </row>
    <row r="2536">
      <c r="A2536" s="19" t="s">
        <v>2037</v>
      </c>
    </row>
    <row r="2537">
      <c r="A2537" s="19" t="s">
        <v>2038</v>
      </c>
    </row>
    <row r="2538">
      <c r="A2538" s="19" t="s">
        <v>2039</v>
      </c>
    </row>
    <row r="2539">
      <c r="A2539" s="19" t="s">
        <v>2040</v>
      </c>
    </row>
    <row r="2540">
      <c r="A2540" s="19" t="s">
        <v>2041</v>
      </c>
    </row>
    <row r="2541">
      <c r="A2541" s="19" t="s">
        <v>2042</v>
      </c>
    </row>
    <row r="2542">
      <c r="A2542" s="19" t="s">
        <v>2043</v>
      </c>
    </row>
    <row r="2543">
      <c r="A2543" s="19" t="s">
        <v>2044</v>
      </c>
    </row>
    <row r="2544">
      <c r="A2544" s="19" t="s">
        <v>2045</v>
      </c>
    </row>
    <row r="2545">
      <c r="A2545" s="19" t="s">
        <v>2046</v>
      </c>
    </row>
    <row r="2546">
      <c r="A2546" s="19" t="s">
        <v>2047</v>
      </c>
    </row>
    <row r="2547">
      <c r="A2547" s="19" t="s">
        <v>2048</v>
      </c>
    </row>
    <row r="2548">
      <c r="A2548" s="19" t="s">
        <v>2049</v>
      </c>
    </row>
    <row r="2549">
      <c r="A2549" s="19" t="s">
        <v>2047</v>
      </c>
    </row>
    <row r="2550">
      <c r="A2550" s="19" t="s">
        <v>2050</v>
      </c>
    </row>
    <row r="2551">
      <c r="A2551" s="19" t="s">
        <v>2044</v>
      </c>
    </row>
    <row r="2552">
      <c r="A2552" s="19" t="s">
        <v>2044</v>
      </c>
    </row>
    <row r="2553">
      <c r="A2553" s="19" t="s">
        <v>925</v>
      </c>
    </row>
    <row r="2554">
      <c r="A2554" s="19" t="s">
        <v>2043</v>
      </c>
    </row>
    <row r="2555">
      <c r="A2555" s="19" t="s">
        <v>933</v>
      </c>
    </row>
    <row r="2556">
      <c r="A2556" s="19" t="s">
        <v>935</v>
      </c>
    </row>
    <row r="2557">
      <c r="A2557" s="19" t="s">
        <v>939</v>
      </c>
    </row>
    <row r="2558">
      <c r="A2558" s="19" t="s">
        <v>2051</v>
      </c>
    </row>
    <row r="2559">
      <c r="A2559" s="19" t="s">
        <v>2052</v>
      </c>
    </row>
    <row r="2560">
      <c r="A2560" s="19" t="s">
        <v>2053</v>
      </c>
    </row>
    <row r="2561">
      <c r="A2561" s="19" t="s">
        <v>2054</v>
      </c>
    </row>
    <row r="2562">
      <c r="A2562" s="19" t="s">
        <v>2055</v>
      </c>
    </row>
    <row r="2563">
      <c r="A2563" s="19" t="s">
        <v>2056</v>
      </c>
    </row>
    <row r="2564">
      <c r="A2564" s="19" t="s">
        <v>2047</v>
      </c>
    </row>
    <row r="2565">
      <c r="A2565" s="19" t="s">
        <v>2044</v>
      </c>
    </row>
    <row r="2566">
      <c r="A2566" s="19" t="s">
        <v>2057</v>
      </c>
    </row>
    <row r="2567">
      <c r="A2567" s="19" t="s">
        <v>1066</v>
      </c>
    </row>
    <row r="2568">
      <c r="A2568" s="19" t="s">
        <v>2058</v>
      </c>
    </row>
    <row r="2569">
      <c r="A2569" s="19" t="s">
        <v>1066</v>
      </c>
    </row>
    <row r="2570">
      <c r="A2570" s="19" t="s">
        <v>2059</v>
      </c>
    </row>
    <row r="2571">
      <c r="A2571" s="19" t="s">
        <v>2043</v>
      </c>
    </row>
    <row r="2572">
      <c r="A2572" s="19" t="s">
        <v>2060</v>
      </c>
    </row>
    <row r="2573">
      <c r="A2573" s="19" t="s">
        <v>2061</v>
      </c>
    </row>
    <row r="2574">
      <c r="A2574" s="19" t="s">
        <v>2044</v>
      </c>
    </row>
    <row r="2575">
      <c r="A2575" s="19" t="s">
        <v>2043</v>
      </c>
    </row>
    <row r="2576">
      <c r="A2576" s="19" t="s">
        <v>2062</v>
      </c>
    </row>
    <row r="2577">
      <c r="A2577" s="21"/>
    </row>
    <row r="2578">
      <c r="A2578" s="19" t="s">
        <v>2043</v>
      </c>
    </row>
    <row r="2579">
      <c r="A2579" s="19" t="s">
        <v>1126</v>
      </c>
    </row>
    <row r="2580">
      <c r="A2580" s="19" t="s">
        <v>2059</v>
      </c>
    </row>
    <row r="2581">
      <c r="A2581" s="19" t="s">
        <v>2063</v>
      </c>
    </row>
    <row r="2582">
      <c r="A2582" s="19" t="s">
        <v>2064</v>
      </c>
    </row>
    <row r="2583">
      <c r="A2583" s="19" t="s">
        <v>859</v>
      </c>
    </row>
    <row r="2584">
      <c r="A2584" s="19" t="s">
        <v>860</v>
      </c>
    </row>
    <row r="2585">
      <c r="A2585" s="19" t="s">
        <v>865</v>
      </c>
    </row>
    <row r="2586">
      <c r="A2586" s="19" t="s">
        <v>2065</v>
      </c>
    </row>
    <row r="2587">
      <c r="A2587" s="19" t="s">
        <v>2066</v>
      </c>
    </row>
    <row r="2588">
      <c r="A2588" s="19" t="s">
        <v>866</v>
      </c>
    </row>
    <row r="2589">
      <c r="A2589" s="19" t="s">
        <v>864</v>
      </c>
    </row>
    <row r="2590">
      <c r="A2590" s="19" t="s">
        <v>869</v>
      </c>
    </row>
    <row r="2591">
      <c r="A2591" s="19" t="s">
        <v>872</v>
      </c>
    </row>
    <row r="2592">
      <c r="A2592" s="19" t="s">
        <v>874</v>
      </c>
    </row>
    <row r="2593">
      <c r="A2593" s="19" t="s">
        <v>875</v>
      </c>
    </row>
    <row r="2594">
      <c r="A2594" s="19" t="s">
        <v>877</v>
      </c>
    </row>
    <row r="2595">
      <c r="A2595" s="19" t="s">
        <v>878</v>
      </c>
    </row>
    <row r="2596">
      <c r="A2596" s="19" t="s">
        <v>879</v>
      </c>
    </row>
    <row r="2597">
      <c r="A2597" s="19" t="s">
        <v>880</v>
      </c>
    </row>
    <row r="2598">
      <c r="A2598" s="19" t="s">
        <v>885</v>
      </c>
    </row>
    <row r="2599">
      <c r="A2599" s="19" t="s">
        <v>887</v>
      </c>
    </row>
    <row r="2600">
      <c r="A2600" s="19" t="s">
        <v>889</v>
      </c>
    </row>
    <row r="2601">
      <c r="A2601" s="19" t="s">
        <v>891</v>
      </c>
    </row>
    <row r="2602">
      <c r="A2602" s="19" t="s">
        <v>888</v>
      </c>
    </row>
    <row r="2603">
      <c r="A2603" s="19" t="s">
        <v>890</v>
      </c>
    </row>
    <row r="2604">
      <c r="A2604" s="19" t="s">
        <v>868</v>
      </c>
    </row>
    <row r="2605">
      <c r="A2605" s="19" t="s">
        <v>2067</v>
      </c>
    </row>
    <row r="2606">
      <c r="A2606" s="19" t="s">
        <v>2068</v>
      </c>
    </row>
    <row r="2607">
      <c r="A2607" s="19" t="s">
        <v>2069</v>
      </c>
    </row>
    <row r="2608">
      <c r="A2608" s="19" t="s">
        <v>2070</v>
      </c>
    </row>
    <row r="2609">
      <c r="A2609" s="19" t="s">
        <v>2071</v>
      </c>
    </row>
    <row r="2610">
      <c r="A2610" s="19" t="s">
        <v>897</v>
      </c>
    </row>
    <row r="2611">
      <c r="A2611" s="19" t="s">
        <v>2072</v>
      </c>
    </row>
    <row r="2612">
      <c r="A2612" s="19" t="s">
        <v>898</v>
      </c>
    </row>
    <row r="2613">
      <c r="A2613" s="19" t="s">
        <v>901</v>
      </c>
    </row>
    <row r="2614">
      <c r="A2614" s="19" t="s">
        <v>902</v>
      </c>
    </row>
    <row r="2615">
      <c r="A2615" s="19" t="s">
        <v>2073</v>
      </c>
    </row>
    <row r="2616">
      <c r="A2616" s="19" t="s">
        <v>904</v>
      </c>
    </row>
    <row r="2617">
      <c r="A2617" s="19" t="s">
        <v>2074</v>
      </c>
    </row>
    <row r="2618">
      <c r="A2618" s="21"/>
    </row>
    <row r="2619">
      <c r="A2619" s="19" t="s">
        <v>914</v>
      </c>
    </row>
    <row r="2620">
      <c r="A2620" s="19" t="s">
        <v>922</v>
      </c>
    </row>
    <row r="2621">
      <c r="A2621" s="19" t="s">
        <v>923</v>
      </c>
    </row>
    <row r="2622">
      <c r="A2622" s="19" t="s">
        <v>924</v>
      </c>
    </row>
    <row r="2623">
      <c r="A2623" s="19" t="s">
        <v>928</v>
      </c>
    </row>
    <row r="2624">
      <c r="A2624" s="19" t="s">
        <v>929</v>
      </c>
    </row>
    <row r="2625">
      <c r="A2625" s="19" t="s">
        <v>2075</v>
      </c>
    </row>
    <row r="2626">
      <c r="A2626" s="19" t="s">
        <v>931</v>
      </c>
    </row>
    <row r="2627">
      <c r="A2627" s="19" t="s">
        <v>934</v>
      </c>
    </row>
    <row r="2628">
      <c r="A2628" s="19" t="s">
        <v>933</v>
      </c>
    </row>
    <row r="2629">
      <c r="A2629" s="19" t="s">
        <v>2076</v>
      </c>
    </row>
    <row r="2630">
      <c r="A2630" s="19" t="s">
        <v>936</v>
      </c>
    </row>
    <row r="2631">
      <c r="A2631" s="19" t="s">
        <v>940</v>
      </c>
    </row>
    <row r="2632">
      <c r="A2632" s="19" t="s">
        <v>941</v>
      </c>
    </row>
    <row r="2633">
      <c r="A2633" s="19" t="s">
        <v>939</v>
      </c>
    </row>
    <row r="2634">
      <c r="A2634" s="19" t="s">
        <v>943</v>
      </c>
    </row>
    <row r="2635">
      <c r="A2635" s="19" t="s">
        <v>945</v>
      </c>
    </row>
    <row r="2636">
      <c r="A2636" s="19" t="s">
        <v>935</v>
      </c>
    </row>
    <row r="2637">
      <c r="A2637" s="19" t="s">
        <v>2077</v>
      </c>
    </row>
    <row r="2638">
      <c r="A2638" s="19" t="s">
        <v>2078</v>
      </c>
    </row>
    <row r="2639">
      <c r="A2639" s="19" t="s">
        <v>951</v>
      </c>
    </row>
    <row r="2640">
      <c r="A2640" s="19" t="s">
        <v>952</v>
      </c>
    </row>
    <row r="2641">
      <c r="A2641" s="19" t="s">
        <v>2079</v>
      </c>
    </row>
    <row r="2642">
      <c r="A2642" s="19" t="s">
        <v>953</v>
      </c>
    </row>
    <row r="2643">
      <c r="A2643" s="19" t="s">
        <v>954</v>
      </c>
    </row>
    <row r="2644">
      <c r="A2644" s="19" t="s">
        <v>956</v>
      </c>
    </row>
    <row r="2645">
      <c r="A2645" s="19" t="s">
        <v>957</v>
      </c>
    </row>
    <row r="2646">
      <c r="A2646" s="19" t="s">
        <v>2080</v>
      </c>
    </row>
    <row r="2647">
      <c r="A2647" s="19" t="s">
        <v>960</v>
      </c>
    </row>
    <row r="2648">
      <c r="A2648" s="19" t="s">
        <v>962</v>
      </c>
    </row>
    <row r="2649">
      <c r="A2649" s="19" t="s">
        <v>963</v>
      </c>
    </row>
    <row r="2650">
      <c r="A2650" s="19" t="s">
        <v>964</v>
      </c>
    </row>
    <row r="2651">
      <c r="A2651" s="19" t="s">
        <v>2081</v>
      </c>
    </row>
    <row r="2652">
      <c r="A2652" s="19" t="s">
        <v>2082</v>
      </c>
    </row>
    <row r="2653">
      <c r="A2653" s="19" t="s">
        <v>969</v>
      </c>
    </row>
    <row r="2654">
      <c r="A2654" s="19" t="s">
        <v>973</v>
      </c>
    </row>
    <row r="2655">
      <c r="A2655" s="19" t="s">
        <v>974</v>
      </c>
    </row>
    <row r="2656">
      <c r="A2656" s="19" t="s">
        <v>975</v>
      </c>
    </row>
    <row r="2657">
      <c r="A2657" s="19" t="s">
        <v>2083</v>
      </c>
    </row>
    <row r="2658">
      <c r="A2658" s="19" t="s">
        <v>2084</v>
      </c>
    </row>
    <row r="2659">
      <c r="A2659" s="19" t="s">
        <v>2064</v>
      </c>
    </row>
    <row r="2660">
      <c r="A2660" s="19" t="s">
        <v>2085</v>
      </c>
    </row>
    <row r="2661">
      <c r="A2661" s="19" t="s">
        <v>978</v>
      </c>
    </row>
    <row r="2662">
      <c r="A2662" s="19" t="s">
        <v>2086</v>
      </c>
    </row>
    <row r="2663">
      <c r="A2663" s="19" t="s">
        <v>981</v>
      </c>
    </row>
    <row r="2664">
      <c r="A2664" s="19" t="s">
        <v>982</v>
      </c>
    </row>
    <row r="2665">
      <c r="A2665" s="19" t="s">
        <v>983</v>
      </c>
    </row>
    <row r="2666">
      <c r="A2666" s="19" t="s">
        <v>984</v>
      </c>
    </row>
    <row r="2667">
      <c r="A2667" s="19" t="s">
        <v>986</v>
      </c>
    </row>
    <row r="2668">
      <c r="A2668" s="19" t="s">
        <v>987</v>
      </c>
    </row>
    <row r="2669">
      <c r="A2669" s="19" t="s">
        <v>989</v>
      </c>
    </row>
    <row r="2670">
      <c r="A2670" s="19" t="s">
        <v>2087</v>
      </c>
    </row>
    <row r="2671">
      <c r="A2671" s="19" t="s">
        <v>993</v>
      </c>
    </row>
    <row r="2672">
      <c r="A2672" s="19" t="s">
        <v>994</v>
      </c>
    </row>
    <row r="2673">
      <c r="A2673" s="19" t="s">
        <v>995</v>
      </c>
    </row>
    <row r="2674">
      <c r="A2674" s="19" t="s">
        <v>998</v>
      </c>
    </row>
    <row r="2675">
      <c r="A2675" s="19" t="s">
        <v>997</v>
      </c>
    </row>
    <row r="2676">
      <c r="A2676" s="19" t="s">
        <v>999</v>
      </c>
    </row>
    <row r="2677">
      <c r="A2677" s="19" t="s">
        <v>1001</v>
      </c>
    </row>
    <row r="2678">
      <c r="A2678" s="19" t="s">
        <v>1000</v>
      </c>
    </row>
    <row r="2679">
      <c r="A2679" s="21"/>
    </row>
    <row r="2680">
      <c r="A2680" s="21"/>
    </row>
    <row r="2681">
      <c r="A2681" s="21"/>
    </row>
    <row r="2682">
      <c r="A2682" s="19" t="s">
        <v>2088</v>
      </c>
    </row>
    <row r="2683">
      <c r="A2683" s="19" t="s">
        <v>2089</v>
      </c>
    </row>
    <row r="2684">
      <c r="A2684" s="19" t="s">
        <v>2090</v>
      </c>
    </row>
    <row r="2685">
      <c r="A2685" s="19" t="s">
        <v>1018</v>
      </c>
    </row>
    <row r="2686">
      <c r="A2686" s="19" t="s">
        <v>1020</v>
      </c>
    </row>
    <row r="2687">
      <c r="A2687" s="19" t="s">
        <v>1022</v>
      </c>
    </row>
    <row r="2688">
      <c r="A2688" s="19" t="s">
        <v>2091</v>
      </c>
    </row>
    <row r="2689">
      <c r="A2689" s="19" t="s">
        <v>2092</v>
      </c>
    </row>
    <row r="2690">
      <c r="A2690" s="19" t="s">
        <v>1029</v>
      </c>
    </row>
    <row r="2691">
      <c r="A2691" s="19" t="s">
        <v>2093</v>
      </c>
    </row>
    <row r="2692">
      <c r="A2692" s="19" t="s">
        <v>2094</v>
      </c>
    </row>
    <row r="2693">
      <c r="A2693" s="19" t="s">
        <v>1034</v>
      </c>
    </row>
    <row r="2694">
      <c r="A2694" s="19" t="s">
        <v>1035</v>
      </c>
    </row>
    <row r="2695">
      <c r="A2695" s="19" t="s">
        <v>1039</v>
      </c>
    </row>
    <row r="2696">
      <c r="A2696" s="19" t="s">
        <v>1041</v>
      </c>
    </row>
    <row r="2697">
      <c r="A2697" s="19" t="s">
        <v>1042</v>
      </c>
    </row>
    <row r="2698">
      <c r="A2698" s="19" t="s">
        <v>1043</v>
      </c>
    </row>
    <row r="2699">
      <c r="A2699" s="19" t="s">
        <v>1044</v>
      </c>
    </row>
    <row r="2700">
      <c r="A2700" s="19" t="s">
        <v>2095</v>
      </c>
    </row>
    <row r="2701">
      <c r="A2701" s="19" t="s">
        <v>2096</v>
      </c>
    </row>
    <row r="2702">
      <c r="A2702" s="19" t="s">
        <v>2097</v>
      </c>
    </row>
    <row r="2703">
      <c r="A2703" s="19" t="s">
        <v>2098</v>
      </c>
    </row>
    <row r="2704">
      <c r="A2704" s="19" t="s">
        <v>2099</v>
      </c>
    </row>
    <row r="2705">
      <c r="A2705" s="19" t="s">
        <v>2100</v>
      </c>
    </row>
    <row r="2706">
      <c r="A2706" s="19" t="s">
        <v>2101</v>
      </c>
    </row>
    <row r="2707">
      <c r="A2707" s="19" t="s">
        <v>2102</v>
      </c>
    </row>
    <row r="2708">
      <c r="A2708" s="19" t="s">
        <v>2103</v>
      </c>
    </row>
    <row r="2709">
      <c r="A2709" s="19" t="s">
        <v>2104</v>
      </c>
    </row>
    <row r="2710">
      <c r="A2710" s="19" t="s">
        <v>493</v>
      </c>
    </row>
    <row r="2711">
      <c r="A2711" s="19" t="s">
        <v>493</v>
      </c>
    </row>
    <row r="2712">
      <c r="A2712" s="19" t="s">
        <v>2105</v>
      </c>
    </row>
    <row r="2713">
      <c r="A2713" s="19" t="s">
        <v>2106</v>
      </c>
    </row>
    <row r="2714">
      <c r="A2714" s="19" t="s">
        <v>2107</v>
      </c>
    </row>
    <row r="2715">
      <c r="A2715" s="19" t="s">
        <v>2108</v>
      </c>
    </row>
    <row r="2716">
      <c r="A2716" s="19" t="s">
        <v>2109</v>
      </c>
    </row>
    <row r="2717">
      <c r="A2717" s="19" t="s">
        <v>2110</v>
      </c>
    </row>
    <row r="2718">
      <c r="A2718" s="19" t="s">
        <v>2111</v>
      </c>
    </row>
    <row r="2719">
      <c r="A2719" s="19" t="s">
        <v>2112</v>
      </c>
    </row>
    <row r="2720">
      <c r="A2720" s="19" t="s">
        <v>2113</v>
      </c>
    </row>
    <row r="2721">
      <c r="A2721" s="19" t="s">
        <v>2114</v>
      </c>
    </row>
    <row r="2722">
      <c r="A2722" s="19" t="s">
        <v>2115</v>
      </c>
    </row>
    <row r="2723">
      <c r="A2723" s="19" t="s">
        <v>2116</v>
      </c>
    </row>
    <row r="2724">
      <c r="A2724" s="19" t="s">
        <v>2115</v>
      </c>
    </row>
    <row r="2725">
      <c r="A2725" s="19" t="s">
        <v>2117</v>
      </c>
    </row>
    <row r="2726">
      <c r="A2726" s="19" t="s">
        <v>2118</v>
      </c>
    </row>
    <row r="2727">
      <c r="A2727" s="19" t="s">
        <v>2119</v>
      </c>
    </row>
    <row r="2728">
      <c r="A2728" s="19" t="s">
        <v>2120</v>
      </c>
    </row>
    <row r="2729">
      <c r="A2729" s="19" t="s">
        <v>2121</v>
      </c>
    </row>
    <row r="2730">
      <c r="A2730" s="19" t="s">
        <v>2122</v>
      </c>
    </row>
    <row r="2731">
      <c r="A2731" s="19" t="s">
        <v>2123</v>
      </c>
    </row>
    <row r="2732">
      <c r="A2732" s="19" t="s">
        <v>2124</v>
      </c>
    </row>
    <row r="2733">
      <c r="A2733" s="19" t="s">
        <v>2125</v>
      </c>
    </row>
    <row r="2734">
      <c r="A2734" s="19" t="s">
        <v>2126</v>
      </c>
    </row>
    <row r="2735">
      <c r="A2735" s="19" t="s">
        <v>2127</v>
      </c>
    </row>
    <row r="2736">
      <c r="A2736" s="19" t="s">
        <v>2128</v>
      </c>
    </row>
    <row r="2737">
      <c r="A2737" s="19" t="s">
        <v>2129</v>
      </c>
    </row>
    <row r="2738">
      <c r="A2738" s="19" t="s">
        <v>2130</v>
      </c>
    </row>
    <row r="2739">
      <c r="A2739" s="19" t="s">
        <v>2131</v>
      </c>
    </row>
    <row r="2740">
      <c r="A2740" s="19" t="s">
        <v>2132</v>
      </c>
    </row>
    <row r="2741">
      <c r="A2741" s="19" t="s">
        <v>2133</v>
      </c>
    </row>
    <row r="2742">
      <c r="A2742" s="19" t="s">
        <v>2134</v>
      </c>
    </row>
    <row r="2743">
      <c r="A2743" s="19" t="s">
        <v>2135</v>
      </c>
    </row>
    <row r="2744">
      <c r="A2744" s="19" t="s">
        <v>2136</v>
      </c>
    </row>
    <row r="2745">
      <c r="A2745" s="19" t="s">
        <v>2137</v>
      </c>
    </row>
    <row r="2746">
      <c r="A2746" s="19" t="s">
        <v>2138</v>
      </c>
    </row>
    <row r="2747">
      <c r="A2747" s="19" t="s">
        <v>2139</v>
      </c>
    </row>
    <row r="2748">
      <c r="A2748" s="19" t="s">
        <v>2140</v>
      </c>
    </row>
    <row r="2749">
      <c r="A2749" s="19" t="s">
        <v>2141</v>
      </c>
    </row>
    <row r="2750">
      <c r="A2750" s="19" t="s">
        <v>2142</v>
      </c>
    </row>
    <row r="2751">
      <c r="A2751" s="19" t="s">
        <v>2143</v>
      </c>
    </row>
    <row r="2752">
      <c r="A2752" s="19" t="s">
        <v>2144</v>
      </c>
    </row>
    <row r="2753">
      <c r="A2753" s="21"/>
    </row>
    <row r="2754">
      <c r="A2754" s="19" t="s">
        <v>2145</v>
      </c>
    </row>
    <row r="2755">
      <c r="A2755" s="19" t="s">
        <v>2146</v>
      </c>
    </row>
    <row r="2756">
      <c r="A2756" s="19" t="s">
        <v>2147</v>
      </c>
    </row>
    <row r="2757">
      <c r="A2757" s="19" t="s">
        <v>2148</v>
      </c>
    </row>
    <row r="2758">
      <c r="A2758" s="19" t="s">
        <v>2149</v>
      </c>
    </row>
    <row r="2759">
      <c r="A2759" s="19" t="s">
        <v>2150</v>
      </c>
    </row>
    <row r="2760">
      <c r="A2760" s="19" t="s">
        <v>2151</v>
      </c>
    </row>
    <row r="2761">
      <c r="A2761" s="19" t="s">
        <v>2152</v>
      </c>
    </row>
    <row r="2762">
      <c r="A2762" s="19" t="s">
        <v>2153</v>
      </c>
    </row>
    <row r="2763">
      <c r="A2763" s="21"/>
    </row>
    <row r="2764">
      <c r="A2764" s="19" t="s">
        <v>2154</v>
      </c>
    </row>
    <row r="2765">
      <c r="A2765" s="21"/>
    </row>
    <row r="2766">
      <c r="A2766" s="19" t="s">
        <v>2155</v>
      </c>
    </row>
    <row r="2767">
      <c r="A2767" s="19" t="s">
        <v>2156</v>
      </c>
    </row>
    <row r="2768">
      <c r="A2768" s="19" t="s">
        <v>2157</v>
      </c>
    </row>
    <row r="2769">
      <c r="A2769" s="19" t="s">
        <v>2158</v>
      </c>
    </row>
    <row r="2770">
      <c r="A2770" s="19" t="s">
        <v>2159</v>
      </c>
    </row>
    <row r="2771">
      <c r="A2771" s="19" t="s">
        <v>2160</v>
      </c>
    </row>
    <row r="2772">
      <c r="A2772" s="19" t="s">
        <v>2161</v>
      </c>
    </row>
    <row r="2773">
      <c r="A2773" s="19" t="s">
        <v>2162</v>
      </c>
    </row>
    <row r="2774">
      <c r="A2774" s="19" t="s">
        <v>2163</v>
      </c>
    </row>
    <row r="2775">
      <c r="A2775" s="19" t="s">
        <v>2164</v>
      </c>
    </row>
    <row r="2776">
      <c r="A2776" s="19" t="s">
        <v>2165</v>
      </c>
    </row>
    <row r="2777">
      <c r="A2777" s="19" t="s">
        <v>2166</v>
      </c>
    </row>
    <row r="2778">
      <c r="A2778" s="19" t="s">
        <v>2167</v>
      </c>
    </row>
    <row r="2779">
      <c r="A2779" s="19" t="s">
        <v>2168</v>
      </c>
    </row>
    <row r="2780">
      <c r="A2780" s="19" t="s">
        <v>2169</v>
      </c>
    </row>
    <row r="2781">
      <c r="A2781" s="19" t="s">
        <v>2170</v>
      </c>
    </row>
    <row r="2782">
      <c r="A2782" s="19" t="s">
        <v>2171</v>
      </c>
    </row>
    <row r="2783">
      <c r="A2783" s="19" t="s">
        <v>2172</v>
      </c>
    </row>
    <row r="2784">
      <c r="A2784" s="19" t="s">
        <v>2173</v>
      </c>
    </row>
    <row r="2785">
      <c r="A2785" s="19" t="s">
        <v>2174</v>
      </c>
    </row>
    <row r="2786">
      <c r="A2786" s="21"/>
    </row>
    <row r="2787">
      <c r="A2787" s="19" t="s">
        <v>2175</v>
      </c>
    </row>
    <row r="2788">
      <c r="A2788" s="19" t="s">
        <v>2176</v>
      </c>
    </row>
    <row r="2789">
      <c r="A2789" s="19" t="s">
        <v>2177</v>
      </c>
    </row>
    <row r="2790">
      <c r="A2790" s="19" t="s">
        <v>2178</v>
      </c>
    </row>
    <row r="2791">
      <c r="A2791" s="19" t="s">
        <v>2179</v>
      </c>
    </row>
    <row r="2792">
      <c r="A2792" s="19" t="s">
        <v>2180</v>
      </c>
    </row>
    <row r="2793">
      <c r="A2793" s="19" t="s">
        <v>2181</v>
      </c>
    </row>
    <row r="2794">
      <c r="A2794" s="19" t="s">
        <v>2182</v>
      </c>
    </row>
    <row r="2795">
      <c r="A2795" s="19" t="s">
        <v>2183</v>
      </c>
    </row>
    <row r="2796">
      <c r="A2796" s="19" t="s">
        <v>2184</v>
      </c>
    </row>
    <row r="2797">
      <c r="A2797" s="19" t="s">
        <v>2185</v>
      </c>
    </row>
    <row r="2798">
      <c r="A2798" s="19" t="s">
        <v>2186</v>
      </c>
    </row>
    <row r="2799">
      <c r="A2799" s="19" t="s">
        <v>2187</v>
      </c>
    </row>
    <row r="2800">
      <c r="A2800" s="19" t="s">
        <v>2188</v>
      </c>
    </row>
    <row r="2801">
      <c r="A2801" s="19" t="s">
        <v>2189</v>
      </c>
    </row>
    <row r="2802">
      <c r="A2802" s="19" t="s">
        <v>2190</v>
      </c>
    </row>
    <row r="2803">
      <c r="A2803" s="19" t="s">
        <v>2191</v>
      </c>
    </row>
    <row r="2804">
      <c r="A2804" s="19" t="s">
        <v>2192</v>
      </c>
    </row>
    <row r="2805">
      <c r="A2805" s="19" t="s">
        <v>2193</v>
      </c>
    </row>
    <row r="2806">
      <c r="A2806" s="19" t="s">
        <v>2194</v>
      </c>
    </row>
    <row r="2807">
      <c r="A2807" s="19" t="s">
        <v>2195</v>
      </c>
    </row>
    <row r="2808">
      <c r="A2808" s="19" t="s">
        <v>2196</v>
      </c>
    </row>
    <row r="2809">
      <c r="A2809" s="19" t="s">
        <v>2197</v>
      </c>
    </row>
    <row r="2810">
      <c r="A2810" s="19" t="s">
        <v>2198</v>
      </c>
    </row>
    <row r="2811">
      <c r="A2811" s="19" t="s">
        <v>2199</v>
      </c>
    </row>
    <row r="2812">
      <c r="A2812" s="19" t="s">
        <v>2200</v>
      </c>
    </row>
    <row r="2813">
      <c r="A2813" s="19" t="s">
        <v>2201</v>
      </c>
    </row>
    <row r="2814">
      <c r="A2814" s="19" t="s">
        <v>2202</v>
      </c>
    </row>
    <row r="2815">
      <c r="A2815" s="19" t="s">
        <v>2203</v>
      </c>
    </row>
    <row r="2816">
      <c r="A2816" s="19" t="s">
        <v>2204</v>
      </c>
    </row>
    <row r="2817">
      <c r="A2817" s="19" t="s">
        <v>2205</v>
      </c>
    </row>
    <row r="2818">
      <c r="A2818" s="19" t="s">
        <v>2206</v>
      </c>
    </row>
    <row r="2819">
      <c r="A2819" s="19" t="s">
        <v>2207</v>
      </c>
    </row>
    <row r="2820">
      <c r="A2820" s="19" t="s">
        <v>2208</v>
      </c>
    </row>
    <row r="2821">
      <c r="A2821" s="19" t="s">
        <v>2209</v>
      </c>
    </row>
    <row r="2822">
      <c r="A2822" s="21"/>
    </row>
    <row r="2823">
      <c r="A2823" s="19" t="s">
        <v>1799</v>
      </c>
    </row>
    <row r="2824">
      <c r="A2824" s="19" t="s">
        <v>2210</v>
      </c>
    </row>
    <row r="2825">
      <c r="A2825" s="19" t="s">
        <v>2211</v>
      </c>
    </row>
    <row r="2826">
      <c r="A2826" s="19" t="s">
        <v>2212</v>
      </c>
    </row>
    <row r="2827">
      <c r="A2827" s="19" t="s">
        <v>2213</v>
      </c>
    </row>
    <row r="2828">
      <c r="A2828" s="19" t="s">
        <v>2214</v>
      </c>
    </row>
    <row r="2829">
      <c r="A2829" s="19" t="s">
        <v>2215</v>
      </c>
    </row>
    <row r="2830">
      <c r="A2830" s="19" t="s">
        <v>2216</v>
      </c>
    </row>
    <row r="2831">
      <c r="A2831" s="19" t="s">
        <v>2217</v>
      </c>
    </row>
    <row r="2832">
      <c r="A2832" s="19" t="s">
        <v>2218</v>
      </c>
    </row>
    <row r="2833">
      <c r="A2833" s="19" t="s">
        <v>2219</v>
      </c>
    </row>
    <row r="2834">
      <c r="A2834" s="19" t="s">
        <v>2220</v>
      </c>
    </row>
    <row r="2835">
      <c r="A2835" s="19" t="s">
        <v>2221</v>
      </c>
    </row>
    <row r="2836">
      <c r="A2836" s="19" t="s">
        <v>2222</v>
      </c>
    </row>
    <row r="2837">
      <c r="A2837" s="19" t="s">
        <v>2223</v>
      </c>
    </row>
    <row r="2838">
      <c r="A2838" s="19" t="s">
        <v>2224</v>
      </c>
    </row>
    <row r="2839">
      <c r="A2839" s="19" t="s">
        <v>2225</v>
      </c>
    </row>
    <row r="2840">
      <c r="A2840" s="19" t="s">
        <v>2226</v>
      </c>
    </row>
    <row r="2841">
      <c r="A2841" s="19" t="s">
        <v>2227</v>
      </c>
    </row>
    <row r="2842">
      <c r="A2842" s="21"/>
    </row>
    <row r="2843">
      <c r="A2843" s="19" t="s">
        <v>2228</v>
      </c>
    </row>
    <row r="2844">
      <c r="A2844" s="19" t="s">
        <v>2229</v>
      </c>
    </row>
    <row r="2845">
      <c r="A2845" s="19" t="s">
        <v>2230</v>
      </c>
    </row>
    <row r="2846">
      <c r="A2846" s="19" t="s">
        <v>2231</v>
      </c>
    </row>
    <row r="2847">
      <c r="A2847" s="19" t="s">
        <v>2232</v>
      </c>
    </row>
    <row r="2848">
      <c r="A2848" s="19" t="s">
        <v>2233</v>
      </c>
    </row>
    <row r="2849">
      <c r="A2849" s="19" t="s">
        <v>2234</v>
      </c>
    </row>
    <row r="2850">
      <c r="A2850" s="19" t="s">
        <v>2235</v>
      </c>
    </row>
    <row r="2851">
      <c r="A2851" s="19" t="s">
        <v>2236</v>
      </c>
    </row>
    <row r="2852">
      <c r="A2852" s="19" t="s">
        <v>2237</v>
      </c>
    </row>
    <row r="2853">
      <c r="A2853" s="19" t="s">
        <v>2238</v>
      </c>
    </row>
    <row r="2854">
      <c r="A2854" s="19" t="s">
        <v>2239</v>
      </c>
    </row>
    <row r="2855">
      <c r="A2855" s="19" t="s">
        <v>2240</v>
      </c>
    </row>
    <row r="2856">
      <c r="A2856" s="19" t="s">
        <v>2241</v>
      </c>
    </row>
    <row r="2857">
      <c r="A2857" s="19" t="s">
        <v>2242</v>
      </c>
    </row>
    <row r="2858">
      <c r="A2858" s="19" t="s">
        <v>2243</v>
      </c>
    </row>
    <row r="2859">
      <c r="A2859" s="19" t="s">
        <v>2244</v>
      </c>
    </row>
    <row r="2860">
      <c r="A2860" s="19" t="s">
        <v>2245</v>
      </c>
    </row>
    <row r="2861">
      <c r="A2861" s="19" t="s">
        <v>2246</v>
      </c>
    </row>
    <row r="2862">
      <c r="A2862" s="19" t="s">
        <v>2247</v>
      </c>
    </row>
    <row r="2863">
      <c r="A2863" s="19" t="s">
        <v>2248</v>
      </c>
    </row>
    <row r="2864">
      <c r="A2864" s="19" t="s">
        <v>2249</v>
      </c>
    </row>
    <row r="2865">
      <c r="A2865" s="21"/>
    </row>
    <row r="2866">
      <c r="A2866" s="19" t="s">
        <v>2250</v>
      </c>
    </row>
    <row r="2867">
      <c r="A2867" s="19" t="s">
        <v>2251</v>
      </c>
    </row>
    <row r="2868">
      <c r="A2868" s="19" t="s">
        <v>2252</v>
      </c>
    </row>
    <row r="2869">
      <c r="A2869" s="19" t="s">
        <v>2253</v>
      </c>
    </row>
    <row r="2870">
      <c r="A2870" s="19" t="s">
        <v>2254</v>
      </c>
    </row>
    <row r="2871">
      <c r="A2871" s="21"/>
    </row>
    <row r="2872">
      <c r="A2872" s="19" t="s">
        <v>2255</v>
      </c>
    </row>
    <row r="2873">
      <c r="A2873" s="19" t="s">
        <v>2256</v>
      </c>
    </row>
    <row r="2874">
      <c r="A2874" s="19" t="s">
        <v>2257</v>
      </c>
    </row>
    <row r="2875">
      <c r="A2875" s="19" t="s">
        <v>2258</v>
      </c>
    </row>
    <row r="2876">
      <c r="A2876" s="19" t="s">
        <v>2259</v>
      </c>
    </row>
    <row r="2877">
      <c r="A2877" s="19" t="s">
        <v>2260</v>
      </c>
    </row>
    <row r="2878">
      <c r="A2878" s="19" t="s">
        <v>2261</v>
      </c>
    </row>
    <row r="2879">
      <c r="A2879" s="19" t="s">
        <v>2262</v>
      </c>
    </row>
    <row r="2880">
      <c r="A2880" s="19" t="s">
        <v>2263</v>
      </c>
    </row>
    <row r="2881">
      <c r="A2881" s="19" t="s">
        <v>2264</v>
      </c>
    </row>
    <row r="2882">
      <c r="A2882" s="19" t="s">
        <v>2265</v>
      </c>
    </row>
    <row r="2883">
      <c r="A2883" s="21"/>
    </row>
    <row r="2884">
      <c r="A2884" s="19" t="s">
        <v>2266</v>
      </c>
    </row>
    <row r="2885">
      <c r="A2885" s="19" t="s">
        <v>2267</v>
      </c>
    </row>
    <row r="2886">
      <c r="A2886" s="19" t="s">
        <v>2268</v>
      </c>
    </row>
    <row r="2887">
      <c r="A2887" s="19" t="s">
        <v>2269</v>
      </c>
    </row>
    <row r="2888">
      <c r="A2888" s="19" t="s">
        <v>2270</v>
      </c>
    </row>
    <row r="2889">
      <c r="A2889" s="19" t="s">
        <v>2271</v>
      </c>
    </row>
    <row r="2890">
      <c r="A2890" s="19" t="s">
        <v>2272</v>
      </c>
    </row>
    <row r="2891">
      <c r="A2891" s="19" t="s">
        <v>2273</v>
      </c>
    </row>
    <row r="2892">
      <c r="A2892" s="19" t="s">
        <v>2274</v>
      </c>
    </row>
    <row r="2893">
      <c r="A2893" s="19" t="s">
        <v>2275</v>
      </c>
    </row>
    <row r="2894">
      <c r="A2894" s="19" t="s">
        <v>2276</v>
      </c>
    </row>
    <row r="2895">
      <c r="A2895" s="19" t="s">
        <v>2277</v>
      </c>
    </row>
    <row r="2896">
      <c r="A2896" s="19" t="s">
        <v>2278</v>
      </c>
    </row>
    <row r="2897">
      <c r="A2897" s="21"/>
    </row>
    <row r="2898">
      <c r="A2898" s="19" t="s">
        <v>2279</v>
      </c>
    </row>
    <row r="2899">
      <c r="A2899" s="19" t="s">
        <v>2280</v>
      </c>
    </row>
    <row r="2900">
      <c r="A2900" s="19" t="s">
        <v>2281</v>
      </c>
    </row>
    <row r="2901">
      <c r="A2901" s="19" t="s">
        <v>2282</v>
      </c>
    </row>
    <row r="2902">
      <c r="A2902" s="19" t="s">
        <v>2283</v>
      </c>
    </row>
    <row r="2903">
      <c r="A2903" s="19" t="s">
        <v>2284</v>
      </c>
    </row>
    <row r="2904">
      <c r="A2904" s="19" t="s">
        <v>2285</v>
      </c>
    </row>
    <row r="2905">
      <c r="A2905" s="19" t="s">
        <v>2286</v>
      </c>
    </row>
    <row r="2906">
      <c r="A2906" s="19" t="s">
        <v>2287</v>
      </c>
    </row>
    <row r="2907">
      <c r="A2907" s="19" t="s">
        <v>2288</v>
      </c>
    </row>
    <row r="2908">
      <c r="A2908" s="19" t="s">
        <v>2289</v>
      </c>
    </row>
    <row r="2909">
      <c r="A2909" s="19" t="s">
        <v>2290</v>
      </c>
    </row>
    <row r="2910">
      <c r="A2910" s="19" t="s">
        <v>2291</v>
      </c>
    </row>
    <row r="2911">
      <c r="A2911" s="19" t="s">
        <v>2292</v>
      </c>
    </row>
    <row r="2912">
      <c r="A2912" s="19" t="s">
        <v>2293</v>
      </c>
    </row>
    <row r="2913">
      <c r="A2913" s="19" t="s">
        <v>2294</v>
      </c>
    </row>
    <row r="2914">
      <c r="A2914" s="19" t="s">
        <v>2295</v>
      </c>
    </row>
    <row r="2915">
      <c r="A2915" s="19" t="s">
        <v>2296</v>
      </c>
    </row>
    <row r="2916">
      <c r="A2916" s="19" t="s">
        <v>2297</v>
      </c>
    </row>
    <row r="2917">
      <c r="A2917" s="19" t="s">
        <v>2298</v>
      </c>
    </row>
    <row r="2918">
      <c r="A2918" s="19" t="s">
        <v>2298</v>
      </c>
    </row>
    <row r="2919">
      <c r="A2919" s="19" t="s">
        <v>2299</v>
      </c>
    </row>
    <row r="2920">
      <c r="A2920" s="19" t="s">
        <v>2300</v>
      </c>
    </row>
    <row r="2921">
      <c r="A2921" s="19" t="s">
        <v>2301</v>
      </c>
    </row>
    <row r="2922">
      <c r="A2922" s="19" t="s">
        <v>2302</v>
      </c>
    </row>
    <row r="2923">
      <c r="A2923" s="19" t="s">
        <v>2303</v>
      </c>
    </row>
    <row r="2924">
      <c r="A2924" s="19" t="s">
        <v>2304</v>
      </c>
    </row>
    <row r="2925">
      <c r="A2925" s="19" t="s">
        <v>2305</v>
      </c>
    </row>
    <row r="2926">
      <c r="A2926" s="19" t="s">
        <v>2306</v>
      </c>
    </row>
    <row r="2927">
      <c r="A2927" s="19" t="s">
        <v>2307</v>
      </c>
    </row>
    <row r="2928">
      <c r="A2928" s="19" t="s">
        <v>2308</v>
      </c>
    </row>
    <row r="2929">
      <c r="A2929" s="19" t="s">
        <v>2309</v>
      </c>
    </row>
    <row r="2930">
      <c r="A2930" s="19" t="s">
        <v>2310</v>
      </c>
    </row>
    <row r="2931">
      <c r="A2931" s="19" t="s">
        <v>2311</v>
      </c>
    </row>
    <row r="2932">
      <c r="A2932" s="19" t="s">
        <v>2312</v>
      </c>
    </row>
    <row r="2933">
      <c r="A2933" s="19" t="s">
        <v>2313</v>
      </c>
    </row>
    <row r="2934">
      <c r="A2934" s="19" t="s">
        <v>2314</v>
      </c>
    </row>
    <row r="2935">
      <c r="A2935" s="19" t="s">
        <v>2315</v>
      </c>
    </row>
    <row r="2936">
      <c r="A2936" s="19" t="s">
        <v>2316</v>
      </c>
    </row>
    <row r="2937">
      <c r="A2937" s="19" t="s">
        <v>2317</v>
      </c>
    </row>
    <row r="2938">
      <c r="A2938" s="19" t="s">
        <v>2318</v>
      </c>
    </row>
    <row r="2939">
      <c r="A2939" s="19" t="s">
        <v>1530</v>
      </c>
    </row>
    <row r="2940">
      <c r="A2940" s="19" t="s">
        <v>2319</v>
      </c>
    </row>
    <row r="2941">
      <c r="A2941" s="19" t="s">
        <v>2320</v>
      </c>
    </row>
    <row r="2942">
      <c r="A2942" s="19" t="s">
        <v>2321</v>
      </c>
    </row>
    <row r="2943">
      <c r="A2943" s="19" t="s">
        <v>2322</v>
      </c>
    </row>
    <row r="2944">
      <c r="A2944" s="19" t="s">
        <v>1390</v>
      </c>
    </row>
    <row r="2945">
      <c r="A2945" s="19" t="s">
        <v>2323</v>
      </c>
    </row>
    <row r="2946">
      <c r="A2946" s="19" t="s">
        <v>2324</v>
      </c>
    </row>
    <row r="2947">
      <c r="A2947" s="19" t="s">
        <v>2325</v>
      </c>
    </row>
    <row r="2948">
      <c r="A2948" s="19" t="s">
        <v>2326</v>
      </c>
    </row>
    <row r="2949">
      <c r="A2949" s="19" t="s">
        <v>2327</v>
      </c>
    </row>
    <row r="2950">
      <c r="A2950" s="19" t="s">
        <v>2328</v>
      </c>
    </row>
    <row r="2951">
      <c r="A2951" s="19" t="s">
        <v>2329</v>
      </c>
    </row>
    <row r="2952">
      <c r="A2952" s="19" t="s">
        <v>2330</v>
      </c>
    </row>
    <row r="2953">
      <c r="A2953" s="19" t="s">
        <v>2331</v>
      </c>
    </row>
    <row r="2954">
      <c r="A2954" s="19" t="s">
        <v>2332</v>
      </c>
    </row>
    <row r="2955">
      <c r="A2955" s="19" t="s">
        <v>2333</v>
      </c>
    </row>
    <row r="2956">
      <c r="A2956" s="19" t="s">
        <v>2334</v>
      </c>
    </row>
    <row r="2957">
      <c r="A2957" s="19" t="s">
        <v>2335</v>
      </c>
    </row>
    <row r="2958">
      <c r="A2958" s="19" t="s">
        <v>2336</v>
      </c>
    </row>
    <row r="2959">
      <c r="A2959" s="19" t="s">
        <v>1643</v>
      </c>
    </row>
    <row r="2960">
      <c r="A2960" s="19" t="s">
        <v>2337</v>
      </c>
    </row>
    <row r="2961">
      <c r="A2961" s="19" t="s">
        <v>2338</v>
      </c>
    </row>
    <row r="2962">
      <c r="A2962" s="19" t="s">
        <v>2339</v>
      </c>
    </row>
    <row r="2963">
      <c r="A2963" s="19" t="s">
        <v>2340</v>
      </c>
    </row>
    <row r="2964">
      <c r="A2964" s="19" t="s">
        <v>2341</v>
      </c>
    </row>
    <row r="2965">
      <c r="A2965" s="19" t="s">
        <v>2342</v>
      </c>
    </row>
    <row r="2966">
      <c r="A2966" s="19" t="s">
        <v>2343</v>
      </c>
    </row>
    <row r="2967">
      <c r="A2967" s="19" t="s">
        <v>1682</v>
      </c>
    </row>
    <row r="2968">
      <c r="A2968" s="19" t="s">
        <v>2344</v>
      </c>
    </row>
    <row r="2969">
      <c r="A2969" s="19" t="s">
        <v>2345</v>
      </c>
    </row>
    <row r="2970">
      <c r="A2970" s="19" t="s">
        <v>2346</v>
      </c>
    </row>
    <row r="2971">
      <c r="A2971" s="19" t="s">
        <v>2347</v>
      </c>
    </row>
    <row r="2972">
      <c r="A2972" s="19" t="s">
        <v>2348</v>
      </c>
    </row>
    <row r="2973">
      <c r="A2973" s="19" t="s">
        <v>2349</v>
      </c>
    </row>
    <row r="2974">
      <c r="A2974" s="19" t="s">
        <v>2350</v>
      </c>
    </row>
    <row r="2975">
      <c r="A2975" s="19" t="s">
        <v>2351</v>
      </c>
    </row>
    <row r="2976">
      <c r="A2976" s="19" t="s">
        <v>2352</v>
      </c>
    </row>
    <row r="2977">
      <c r="A2977" s="19" t="s">
        <v>1414</v>
      </c>
    </row>
    <row r="2978">
      <c r="A2978" s="19" t="s">
        <v>2353</v>
      </c>
    </row>
    <row r="2979">
      <c r="A2979" s="19" t="s">
        <v>1423</v>
      </c>
    </row>
    <row r="2980">
      <c r="A2980" s="19" t="s">
        <v>2354</v>
      </c>
    </row>
    <row r="2981">
      <c r="A2981" s="19" t="s">
        <v>2355</v>
      </c>
    </row>
    <row r="2982">
      <c r="A2982" s="19" t="s">
        <v>2356</v>
      </c>
    </row>
    <row r="2983">
      <c r="A2983" s="19" t="s">
        <v>2357</v>
      </c>
    </row>
    <row r="2984">
      <c r="A2984" s="19" t="s">
        <v>2358</v>
      </c>
    </row>
    <row r="2985">
      <c r="A2985" s="19" t="s">
        <v>2359</v>
      </c>
    </row>
    <row r="2986">
      <c r="A2986" s="19" t="s">
        <v>2360</v>
      </c>
    </row>
    <row r="2987">
      <c r="A2987" s="19" t="s">
        <v>2361</v>
      </c>
    </row>
    <row r="2988">
      <c r="A2988" s="19" t="s">
        <v>2362</v>
      </c>
    </row>
    <row r="2989">
      <c r="A2989" s="19" t="s">
        <v>2363</v>
      </c>
    </row>
    <row r="2990">
      <c r="A2990" s="19" t="s">
        <v>2364</v>
      </c>
    </row>
    <row r="2991">
      <c r="A2991" s="19" t="s">
        <v>2365</v>
      </c>
    </row>
    <row r="2992">
      <c r="A2992" s="19" t="s">
        <v>2366</v>
      </c>
    </row>
    <row r="2993">
      <c r="A2993" s="19" t="s">
        <v>2367</v>
      </c>
    </row>
    <row r="2994">
      <c r="A2994" s="19" t="s">
        <v>1439</v>
      </c>
    </row>
    <row r="2995">
      <c r="A2995" s="19" t="s">
        <v>2368</v>
      </c>
    </row>
    <row r="2996">
      <c r="A2996" s="19" t="s">
        <v>1457</v>
      </c>
    </row>
    <row r="2997">
      <c r="A2997" s="19" t="s">
        <v>1458</v>
      </c>
    </row>
    <row r="2998">
      <c r="A2998" s="19" t="s">
        <v>2369</v>
      </c>
    </row>
    <row r="2999">
      <c r="A2999" s="19" t="s">
        <v>2370</v>
      </c>
    </row>
    <row r="3000">
      <c r="A3000" s="19" t="s">
        <v>2371</v>
      </c>
    </row>
    <row r="3001">
      <c r="A3001" s="19" t="s">
        <v>1459</v>
      </c>
    </row>
    <row r="3002">
      <c r="A3002" s="19" t="s">
        <v>2372</v>
      </c>
    </row>
    <row r="3003">
      <c r="A3003" s="19" t="s">
        <v>2373</v>
      </c>
    </row>
    <row r="3004">
      <c r="A3004" s="19" t="s">
        <v>2374</v>
      </c>
    </row>
    <row r="3005">
      <c r="A3005" s="19" t="s">
        <v>1462</v>
      </c>
    </row>
    <row r="3006">
      <c r="A3006" s="19" t="s">
        <v>1463</v>
      </c>
    </row>
    <row r="3007">
      <c r="A3007" s="19" t="s">
        <v>1466</v>
      </c>
    </row>
    <row r="3008">
      <c r="A3008" s="19" t="s">
        <v>2375</v>
      </c>
    </row>
    <row r="3009">
      <c r="A3009" s="19" t="s">
        <v>2376</v>
      </c>
    </row>
    <row r="3010">
      <c r="A3010" s="19" t="s">
        <v>2377</v>
      </c>
    </row>
    <row r="3011">
      <c r="A3011" s="19" t="s">
        <v>2378</v>
      </c>
    </row>
    <row r="3012">
      <c r="A3012" s="19" t="s">
        <v>2379</v>
      </c>
    </row>
    <row r="3013">
      <c r="A3013" s="19" t="s">
        <v>1694</v>
      </c>
    </row>
    <row r="3014">
      <c r="A3014" s="19" t="s">
        <v>2380</v>
      </c>
    </row>
    <row r="3015">
      <c r="A3015" s="19" t="s">
        <v>2381</v>
      </c>
    </row>
    <row r="3016">
      <c r="A3016" s="19" t="s">
        <v>2382</v>
      </c>
    </row>
    <row r="3017">
      <c r="A3017" s="19" t="s">
        <v>2383</v>
      </c>
    </row>
    <row r="3018">
      <c r="A3018" s="19" t="s">
        <v>1486</v>
      </c>
    </row>
    <row r="3019">
      <c r="A3019" s="19" t="s">
        <v>1423</v>
      </c>
    </row>
    <row r="3020">
      <c r="A3020" s="19" t="s">
        <v>2384</v>
      </c>
    </row>
    <row r="3021">
      <c r="A3021" s="19" t="s">
        <v>1508</v>
      </c>
    </row>
    <row r="3022">
      <c r="A3022" s="19" t="s">
        <v>2385</v>
      </c>
    </row>
    <row r="3023">
      <c r="A3023" s="19" t="s">
        <v>2386</v>
      </c>
    </row>
    <row r="3024">
      <c r="A3024" s="19" t="s">
        <v>1486</v>
      </c>
    </row>
    <row r="3025">
      <c r="A3025" s="19" t="s">
        <v>2387</v>
      </c>
    </row>
    <row r="3026">
      <c r="A3026" s="19" t="s">
        <v>2388</v>
      </c>
    </row>
    <row r="3027">
      <c r="A3027" s="19" t="s">
        <v>2389</v>
      </c>
    </row>
    <row r="3028">
      <c r="A3028" s="19" t="s">
        <v>1668</v>
      </c>
    </row>
    <row r="3029">
      <c r="A3029" s="19" t="s">
        <v>2390</v>
      </c>
    </row>
    <row r="3030">
      <c r="A3030" s="19" t="s">
        <v>1528</v>
      </c>
    </row>
    <row r="3031">
      <c r="A3031" s="19" t="s">
        <v>2391</v>
      </c>
    </row>
    <row r="3032">
      <c r="A3032" s="19" t="s">
        <v>2392</v>
      </c>
    </row>
    <row r="3033">
      <c r="A3033" s="19" t="s">
        <v>2393</v>
      </c>
    </row>
    <row r="3034">
      <c r="A3034" s="19" t="s">
        <v>2394</v>
      </c>
    </row>
    <row r="3035">
      <c r="A3035" s="19" t="s">
        <v>2395</v>
      </c>
    </row>
    <row r="3036">
      <c r="A3036" s="19" t="s">
        <v>2396</v>
      </c>
    </row>
    <row r="3037">
      <c r="A3037" s="19" t="s">
        <v>2397</v>
      </c>
    </row>
    <row r="3038">
      <c r="A3038" s="19" t="s">
        <v>2398</v>
      </c>
    </row>
    <row r="3039">
      <c r="A3039" s="19" t="s">
        <v>2399</v>
      </c>
    </row>
    <row r="3040">
      <c r="A3040" s="19" t="s">
        <v>2400</v>
      </c>
    </row>
    <row r="3041">
      <c r="A3041" s="19" t="s">
        <v>2401</v>
      </c>
    </row>
    <row r="3042">
      <c r="A3042" s="19" t="s">
        <v>2402</v>
      </c>
    </row>
    <row r="3043">
      <c r="A3043" s="19" t="s">
        <v>2403</v>
      </c>
    </row>
    <row r="3044">
      <c r="A3044" s="19" t="s">
        <v>2404</v>
      </c>
    </row>
    <row r="3045">
      <c r="A3045" s="19" t="s">
        <v>2405</v>
      </c>
    </row>
    <row r="3046">
      <c r="A3046" s="19" t="s">
        <v>2406</v>
      </c>
    </row>
    <row r="3047">
      <c r="A3047" s="19" t="s">
        <v>2407</v>
      </c>
    </row>
    <row r="3048">
      <c r="A3048" s="19" t="s">
        <v>2408</v>
      </c>
    </row>
    <row r="3049">
      <c r="A3049" s="19" t="s">
        <v>1390</v>
      </c>
    </row>
    <row r="3050">
      <c r="A3050" s="19" t="s">
        <v>2409</v>
      </c>
    </row>
    <row r="3051">
      <c r="A3051" s="19" t="s">
        <v>2410</v>
      </c>
    </row>
    <row r="3052">
      <c r="A3052" s="19" t="s">
        <v>2411</v>
      </c>
    </row>
    <row r="3053">
      <c r="A3053" s="19" t="s">
        <v>2412</v>
      </c>
    </row>
    <row r="3054">
      <c r="A3054" s="19" t="s">
        <v>2413</v>
      </c>
    </row>
    <row r="3055">
      <c r="A3055" s="19" t="s">
        <v>2414</v>
      </c>
    </row>
    <row r="3056">
      <c r="A3056" s="19" t="s">
        <v>2415</v>
      </c>
    </row>
    <row r="3057">
      <c r="A3057" s="19" t="s">
        <v>2416</v>
      </c>
    </row>
    <row r="3058">
      <c r="A3058" s="19" t="s">
        <v>2417</v>
      </c>
    </row>
    <row r="3059">
      <c r="A3059" s="19" t="s">
        <v>2418</v>
      </c>
    </row>
    <row r="3060">
      <c r="A3060" s="19" t="s">
        <v>2419</v>
      </c>
    </row>
    <row r="3061">
      <c r="A3061" s="19" t="s">
        <v>2420</v>
      </c>
    </row>
    <row r="3062">
      <c r="A3062" s="19" t="s">
        <v>1628</v>
      </c>
    </row>
    <row r="3063">
      <c r="A3063" s="19" t="s">
        <v>2421</v>
      </c>
    </row>
    <row r="3064">
      <c r="A3064" s="19" t="s">
        <v>2422</v>
      </c>
    </row>
    <row r="3065">
      <c r="A3065" s="19" t="s">
        <v>2423</v>
      </c>
    </row>
    <row r="3066">
      <c r="A3066" s="19" t="s">
        <v>1551</v>
      </c>
    </row>
    <row r="3067">
      <c r="A3067" s="19" t="s">
        <v>1462</v>
      </c>
    </row>
    <row r="3068">
      <c r="A3068" s="19" t="s">
        <v>2424</v>
      </c>
    </row>
    <row r="3069">
      <c r="A3069" s="19" t="s">
        <v>2425</v>
      </c>
    </row>
    <row r="3070">
      <c r="A3070" s="19" t="s">
        <v>2426</v>
      </c>
    </row>
    <row r="3071">
      <c r="A3071" s="19" t="s">
        <v>2427</v>
      </c>
    </row>
    <row r="3072">
      <c r="A3072" s="19" t="s">
        <v>2428</v>
      </c>
    </row>
    <row r="3073">
      <c r="A3073" s="19" t="s">
        <v>1458</v>
      </c>
    </row>
    <row r="3074">
      <c r="A3074" s="19" t="s">
        <v>2429</v>
      </c>
    </row>
    <row r="3075">
      <c r="A3075" s="19" t="s">
        <v>2430</v>
      </c>
    </row>
    <row r="3076">
      <c r="A3076" s="19" t="s">
        <v>2431</v>
      </c>
    </row>
    <row r="3077">
      <c r="A3077" s="19" t="s">
        <v>2432</v>
      </c>
    </row>
    <row r="3078">
      <c r="A3078" s="19" t="s">
        <v>2433</v>
      </c>
    </row>
    <row r="3079">
      <c r="A3079" s="19" t="s">
        <v>2434</v>
      </c>
    </row>
    <row r="3080">
      <c r="A3080" s="19" t="s">
        <v>2435</v>
      </c>
    </row>
    <row r="3081">
      <c r="A3081" s="19" t="s">
        <v>1571</v>
      </c>
    </row>
    <row r="3082">
      <c r="A3082" s="19" t="s">
        <v>1459</v>
      </c>
    </row>
    <row r="3083">
      <c r="A3083" s="19" t="s">
        <v>2436</v>
      </c>
    </row>
    <row r="3084">
      <c r="A3084" s="19" t="s">
        <v>1394</v>
      </c>
    </row>
    <row r="3085">
      <c r="A3085" s="19" t="s">
        <v>1396</v>
      </c>
    </row>
    <row r="3086">
      <c r="A3086" s="19" t="s">
        <v>1398</v>
      </c>
    </row>
    <row r="3087">
      <c r="A3087" s="19" t="s">
        <v>2437</v>
      </c>
    </row>
    <row r="3088">
      <c r="A3088" s="19" t="s">
        <v>2438</v>
      </c>
    </row>
    <row r="3089">
      <c r="A3089" s="19" t="s">
        <v>1402</v>
      </c>
    </row>
    <row r="3090">
      <c r="A3090" s="19" t="s">
        <v>1574</v>
      </c>
    </row>
    <row r="3091">
      <c r="A3091" s="19" t="s">
        <v>2439</v>
      </c>
    </row>
    <row r="3092">
      <c r="A3092" s="19" t="s">
        <v>2440</v>
      </c>
    </row>
    <row r="3093">
      <c r="A3093" s="19" t="s">
        <v>1403</v>
      </c>
    </row>
    <row r="3094">
      <c r="A3094" s="19" t="s">
        <v>1404</v>
      </c>
    </row>
    <row r="3095">
      <c r="A3095" s="19" t="s">
        <v>2441</v>
      </c>
    </row>
    <row r="3096">
      <c r="A3096" s="19" t="s">
        <v>2442</v>
      </c>
    </row>
    <row r="3097">
      <c r="A3097" s="19" t="s">
        <v>2443</v>
      </c>
    </row>
    <row r="3098">
      <c r="A3098" s="19" t="s">
        <v>2443</v>
      </c>
    </row>
    <row r="3099">
      <c r="A3099" s="19" t="s">
        <v>2444</v>
      </c>
    </row>
    <row r="3100">
      <c r="A3100" s="19" t="s">
        <v>2445</v>
      </c>
    </row>
    <row r="3101">
      <c r="A3101" s="19" t="s">
        <v>2446</v>
      </c>
    </row>
    <row r="3102">
      <c r="A3102" s="19" t="s">
        <v>2447</v>
      </c>
    </row>
    <row r="3103">
      <c r="A3103" s="19" t="s">
        <v>2448</v>
      </c>
    </row>
    <row r="3104">
      <c r="A3104" s="19" t="s">
        <v>2449</v>
      </c>
    </row>
    <row r="3105">
      <c r="A3105" s="19" t="s">
        <v>2450</v>
      </c>
    </row>
    <row r="3106">
      <c r="A3106" s="19" t="s">
        <v>2451</v>
      </c>
    </row>
    <row r="3107">
      <c r="A3107" s="19" t="s">
        <v>1602</v>
      </c>
    </row>
    <row r="3108">
      <c r="A3108" s="19" t="s">
        <v>2452</v>
      </c>
    </row>
    <row r="3109">
      <c r="A3109" s="19" t="s">
        <v>2453</v>
      </c>
    </row>
    <row r="3110">
      <c r="A3110" s="19" t="s">
        <v>2454</v>
      </c>
    </row>
    <row r="3111">
      <c r="A3111" s="19" t="s">
        <v>2455</v>
      </c>
    </row>
    <row r="3112">
      <c r="A3112" s="19" t="s">
        <v>2456</v>
      </c>
    </row>
    <row r="3113">
      <c r="A3113" s="19" t="s">
        <v>2457</v>
      </c>
    </row>
    <row r="3114">
      <c r="A3114" s="19" t="s">
        <v>2458</v>
      </c>
    </row>
    <row r="3115">
      <c r="A3115" s="19" t="s">
        <v>2383</v>
      </c>
    </row>
    <row r="3116">
      <c r="A3116" s="19" t="s">
        <v>2459</v>
      </c>
    </row>
    <row r="3117">
      <c r="A3117" s="19" t="s">
        <v>2460</v>
      </c>
    </row>
    <row r="3118">
      <c r="A3118" s="19" t="s">
        <v>1643</v>
      </c>
    </row>
    <row r="3119">
      <c r="A3119" s="19" t="s">
        <v>2461</v>
      </c>
    </row>
    <row r="3120">
      <c r="A3120" s="19" t="s">
        <v>2462</v>
      </c>
    </row>
    <row r="3121">
      <c r="A3121" s="19" t="s">
        <v>2463</v>
      </c>
    </row>
    <row r="3122">
      <c r="A3122" s="19" t="s">
        <v>2464</v>
      </c>
    </row>
    <row r="3123">
      <c r="A3123" s="19" t="s">
        <v>2465</v>
      </c>
    </row>
    <row r="3124">
      <c r="A3124" s="19" t="s">
        <v>2466</v>
      </c>
    </row>
    <row r="3125">
      <c r="A3125" s="19" t="s">
        <v>2467</v>
      </c>
    </row>
    <row r="3126">
      <c r="A3126" s="19" t="s">
        <v>2468</v>
      </c>
    </row>
    <row r="3127">
      <c r="A3127" s="19" t="s">
        <v>2469</v>
      </c>
    </row>
    <row r="3128">
      <c r="A3128" s="19" t="s">
        <v>1411</v>
      </c>
    </row>
    <row r="3129">
      <c r="A3129" s="19" t="s">
        <v>1414</v>
      </c>
    </row>
    <row r="3130">
      <c r="A3130" s="19" t="s">
        <v>1420</v>
      </c>
    </row>
    <row r="3131">
      <c r="A3131" s="19" t="s">
        <v>1421</v>
      </c>
    </row>
    <row r="3132">
      <c r="A3132" s="19" t="s">
        <v>1422</v>
      </c>
    </row>
    <row r="3133">
      <c r="A3133" s="19" t="s">
        <v>2470</v>
      </c>
    </row>
    <row r="3134">
      <c r="A3134" s="19" t="s">
        <v>1423</v>
      </c>
    </row>
    <row r="3135">
      <c r="A3135" s="19" t="s">
        <v>2471</v>
      </c>
    </row>
    <row r="3136">
      <c r="A3136" s="19" t="s">
        <v>2472</v>
      </c>
    </row>
    <row r="3137">
      <c r="A3137" s="19" t="s">
        <v>1426</v>
      </c>
    </row>
    <row r="3138">
      <c r="A3138" s="19" t="s">
        <v>1427</v>
      </c>
    </row>
    <row r="3139">
      <c r="A3139" s="19" t="s">
        <v>1429</v>
      </c>
    </row>
    <row r="3140">
      <c r="A3140" s="19" t="s">
        <v>2473</v>
      </c>
    </row>
    <row r="3141">
      <c r="A3141" s="19" t="s">
        <v>2474</v>
      </c>
    </row>
    <row r="3142">
      <c r="A3142" s="19" t="s">
        <v>1590</v>
      </c>
    </row>
    <row r="3143">
      <c r="A3143" s="19" t="s">
        <v>2475</v>
      </c>
    </row>
    <row r="3144">
      <c r="A3144" s="19" t="s">
        <v>2476</v>
      </c>
    </row>
    <row r="3145">
      <c r="A3145" s="19" t="s">
        <v>2477</v>
      </c>
    </row>
    <row r="3146">
      <c r="A3146" s="19" t="s">
        <v>2478</v>
      </c>
    </row>
    <row r="3147">
      <c r="A3147" s="19" t="s">
        <v>1435</v>
      </c>
    </row>
    <row r="3148">
      <c r="A3148" s="19" t="s">
        <v>2479</v>
      </c>
    </row>
    <row r="3149">
      <c r="A3149" s="19" t="s">
        <v>2480</v>
      </c>
    </row>
    <row r="3150">
      <c r="A3150" s="19" t="s">
        <v>2481</v>
      </c>
    </row>
    <row r="3151">
      <c r="A3151" s="19" t="s">
        <v>2482</v>
      </c>
    </row>
    <row r="3152">
      <c r="A3152" s="19" t="s">
        <v>2483</v>
      </c>
    </row>
    <row r="3153">
      <c r="A3153" s="19" t="s">
        <v>1424</v>
      </c>
    </row>
    <row r="3154">
      <c r="A3154" s="19" t="s">
        <v>1442</v>
      </c>
    </row>
    <row r="3155">
      <c r="A3155" s="19" t="s">
        <v>1441</v>
      </c>
    </row>
    <row r="3156">
      <c r="A3156" s="19" t="s">
        <v>1444</v>
      </c>
    </row>
    <row r="3157">
      <c r="A3157" s="19" t="s">
        <v>1446</v>
      </c>
    </row>
    <row r="3158">
      <c r="A3158" s="19" t="s">
        <v>1447</v>
      </c>
    </row>
    <row r="3159">
      <c r="A3159" s="19" t="s">
        <v>1445</v>
      </c>
    </row>
    <row r="3160">
      <c r="A3160" s="19" t="s">
        <v>1450</v>
      </c>
    </row>
    <row r="3161">
      <c r="A3161" s="19" t="s">
        <v>1449</v>
      </c>
    </row>
    <row r="3162">
      <c r="A3162" s="19" t="s">
        <v>1452</v>
      </c>
    </row>
    <row r="3163">
      <c r="A3163" s="19" t="s">
        <v>1486</v>
      </c>
    </row>
    <row r="3164">
      <c r="A3164" s="19" t="s">
        <v>1456</v>
      </c>
    </row>
    <row r="3165">
      <c r="A3165" s="19" t="s">
        <v>2484</v>
      </c>
    </row>
    <row r="3166">
      <c r="A3166" s="19" t="s">
        <v>2485</v>
      </c>
    </row>
    <row r="3167">
      <c r="A3167" s="19" t="s">
        <v>1463</v>
      </c>
    </row>
    <row r="3168">
      <c r="A3168" s="19" t="s">
        <v>2486</v>
      </c>
    </row>
    <row r="3169">
      <c r="A3169" s="19" t="s">
        <v>2487</v>
      </c>
    </row>
    <row r="3170">
      <c r="A3170" s="19" t="s">
        <v>2488</v>
      </c>
    </row>
    <row r="3171">
      <c r="A3171" s="19" t="s">
        <v>2489</v>
      </c>
    </row>
    <row r="3172">
      <c r="A3172" s="19" t="s">
        <v>2490</v>
      </c>
    </row>
    <row r="3173">
      <c r="A3173" s="19" t="s">
        <v>2491</v>
      </c>
    </row>
    <row r="3174">
      <c r="A3174" s="19" t="s">
        <v>1466</v>
      </c>
    </row>
    <row r="3175">
      <c r="A3175" s="19" t="s">
        <v>2492</v>
      </c>
    </row>
    <row r="3176">
      <c r="A3176" s="19" t="s">
        <v>2493</v>
      </c>
    </row>
    <row r="3177">
      <c r="A3177" s="19" t="s">
        <v>2494</v>
      </c>
    </row>
    <row r="3178">
      <c r="A3178" s="19" t="s">
        <v>2495</v>
      </c>
    </row>
    <row r="3179">
      <c r="A3179" s="19" t="s">
        <v>1471</v>
      </c>
    </row>
    <row r="3180">
      <c r="A3180" s="19" t="s">
        <v>1474</v>
      </c>
    </row>
    <row r="3181">
      <c r="A3181" s="19" t="s">
        <v>1475</v>
      </c>
    </row>
    <row r="3182">
      <c r="A3182" s="19" t="s">
        <v>1473</v>
      </c>
    </row>
    <row r="3183">
      <c r="A3183" s="19" t="s">
        <v>1476</v>
      </c>
    </row>
    <row r="3184">
      <c r="A3184" s="19" t="s">
        <v>2496</v>
      </c>
    </row>
    <row r="3185">
      <c r="A3185" s="19" t="s">
        <v>2497</v>
      </c>
    </row>
    <row r="3186">
      <c r="A3186" s="19" t="s">
        <v>2498</v>
      </c>
    </row>
    <row r="3187">
      <c r="A3187" s="19" t="s">
        <v>1484</v>
      </c>
    </row>
    <row r="3188">
      <c r="A3188" s="19" t="s">
        <v>1487</v>
      </c>
    </row>
    <row r="3189">
      <c r="A3189" s="19" t="s">
        <v>1489</v>
      </c>
    </row>
    <row r="3190">
      <c r="A3190" s="19" t="s">
        <v>1490</v>
      </c>
    </row>
    <row r="3191">
      <c r="A3191" s="19" t="s">
        <v>1494</v>
      </c>
    </row>
    <row r="3192">
      <c r="A3192" s="19" t="s">
        <v>1493</v>
      </c>
    </row>
    <row r="3193">
      <c r="A3193" s="19" t="s">
        <v>1495</v>
      </c>
    </row>
    <row r="3194">
      <c r="A3194" s="19" t="s">
        <v>1496</v>
      </c>
    </row>
    <row r="3195">
      <c r="A3195" s="19" t="s">
        <v>1497</v>
      </c>
    </row>
    <row r="3196">
      <c r="A3196" s="19" t="s">
        <v>1500</v>
      </c>
    </row>
    <row r="3197">
      <c r="A3197" s="19" t="s">
        <v>1501</v>
      </c>
    </row>
    <row r="3198">
      <c r="A3198" s="19" t="s">
        <v>1502</v>
      </c>
    </row>
    <row r="3199">
      <c r="A3199" s="19" t="s">
        <v>1503</v>
      </c>
    </row>
    <row r="3200">
      <c r="A3200" s="19" t="s">
        <v>1506</v>
      </c>
    </row>
    <row r="3201">
      <c r="A3201" s="19" t="s">
        <v>1505</v>
      </c>
    </row>
    <row r="3202">
      <c r="A3202" s="19" t="s">
        <v>2499</v>
      </c>
    </row>
    <row r="3203">
      <c r="A3203" s="19" t="s">
        <v>2500</v>
      </c>
    </row>
    <row r="3204">
      <c r="A3204" s="19" t="s">
        <v>2501</v>
      </c>
    </row>
    <row r="3205">
      <c r="A3205" s="19" t="s">
        <v>2502</v>
      </c>
    </row>
    <row r="3206">
      <c r="A3206" s="19" t="s">
        <v>2503</v>
      </c>
    </row>
    <row r="3207">
      <c r="A3207" s="19" t="s">
        <v>1508</v>
      </c>
    </row>
    <row r="3208">
      <c r="A3208" s="19" t="s">
        <v>2504</v>
      </c>
    </row>
    <row r="3209">
      <c r="A3209" s="19" t="s">
        <v>2336</v>
      </c>
    </row>
    <row r="3210">
      <c r="A3210" s="19" t="s">
        <v>1513</v>
      </c>
    </row>
    <row r="3211">
      <c r="A3211" s="19" t="s">
        <v>1514</v>
      </c>
    </row>
    <row r="3212">
      <c r="A3212" s="19" t="s">
        <v>1516</v>
      </c>
    </row>
    <row r="3213">
      <c r="A3213" s="19" t="s">
        <v>2505</v>
      </c>
    </row>
    <row r="3214">
      <c r="A3214" s="19" t="s">
        <v>2506</v>
      </c>
    </row>
    <row r="3215">
      <c r="A3215" s="19" t="s">
        <v>2507</v>
      </c>
    </row>
    <row r="3216">
      <c r="A3216" s="19" t="s">
        <v>1520</v>
      </c>
    </row>
    <row r="3217">
      <c r="A3217" s="19" t="s">
        <v>1522</v>
      </c>
    </row>
    <row r="3218">
      <c r="A3218" s="19" t="s">
        <v>1524</v>
      </c>
    </row>
    <row r="3219">
      <c r="A3219" s="19" t="s">
        <v>1523</v>
      </c>
    </row>
    <row r="3220">
      <c r="A3220" s="19" t="s">
        <v>1530</v>
      </c>
    </row>
    <row r="3221">
      <c r="A3221" s="19" t="s">
        <v>1531</v>
      </c>
    </row>
    <row r="3222">
      <c r="A3222" s="19" t="s">
        <v>2508</v>
      </c>
    </row>
    <row r="3223">
      <c r="A3223" s="19" t="s">
        <v>2509</v>
      </c>
    </row>
    <row r="3224">
      <c r="A3224" s="19" t="s">
        <v>2510</v>
      </c>
    </row>
    <row r="3225">
      <c r="A3225" s="19" t="s">
        <v>2511</v>
      </c>
    </row>
    <row r="3226">
      <c r="A3226" s="19" t="s">
        <v>2512</v>
      </c>
    </row>
    <row r="3227">
      <c r="A3227" s="19" t="s">
        <v>1537</v>
      </c>
    </row>
    <row r="3228">
      <c r="A3228" s="19" t="s">
        <v>1457</v>
      </c>
    </row>
    <row r="3229">
      <c r="A3229" s="19" t="s">
        <v>2513</v>
      </c>
    </row>
    <row r="3230">
      <c r="A3230" s="19" t="s">
        <v>1446</v>
      </c>
    </row>
    <row r="3231">
      <c r="A3231" s="19" t="s">
        <v>1540</v>
      </c>
    </row>
    <row r="3232">
      <c r="A3232" s="19" t="s">
        <v>1542</v>
      </c>
    </row>
    <row r="3233">
      <c r="A3233" s="19" t="s">
        <v>1543</v>
      </c>
    </row>
    <row r="3234">
      <c r="A3234" s="19" t="s">
        <v>2514</v>
      </c>
    </row>
    <row r="3235">
      <c r="A3235" s="19" t="s">
        <v>2515</v>
      </c>
    </row>
    <row r="3236">
      <c r="A3236" s="19" t="s">
        <v>2516</v>
      </c>
    </row>
    <row r="3237">
      <c r="A3237" s="19" t="s">
        <v>2517</v>
      </c>
    </row>
    <row r="3238">
      <c r="A3238" s="19" t="s">
        <v>2518</v>
      </c>
    </row>
    <row r="3239">
      <c r="A3239" s="19" t="s">
        <v>2519</v>
      </c>
    </row>
    <row r="3240">
      <c r="A3240" s="19" t="s">
        <v>2520</v>
      </c>
    </row>
    <row r="3241">
      <c r="A3241" s="19" t="s">
        <v>2521</v>
      </c>
    </row>
    <row r="3242">
      <c r="A3242" s="19" t="s">
        <v>2522</v>
      </c>
    </row>
    <row r="3243">
      <c r="A3243" s="19" t="s">
        <v>1361</v>
      </c>
    </row>
    <row r="3244">
      <c r="A3244" s="19" t="s">
        <v>2523</v>
      </c>
    </row>
    <row r="3245">
      <c r="A3245" s="19" t="s">
        <v>2524</v>
      </c>
    </row>
    <row r="3246">
      <c r="A3246" s="19" t="s">
        <v>2525</v>
      </c>
    </row>
    <row r="3247">
      <c r="A3247" s="19" t="s">
        <v>2526</v>
      </c>
    </row>
    <row r="3248">
      <c r="A3248" s="19" t="s">
        <v>2527</v>
      </c>
    </row>
    <row r="3249">
      <c r="A3249" s="19" t="s">
        <v>2528</v>
      </c>
    </row>
    <row r="3250">
      <c r="A3250" s="19" t="s">
        <v>2529</v>
      </c>
    </row>
    <row r="3251">
      <c r="A3251" s="19" t="s">
        <v>2530</v>
      </c>
    </row>
    <row r="3252">
      <c r="A3252" s="19" t="s">
        <v>2531</v>
      </c>
    </row>
    <row r="3253">
      <c r="A3253" s="19" t="s">
        <v>2532</v>
      </c>
    </row>
    <row r="3254">
      <c r="A3254" s="19" t="s">
        <v>2533</v>
      </c>
    </row>
    <row r="3255">
      <c r="A3255" s="19" t="s">
        <v>2534</v>
      </c>
    </row>
    <row r="3256">
      <c r="A3256" s="19" t="s">
        <v>2535</v>
      </c>
    </row>
    <row r="3257">
      <c r="A3257" s="19" t="s">
        <v>2536</v>
      </c>
    </row>
    <row r="3258">
      <c r="A3258" s="19" t="s">
        <v>2537</v>
      </c>
    </row>
    <row r="3259">
      <c r="A3259" s="19" t="s">
        <v>2538</v>
      </c>
    </row>
    <row r="3260">
      <c r="A3260" s="21"/>
    </row>
    <row r="3261">
      <c r="A3261" s="19" t="s">
        <v>2539</v>
      </c>
    </row>
    <row r="3262">
      <c r="A3262" s="19" t="s">
        <v>2540</v>
      </c>
    </row>
    <row r="3263">
      <c r="A3263" s="19" t="s">
        <v>2541</v>
      </c>
    </row>
    <row r="3264">
      <c r="A3264" s="19" t="s">
        <v>2542</v>
      </c>
    </row>
    <row r="3265">
      <c r="A3265" s="19" t="s">
        <v>2543</v>
      </c>
    </row>
    <row r="3266">
      <c r="A3266" s="19" t="s">
        <v>2544</v>
      </c>
    </row>
    <row r="3267">
      <c r="A3267" s="19" t="s">
        <v>2545</v>
      </c>
    </row>
    <row r="3268">
      <c r="A3268" s="19" t="s">
        <v>2546</v>
      </c>
    </row>
    <row r="3269">
      <c r="A3269" s="19" t="s">
        <v>2547</v>
      </c>
    </row>
    <row r="3270">
      <c r="A3270" s="19" t="s">
        <v>2548</v>
      </c>
    </row>
    <row r="3271">
      <c r="A3271" s="19" t="s">
        <v>2549</v>
      </c>
    </row>
    <row r="3272">
      <c r="A3272" s="19" t="s">
        <v>2550</v>
      </c>
    </row>
    <row r="3273">
      <c r="A3273" s="19" t="s">
        <v>386</v>
      </c>
    </row>
    <row r="3274">
      <c r="A3274" s="19" t="s">
        <v>2551</v>
      </c>
    </row>
    <row r="3275">
      <c r="A3275" s="19" t="s">
        <v>2552</v>
      </c>
    </row>
    <row r="3276">
      <c r="A3276" s="19" t="s">
        <v>2553</v>
      </c>
    </row>
    <row r="3277">
      <c r="A3277" s="19" t="s">
        <v>2554</v>
      </c>
    </row>
    <row r="3278">
      <c r="A3278" s="19" t="s">
        <v>2555</v>
      </c>
    </row>
    <row r="3279">
      <c r="A3279" s="19" t="s">
        <v>2556</v>
      </c>
    </row>
    <row r="3280">
      <c r="A3280" s="19" t="s">
        <v>2557</v>
      </c>
    </row>
    <row r="3281">
      <c r="A3281" s="19" t="s">
        <v>2558</v>
      </c>
    </row>
    <row r="3282">
      <c r="A3282" s="19" t="s">
        <v>2559</v>
      </c>
    </row>
    <row r="3283">
      <c r="A3283" s="19" t="s">
        <v>2560</v>
      </c>
    </row>
    <row r="3284">
      <c r="A3284" s="19" t="s">
        <v>2561</v>
      </c>
    </row>
    <row r="3285">
      <c r="A3285" s="19" t="s">
        <v>2562</v>
      </c>
    </row>
    <row r="3286">
      <c r="A3286" s="19" t="s">
        <v>2563</v>
      </c>
    </row>
    <row r="3287">
      <c r="A3287" s="19" t="s">
        <v>2564</v>
      </c>
    </row>
    <row r="3288">
      <c r="A3288" s="19" t="s">
        <v>2565</v>
      </c>
    </row>
    <row r="3289">
      <c r="A3289" s="19" t="s">
        <v>2566</v>
      </c>
    </row>
    <row r="3290">
      <c r="A3290" s="19" t="s">
        <v>2567</v>
      </c>
    </row>
    <row r="3291">
      <c r="A3291" s="19" t="s">
        <v>2568</v>
      </c>
    </row>
    <row r="3292">
      <c r="A3292" s="19" t="s">
        <v>582</v>
      </c>
    </row>
    <row r="3293">
      <c r="A3293" s="19" t="s">
        <v>2569</v>
      </c>
    </row>
    <row r="3294">
      <c r="A3294" s="19" t="s">
        <v>2570</v>
      </c>
    </row>
    <row r="3295">
      <c r="A3295" s="19" t="s">
        <v>2571</v>
      </c>
    </row>
    <row r="3296">
      <c r="A3296" s="19" t="s">
        <v>2572</v>
      </c>
    </row>
    <row r="3297">
      <c r="A3297" s="19" t="s">
        <v>2573</v>
      </c>
    </row>
    <row r="3298">
      <c r="A3298" s="19" t="s">
        <v>2574</v>
      </c>
    </row>
    <row r="3299">
      <c r="A3299" s="19" t="s">
        <v>2575</v>
      </c>
    </row>
    <row r="3300">
      <c r="A3300" s="19" t="s">
        <v>2576</v>
      </c>
    </row>
    <row r="3301">
      <c r="A3301" s="19" t="s">
        <v>2577</v>
      </c>
    </row>
    <row r="3302">
      <c r="A3302" s="19" t="s">
        <v>2578</v>
      </c>
    </row>
    <row r="3303">
      <c r="A3303" s="19" t="s">
        <v>2579</v>
      </c>
    </row>
    <row r="3304">
      <c r="A3304" s="19" t="s">
        <v>2580</v>
      </c>
    </row>
    <row r="3305">
      <c r="A3305" s="19" t="s">
        <v>2581</v>
      </c>
    </row>
    <row r="3306">
      <c r="A3306" s="19" t="s">
        <v>2582</v>
      </c>
    </row>
    <row r="3307">
      <c r="A3307" s="19" t="s">
        <v>2583</v>
      </c>
    </row>
    <row r="3308">
      <c r="A3308" s="19" t="s">
        <v>2584</v>
      </c>
    </row>
    <row r="3309">
      <c r="A3309" s="19" t="s">
        <v>2585</v>
      </c>
    </row>
    <row r="3310">
      <c r="A3310" s="19" t="s">
        <v>2586</v>
      </c>
    </row>
    <row r="3311">
      <c r="A3311" s="19" t="s">
        <v>2587</v>
      </c>
    </row>
    <row r="3312">
      <c r="A3312" s="19" t="s">
        <v>2588</v>
      </c>
    </row>
    <row r="3313">
      <c r="A3313" s="19" t="s">
        <v>2589</v>
      </c>
    </row>
    <row r="3314">
      <c r="A3314" s="19" t="s">
        <v>2590</v>
      </c>
    </row>
    <row r="3315">
      <c r="A3315" s="19" t="s">
        <v>2591</v>
      </c>
    </row>
    <row r="3316">
      <c r="A3316" s="19" t="s">
        <v>2592</v>
      </c>
    </row>
    <row r="3317">
      <c r="A3317" s="19" t="s">
        <v>2593</v>
      </c>
    </row>
    <row r="3318">
      <c r="A3318" s="19" t="s">
        <v>2594</v>
      </c>
    </row>
    <row r="3319">
      <c r="A3319" s="19" t="s">
        <v>2595</v>
      </c>
    </row>
    <row r="3320">
      <c r="A3320" s="19" t="s">
        <v>2596</v>
      </c>
    </row>
    <row r="3321">
      <c r="A3321" s="19" t="s">
        <v>2597</v>
      </c>
    </row>
    <row r="3322">
      <c r="A3322" s="19" t="s">
        <v>806</v>
      </c>
    </row>
    <row r="3323">
      <c r="A3323" s="19" t="s">
        <v>2598</v>
      </c>
    </row>
    <row r="3324">
      <c r="A3324" s="19" t="s">
        <v>2599</v>
      </c>
    </row>
    <row r="3325">
      <c r="A3325" s="19" t="s">
        <v>2600</v>
      </c>
    </row>
    <row r="3326">
      <c r="A3326" s="19" t="s">
        <v>2601</v>
      </c>
    </row>
    <row r="3327">
      <c r="A3327" s="19" t="s">
        <v>2602</v>
      </c>
    </row>
    <row r="3328">
      <c r="A3328" s="19" t="s">
        <v>859</v>
      </c>
    </row>
    <row r="3329">
      <c r="A3329" s="19" t="s">
        <v>861</v>
      </c>
    </row>
    <row r="3330">
      <c r="A3330" s="19" t="s">
        <v>863</v>
      </c>
    </row>
    <row r="3331">
      <c r="A3331" s="19" t="s">
        <v>2603</v>
      </c>
    </row>
    <row r="3332">
      <c r="A3332" s="19" t="s">
        <v>2604</v>
      </c>
    </row>
    <row r="3333">
      <c r="A3333" s="19" t="s">
        <v>2605</v>
      </c>
    </row>
    <row r="3334">
      <c r="A3334" s="19" t="s">
        <v>1067</v>
      </c>
    </row>
    <row r="3335">
      <c r="A3335" s="19" t="s">
        <v>864</v>
      </c>
    </row>
    <row r="3336">
      <c r="A3336" s="19" t="s">
        <v>865</v>
      </c>
    </row>
    <row r="3337">
      <c r="A3337" s="19" t="s">
        <v>860</v>
      </c>
    </row>
    <row r="3338">
      <c r="A3338" s="19" t="s">
        <v>866</v>
      </c>
    </row>
    <row r="3339">
      <c r="A3339" s="19" t="s">
        <v>867</v>
      </c>
    </row>
    <row r="3340">
      <c r="A3340" s="19" t="s">
        <v>868</v>
      </c>
    </row>
    <row r="3341">
      <c r="A3341" s="19" t="s">
        <v>869</v>
      </c>
    </row>
    <row r="3342">
      <c r="A3342" s="19" t="s">
        <v>873</v>
      </c>
    </row>
    <row r="3343">
      <c r="A3343" s="19" t="s">
        <v>870</v>
      </c>
    </row>
    <row r="3344">
      <c r="A3344" s="19" t="s">
        <v>872</v>
      </c>
    </row>
    <row r="3345">
      <c r="A3345" s="19" t="s">
        <v>874</v>
      </c>
    </row>
    <row r="3346">
      <c r="A3346" s="19" t="s">
        <v>877</v>
      </c>
    </row>
    <row r="3347">
      <c r="A3347" s="19" t="s">
        <v>876</v>
      </c>
    </row>
    <row r="3348">
      <c r="A3348" s="19" t="s">
        <v>875</v>
      </c>
    </row>
    <row r="3349">
      <c r="A3349" s="19" t="s">
        <v>878</v>
      </c>
    </row>
    <row r="3350">
      <c r="A3350" s="19" t="s">
        <v>879</v>
      </c>
    </row>
    <row r="3351">
      <c r="A3351" s="19" t="s">
        <v>2606</v>
      </c>
    </row>
    <row r="3352">
      <c r="A3352" s="19" t="s">
        <v>882</v>
      </c>
    </row>
    <row r="3353">
      <c r="A3353" s="19" t="s">
        <v>880</v>
      </c>
    </row>
    <row r="3354">
      <c r="A3354" s="19" t="s">
        <v>883</v>
      </c>
    </row>
    <row r="3355">
      <c r="A3355" s="19" t="s">
        <v>881</v>
      </c>
    </row>
    <row r="3356">
      <c r="A3356" s="19" t="s">
        <v>885</v>
      </c>
    </row>
    <row r="3357">
      <c r="A3357" s="19" t="s">
        <v>886</v>
      </c>
    </row>
    <row r="3358">
      <c r="A3358" s="19" t="s">
        <v>887</v>
      </c>
    </row>
    <row r="3359">
      <c r="A3359" s="19" t="s">
        <v>889</v>
      </c>
    </row>
    <row r="3360">
      <c r="A3360" s="19" t="s">
        <v>888</v>
      </c>
    </row>
    <row r="3361">
      <c r="A3361" s="19" t="s">
        <v>890</v>
      </c>
    </row>
    <row r="3362">
      <c r="A3362" s="19" t="s">
        <v>891</v>
      </c>
    </row>
    <row r="3363">
      <c r="A3363" s="19" t="s">
        <v>892</v>
      </c>
    </row>
    <row r="3364">
      <c r="A3364" s="19" t="s">
        <v>2607</v>
      </c>
    </row>
    <row r="3365">
      <c r="A3365" s="19" t="s">
        <v>2608</v>
      </c>
    </row>
    <row r="3366">
      <c r="A3366" s="19" t="s">
        <v>1071</v>
      </c>
    </row>
    <row r="3367">
      <c r="A3367" s="19" t="s">
        <v>2609</v>
      </c>
    </row>
    <row r="3368">
      <c r="A3368" s="19" t="s">
        <v>2610</v>
      </c>
    </row>
    <row r="3369">
      <c r="A3369" s="19" t="s">
        <v>2611</v>
      </c>
    </row>
    <row r="3370">
      <c r="A3370" s="19" t="s">
        <v>1071</v>
      </c>
    </row>
    <row r="3371">
      <c r="A3371" s="19" t="s">
        <v>897</v>
      </c>
    </row>
    <row r="3372">
      <c r="A3372" s="19" t="s">
        <v>2612</v>
      </c>
    </row>
    <row r="3373">
      <c r="A3373" s="19" t="s">
        <v>899</v>
      </c>
    </row>
    <row r="3374">
      <c r="A3374" s="19" t="s">
        <v>898</v>
      </c>
    </row>
    <row r="3375">
      <c r="A3375" s="19" t="s">
        <v>900</v>
      </c>
    </row>
    <row r="3376">
      <c r="A3376" s="19" t="s">
        <v>901</v>
      </c>
    </row>
    <row r="3377">
      <c r="A3377" s="19" t="s">
        <v>902</v>
      </c>
    </row>
    <row r="3378">
      <c r="A3378" s="19" t="s">
        <v>2613</v>
      </c>
    </row>
    <row r="3379">
      <c r="A3379" s="19" t="s">
        <v>2614</v>
      </c>
    </row>
    <row r="3380">
      <c r="A3380" s="19" t="s">
        <v>903</v>
      </c>
    </row>
    <row r="3381">
      <c r="A3381" s="19" t="s">
        <v>904</v>
      </c>
    </row>
    <row r="3382">
      <c r="A3382" s="19" t="s">
        <v>2615</v>
      </c>
    </row>
    <row r="3383">
      <c r="A3383" s="19" t="s">
        <v>2616</v>
      </c>
    </row>
    <row r="3384">
      <c r="A3384" s="19" t="s">
        <v>2617</v>
      </c>
    </row>
    <row r="3385">
      <c r="A3385" s="19" t="s">
        <v>905</v>
      </c>
    </row>
    <row r="3386">
      <c r="A3386" s="19" t="s">
        <v>2618</v>
      </c>
    </row>
    <row r="3387">
      <c r="A3387" s="19" t="s">
        <v>2619</v>
      </c>
    </row>
    <row r="3388">
      <c r="A3388" s="19" t="s">
        <v>914</v>
      </c>
    </row>
    <row r="3389">
      <c r="A3389" s="19" t="s">
        <v>915</v>
      </c>
    </row>
    <row r="3390">
      <c r="A3390" s="19" t="s">
        <v>2620</v>
      </c>
    </row>
    <row r="3391">
      <c r="A3391" s="19" t="s">
        <v>1071</v>
      </c>
    </row>
    <row r="3392">
      <c r="A3392" s="19" t="s">
        <v>1071</v>
      </c>
    </row>
    <row r="3393">
      <c r="A3393" s="19" t="s">
        <v>2621</v>
      </c>
    </row>
    <row r="3394">
      <c r="A3394" s="19" t="s">
        <v>2622</v>
      </c>
    </row>
    <row r="3395">
      <c r="A3395" s="19" t="s">
        <v>920</v>
      </c>
    </row>
    <row r="3396">
      <c r="A3396" s="19" t="s">
        <v>929</v>
      </c>
    </row>
    <row r="3397">
      <c r="A3397" s="19" t="s">
        <v>922</v>
      </c>
    </row>
    <row r="3398">
      <c r="A3398" s="19" t="s">
        <v>923</v>
      </c>
    </row>
    <row r="3399">
      <c r="A3399" s="19" t="s">
        <v>924</v>
      </c>
    </row>
    <row r="3400">
      <c r="A3400" s="19" t="s">
        <v>925</v>
      </c>
    </row>
    <row r="3401">
      <c r="A3401" s="19" t="s">
        <v>926</v>
      </c>
    </row>
    <row r="3402">
      <c r="A3402" s="19" t="s">
        <v>928</v>
      </c>
    </row>
    <row r="3403">
      <c r="A3403" s="19" t="s">
        <v>930</v>
      </c>
    </row>
    <row r="3404">
      <c r="A3404" s="19" t="s">
        <v>2623</v>
      </c>
    </row>
    <row r="3405">
      <c r="A3405" s="19" t="s">
        <v>2624</v>
      </c>
    </row>
    <row r="3406">
      <c r="A3406" s="19" t="s">
        <v>932</v>
      </c>
    </row>
    <row r="3407">
      <c r="A3407" s="19" t="s">
        <v>2617</v>
      </c>
    </row>
    <row r="3408">
      <c r="A3408" s="19" t="s">
        <v>2625</v>
      </c>
    </row>
    <row r="3409">
      <c r="A3409" s="19" t="s">
        <v>934</v>
      </c>
    </row>
    <row r="3410">
      <c r="A3410" s="19" t="s">
        <v>933</v>
      </c>
    </row>
    <row r="3411">
      <c r="A3411" s="19" t="s">
        <v>931</v>
      </c>
    </row>
    <row r="3412">
      <c r="A3412" s="19" t="s">
        <v>937</v>
      </c>
    </row>
    <row r="3413">
      <c r="A3413" s="19" t="s">
        <v>936</v>
      </c>
    </row>
    <row r="3414">
      <c r="A3414" s="19" t="s">
        <v>938</v>
      </c>
    </row>
    <row r="3415">
      <c r="A3415" s="19" t="s">
        <v>939</v>
      </c>
    </row>
    <row r="3416">
      <c r="A3416" s="19" t="s">
        <v>940</v>
      </c>
    </row>
    <row r="3417">
      <c r="A3417" s="19" t="s">
        <v>941</v>
      </c>
    </row>
    <row r="3418">
      <c r="A3418" s="19" t="s">
        <v>942</v>
      </c>
    </row>
    <row r="3419">
      <c r="A3419" s="19" t="s">
        <v>943</v>
      </c>
    </row>
    <row r="3420">
      <c r="A3420" s="19" t="s">
        <v>944</v>
      </c>
    </row>
    <row r="3421">
      <c r="A3421" s="19" t="s">
        <v>945</v>
      </c>
    </row>
    <row r="3422">
      <c r="A3422" s="19" t="s">
        <v>2626</v>
      </c>
    </row>
    <row r="3423">
      <c r="A3423" s="19" t="s">
        <v>946</v>
      </c>
    </row>
    <row r="3424">
      <c r="A3424" s="19" t="s">
        <v>935</v>
      </c>
    </row>
    <row r="3425">
      <c r="A3425" s="19" t="s">
        <v>1071</v>
      </c>
    </row>
    <row r="3426">
      <c r="A3426" s="19" t="s">
        <v>951</v>
      </c>
    </row>
    <row r="3427">
      <c r="A3427" s="19" t="s">
        <v>952</v>
      </c>
    </row>
    <row r="3428">
      <c r="A3428" s="19" t="s">
        <v>2627</v>
      </c>
    </row>
    <row r="3429">
      <c r="A3429" s="19" t="s">
        <v>953</v>
      </c>
    </row>
    <row r="3430">
      <c r="A3430" s="19" t="s">
        <v>2080</v>
      </c>
    </row>
    <row r="3431">
      <c r="A3431" s="19" t="s">
        <v>954</v>
      </c>
    </row>
    <row r="3432">
      <c r="A3432" s="19" t="s">
        <v>955</v>
      </c>
    </row>
    <row r="3433">
      <c r="A3433" s="19" t="s">
        <v>956</v>
      </c>
    </row>
    <row r="3434">
      <c r="A3434" s="19" t="s">
        <v>957</v>
      </c>
    </row>
    <row r="3435">
      <c r="A3435" s="19" t="s">
        <v>958</v>
      </c>
    </row>
    <row r="3436">
      <c r="A3436" s="19" t="s">
        <v>2628</v>
      </c>
    </row>
    <row r="3437">
      <c r="A3437" s="19" t="s">
        <v>959</v>
      </c>
    </row>
    <row r="3438">
      <c r="A3438" s="19" t="s">
        <v>960</v>
      </c>
    </row>
    <row r="3439">
      <c r="A3439" s="19" t="s">
        <v>962</v>
      </c>
    </row>
    <row r="3440">
      <c r="A3440" s="19" t="s">
        <v>963</v>
      </c>
    </row>
    <row r="3441">
      <c r="A3441" s="19" t="s">
        <v>964</v>
      </c>
    </row>
    <row r="3442">
      <c r="A3442" s="19" t="s">
        <v>966</v>
      </c>
    </row>
    <row r="3443">
      <c r="A3443" s="19" t="s">
        <v>965</v>
      </c>
    </row>
    <row r="3444">
      <c r="A3444" s="19" t="s">
        <v>967</v>
      </c>
    </row>
    <row r="3445">
      <c r="A3445" s="19" t="s">
        <v>2081</v>
      </c>
    </row>
    <row r="3446">
      <c r="A3446" s="19" t="s">
        <v>2617</v>
      </c>
    </row>
    <row r="3447">
      <c r="A3447" s="19" t="s">
        <v>971</v>
      </c>
    </row>
    <row r="3448">
      <c r="A3448" s="19" t="s">
        <v>970</v>
      </c>
    </row>
    <row r="3449">
      <c r="A3449" s="19" t="s">
        <v>969</v>
      </c>
    </row>
    <row r="3450">
      <c r="A3450" s="19" t="s">
        <v>973</v>
      </c>
    </row>
    <row r="3451">
      <c r="A3451" s="19" t="s">
        <v>974</v>
      </c>
    </row>
    <row r="3452">
      <c r="A3452" s="19" t="s">
        <v>2629</v>
      </c>
    </row>
    <row r="3453">
      <c r="A3453" s="19" t="s">
        <v>975</v>
      </c>
    </row>
    <row r="3454">
      <c r="A3454" s="19" t="s">
        <v>2630</v>
      </c>
    </row>
    <row r="3455">
      <c r="A3455" s="19" t="s">
        <v>2631</v>
      </c>
    </row>
    <row r="3456">
      <c r="A3456" s="19" t="s">
        <v>1067</v>
      </c>
    </row>
    <row r="3457">
      <c r="A3457" s="19" t="s">
        <v>976</v>
      </c>
    </row>
    <row r="3458">
      <c r="A3458" s="19" t="s">
        <v>978</v>
      </c>
    </row>
    <row r="3459">
      <c r="A3459" s="19" t="s">
        <v>980</v>
      </c>
    </row>
    <row r="3460">
      <c r="A3460" s="19" t="s">
        <v>981</v>
      </c>
    </row>
    <row r="3461">
      <c r="A3461" s="19" t="s">
        <v>982</v>
      </c>
    </row>
    <row r="3462">
      <c r="A3462" s="19" t="s">
        <v>983</v>
      </c>
    </row>
    <row r="3463">
      <c r="A3463" s="19" t="s">
        <v>984</v>
      </c>
    </row>
    <row r="3464">
      <c r="A3464" s="19" t="s">
        <v>2632</v>
      </c>
    </row>
    <row r="3465">
      <c r="A3465" s="19" t="s">
        <v>989</v>
      </c>
    </row>
    <row r="3466">
      <c r="A3466" s="19" t="s">
        <v>985</v>
      </c>
    </row>
    <row r="3467">
      <c r="A3467" s="19" t="s">
        <v>986</v>
      </c>
    </row>
    <row r="3468">
      <c r="A3468" s="19" t="s">
        <v>987</v>
      </c>
    </row>
    <row r="3469">
      <c r="A3469" s="19" t="s">
        <v>988</v>
      </c>
    </row>
    <row r="3470">
      <c r="A3470" s="19" t="s">
        <v>1002</v>
      </c>
    </row>
    <row r="3471">
      <c r="A3471" s="19" t="s">
        <v>994</v>
      </c>
    </row>
    <row r="3472">
      <c r="A3472" s="19" t="s">
        <v>993</v>
      </c>
    </row>
    <row r="3473">
      <c r="A3473" s="19" t="s">
        <v>992</v>
      </c>
    </row>
    <row r="3474">
      <c r="A3474" s="19" t="s">
        <v>995</v>
      </c>
    </row>
    <row r="3475">
      <c r="A3475" s="19" t="s">
        <v>996</v>
      </c>
    </row>
    <row r="3476">
      <c r="A3476" s="19" t="s">
        <v>998</v>
      </c>
    </row>
    <row r="3477">
      <c r="A3477" s="19" t="s">
        <v>997</v>
      </c>
    </row>
    <row r="3478">
      <c r="A3478" s="19" t="s">
        <v>999</v>
      </c>
    </row>
    <row r="3479">
      <c r="A3479" s="19" t="s">
        <v>1000</v>
      </c>
    </row>
    <row r="3480">
      <c r="A3480" s="19" t="s">
        <v>1001</v>
      </c>
    </row>
    <row r="3481">
      <c r="A3481" s="19" t="s">
        <v>2633</v>
      </c>
    </row>
    <row r="3482">
      <c r="A3482" s="19" t="s">
        <v>2634</v>
      </c>
    </row>
    <row r="3483">
      <c r="A3483" s="19" t="s">
        <v>2635</v>
      </c>
    </row>
    <row r="3484">
      <c r="A3484" s="19" t="s">
        <v>1010</v>
      </c>
    </row>
    <row r="3485">
      <c r="A3485" s="19" t="s">
        <v>1012</v>
      </c>
    </row>
    <row r="3486">
      <c r="A3486" s="19" t="s">
        <v>1011</v>
      </c>
    </row>
    <row r="3487">
      <c r="A3487" s="19" t="s">
        <v>1013</v>
      </c>
    </row>
    <row r="3488">
      <c r="A3488" s="19" t="s">
        <v>2617</v>
      </c>
    </row>
    <row r="3489">
      <c r="A3489" s="19" t="s">
        <v>1019</v>
      </c>
    </row>
    <row r="3490">
      <c r="A3490" s="19" t="s">
        <v>1020</v>
      </c>
    </row>
    <row r="3491">
      <c r="A3491" s="19" t="s">
        <v>1021</v>
      </c>
    </row>
    <row r="3492">
      <c r="A3492" s="19" t="s">
        <v>1022</v>
      </c>
    </row>
    <row r="3493">
      <c r="A3493" s="19" t="s">
        <v>1023</v>
      </c>
    </row>
    <row r="3494">
      <c r="A3494" s="19" t="s">
        <v>1018</v>
      </c>
    </row>
    <row r="3495">
      <c r="A3495" s="19" t="s">
        <v>2636</v>
      </c>
    </row>
    <row r="3496">
      <c r="A3496" s="19" t="s">
        <v>1029</v>
      </c>
    </row>
    <row r="3497">
      <c r="A3497" s="19" t="s">
        <v>2064</v>
      </c>
    </row>
    <row r="3498">
      <c r="A3498" s="19" t="s">
        <v>2637</v>
      </c>
    </row>
    <row r="3499">
      <c r="A3499" s="19" t="s">
        <v>2638</v>
      </c>
    </row>
    <row r="3500">
      <c r="A3500" s="19" t="s">
        <v>2094</v>
      </c>
    </row>
    <row r="3501">
      <c r="A3501" s="19" t="s">
        <v>1034</v>
      </c>
    </row>
    <row r="3502">
      <c r="A3502" s="19" t="s">
        <v>2639</v>
      </c>
    </row>
    <row r="3503">
      <c r="A3503" s="19" t="s">
        <v>1035</v>
      </c>
    </row>
    <row r="3504">
      <c r="A3504" s="19" t="s">
        <v>1036</v>
      </c>
    </row>
    <row r="3505">
      <c r="A3505" s="19" t="s">
        <v>2640</v>
      </c>
    </row>
    <row r="3506">
      <c r="A3506" s="19" t="s">
        <v>1039</v>
      </c>
    </row>
    <row r="3507">
      <c r="A3507" s="19" t="s">
        <v>1040</v>
      </c>
    </row>
    <row r="3508">
      <c r="A3508" s="19" t="s">
        <v>1041</v>
      </c>
    </row>
    <row r="3509">
      <c r="A3509" s="19" t="s">
        <v>1042</v>
      </c>
    </row>
    <row r="3510">
      <c r="A3510" s="19" t="s">
        <v>2641</v>
      </c>
    </row>
    <row r="3511">
      <c r="A3511" s="19" t="s">
        <v>1043</v>
      </c>
    </row>
    <row r="3512">
      <c r="A3512" s="19" t="s">
        <v>1044</v>
      </c>
    </row>
    <row r="3513">
      <c r="A3513" s="19" t="s">
        <v>2642</v>
      </c>
    </row>
    <row r="3514">
      <c r="A3514" s="19" t="s">
        <v>1037</v>
      </c>
    </row>
    <row r="3515">
      <c r="A3515" s="19" t="s">
        <v>1046</v>
      </c>
    </row>
    <row r="3516">
      <c r="A3516" s="19" t="s">
        <v>2643</v>
      </c>
    </row>
    <row r="3517">
      <c r="A3517" s="19" t="s">
        <v>1067</v>
      </c>
    </row>
    <row r="3518">
      <c r="A3518" s="19" t="s">
        <v>2644</v>
      </c>
    </row>
    <row r="3519">
      <c r="A3519" s="19" t="s">
        <v>2645</v>
      </c>
    </row>
    <row r="3520">
      <c r="A3520" s="19" t="s">
        <v>2646</v>
      </c>
    </row>
    <row r="3521">
      <c r="A3521" s="19" t="s">
        <v>2647</v>
      </c>
    </row>
    <row r="3522">
      <c r="A3522" s="19" t="s">
        <v>2648</v>
      </c>
    </row>
    <row r="3523">
      <c r="A3523" s="19" t="s">
        <v>2649</v>
      </c>
    </row>
    <row r="3524">
      <c r="A3524" s="19" t="s">
        <v>2650</v>
      </c>
    </row>
    <row r="3525">
      <c r="A3525" s="19" t="s">
        <v>2651</v>
      </c>
    </row>
    <row r="3526">
      <c r="A3526" s="19" t="s">
        <v>2652</v>
      </c>
    </row>
    <row r="3527">
      <c r="A3527" s="19" t="s">
        <v>2653</v>
      </c>
    </row>
    <row r="3528">
      <c r="A3528" s="19" t="s">
        <v>2654</v>
      </c>
    </row>
    <row r="3529">
      <c r="A3529" s="19" t="s">
        <v>2655</v>
      </c>
    </row>
    <row r="3530">
      <c r="A3530" s="19" t="s">
        <v>2656</v>
      </c>
    </row>
    <row r="3531">
      <c r="A3531" s="19" t="s">
        <v>2657</v>
      </c>
    </row>
    <row r="3532">
      <c r="A3532" s="19" t="s">
        <v>2658</v>
      </c>
    </row>
    <row r="3533">
      <c r="A3533" s="19" t="s">
        <v>2659</v>
      </c>
    </row>
    <row r="3534">
      <c r="A3534" s="19" t="s">
        <v>2660</v>
      </c>
    </row>
    <row r="3535">
      <c r="A3535" s="19" t="s">
        <v>2661</v>
      </c>
    </row>
    <row r="3536">
      <c r="A3536" s="19" t="s">
        <v>2662</v>
      </c>
    </row>
    <row r="3537">
      <c r="A3537" s="19" t="s">
        <v>2663</v>
      </c>
    </row>
    <row r="3538">
      <c r="A3538" s="19" t="s">
        <v>2664</v>
      </c>
    </row>
    <row r="3539">
      <c r="A3539" s="19" t="s">
        <v>2665</v>
      </c>
    </row>
    <row r="3540">
      <c r="A3540" s="19" t="s">
        <v>2666</v>
      </c>
    </row>
    <row r="3541">
      <c r="A3541" s="19" t="s">
        <v>2667</v>
      </c>
    </row>
    <row r="3542">
      <c r="A3542" s="19" t="s">
        <v>2668</v>
      </c>
    </row>
    <row r="3543">
      <c r="A3543" s="19" t="s">
        <v>2669</v>
      </c>
    </row>
    <row r="3544">
      <c r="A3544" s="19" t="s">
        <v>2670</v>
      </c>
    </row>
    <row r="3545">
      <c r="A3545" s="19" t="s">
        <v>2671</v>
      </c>
    </row>
    <row r="3546">
      <c r="A3546" s="19" t="s">
        <v>2672</v>
      </c>
    </row>
    <row r="3547">
      <c r="A3547" s="19" t="s">
        <v>2673</v>
      </c>
    </row>
    <row r="3548">
      <c r="A3548" s="19" t="s">
        <v>2674</v>
      </c>
    </row>
    <row r="3549">
      <c r="A3549" s="19" t="s">
        <v>2675</v>
      </c>
    </row>
    <row r="3550">
      <c r="A3550" s="19" t="s">
        <v>2676</v>
      </c>
    </row>
    <row r="3551">
      <c r="A3551" s="21"/>
    </row>
    <row r="3552">
      <c r="A3552" s="19" t="s">
        <v>1230</v>
      </c>
    </row>
    <row r="3553">
      <c r="A3553" s="19" t="s">
        <v>2677</v>
      </c>
    </row>
    <row r="3554">
      <c r="A3554" s="19" t="s">
        <v>2678</v>
      </c>
    </row>
    <row r="3555">
      <c r="A3555" s="19" t="s">
        <v>2679</v>
      </c>
    </row>
    <row r="3556">
      <c r="A3556" s="19" t="s">
        <v>2680</v>
      </c>
    </row>
    <row r="3557">
      <c r="A3557" s="19" t="s">
        <v>2681</v>
      </c>
    </row>
    <row r="3558">
      <c r="A3558" s="19" t="s">
        <v>2682</v>
      </c>
    </row>
    <row r="3559">
      <c r="A3559" s="19" t="s">
        <v>2683</v>
      </c>
    </row>
    <row r="3560">
      <c r="A3560" s="19" t="s">
        <v>2684</v>
      </c>
    </row>
    <row r="3561">
      <c r="A3561" s="19" t="s">
        <v>2685</v>
      </c>
    </row>
    <row r="3562">
      <c r="A3562" s="19" t="s">
        <v>2686</v>
      </c>
    </row>
    <row r="3563">
      <c r="A3563" s="19" t="s">
        <v>2687</v>
      </c>
    </row>
    <row r="3564">
      <c r="A3564" s="19" t="s">
        <v>2688</v>
      </c>
    </row>
    <row r="3565">
      <c r="A3565" s="19" t="s">
        <v>2689</v>
      </c>
    </row>
    <row r="3566">
      <c r="A3566" s="19" t="s">
        <v>2690</v>
      </c>
    </row>
    <row r="3567">
      <c r="A3567" s="19" t="s">
        <v>2691</v>
      </c>
    </row>
    <row r="3568">
      <c r="A3568" s="19" t="s">
        <v>2692</v>
      </c>
    </row>
    <row r="3569">
      <c r="A3569" s="19" t="s">
        <v>2693</v>
      </c>
    </row>
    <row r="3570">
      <c r="A3570" s="19" t="s">
        <v>2694</v>
      </c>
    </row>
    <row r="3571">
      <c r="A3571" s="21"/>
    </row>
    <row r="3572">
      <c r="A3572" s="19" t="s">
        <v>2695</v>
      </c>
    </row>
    <row r="3573">
      <c r="A3573" s="19" t="s">
        <v>2696</v>
      </c>
    </row>
    <row r="3574">
      <c r="A3574" s="19" t="s">
        <v>2697</v>
      </c>
    </row>
    <row r="3575">
      <c r="A3575" s="19" t="s">
        <v>2698</v>
      </c>
    </row>
    <row r="3576">
      <c r="A3576" s="19" t="s">
        <v>2699</v>
      </c>
    </row>
    <row r="3577">
      <c r="A3577" s="19" t="s">
        <v>2700</v>
      </c>
    </row>
    <row r="3578">
      <c r="A3578" s="19" t="s">
        <v>1305</v>
      </c>
    </row>
    <row r="3579">
      <c r="A3579" s="19" t="s">
        <v>2701</v>
      </c>
    </row>
    <row r="3580">
      <c r="A3580" s="19" t="s">
        <v>2702</v>
      </c>
    </row>
    <row r="3581">
      <c r="A3581" s="19" t="s">
        <v>2703</v>
      </c>
    </row>
    <row r="3582">
      <c r="A3582" s="21"/>
    </row>
    <row r="3583">
      <c r="A3583" s="19" t="s">
        <v>2704</v>
      </c>
    </row>
    <row r="3584">
      <c r="A3584" s="21"/>
    </row>
    <row r="3585">
      <c r="A3585" s="19" t="s">
        <v>2705</v>
      </c>
    </row>
    <row r="3586">
      <c r="A3586" s="19" t="s">
        <v>2706</v>
      </c>
    </row>
    <row r="3587">
      <c r="A3587" s="19" t="s">
        <v>2707</v>
      </c>
    </row>
    <row r="3588">
      <c r="A3588" s="19" t="s">
        <v>2708</v>
      </c>
    </row>
    <row r="3589">
      <c r="A3589" s="19" t="s">
        <v>2709</v>
      </c>
    </row>
    <row r="3590">
      <c r="A3590" s="19" t="s">
        <v>2710</v>
      </c>
    </row>
    <row r="3591">
      <c r="A3591" s="19" t="s">
        <v>2711</v>
      </c>
    </row>
    <row r="3592">
      <c r="A3592" s="19" t="s">
        <v>2712</v>
      </c>
    </row>
    <row r="3593">
      <c r="A3593" s="19" t="s">
        <v>2713</v>
      </c>
    </row>
    <row r="3594">
      <c r="A3594" s="19" t="s">
        <v>2714</v>
      </c>
    </row>
    <row r="3595">
      <c r="A3595" s="19" t="s">
        <v>2715</v>
      </c>
    </row>
    <row r="3596">
      <c r="A3596" s="19" t="s">
        <v>2716</v>
      </c>
    </row>
    <row r="3597">
      <c r="A3597" s="19" t="s">
        <v>2717</v>
      </c>
    </row>
    <row r="3598">
      <c r="A3598" s="19" t="s">
        <v>2718</v>
      </c>
    </row>
    <row r="3599">
      <c r="A3599" s="19" t="s">
        <v>2719</v>
      </c>
    </row>
    <row r="3600">
      <c r="A3600" s="19" t="s">
        <v>2720</v>
      </c>
    </row>
    <row r="3601">
      <c r="A3601" s="19" t="s">
        <v>2721</v>
      </c>
    </row>
    <row r="3602">
      <c r="A3602" s="19" t="s">
        <v>2722</v>
      </c>
    </row>
    <row r="3603">
      <c r="A3603" s="19" t="s">
        <v>2723</v>
      </c>
    </row>
    <row r="3604">
      <c r="A3604" s="19" t="s">
        <v>2724</v>
      </c>
    </row>
    <row r="3605">
      <c r="A3605" s="19" t="s">
        <v>2725</v>
      </c>
    </row>
    <row r="3606">
      <c r="A3606" s="19" t="s">
        <v>2726</v>
      </c>
    </row>
    <row r="3607">
      <c r="A3607" s="19" t="s">
        <v>2727</v>
      </c>
    </row>
    <row r="3608">
      <c r="A3608" s="19" t="s">
        <v>2728</v>
      </c>
    </row>
    <row r="3609">
      <c r="A3609" s="19" t="s">
        <v>2729</v>
      </c>
    </row>
    <row r="3610">
      <c r="A3610" s="19" t="s">
        <v>2730</v>
      </c>
    </row>
    <row r="3611">
      <c r="A3611" s="19" t="s">
        <v>2731</v>
      </c>
    </row>
    <row r="3612">
      <c r="A3612" s="19" t="s">
        <v>2732</v>
      </c>
    </row>
    <row r="3613">
      <c r="A3613" s="19" t="s">
        <v>2733</v>
      </c>
    </row>
    <row r="3614">
      <c r="A3614" s="19" t="s">
        <v>2734</v>
      </c>
    </row>
    <row r="3615">
      <c r="A3615" s="19" t="s">
        <v>2735</v>
      </c>
    </row>
    <row r="3616">
      <c r="A3616" s="19" t="s">
        <v>2736</v>
      </c>
    </row>
    <row r="3617">
      <c r="A3617" s="19" t="s">
        <v>2737</v>
      </c>
    </row>
    <row r="3618">
      <c r="A3618" s="19" t="s">
        <v>2329</v>
      </c>
    </row>
    <row r="3619">
      <c r="A3619" s="19" t="s">
        <v>2738</v>
      </c>
    </row>
    <row r="3620">
      <c r="A3620" s="19" t="s">
        <v>2412</v>
      </c>
    </row>
    <row r="3621">
      <c r="A3621" s="19" t="s">
        <v>1458</v>
      </c>
    </row>
    <row r="3622">
      <c r="A3622" s="19" t="s">
        <v>2739</v>
      </c>
    </row>
    <row r="3623">
      <c r="A3623" s="19" t="s">
        <v>2740</v>
      </c>
    </row>
    <row r="3624">
      <c r="A3624" s="19" t="s">
        <v>2415</v>
      </c>
    </row>
    <row r="3625">
      <c r="A3625" s="19" t="s">
        <v>2741</v>
      </c>
    </row>
    <row r="3626">
      <c r="A3626" s="19" t="s">
        <v>1390</v>
      </c>
    </row>
    <row r="3627">
      <c r="A3627" s="19" t="s">
        <v>2742</v>
      </c>
    </row>
    <row r="3628">
      <c r="A3628" s="19" t="s">
        <v>2743</v>
      </c>
    </row>
    <row r="3629">
      <c r="A3629" s="19" t="s">
        <v>2744</v>
      </c>
    </row>
    <row r="3630">
      <c r="A3630" s="19" t="s">
        <v>1551</v>
      </c>
    </row>
    <row r="3631">
      <c r="A3631" s="19" t="s">
        <v>1462</v>
      </c>
    </row>
    <row r="3632">
      <c r="A3632" s="19" t="s">
        <v>2745</v>
      </c>
    </row>
    <row r="3633">
      <c r="A3633" s="19" t="s">
        <v>2746</v>
      </c>
    </row>
    <row r="3634">
      <c r="A3634" s="19" t="s">
        <v>2747</v>
      </c>
    </row>
    <row r="3635">
      <c r="A3635" s="19" t="s">
        <v>2748</v>
      </c>
    </row>
    <row r="3636">
      <c r="A3636" s="19" t="s">
        <v>2749</v>
      </c>
    </row>
    <row r="3637">
      <c r="A3637" s="19" t="s">
        <v>2416</v>
      </c>
    </row>
    <row r="3638">
      <c r="A3638" s="19" t="s">
        <v>2750</v>
      </c>
    </row>
    <row r="3639">
      <c r="A3639" s="19" t="s">
        <v>1459</v>
      </c>
    </row>
    <row r="3640">
      <c r="A3640" s="19" t="s">
        <v>2751</v>
      </c>
    </row>
    <row r="3641">
      <c r="A3641" s="19" t="s">
        <v>1394</v>
      </c>
    </row>
    <row r="3642">
      <c r="A3642" s="19" t="s">
        <v>2752</v>
      </c>
    </row>
    <row r="3643">
      <c r="A3643" s="19" t="s">
        <v>2753</v>
      </c>
    </row>
    <row r="3644">
      <c r="A3644" s="19" t="s">
        <v>2754</v>
      </c>
    </row>
    <row r="3645">
      <c r="A3645" s="19" t="s">
        <v>1396</v>
      </c>
    </row>
    <row r="3646">
      <c r="A3646" s="19" t="s">
        <v>2755</v>
      </c>
    </row>
    <row r="3647">
      <c r="A3647" s="19" t="s">
        <v>2756</v>
      </c>
    </row>
    <row r="3648">
      <c r="A3648" s="19" t="s">
        <v>2757</v>
      </c>
    </row>
    <row r="3649">
      <c r="A3649" s="19" t="s">
        <v>1398</v>
      </c>
    </row>
    <row r="3650">
      <c r="A3650" s="19" t="s">
        <v>2758</v>
      </c>
    </row>
    <row r="3651">
      <c r="A3651" s="19" t="s">
        <v>2759</v>
      </c>
    </row>
    <row r="3652">
      <c r="A3652" s="19" t="s">
        <v>2760</v>
      </c>
    </row>
    <row r="3653">
      <c r="A3653" s="19" t="s">
        <v>2761</v>
      </c>
    </row>
    <row r="3654">
      <c r="A3654" s="19" t="s">
        <v>2762</v>
      </c>
    </row>
    <row r="3655">
      <c r="A3655" s="19" t="s">
        <v>2462</v>
      </c>
    </row>
    <row r="3656">
      <c r="A3656" s="19" t="s">
        <v>2763</v>
      </c>
    </row>
    <row r="3657">
      <c r="A3657" s="19" t="s">
        <v>1601</v>
      </c>
    </row>
    <row r="3658">
      <c r="A3658" s="19" t="s">
        <v>2764</v>
      </c>
    </row>
    <row r="3659">
      <c r="A3659" s="19" t="s">
        <v>2765</v>
      </c>
    </row>
    <row r="3660">
      <c r="A3660" s="19" t="s">
        <v>2766</v>
      </c>
    </row>
    <row r="3661">
      <c r="A3661" s="19" t="s">
        <v>1402</v>
      </c>
    </row>
    <row r="3662">
      <c r="A3662" s="19" t="s">
        <v>2767</v>
      </c>
    </row>
    <row r="3663">
      <c r="A3663" s="19" t="s">
        <v>2768</v>
      </c>
    </row>
    <row r="3664">
      <c r="A3664" s="19" t="s">
        <v>2769</v>
      </c>
    </row>
    <row r="3665">
      <c r="A3665" s="19" t="s">
        <v>2770</v>
      </c>
    </row>
    <row r="3666">
      <c r="A3666" s="19" t="s">
        <v>1403</v>
      </c>
    </row>
    <row r="3667">
      <c r="A3667" s="19" t="s">
        <v>1404</v>
      </c>
    </row>
    <row r="3668">
      <c r="A3668" s="19" t="s">
        <v>2771</v>
      </c>
    </row>
    <row r="3669">
      <c r="A3669" s="19" t="s">
        <v>2772</v>
      </c>
    </row>
    <row r="3670">
      <c r="A3670" s="19" t="s">
        <v>1410</v>
      </c>
    </row>
    <row r="3671">
      <c r="A3671" s="19" t="s">
        <v>1411</v>
      </c>
    </row>
    <row r="3672">
      <c r="A3672" s="19" t="s">
        <v>1412</v>
      </c>
    </row>
    <row r="3673">
      <c r="A3673" s="19" t="s">
        <v>2773</v>
      </c>
    </row>
    <row r="3674">
      <c r="A3674" s="19" t="s">
        <v>2774</v>
      </c>
    </row>
    <row r="3675">
      <c r="A3675" s="19" t="s">
        <v>1414</v>
      </c>
    </row>
    <row r="3676">
      <c r="A3676" s="19" t="s">
        <v>2775</v>
      </c>
    </row>
    <row r="3677">
      <c r="A3677" s="19" t="s">
        <v>2776</v>
      </c>
    </row>
    <row r="3678">
      <c r="A3678" s="19" t="s">
        <v>2777</v>
      </c>
    </row>
    <row r="3679">
      <c r="A3679" s="19" t="s">
        <v>2778</v>
      </c>
    </row>
    <row r="3680">
      <c r="A3680" s="19" t="s">
        <v>1420</v>
      </c>
    </row>
    <row r="3681">
      <c r="A3681" s="19" t="s">
        <v>1421</v>
      </c>
    </row>
    <row r="3682">
      <c r="A3682" s="19" t="s">
        <v>1422</v>
      </c>
    </row>
    <row r="3683">
      <c r="A3683" s="19" t="s">
        <v>1423</v>
      </c>
    </row>
    <row r="3684">
      <c r="A3684" s="19" t="s">
        <v>2779</v>
      </c>
    </row>
    <row r="3685">
      <c r="A3685" s="19" t="s">
        <v>2780</v>
      </c>
    </row>
    <row r="3686">
      <c r="A3686" s="19" t="s">
        <v>1426</v>
      </c>
    </row>
    <row r="3687">
      <c r="A3687" s="19" t="s">
        <v>1427</v>
      </c>
    </row>
    <row r="3688">
      <c r="A3688" s="19" t="s">
        <v>1429</v>
      </c>
    </row>
    <row r="3689">
      <c r="A3689" s="19" t="s">
        <v>2745</v>
      </c>
    </row>
    <row r="3690">
      <c r="A3690" s="19" t="s">
        <v>2781</v>
      </c>
    </row>
    <row r="3691">
      <c r="A3691" s="19" t="s">
        <v>2359</v>
      </c>
    </row>
    <row r="3692">
      <c r="A3692" s="19" t="s">
        <v>2477</v>
      </c>
    </row>
    <row r="3693">
      <c r="A3693" s="19" t="s">
        <v>2782</v>
      </c>
    </row>
    <row r="3694">
      <c r="A3694" s="19" t="s">
        <v>2783</v>
      </c>
    </row>
    <row r="3695">
      <c r="A3695" s="19" t="s">
        <v>1435</v>
      </c>
    </row>
    <row r="3696">
      <c r="A3696" s="19" t="s">
        <v>1436</v>
      </c>
    </row>
    <row r="3697">
      <c r="A3697" s="19" t="s">
        <v>2784</v>
      </c>
    </row>
    <row r="3698">
      <c r="A3698" s="19" t="s">
        <v>2367</v>
      </c>
    </row>
    <row r="3699">
      <c r="A3699" s="19" t="s">
        <v>1441</v>
      </c>
    </row>
    <row r="3700">
      <c r="A3700" s="19" t="s">
        <v>1442</v>
      </c>
    </row>
    <row r="3701">
      <c r="A3701" s="19" t="s">
        <v>1443</v>
      </c>
    </row>
    <row r="3702">
      <c r="A3702" s="19" t="s">
        <v>1444</v>
      </c>
    </row>
    <row r="3703">
      <c r="A3703" s="19" t="s">
        <v>1446</v>
      </c>
    </row>
    <row r="3704">
      <c r="A3704" s="19" t="s">
        <v>1447</v>
      </c>
    </row>
    <row r="3705">
      <c r="A3705" s="19" t="s">
        <v>1445</v>
      </c>
    </row>
    <row r="3706">
      <c r="A3706" s="19" t="s">
        <v>1448</v>
      </c>
    </row>
    <row r="3707">
      <c r="A3707" s="19" t="s">
        <v>2785</v>
      </c>
    </row>
    <row r="3708">
      <c r="A3708" s="19" t="s">
        <v>1451</v>
      </c>
    </row>
    <row r="3709">
      <c r="A3709" s="19" t="s">
        <v>1449</v>
      </c>
    </row>
    <row r="3710">
      <c r="A3710" s="19" t="s">
        <v>1450</v>
      </c>
    </row>
    <row r="3711">
      <c r="A3711" s="19" t="s">
        <v>1452</v>
      </c>
    </row>
    <row r="3712">
      <c r="A3712" s="19" t="s">
        <v>1453</v>
      </c>
    </row>
    <row r="3713">
      <c r="A3713" s="19" t="s">
        <v>1454</v>
      </c>
    </row>
    <row r="3714">
      <c r="A3714" s="19" t="s">
        <v>1455</v>
      </c>
    </row>
    <row r="3715">
      <c r="A3715" s="19" t="s">
        <v>1486</v>
      </c>
    </row>
    <row r="3716">
      <c r="A3716" s="19" t="s">
        <v>1456</v>
      </c>
    </row>
    <row r="3717">
      <c r="A3717" s="19" t="s">
        <v>2786</v>
      </c>
    </row>
    <row r="3718">
      <c r="A3718" s="19" t="s">
        <v>2787</v>
      </c>
    </row>
    <row r="3719">
      <c r="A3719" s="19" t="s">
        <v>2788</v>
      </c>
    </row>
    <row r="3720">
      <c r="A3720" s="19" t="s">
        <v>1463</v>
      </c>
    </row>
    <row r="3721">
      <c r="A3721" s="19" t="s">
        <v>2789</v>
      </c>
    </row>
    <row r="3722">
      <c r="A3722" s="19" t="s">
        <v>2487</v>
      </c>
    </row>
    <row r="3723">
      <c r="A3723" s="19" t="s">
        <v>2790</v>
      </c>
    </row>
    <row r="3724">
      <c r="A3724" s="19" t="s">
        <v>1466</v>
      </c>
    </row>
    <row r="3725">
      <c r="A3725" s="19" t="s">
        <v>2791</v>
      </c>
    </row>
    <row r="3726">
      <c r="A3726" s="19" t="s">
        <v>2792</v>
      </c>
    </row>
    <row r="3727">
      <c r="A3727" s="19" t="s">
        <v>2793</v>
      </c>
    </row>
    <row r="3728">
      <c r="A3728" s="19" t="s">
        <v>2493</v>
      </c>
    </row>
    <row r="3729">
      <c r="A3729" s="19" t="s">
        <v>1471</v>
      </c>
    </row>
    <row r="3730">
      <c r="A3730" s="19" t="s">
        <v>1472</v>
      </c>
    </row>
    <row r="3731">
      <c r="A3731" s="19" t="s">
        <v>1475</v>
      </c>
    </row>
    <row r="3732">
      <c r="A3732" s="19" t="s">
        <v>1473</v>
      </c>
    </row>
    <row r="3733">
      <c r="A3733" s="19" t="s">
        <v>1474</v>
      </c>
    </row>
    <row r="3734">
      <c r="A3734" s="19" t="s">
        <v>1476</v>
      </c>
    </row>
    <row r="3735">
      <c r="A3735" s="19" t="s">
        <v>1477</v>
      </c>
    </row>
    <row r="3736">
      <c r="A3736" s="19" t="s">
        <v>1478</v>
      </c>
    </row>
    <row r="3737">
      <c r="A3737" s="19" t="s">
        <v>1423</v>
      </c>
    </row>
    <row r="3738">
      <c r="A3738" s="19" t="s">
        <v>2794</v>
      </c>
    </row>
    <row r="3739">
      <c r="A3739" s="19" t="s">
        <v>2795</v>
      </c>
    </row>
    <row r="3740">
      <c r="A3740" s="19" t="s">
        <v>2796</v>
      </c>
    </row>
    <row r="3741">
      <c r="A3741" s="19" t="s">
        <v>2797</v>
      </c>
    </row>
    <row r="3742">
      <c r="A3742" s="19" t="s">
        <v>2798</v>
      </c>
    </row>
    <row r="3743">
      <c r="A3743" s="19" t="s">
        <v>2498</v>
      </c>
    </row>
    <row r="3744">
      <c r="A3744" s="19" t="s">
        <v>2799</v>
      </c>
    </row>
    <row r="3745">
      <c r="A3745" s="19" t="s">
        <v>2800</v>
      </c>
    </row>
    <row r="3746">
      <c r="A3746" s="19" t="s">
        <v>1483</v>
      </c>
    </row>
    <row r="3747">
      <c r="A3747" s="19" t="s">
        <v>1484</v>
      </c>
    </row>
    <row r="3748">
      <c r="A3748" s="19" t="s">
        <v>2801</v>
      </c>
    </row>
    <row r="3749">
      <c r="A3749" s="19" t="s">
        <v>1490</v>
      </c>
    </row>
    <row r="3750">
      <c r="A3750" s="19" t="s">
        <v>1487</v>
      </c>
    </row>
    <row r="3751">
      <c r="A3751" s="19" t="s">
        <v>1491</v>
      </c>
    </row>
    <row r="3752">
      <c r="A3752" s="19" t="s">
        <v>1489</v>
      </c>
    </row>
    <row r="3753">
      <c r="A3753" s="19" t="s">
        <v>1494</v>
      </c>
    </row>
    <row r="3754">
      <c r="A3754" s="19" t="s">
        <v>1493</v>
      </c>
    </row>
    <row r="3755">
      <c r="A3755" s="19" t="s">
        <v>1492</v>
      </c>
    </row>
    <row r="3756">
      <c r="A3756" s="19" t="s">
        <v>1495</v>
      </c>
    </row>
    <row r="3757">
      <c r="A3757" s="19" t="s">
        <v>1496</v>
      </c>
    </row>
    <row r="3758">
      <c r="A3758" s="19" t="s">
        <v>1497</v>
      </c>
    </row>
    <row r="3759">
      <c r="A3759" s="19" t="s">
        <v>1499</v>
      </c>
    </row>
    <row r="3760">
      <c r="A3760" s="19" t="s">
        <v>1498</v>
      </c>
    </row>
    <row r="3761">
      <c r="A3761" s="19" t="s">
        <v>1500</v>
      </c>
    </row>
    <row r="3762">
      <c r="A3762" s="19" t="s">
        <v>1501</v>
      </c>
    </row>
    <row r="3763">
      <c r="A3763" s="19" t="s">
        <v>1502</v>
      </c>
    </row>
    <row r="3764">
      <c r="A3764" s="19" t="s">
        <v>1503</v>
      </c>
    </row>
    <row r="3765">
      <c r="A3765" s="19" t="s">
        <v>1506</v>
      </c>
    </row>
    <row r="3766">
      <c r="A3766" s="19" t="s">
        <v>1504</v>
      </c>
    </row>
    <row r="3767">
      <c r="A3767" s="19" t="s">
        <v>1505</v>
      </c>
    </row>
    <row r="3768">
      <c r="A3768" s="19" t="s">
        <v>1488</v>
      </c>
    </row>
    <row r="3769">
      <c r="A3769" s="19" t="s">
        <v>2802</v>
      </c>
    </row>
    <row r="3770">
      <c r="A3770" s="19" t="s">
        <v>2803</v>
      </c>
    </row>
    <row r="3771">
      <c r="A3771" s="19" t="s">
        <v>2804</v>
      </c>
    </row>
    <row r="3772">
      <c r="A3772" s="19" t="s">
        <v>2805</v>
      </c>
    </row>
    <row r="3773">
      <c r="A3773" s="19" t="s">
        <v>2760</v>
      </c>
    </row>
    <row r="3774">
      <c r="A3774" s="19" t="s">
        <v>1508</v>
      </c>
    </row>
    <row r="3775">
      <c r="A3775" s="19" t="s">
        <v>1509</v>
      </c>
    </row>
    <row r="3776">
      <c r="A3776" s="19" t="s">
        <v>1510</v>
      </c>
    </row>
    <row r="3777">
      <c r="A3777" s="19" t="s">
        <v>2806</v>
      </c>
    </row>
    <row r="3778">
      <c r="A3778" s="19" t="s">
        <v>2807</v>
      </c>
    </row>
    <row r="3779">
      <c r="A3779" s="19" t="s">
        <v>2504</v>
      </c>
    </row>
    <row r="3780">
      <c r="A3780" s="19" t="s">
        <v>2336</v>
      </c>
    </row>
    <row r="3781">
      <c r="A3781" s="19" t="s">
        <v>1513</v>
      </c>
    </row>
    <row r="3782">
      <c r="A3782" s="19" t="s">
        <v>1514</v>
      </c>
    </row>
    <row r="3783">
      <c r="A3783" s="19" t="s">
        <v>1516</v>
      </c>
    </row>
    <row r="3784">
      <c r="A3784" s="19" t="s">
        <v>2808</v>
      </c>
    </row>
    <row r="3785">
      <c r="A3785" s="19" t="s">
        <v>2809</v>
      </c>
    </row>
    <row r="3786">
      <c r="A3786" s="19" t="s">
        <v>1520</v>
      </c>
    </row>
    <row r="3787">
      <c r="A3787" s="19" t="s">
        <v>1521</v>
      </c>
    </row>
    <row r="3788">
      <c r="A3788" s="19" t="s">
        <v>1522</v>
      </c>
    </row>
    <row r="3789">
      <c r="A3789" s="19" t="s">
        <v>1524</v>
      </c>
    </row>
    <row r="3790">
      <c r="A3790" s="19" t="s">
        <v>1523</v>
      </c>
    </row>
    <row r="3791">
      <c r="A3791" s="19" t="s">
        <v>1525</v>
      </c>
    </row>
    <row r="3792">
      <c r="A3792" s="19" t="s">
        <v>1526</v>
      </c>
    </row>
    <row r="3793">
      <c r="A3793" s="19" t="s">
        <v>1530</v>
      </c>
    </row>
    <row r="3794">
      <c r="A3794" s="19" t="s">
        <v>1531</v>
      </c>
    </row>
    <row r="3795">
      <c r="A3795" s="19" t="s">
        <v>2810</v>
      </c>
    </row>
    <row r="3796">
      <c r="A3796" s="19" t="s">
        <v>2811</v>
      </c>
    </row>
    <row r="3797">
      <c r="A3797" s="19" t="s">
        <v>2812</v>
      </c>
    </row>
    <row r="3798">
      <c r="A3798" s="19" t="s">
        <v>2813</v>
      </c>
    </row>
    <row r="3799">
      <c r="A3799" s="19" t="s">
        <v>1537</v>
      </c>
    </row>
    <row r="3800">
      <c r="A3800" s="19" t="s">
        <v>1457</v>
      </c>
    </row>
    <row r="3801">
      <c r="A3801" s="19" t="s">
        <v>2814</v>
      </c>
    </row>
    <row r="3802">
      <c r="A3802" s="19" t="s">
        <v>1539</v>
      </c>
    </row>
    <row r="3803">
      <c r="A3803" s="19" t="s">
        <v>1446</v>
      </c>
    </row>
    <row r="3804">
      <c r="A3804" s="19" t="s">
        <v>1540</v>
      </c>
    </row>
    <row r="3805">
      <c r="A3805" s="19" t="s">
        <v>1541</v>
      </c>
    </row>
    <row r="3806">
      <c r="A3806" s="19" t="s">
        <v>1542</v>
      </c>
    </row>
    <row r="3807">
      <c r="A3807" s="19" t="s">
        <v>2815</v>
      </c>
    </row>
    <row r="3808">
      <c r="A3808" s="19" t="s">
        <v>2816</v>
      </c>
    </row>
    <row r="3809">
      <c r="A3809" s="19" t="s">
        <v>2817</v>
      </c>
    </row>
    <row r="3810">
      <c r="A3810" s="19" t="s">
        <v>2818</v>
      </c>
    </row>
    <row r="3811">
      <c r="A3811" s="19" t="s">
        <v>2819</v>
      </c>
    </row>
    <row r="3812">
      <c r="A3812" s="19" t="s">
        <v>1543</v>
      </c>
    </row>
    <row r="3813">
      <c r="A3813" s="19" t="s">
        <v>2820</v>
      </c>
    </row>
    <row r="3814">
      <c r="A3814" s="19" t="s">
        <v>2821</v>
      </c>
    </row>
    <row r="3815">
      <c r="A3815" s="19" t="s">
        <v>2822</v>
      </c>
    </row>
    <row r="3816">
      <c r="A3816" s="19" t="s">
        <v>2823</v>
      </c>
    </row>
    <row r="3817">
      <c r="A3817" s="19" t="s">
        <v>2824</v>
      </c>
    </row>
    <row r="3818">
      <c r="A3818" s="19" t="s">
        <v>2825</v>
      </c>
    </row>
    <row r="3819">
      <c r="A3819" s="19" t="s">
        <v>2330</v>
      </c>
    </row>
    <row r="3820">
      <c r="A3820" s="19" t="s">
        <v>2826</v>
      </c>
    </row>
    <row r="3821">
      <c r="A3821" s="19" t="s">
        <v>2827</v>
      </c>
    </row>
    <row r="3822">
      <c r="A3822" s="19" t="s">
        <v>1547</v>
      </c>
    </row>
    <row r="3823">
      <c r="A3823" s="19" t="s">
        <v>744</v>
      </c>
    </row>
    <row r="3824">
      <c r="A3824" s="19" t="s">
        <v>2828</v>
      </c>
    </row>
    <row r="3825">
      <c r="A3825" s="19" t="s">
        <v>2829</v>
      </c>
    </row>
    <row r="3826">
      <c r="A3826" s="19" t="s">
        <v>2830</v>
      </c>
    </row>
    <row r="3827">
      <c r="A3827" s="19" t="s">
        <v>2831</v>
      </c>
    </row>
    <row r="3828">
      <c r="A3828" s="19" t="s">
        <v>2832</v>
      </c>
    </row>
    <row r="3829">
      <c r="A3829" s="19" t="s">
        <v>2833</v>
      </c>
    </row>
    <row r="3830">
      <c r="A3830" s="19" t="s">
        <v>2834</v>
      </c>
    </row>
    <row r="3831">
      <c r="A3831" s="21"/>
    </row>
    <row r="3832">
      <c r="A3832" s="19" t="s">
        <v>1530</v>
      </c>
    </row>
    <row r="3833">
      <c r="A3833" s="19" t="s">
        <v>2835</v>
      </c>
    </row>
    <row r="3834">
      <c r="A3834" s="19" t="s">
        <v>2836</v>
      </c>
    </row>
    <row r="3835">
      <c r="A3835" s="19" t="s">
        <v>2335</v>
      </c>
    </row>
    <row r="3836">
      <c r="A3836" s="19" t="s">
        <v>1390</v>
      </c>
    </row>
    <row r="3837">
      <c r="A3837" s="19" t="s">
        <v>2837</v>
      </c>
    </row>
    <row r="3838">
      <c r="A3838" s="19" t="s">
        <v>2838</v>
      </c>
    </row>
    <row r="3839">
      <c r="A3839" s="19" t="s">
        <v>2839</v>
      </c>
    </row>
    <row r="3840">
      <c r="A3840" s="19" t="s">
        <v>2840</v>
      </c>
    </row>
    <row r="3841">
      <c r="A3841" s="19" t="s">
        <v>2841</v>
      </c>
    </row>
    <row r="3842">
      <c r="A3842" s="19" t="s">
        <v>2842</v>
      </c>
    </row>
    <row r="3843">
      <c r="A3843" s="19" t="s">
        <v>2843</v>
      </c>
    </row>
    <row r="3844">
      <c r="A3844" s="19" t="s">
        <v>2844</v>
      </c>
    </row>
    <row r="3845">
      <c r="A3845" s="19" t="s">
        <v>2845</v>
      </c>
    </row>
    <row r="3846">
      <c r="A3846" s="19" t="s">
        <v>2846</v>
      </c>
    </row>
    <row r="3847">
      <c r="A3847" s="19" t="s">
        <v>2847</v>
      </c>
    </row>
    <row r="3848">
      <c r="A3848" s="19" t="s">
        <v>2848</v>
      </c>
    </row>
    <row r="3849">
      <c r="A3849" s="19" t="s">
        <v>2849</v>
      </c>
    </row>
    <row r="3850">
      <c r="A3850" s="19" t="s">
        <v>2850</v>
      </c>
    </row>
    <row r="3851">
      <c r="A3851" s="19" t="s">
        <v>2851</v>
      </c>
    </row>
    <row r="3852">
      <c r="A3852" s="19" t="s">
        <v>2852</v>
      </c>
    </row>
    <row r="3853">
      <c r="A3853" s="19" t="s">
        <v>2853</v>
      </c>
    </row>
    <row r="3854">
      <c r="A3854" s="19" t="s">
        <v>2854</v>
      </c>
    </row>
    <row r="3855">
      <c r="A3855" s="19" t="s">
        <v>2855</v>
      </c>
    </row>
    <row r="3856">
      <c r="A3856" s="19" t="s">
        <v>2856</v>
      </c>
    </row>
    <row r="3857">
      <c r="A3857" s="19" t="s">
        <v>2857</v>
      </c>
    </row>
    <row r="3858">
      <c r="A3858" s="19" t="s">
        <v>2328</v>
      </c>
    </row>
    <row r="3859">
      <c r="A3859" s="19" t="s">
        <v>2858</v>
      </c>
    </row>
    <row r="3860">
      <c r="A3860" s="19" t="s">
        <v>865</v>
      </c>
    </row>
    <row r="3861">
      <c r="A3861" s="19" t="s">
        <v>2859</v>
      </c>
    </row>
    <row r="3862">
      <c r="A3862" s="19" t="s">
        <v>2860</v>
      </c>
    </row>
    <row r="3863">
      <c r="A3863" s="19" t="s">
        <v>2246</v>
      </c>
    </row>
    <row r="3864">
      <c r="A3864" s="19" t="s">
        <v>2861</v>
      </c>
    </row>
    <row r="3865">
      <c r="A3865" s="19" t="s">
        <v>2862</v>
      </c>
    </row>
    <row r="3866">
      <c r="A3866" s="19" t="s">
        <v>2863</v>
      </c>
    </row>
    <row r="3867">
      <c r="A3867" s="19" t="s">
        <v>2864</v>
      </c>
    </row>
    <row r="3868">
      <c r="A3868" s="19" t="s">
        <v>2865</v>
      </c>
    </row>
    <row r="3869">
      <c r="A3869" s="19" t="s">
        <v>2866</v>
      </c>
    </row>
    <row r="3870">
      <c r="A3870" s="19" t="s">
        <v>2867</v>
      </c>
    </row>
    <row r="3871">
      <c r="A3871" s="19" t="s">
        <v>2868</v>
      </c>
    </row>
    <row r="3872">
      <c r="A3872" s="19" t="s">
        <v>2869</v>
      </c>
    </row>
    <row r="3873">
      <c r="A3873" s="19" t="s">
        <v>866</v>
      </c>
    </row>
    <row r="3874">
      <c r="A3874" s="19" t="s">
        <v>2870</v>
      </c>
    </row>
    <row r="3875">
      <c r="A3875" s="19" t="s">
        <v>2041</v>
      </c>
    </row>
    <row r="3876">
      <c r="A3876" s="19" t="s">
        <v>2871</v>
      </c>
    </row>
    <row r="3877">
      <c r="A3877" s="19" t="s">
        <v>2872</v>
      </c>
    </row>
    <row r="3878">
      <c r="A3878" s="19" t="s">
        <v>2319</v>
      </c>
    </row>
    <row r="3879">
      <c r="A3879" s="19" t="s">
        <v>2873</v>
      </c>
    </row>
    <row r="3880">
      <c r="A3880" s="19" t="s">
        <v>2874</v>
      </c>
    </row>
    <row r="3881">
      <c r="A3881" s="19" t="s">
        <v>2875</v>
      </c>
    </row>
    <row r="3882">
      <c r="A3882" s="19" t="s">
        <v>872</v>
      </c>
    </row>
    <row r="3883">
      <c r="A3883" s="19" t="s">
        <v>2876</v>
      </c>
    </row>
    <row r="3884">
      <c r="A3884" s="19" t="s">
        <v>878</v>
      </c>
    </row>
    <row r="3885">
      <c r="A3885" s="19" t="s">
        <v>880</v>
      </c>
    </row>
    <row r="3886">
      <c r="A3886" s="19" t="s">
        <v>887</v>
      </c>
    </row>
    <row r="3887">
      <c r="A3887" s="19" t="s">
        <v>889</v>
      </c>
    </row>
    <row r="3888">
      <c r="A3888" s="19" t="s">
        <v>888</v>
      </c>
    </row>
    <row r="3889">
      <c r="A3889" s="19" t="s">
        <v>890</v>
      </c>
    </row>
    <row r="3890">
      <c r="A3890" s="19" t="s">
        <v>891</v>
      </c>
    </row>
    <row r="3891">
      <c r="A3891" s="19" t="s">
        <v>2877</v>
      </c>
    </row>
    <row r="3892">
      <c r="A3892" s="19" t="s">
        <v>2878</v>
      </c>
    </row>
    <row r="3893">
      <c r="A3893" s="19" t="s">
        <v>2879</v>
      </c>
    </row>
    <row r="3894">
      <c r="A3894" s="19" t="s">
        <v>2880</v>
      </c>
    </row>
    <row r="3895">
      <c r="A3895" s="19" t="s">
        <v>2881</v>
      </c>
    </row>
    <row r="3896">
      <c r="A3896" s="19" t="s">
        <v>2882</v>
      </c>
    </row>
    <row r="3897">
      <c r="A3897" s="19" t="s">
        <v>2883</v>
      </c>
    </row>
    <row r="3898">
      <c r="A3898" s="19" t="s">
        <v>1396</v>
      </c>
    </row>
    <row r="3899">
      <c r="A3899" s="19" t="s">
        <v>2884</v>
      </c>
    </row>
    <row r="3900">
      <c r="A3900" s="19" t="s">
        <v>2885</v>
      </c>
    </row>
    <row r="3901">
      <c r="A3901" s="19" t="s">
        <v>1398</v>
      </c>
    </row>
    <row r="3902">
      <c r="A3902" s="19" t="s">
        <v>1230</v>
      </c>
    </row>
    <row r="3903">
      <c r="A3903" s="19" t="s">
        <v>2886</v>
      </c>
    </row>
    <row r="3904">
      <c r="A3904" s="19" t="s">
        <v>2877</v>
      </c>
    </row>
    <row r="3905">
      <c r="A3905" s="19" t="s">
        <v>2046</v>
      </c>
    </row>
    <row r="3906">
      <c r="A3906" s="19" t="s">
        <v>2336</v>
      </c>
    </row>
    <row r="3907">
      <c r="A3907" s="19" t="s">
        <v>2887</v>
      </c>
    </row>
    <row r="3908">
      <c r="A3908" s="19" t="s">
        <v>897</v>
      </c>
    </row>
    <row r="3909">
      <c r="A3909" s="19" t="s">
        <v>2888</v>
      </c>
    </row>
    <row r="3910">
      <c r="A3910" s="19" t="s">
        <v>2889</v>
      </c>
    </row>
    <row r="3911">
      <c r="A3911" s="19" t="s">
        <v>2890</v>
      </c>
    </row>
    <row r="3912">
      <c r="A3912" s="19" t="s">
        <v>2891</v>
      </c>
    </row>
    <row r="3913">
      <c r="A3913" s="19" t="s">
        <v>2892</v>
      </c>
    </row>
    <row r="3914">
      <c r="A3914" s="19" t="s">
        <v>2893</v>
      </c>
    </row>
    <row r="3915">
      <c r="A3915" s="19" t="s">
        <v>2894</v>
      </c>
    </row>
    <row r="3916">
      <c r="A3916" s="19" t="s">
        <v>1574</v>
      </c>
    </row>
    <row r="3917">
      <c r="A3917" s="19" t="s">
        <v>2895</v>
      </c>
    </row>
    <row r="3918">
      <c r="A3918" s="19" t="s">
        <v>2896</v>
      </c>
    </row>
    <row r="3919">
      <c r="A3919" s="19" t="s">
        <v>898</v>
      </c>
    </row>
    <row r="3920">
      <c r="A3920" s="19" t="s">
        <v>2897</v>
      </c>
    </row>
    <row r="3921">
      <c r="A3921" s="19" t="s">
        <v>2898</v>
      </c>
    </row>
    <row r="3922">
      <c r="A3922" s="19" t="s">
        <v>901</v>
      </c>
    </row>
    <row r="3923">
      <c r="A3923" s="19" t="s">
        <v>1403</v>
      </c>
    </row>
    <row r="3924">
      <c r="A3924" s="19" t="s">
        <v>1404</v>
      </c>
    </row>
    <row r="3925">
      <c r="A3925" s="19" t="s">
        <v>2899</v>
      </c>
    </row>
    <row r="3926">
      <c r="A3926" s="19" t="s">
        <v>902</v>
      </c>
    </row>
    <row r="3927">
      <c r="A3927" s="19" t="s">
        <v>2049</v>
      </c>
    </row>
    <row r="3928">
      <c r="A3928" s="19" t="s">
        <v>2900</v>
      </c>
    </row>
    <row r="3929">
      <c r="A3929" s="19" t="s">
        <v>2901</v>
      </c>
    </row>
    <row r="3930">
      <c r="A3930" s="19" t="s">
        <v>2902</v>
      </c>
    </row>
    <row r="3931">
      <c r="A3931" s="19" t="s">
        <v>2903</v>
      </c>
    </row>
    <row r="3932">
      <c r="A3932" s="19" t="s">
        <v>2904</v>
      </c>
    </row>
    <row r="3933">
      <c r="A3933" s="19" t="s">
        <v>2905</v>
      </c>
    </row>
    <row r="3934">
      <c r="A3934" s="19" t="s">
        <v>1643</v>
      </c>
    </row>
    <row r="3935">
      <c r="A3935" s="19" t="s">
        <v>2906</v>
      </c>
    </row>
    <row r="3936">
      <c r="A3936" s="19" t="s">
        <v>2907</v>
      </c>
    </row>
    <row r="3937">
      <c r="A3937" s="19" t="s">
        <v>2908</v>
      </c>
    </row>
    <row r="3938">
      <c r="A3938" s="19" t="s">
        <v>2909</v>
      </c>
    </row>
    <row r="3939">
      <c r="A3939" s="19" t="s">
        <v>2340</v>
      </c>
    </row>
    <row r="3940">
      <c r="A3940" s="19" t="s">
        <v>2910</v>
      </c>
    </row>
    <row r="3941">
      <c r="A3941" s="19" t="s">
        <v>2911</v>
      </c>
    </row>
    <row r="3942">
      <c r="A3942" s="19" t="s">
        <v>2912</v>
      </c>
    </row>
    <row r="3943">
      <c r="A3943" s="19" t="s">
        <v>2913</v>
      </c>
    </row>
    <row r="3944">
      <c r="A3944" s="19" t="s">
        <v>2914</v>
      </c>
    </row>
    <row r="3945">
      <c r="A3945" s="19" t="s">
        <v>914</v>
      </c>
    </row>
    <row r="3946">
      <c r="A3946" s="19" t="s">
        <v>2915</v>
      </c>
    </row>
    <row r="3947">
      <c r="A3947" s="19" t="s">
        <v>2916</v>
      </c>
    </row>
    <row r="3948">
      <c r="A3948" s="19" t="s">
        <v>2917</v>
      </c>
    </row>
    <row r="3949">
      <c r="A3949" s="19" t="s">
        <v>2918</v>
      </c>
    </row>
    <row r="3950">
      <c r="A3950" s="19" t="s">
        <v>2919</v>
      </c>
    </row>
    <row r="3951">
      <c r="A3951" s="19" t="s">
        <v>2920</v>
      </c>
    </row>
    <row r="3952">
      <c r="A3952" s="19" t="s">
        <v>2921</v>
      </c>
    </row>
    <row r="3953">
      <c r="A3953" s="19" t="s">
        <v>2922</v>
      </c>
    </row>
    <row r="3954">
      <c r="A3954" s="19" t="s">
        <v>2923</v>
      </c>
    </row>
    <row r="3955">
      <c r="A3955" s="19" t="s">
        <v>2924</v>
      </c>
    </row>
    <row r="3956">
      <c r="A3956" s="19" t="s">
        <v>2925</v>
      </c>
    </row>
    <row r="3957">
      <c r="A3957" s="19" t="s">
        <v>2877</v>
      </c>
    </row>
    <row r="3958">
      <c r="A3958" s="19" t="s">
        <v>2926</v>
      </c>
    </row>
    <row r="3959">
      <c r="A3959" s="19" t="s">
        <v>2927</v>
      </c>
    </row>
    <row r="3960">
      <c r="A3960" s="19" t="s">
        <v>2928</v>
      </c>
    </row>
    <row r="3961">
      <c r="A3961" s="19" t="s">
        <v>2877</v>
      </c>
    </row>
    <row r="3962">
      <c r="A3962" s="19" t="s">
        <v>2929</v>
      </c>
    </row>
    <row r="3963">
      <c r="A3963" s="19" t="s">
        <v>922</v>
      </c>
    </row>
    <row r="3964">
      <c r="A3964" s="19" t="s">
        <v>924</v>
      </c>
    </row>
    <row r="3965">
      <c r="A3965" s="19" t="s">
        <v>925</v>
      </c>
    </row>
    <row r="3966">
      <c r="A3966" s="19" t="s">
        <v>2930</v>
      </c>
    </row>
    <row r="3967">
      <c r="A3967" s="19" t="s">
        <v>2931</v>
      </c>
    </row>
    <row r="3968">
      <c r="A3968" s="19" t="s">
        <v>2351</v>
      </c>
    </row>
    <row r="3969">
      <c r="A3969" s="19" t="s">
        <v>2932</v>
      </c>
    </row>
    <row r="3970">
      <c r="A3970" s="19" t="s">
        <v>1414</v>
      </c>
    </row>
    <row r="3971">
      <c r="A3971" s="19" t="s">
        <v>931</v>
      </c>
    </row>
    <row r="3972">
      <c r="A3972" s="19" t="s">
        <v>933</v>
      </c>
    </row>
    <row r="3973">
      <c r="A3973" s="19" t="s">
        <v>2933</v>
      </c>
    </row>
    <row r="3974">
      <c r="A3974" s="19" t="s">
        <v>2934</v>
      </c>
    </row>
    <row r="3975">
      <c r="A3975" s="19" t="s">
        <v>2935</v>
      </c>
    </row>
    <row r="3976">
      <c r="A3976" s="19" t="s">
        <v>934</v>
      </c>
    </row>
    <row r="3977">
      <c r="A3977" s="19" t="s">
        <v>940</v>
      </c>
    </row>
    <row r="3978">
      <c r="A3978" s="19" t="s">
        <v>2936</v>
      </c>
    </row>
    <row r="3979">
      <c r="A3979" s="19" t="s">
        <v>935</v>
      </c>
    </row>
    <row r="3980">
      <c r="A3980" s="19" t="s">
        <v>939</v>
      </c>
    </row>
    <row r="3981">
      <c r="A3981" s="19" t="s">
        <v>2937</v>
      </c>
    </row>
    <row r="3982">
      <c r="A3982" s="19" t="s">
        <v>1057</v>
      </c>
    </row>
    <row r="3983">
      <c r="A3983" s="19" t="s">
        <v>2938</v>
      </c>
    </row>
    <row r="3984">
      <c r="A3984" s="19" t="s">
        <v>2939</v>
      </c>
    </row>
    <row r="3985">
      <c r="A3985" s="19" t="s">
        <v>2940</v>
      </c>
    </row>
    <row r="3986">
      <c r="A3986" s="19" t="s">
        <v>2941</v>
      </c>
    </row>
    <row r="3987">
      <c r="A3987" s="19" t="s">
        <v>1420</v>
      </c>
    </row>
    <row r="3988">
      <c r="A3988" s="19" t="s">
        <v>2942</v>
      </c>
    </row>
    <row r="3989">
      <c r="A3989" s="19" t="s">
        <v>2943</v>
      </c>
    </row>
    <row r="3990">
      <c r="A3990" s="19" t="s">
        <v>1423</v>
      </c>
    </row>
    <row r="3991">
      <c r="A3991" s="19" t="s">
        <v>1424</v>
      </c>
    </row>
    <row r="3992">
      <c r="A3992" s="19" t="s">
        <v>952</v>
      </c>
    </row>
    <row r="3993">
      <c r="A3993" s="19" t="s">
        <v>2944</v>
      </c>
    </row>
    <row r="3994">
      <c r="A3994" s="19" t="s">
        <v>2945</v>
      </c>
    </row>
    <row r="3995">
      <c r="A3995" s="19" t="s">
        <v>1426</v>
      </c>
    </row>
    <row r="3996">
      <c r="A3996" s="19" t="s">
        <v>1427</v>
      </c>
    </row>
    <row r="3997">
      <c r="A3997" s="19" t="s">
        <v>1429</v>
      </c>
    </row>
    <row r="3998">
      <c r="A3998" s="19" t="s">
        <v>2946</v>
      </c>
    </row>
    <row r="3999">
      <c r="A3999" s="19" t="s">
        <v>2947</v>
      </c>
    </row>
    <row r="4000">
      <c r="A4000" s="19" t="s">
        <v>2948</v>
      </c>
    </row>
    <row r="4001">
      <c r="A4001" s="19" t="s">
        <v>2949</v>
      </c>
    </row>
    <row r="4002">
      <c r="A4002" s="19" t="s">
        <v>2950</v>
      </c>
    </row>
    <row r="4003">
      <c r="A4003" s="19" t="s">
        <v>2359</v>
      </c>
    </row>
    <row r="4004">
      <c r="A4004" s="19" t="s">
        <v>2951</v>
      </c>
    </row>
    <row r="4005">
      <c r="A4005" s="19" t="s">
        <v>2952</v>
      </c>
    </row>
    <row r="4006">
      <c r="A4006" s="19" t="s">
        <v>2953</v>
      </c>
    </row>
    <row r="4007">
      <c r="A4007" s="19" t="s">
        <v>2954</v>
      </c>
    </row>
    <row r="4008">
      <c r="A4008" s="19" t="s">
        <v>2955</v>
      </c>
    </row>
    <row r="4009">
      <c r="A4009" s="19" t="s">
        <v>2362</v>
      </c>
    </row>
    <row r="4010">
      <c r="A4010" s="19" t="s">
        <v>2956</v>
      </c>
    </row>
    <row r="4011">
      <c r="A4011" s="19" t="s">
        <v>2957</v>
      </c>
    </row>
    <row r="4012">
      <c r="A4012" s="19" t="s">
        <v>2958</v>
      </c>
    </row>
    <row r="4013">
      <c r="A4013" s="19" t="s">
        <v>2959</v>
      </c>
    </row>
    <row r="4014">
      <c r="A4014" s="21"/>
    </row>
    <row r="4015">
      <c r="A4015" s="19" t="s">
        <v>2960</v>
      </c>
    </row>
    <row r="4016">
      <c r="A4016" s="19" t="s">
        <v>2877</v>
      </c>
    </row>
    <row r="4017">
      <c r="A4017" s="19" t="s">
        <v>2961</v>
      </c>
    </row>
    <row r="4018">
      <c r="A4018" s="19" t="s">
        <v>2962</v>
      </c>
    </row>
    <row r="4019">
      <c r="A4019" s="19" t="s">
        <v>2963</v>
      </c>
    </row>
    <row r="4020">
      <c r="A4020" s="19" t="s">
        <v>2964</v>
      </c>
    </row>
    <row r="4021">
      <c r="A4021" s="19" t="s">
        <v>962</v>
      </c>
    </row>
    <row r="4022">
      <c r="A4022" s="19" t="s">
        <v>963</v>
      </c>
    </row>
    <row r="4023">
      <c r="A4023" s="19" t="s">
        <v>1438</v>
      </c>
    </row>
    <row r="4024">
      <c r="A4024" s="19" t="s">
        <v>2965</v>
      </c>
    </row>
    <row r="4025">
      <c r="A4025" s="19" t="s">
        <v>2966</v>
      </c>
    </row>
    <row r="4026">
      <c r="A4026" s="19" t="s">
        <v>2967</v>
      </c>
    </row>
    <row r="4027">
      <c r="A4027" s="19" t="s">
        <v>2367</v>
      </c>
    </row>
    <row r="4028">
      <c r="A4028" s="19" t="s">
        <v>1439</v>
      </c>
    </row>
    <row r="4029">
      <c r="A4029" s="19" t="s">
        <v>2368</v>
      </c>
    </row>
    <row r="4030">
      <c r="A4030" s="19" t="s">
        <v>2968</v>
      </c>
    </row>
    <row r="4031">
      <c r="A4031" s="19" t="s">
        <v>2969</v>
      </c>
    </row>
    <row r="4032">
      <c r="A4032" s="19" t="s">
        <v>2970</v>
      </c>
    </row>
    <row r="4033">
      <c r="A4033" s="19" t="s">
        <v>2971</v>
      </c>
    </row>
    <row r="4034">
      <c r="A4034" s="19" t="s">
        <v>2972</v>
      </c>
    </row>
    <row r="4035">
      <c r="A4035" s="19" t="s">
        <v>1442</v>
      </c>
    </row>
    <row r="4036">
      <c r="A4036" s="19" t="s">
        <v>1456</v>
      </c>
    </row>
    <row r="4037">
      <c r="A4037" s="19" t="s">
        <v>1457</v>
      </c>
    </row>
    <row r="4038">
      <c r="A4038" s="19" t="s">
        <v>1458</v>
      </c>
    </row>
    <row r="4039">
      <c r="A4039" s="19" t="s">
        <v>2973</v>
      </c>
    </row>
    <row r="4040">
      <c r="A4040" s="19" t="s">
        <v>2974</v>
      </c>
    </row>
    <row r="4041">
      <c r="A4041" s="19" t="s">
        <v>2975</v>
      </c>
    </row>
    <row r="4042">
      <c r="A4042" s="19" t="s">
        <v>2976</v>
      </c>
    </row>
    <row r="4043">
      <c r="A4043" s="19" t="s">
        <v>1459</v>
      </c>
    </row>
    <row r="4044">
      <c r="A4044" s="19" t="s">
        <v>2977</v>
      </c>
    </row>
    <row r="4045">
      <c r="A4045" s="19" t="s">
        <v>2978</v>
      </c>
    </row>
    <row r="4046">
      <c r="A4046" s="19" t="s">
        <v>2979</v>
      </c>
    </row>
    <row r="4047">
      <c r="A4047" s="19" t="s">
        <v>2980</v>
      </c>
    </row>
    <row r="4048">
      <c r="A4048" s="19" t="s">
        <v>2981</v>
      </c>
    </row>
    <row r="4049">
      <c r="A4049" s="19" t="s">
        <v>1462</v>
      </c>
    </row>
    <row r="4050">
      <c r="A4050" s="19" t="s">
        <v>1463</v>
      </c>
    </row>
    <row r="4051">
      <c r="A4051" s="19" t="s">
        <v>2982</v>
      </c>
    </row>
    <row r="4052">
      <c r="A4052" s="19" t="s">
        <v>2983</v>
      </c>
    </row>
    <row r="4053">
      <c r="A4053" s="19" t="s">
        <v>2984</v>
      </c>
    </row>
    <row r="4054">
      <c r="A4054" s="19" t="s">
        <v>2320</v>
      </c>
    </row>
    <row r="4055">
      <c r="A4055" s="19" t="s">
        <v>1466</v>
      </c>
    </row>
    <row r="4056">
      <c r="A4056" s="19" t="s">
        <v>1615</v>
      </c>
    </row>
    <row r="4057">
      <c r="A4057" s="19" t="s">
        <v>969</v>
      </c>
    </row>
    <row r="4058">
      <c r="A4058" s="19" t="s">
        <v>973</v>
      </c>
    </row>
    <row r="4059">
      <c r="A4059" s="19" t="s">
        <v>974</v>
      </c>
    </row>
    <row r="4060">
      <c r="A4060" s="19" t="s">
        <v>975</v>
      </c>
    </row>
    <row r="4061">
      <c r="A4061" s="19" t="s">
        <v>2985</v>
      </c>
    </row>
    <row r="4062">
      <c r="A4062" s="19" t="s">
        <v>2493</v>
      </c>
    </row>
    <row r="4063">
      <c r="A4063" s="19" t="s">
        <v>2986</v>
      </c>
    </row>
    <row r="4064">
      <c r="A4064" s="19" t="s">
        <v>2987</v>
      </c>
    </row>
    <row r="4065">
      <c r="A4065" s="19" t="s">
        <v>2058</v>
      </c>
    </row>
    <row r="4066">
      <c r="A4066" s="19" t="s">
        <v>2988</v>
      </c>
    </row>
    <row r="4067">
      <c r="A4067" s="19" t="s">
        <v>2989</v>
      </c>
    </row>
    <row r="4068">
      <c r="A4068" s="19" t="s">
        <v>2990</v>
      </c>
    </row>
    <row r="4069">
      <c r="A4069" s="19" t="s">
        <v>2991</v>
      </c>
    </row>
    <row r="4070">
      <c r="A4070" s="19" t="s">
        <v>2888</v>
      </c>
    </row>
    <row r="4071">
      <c r="A4071" s="19" t="s">
        <v>2992</v>
      </c>
    </row>
    <row r="4072">
      <c r="A4072" s="19" t="s">
        <v>2993</v>
      </c>
    </row>
    <row r="4073">
      <c r="A4073" s="19" t="s">
        <v>2994</v>
      </c>
    </row>
    <row r="4074">
      <c r="A4074" s="19" t="s">
        <v>2995</v>
      </c>
    </row>
    <row r="4075">
      <c r="A4075" s="19" t="s">
        <v>2996</v>
      </c>
    </row>
    <row r="4076">
      <c r="A4076" s="19" t="s">
        <v>2997</v>
      </c>
    </row>
    <row r="4077">
      <c r="A4077" s="19" t="s">
        <v>2998</v>
      </c>
    </row>
    <row r="4078">
      <c r="A4078" s="19" t="s">
        <v>2999</v>
      </c>
    </row>
    <row r="4079">
      <c r="A4079" s="19" t="s">
        <v>3000</v>
      </c>
    </row>
    <row r="4080">
      <c r="A4080" s="19" t="s">
        <v>3001</v>
      </c>
    </row>
    <row r="4081">
      <c r="A4081" s="19" t="s">
        <v>3002</v>
      </c>
    </row>
    <row r="4082">
      <c r="A4082" s="19" t="s">
        <v>3003</v>
      </c>
    </row>
    <row r="4083">
      <c r="A4083" s="19" t="s">
        <v>1471</v>
      </c>
    </row>
    <row r="4084">
      <c r="A4084" s="19" t="s">
        <v>1476</v>
      </c>
    </row>
    <row r="4085">
      <c r="A4085" s="19" t="s">
        <v>3004</v>
      </c>
    </row>
    <row r="4086">
      <c r="A4086" s="19" t="s">
        <v>3005</v>
      </c>
    </row>
    <row r="4087">
      <c r="A4087" s="19" t="s">
        <v>981</v>
      </c>
    </row>
    <row r="4088">
      <c r="A4088" s="19" t="s">
        <v>982</v>
      </c>
    </row>
    <row r="4089">
      <c r="A4089" s="19" t="s">
        <v>983</v>
      </c>
    </row>
    <row r="4090">
      <c r="A4090" s="19" t="s">
        <v>3006</v>
      </c>
    </row>
    <row r="4091">
      <c r="A4091" s="19" t="s">
        <v>3007</v>
      </c>
    </row>
    <row r="4092">
      <c r="A4092" s="19" t="s">
        <v>989</v>
      </c>
    </row>
    <row r="4093">
      <c r="A4093" s="19" t="s">
        <v>3008</v>
      </c>
    </row>
    <row r="4094">
      <c r="A4094" s="19" t="s">
        <v>993</v>
      </c>
    </row>
    <row r="4095">
      <c r="A4095" s="19" t="s">
        <v>995</v>
      </c>
    </row>
    <row r="4096">
      <c r="A4096" s="19" t="s">
        <v>1001</v>
      </c>
    </row>
    <row r="4097">
      <c r="A4097" s="19" t="s">
        <v>3009</v>
      </c>
    </row>
    <row r="4098">
      <c r="A4098" s="19" t="s">
        <v>3010</v>
      </c>
    </row>
    <row r="4099">
      <c r="A4099" s="19" t="s">
        <v>3011</v>
      </c>
    </row>
    <row r="4100">
      <c r="A4100" s="19" t="s">
        <v>3012</v>
      </c>
    </row>
    <row r="4101">
      <c r="A4101" s="19" t="s">
        <v>3013</v>
      </c>
    </row>
    <row r="4102">
      <c r="A4102" s="19" t="s">
        <v>3014</v>
      </c>
    </row>
    <row r="4103">
      <c r="A4103" s="19" t="s">
        <v>3015</v>
      </c>
    </row>
    <row r="4104">
      <c r="A4104" s="19" t="s">
        <v>3016</v>
      </c>
    </row>
    <row r="4105">
      <c r="A4105" s="19" t="s">
        <v>2902</v>
      </c>
    </row>
    <row r="4106">
      <c r="A4106" s="19" t="s">
        <v>3017</v>
      </c>
    </row>
    <row r="4107">
      <c r="A4107" s="19" t="s">
        <v>3018</v>
      </c>
    </row>
    <row r="4108">
      <c r="A4108" s="19" t="s">
        <v>1484</v>
      </c>
    </row>
    <row r="4109">
      <c r="A4109" s="19" t="s">
        <v>3019</v>
      </c>
    </row>
    <row r="4110">
      <c r="A4110" s="19" t="s">
        <v>3020</v>
      </c>
    </row>
    <row r="4111">
      <c r="A4111" s="19" t="s">
        <v>1486</v>
      </c>
    </row>
    <row r="4112">
      <c r="A4112" s="19" t="s">
        <v>3021</v>
      </c>
    </row>
    <row r="4113">
      <c r="A4113" s="19" t="s">
        <v>1489</v>
      </c>
    </row>
    <row r="4114">
      <c r="A4114" s="19" t="s">
        <v>1494</v>
      </c>
    </row>
    <row r="4115">
      <c r="A4115" s="19" t="s">
        <v>1493</v>
      </c>
    </row>
    <row r="4116">
      <c r="A4116" s="19" t="s">
        <v>1496</v>
      </c>
    </row>
    <row r="4117">
      <c r="A4117" s="19" t="s">
        <v>3022</v>
      </c>
    </row>
    <row r="4118">
      <c r="A4118" s="19" t="s">
        <v>3023</v>
      </c>
    </row>
    <row r="4119">
      <c r="A4119" s="19" t="s">
        <v>3024</v>
      </c>
    </row>
    <row r="4120">
      <c r="A4120" s="19" t="s">
        <v>3025</v>
      </c>
    </row>
    <row r="4121">
      <c r="A4121" s="19" t="s">
        <v>2811</v>
      </c>
    </row>
    <row r="4122">
      <c r="A4122" s="19" t="s">
        <v>3026</v>
      </c>
    </row>
    <row r="4123">
      <c r="A4123" s="19" t="s">
        <v>3027</v>
      </c>
    </row>
    <row r="4124">
      <c r="A4124" s="19" t="s">
        <v>1020</v>
      </c>
    </row>
    <row r="4125">
      <c r="A4125" s="19" t="s">
        <v>1022</v>
      </c>
    </row>
    <row r="4126">
      <c r="A4126" s="19" t="s">
        <v>3028</v>
      </c>
    </row>
    <row r="4127">
      <c r="A4127" s="19" t="s">
        <v>3029</v>
      </c>
    </row>
    <row r="4128">
      <c r="A4128" s="19" t="s">
        <v>2877</v>
      </c>
    </row>
    <row r="4129">
      <c r="A4129" s="19" t="s">
        <v>3030</v>
      </c>
    </row>
    <row r="4130">
      <c r="A4130" s="19" t="s">
        <v>1508</v>
      </c>
    </row>
    <row r="4131">
      <c r="A4131" s="19" t="s">
        <v>1509</v>
      </c>
    </row>
    <row r="4132">
      <c r="A4132" s="19" t="s">
        <v>1510</v>
      </c>
    </row>
    <row r="4133">
      <c r="A4133" s="19" t="s">
        <v>3031</v>
      </c>
    </row>
    <row r="4134">
      <c r="A4134" s="19" t="s">
        <v>1513</v>
      </c>
    </row>
    <row r="4135">
      <c r="A4135" s="19" t="s">
        <v>1486</v>
      </c>
    </row>
    <row r="4136">
      <c r="A4136" s="19" t="s">
        <v>1516</v>
      </c>
    </row>
    <row r="4137">
      <c r="A4137" s="19" t="s">
        <v>1029</v>
      </c>
    </row>
    <row r="4138">
      <c r="A4138" s="19" t="s">
        <v>2888</v>
      </c>
    </row>
    <row r="4139">
      <c r="A4139" s="19" t="s">
        <v>3032</v>
      </c>
    </row>
    <row r="4140">
      <c r="A4140" s="19" t="s">
        <v>3033</v>
      </c>
    </row>
    <row r="4141">
      <c r="A4141" s="19" t="s">
        <v>3034</v>
      </c>
    </row>
    <row r="4142">
      <c r="A4142" s="19" t="s">
        <v>1520</v>
      </c>
    </row>
    <row r="4143">
      <c r="A4143" s="19" t="s">
        <v>3035</v>
      </c>
    </row>
    <row r="4144">
      <c r="A4144" s="19" t="s">
        <v>3036</v>
      </c>
    </row>
    <row r="4145">
      <c r="A4145" s="19" t="s">
        <v>1522</v>
      </c>
    </row>
    <row r="4146">
      <c r="A4146" s="19" t="s">
        <v>1524</v>
      </c>
    </row>
    <row r="4147">
      <c r="A4147" s="19" t="s">
        <v>1523</v>
      </c>
    </row>
    <row r="4148">
      <c r="A4148" s="19" t="s">
        <v>1526</v>
      </c>
    </row>
    <row r="4149">
      <c r="A4149" s="19" t="s">
        <v>1527</v>
      </c>
    </row>
    <row r="4150">
      <c r="A4150" s="19" t="s">
        <v>1528</v>
      </c>
    </row>
    <row r="4151">
      <c r="A4151" s="19" t="s">
        <v>3037</v>
      </c>
    </row>
    <row r="4152">
      <c r="A4152" s="19" t="s">
        <v>3038</v>
      </c>
    </row>
    <row r="4153">
      <c r="A4153" s="19" t="s">
        <v>3039</v>
      </c>
    </row>
    <row r="4154">
      <c r="A4154" s="19" t="s">
        <v>3040</v>
      </c>
    </row>
    <row r="4155">
      <c r="A4155" s="19" t="s">
        <v>3041</v>
      </c>
    </row>
    <row r="4156">
      <c r="A4156" s="19" t="s">
        <v>3042</v>
      </c>
    </row>
    <row r="4157">
      <c r="A4157" s="19" t="s">
        <v>3043</v>
      </c>
    </row>
    <row r="4158">
      <c r="A4158" s="19" t="s">
        <v>1531</v>
      </c>
    </row>
    <row r="4159">
      <c r="A4159" s="19" t="s">
        <v>3044</v>
      </c>
    </row>
    <row r="4160">
      <c r="A4160" s="19" t="s">
        <v>3045</v>
      </c>
    </row>
    <row r="4161">
      <c r="A4161" s="19" t="s">
        <v>3046</v>
      </c>
    </row>
    <row r="4162">
      <c r="A4162" s="19" t="s">
        <v>3047</v>
      </c>
    </row>
    <row r="4163">
      <c r="A4163" s="19" t="s">
        <v>3048</v>
      </c>
    </row>
    <row r="4164">
      <c r="A4164" s="19" t="s">
        <v>3049</v>
      </c>
    </row>
    <row r="4165">
      <c r="A4165" s="19" t="s">
        <v>3050</v>
      </c>
    </row>
    <row r="4166">
      <c r="A4166" s="19" t="s">
        <v>3051</v>
      </c>
    </row>
    <row r="4167">
      <c r="A4167" s="19" t="s">
        <v>3052</v>
      </c>
    </row>
    <row r="4168">
      <c r="A4168" s="19" t="s">
        <v>3053</v>
      </c>
    </row>
    <row r="4169">
      <c r="A4169" s="19" t="s">
        <v>3054</v>
      </c>
    </row>
    <row r="4170">
      <c r="A4170" s="19" t="s">
        <v>1694</v>
      </c>
    </row>
    <row r="4171">
      <c r="A4171" s="19" t="s">
        <v>3055</v>
      </c>
    </row>
    <row r="4172">
      <c r="A4172" s="19" t="s">
        <v>3056</v>
      </c>
    </row>
    <row r="4173">
      <c r="A4173" s="19" t="s">
        <v>3057</v>
      </c>
    </row>
    <row r="4174">
      <c r="A4174" s="19" t="s">
        <v>3058</v>
      </c>
    </row>
    <row r="4175">
      <c r="A4175" s="19" t="s">
        <v>3059</v>
      </c>
    </row>
    <row r="4176">
      <c r="A4176" s="19" t="s">
        <v>3060</v>
      </c>
    </row>
    <row r="4177">
      <c r="A4177" s="19" t="s">
        <v>3061</v>
      </c>
    </row>
    <row r="4178">
      <c r="A4178" s="19" t="s">
        <v>3062</v>
      </c>
    </row>
    <row r="4179">
      <c r="A4179" s="19" t="s">
        <v>3063</v>
      </c>
    </row>
    <row r="4180">
      <c r="A4180" s="19" t="s">
        <v>1034</v>
      </c>
    </row>
    <row r="4181">
      <c r="A4181" s="19" t="s">
        <v>3064</v>
      </c>
    </row>
    <row r="4182">
      <c r="A4182" s="19" t="s">
        <v>1537</v>
      </c>
    </row>
    <row r="4183">
      <c r="A4183" s="19" t="s">
        <v>3065</v>
      </c>
    </row>
    <row r="4184">
      <c r="A4184" s="19" t="s">
        <v>3066</v>
      </c>
    </row>
    <row r="4185">
      <c r="A4185" s="19" t="s">
        <v>3067</v>
      </c>
    </row>
    <row r="4186">
      <c r="A4186" s="19" t="s">
        <v>3068</v>
      </c>
    </row>
    <row r="4187">
      <c r="A4187" s="19" t="s">
        <v>3069</v>
      </c>
    </row>
    <row r="4188">
      <c r="A4188" s="19" t="s">
        <v>3070</v>
      </c>
    </row>
    <row r="4189">
      <c r="A4189" s="19" t="s">
        <v>3071</v>
      </c>
    </row>
    <row r="4190">
      <c r="A4190" s="19" t="s">
        <v>3072</v>
      </c>
    </row>
    <row r="4191">
      <c r="A4191" s="19" t="s">
        <v>2989</v>
      </c>
    </row>
    <row r="4192">
      <c r="A4192" s="19" t="s">
        <v>3073</v>
      </c>
    </row>
    <row r="4193">
      <c r="A4193" s="19" t="s">
        <v>3074</v>
      </c>
    </row>
    <row r="4194">
      <c r="A4194" s="19" t="s">
        <v>3075</v>
      </c>
    </row>
    <row r="4195">
      <c r="A4195" s="19" t="s">
        <v>3076</v>
      </c>
    </row>
    <row r="4196">
      <c r="A4196" s="19" t="s">
        <v>1043</v>
      </c>
    </row>
    <row r="4197">
      <c r="A4197" s="19" t="s">
        <v>3077</v>
      </c>
    </row>
    <row r="4198">
      <c r="A4198" s="19" t="s">
        <v>3078</v>
      </c>
    </row>
    <row r="4199">
      <c r="A4199" s="19" t="s">
        <v>3079</v>
      </c>
    </row>
    <row r="4200">
      <c r="A4200" s="19" t="s">
        <v>3080</v>
      </c>
    </row>
    <row r="4201">
      <c r="A4201" s="19" t="s">
        <v>3081</v>
      </c>
    </row>
    <row r="4202">
      <c r="A4202" s="19" t="s">
        <v>3082</v>
      </c>
    </row>
    <row r="4203">
      <c r="A4203" s="19" t="s">
        <v>3083</v>
      </c>
    </row>
    <row r="4204">
      <c r="A4204" s="19" t="s">
        <v>3084</v>
      </c>
    </row>
    <row r="4205">
      <c r="A4205" s="19" t="s">
        <v>3085</v>
      </c>
    </row>
    <row r="4206">
      <c r="A4206" s="19" t="s">
        <v>2902</v>
      </c>
    </row>
    <row r="4207">
      <c r="A4207" s="19" t="s">
        <v>3086</v>
      </c>
    </row>
    <row r="4208">
      <c r="A4208" s="19" t="s">
        <v>3087</v>
      </c>
    </row>
    <row r="4209">
      <c r="A4209" s="19" t="s">
        <v>3088</v>
      </c>
    </row>
    <row r="4210">
      <c r="A4210" s="2"/>
    </row>
  </sheetData>
  <drawing r:id="rId1"/>
</worksheet>
</file>