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t_Academics\24-1\5. XE485　CAPSTONE\WP Energy Matlab Model\Data_for_Solar_Function\"/>
    </mc:Choice>
  </mc:AlternateContent>
  <xr:revisionPtr revIDLastSave="1" documentId="8_{5A122DF2-AB36-42C8-B887-5CE7D7DC0F6A}" xr6:coauthVersionLast="47" xr6:coauthVersionMax="47" xr10:uidLastSave="{ADCAED7D-7A85-4B10-9AB3-449BBF9DA8CD}"/>
  <bookViews>
    <workbookView xWindow="732" yWindow="732" windowWidth="17280" windowHeight="8928" firstSheet="6" activeTab="6" xr2:uid="{819E81FE-A0B0-4DD7-81BA-E579C8A1077D}"/>
  </bookViews>
  <sheets>
    <sheet name="SUMMARY+SOLAR" sheetId="1" r:id="rId1"/>
    <sheet name="Wind Manual LCOE" sheetId="5" r:id="rId2"/>
    <sheet name="GRID ELECTRIC" sheetId="3" r:id="rId3"/>
    <sheet name="DIESEL" sheetId="6" r:id="rId4"/>
    <sheet name="NATGAS" sheetId="2" r:id="rId5"/>
    <sheet name="HYDRO" sheetId="4" r:id="rId6"/>
    <sheet name="SOLAR PARK" sheetId="8" r:id="rId7"/>
    <sheet name="VEHICLES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8" l="1"/>
  <c r="E1" i="8"/>
  <c r="B5" i="5"/>
  <c r="A9" i="1"/>
  <c r="B5" i="6"/>
  <c r="B9" i="5"/>
  <c r="B10" i="5" s="1"/>
  <c r="B11" i="5" s="1"/>
  <c r="B13" i="5" s="1"/>
  <c r="O3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5" i="2"/>
  <c r="G3" i="2"/>
  <c r="F4" i="2"/>
  <c r="G4" i="2" s="1"/>
  <c r="I3" i="2" s="1"/>
  <c r="E3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<sst xmlns="http://schemas.openxmlformats.org/spreadsheetml/2006/main" count="144" uniqueCount="136">
  <si>
    <t>Cost</t>
  </si>
  <si>
    <t>Unit</t>
  </si>
  <si>
    <t>Type</t>
  </si>
  <si>
    <t>Notes: ALL COST ARE IN 2021 USD, 2022 USD IS 5% HIGHER</t>
  </si>
  <si>
    <t>Source</t>
  </si>
  <si>
    <t>0.99 MMP (2021 USD)</t>
  </si>
  <si>
    <t>$/Watt DC</t>
  </si>
  <si>
    <t xml:space="preserve">Utility </t>
  </si>
  <si>
    <t>baseline 100-MWdc, 1,500-Vdc tracking utility-scale system using 20.3%-efficient, 1.99-m2 monofacial monocrystalline silicon modules from a Tier 1 supplier and three-phase central inverters with an ILR of 1.34. Cost of transmission Minimum Sustainable Price is $600,734/mile. Modeled Market Price is $765,941/mile. NREL Assumes 1.7 Miles of transmission. Ours would be likely at least x10 that value</t>
  </si>
  <si>
    <t xml:space="preserve">pg. 29-30 </t>
  </si>
  <si>
    <t>Roof top: 1.63 MSP &amp;1.84 MMP Ground Mount: 1.71 MSP &amp; 1.94 MMP (2021 USD)</t>
  </si>
  <si>
    <t>commercial</t>
  </si>
  <si>
    <t>We model a 200-kWdc, 1,000-volt dc (Vdc) commercial-scale flat-roof system using a ballasted racking solution on a membrane roof as well as a 500-kWdc, 1,000-Vdc commercial-scale fixed-tilt ground-mounted system using driven-pile foundations. The ground-mounted system is larger because U.S. ground-mounted systems are larger than rooftop systems on average. Both the rooftop and the ground-mounted PV systems are modeled with three-phase string inverters with an ILR of 1.23. Both</t>
  </si>
  <si>
    <t>pg. 25-26, Ibid</t>
  </si>
  <si>
    <t>1350-2000 CAPEX 1501</t>
  </si>
  <si>
    <t>$/kw</t>
  </si>
  <si>
    <t>Wind</t>
  </si>
  <si>
    <t>Based off 67 turbines; 200 MW; 95m hub height; 3.0 MW rated turbines; 127m rotor diameter; 237 W/m^2 Specific Pwr; 41.8% capacity factor</t>
  </si>
  <si>
    <t xml:space="preserve">slide 24. </t>
  </si>
  <si>
    <t>opex 30-60; 40</t>
  </si>
  <si>
    <t>$/kw/year</t>
  </si>
  <si>
    <t>Ibid</t>
  </si>
  <si>
    <t xml:space="preserve">GRID </t>
  </si>
  <si>
    <t>see other sheet</t>
  </si>
  <si>
    <t>HYDRO</t>
  </si>
  <si>
    <t>$/MWh</t>
  </si>
  <si>
    <t>NAT GAS</t>
  </si>
  <si>
    <t>excluding externalities &amp; using a 10% discout rate; LCOE; Overnight cost of 1020$/kW; Fuel Price of 5.07 MMBtu; lifetime of plant 35 years; if using; Further breakdown next tab</t>
  </si>
  <si>
    <t>link</t>
  </si>
  <si>
    <t>$/kWh</t>
  </si>
  <si>
    <t>DIESEL</t>
  </si>
  <si>
    <t>LCOE calculated with assumption of 10,000kW made of x4 2500kW CAT diesel generators</t>
  </si>
  <si>
    <t>see  "DIESEL" Sheet</t>
  </si>
  <si>
    <t>WIND Input</t>
  </si>
  <si>
    <t>Money/PWR</t>
  </si>
  <si>
    <t>Description</t>
  </si>
  <si>
    <t>CAPEX</t>
  </si>
  <si>
    <t>Adjusted 1.33x for factoring terrain</t>
  </si>
  <si>
    <t>LCOE For the system</t>
  </si>
  <si>
    <t>Rating</t>
  </si>
  <si>
    <t>MW</t>
  </si>
  <si>
    <t>Solar</t>
  </si>
  <si>
    <t>Conv Factor</t>
  </si>
  <si>
    <t>kW/MW</t>
  </si>
  <si>
    <t>Sys Cost</t>
  </si>
  <si>
    <t>Installation Total</t>
  </si>
  <si>
    <t xml:space="preserve">Natural Gas Generator </t>
  </si>
  <si>
    <t>Rate</t>
  </si>
  <si>
    <t>life time</t>
  </si>
  <si>
    <t>Years</t>
  </si>
  <si>
    <t>WIND</t>
  </si>
  <si>
    <t>SOURCE</t>
  </si>
  <si>
    <t>slide 6</t>
  </si>
  <si>
    <t>OPEX</t>
  </si>
  <si>
    <t>$/kW/year</t>
  </si>
  <si>
    <t>Annual Cost</t>
  </si>
  <si>
    <t>Lifetime OPEX</t>
  </si>
  <si>
    <t>Total Lifetime Cost</t>
  </si>
  <si>
    <t>Total Lifetime Output</t>
  </si>
  <si>
    <t>kW</t>
  </si>
  <si>
    <t>LCOE</t>
  </si>
  <si>
    <t>$/kW</t>
  </si>
  <si>
    <t>January</t>
  </si>
  <si>
    <t>Cents/kWh</t>
  </si>
  <si>
    <t>February</t>
  </si>
  <si>
    <t>NY AVG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</si>
  <si>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</si>
  <si>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</si>
  <si>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</si>
  <si>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</si>
  <si>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</si>
  <si>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</si>
  <si>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</si>
  <si>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</si>
  <si>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</si>
  <si>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</si>
  <si>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https://www.nyserda.ny.gov/Energy-Prices/Electricity/Monthly-Avg-Electricity-Commercial</t>
  </si>
  <si>
    <t>Diesel</t>
  </si>
  <si>
    <t>cents/kWh</t>
  </si>
  <si>
    <t xml:space="preserve">Based on x4 2500kW generators from CAT. </t>
  </si>
  <si>
    <t>or .32%</t>
  </si>
  <si>
    <t>National Avg</t>
  </si>
  <si>
    <t>NY State</t>
  </si>
  <si>
    <t>Conversion Rates</t>
  </si>
  <si>
    <t>year</t>
  </si>
  <si>
    <t>$/MMBtu</t>
  </si>
  <si>
    <t>$/1000ft^3 (Mcf)</t>
  </si>
  <si>
    <t>MMBtu</t>
  </si>
  <si>
    <t>27 Year avg</t>
  </si>
  <si>
    <t>NY State 27yr avg</t>
  </si>
  <si>
    <t>1Mcf</t>
  </si>
  <si>
    <t>https://www.eia.gov/dnav/ng/hist/rngwhhdA.htm</t>
  </si>
  <si>
    <t>https://www.eia.gov/dnav/ng/hist/n3035ny3A.htm</t>
  </si>
  <si>
    <t>https://www.eia.gov/tools/faqs/faq.php?id=45&amp;t=8#:~:text=One%20thousand%20cubic%20feet%20(Mcf,1.038%20MMBtu%2C%20or%2010.38%20therms.</t>
  </si>
  <si>
    <t>CAPEX (USD/kW)</t>
  </si>
  <si>
    <t>OPEX (%/year of installed costs)</t>
  </si>
  <si>
    <t>CAP FACTOR(%)</t>
  </si>
  <si>
    <t>LCOE (2010 USD/kWh)</t>
  </si>
  <si>
    <t>https://www.irena.org/-/media/Files/IRENA/Agency/Publication/2012/RE_Technologies_Cost_Analysis-HYDROPOWER.pdf</t>
  </si>
  <si>
    <t>Small Hydro</t>
  </si>
  <si>
    <t>1300-8000</t>
  </si>
  <si>
    <t>1-4</t>
  </si>
  <si>
    <t>20-95</t>
  </si>
  <si>
    <t>0.02-0.27</t>
  </si>
  <si>
    <t>Large</t>
  </si>
  <si>
    <t>1050-7650</t>
  </si>
  <si>
    <t>2-2.5</t>
  </si>
  <si>
    <t xml:space="preserve">25-90 </t>
  </si>
  <si>
    <t>0.02-0.19</t>
  </si>
  <si>
    <t>MicroHydro</t>
  </si>
  <si>
    <t xml:space="preserve">  </t>
  </si>
  <si>
    <t>Place</t>
  </si>
  <si>
    <t>Area (Acres)</t>
  </si>
  <si>
    <t>Total Area</t>
  </si>
  <si>
    <t>Acres</t>
  </si>
  <si>
    <t>BUFFALO</t>
  </si>
  <si>
    <t>Clinton 1</t>
  </si>
  <si>
    <t>clinton 2</t>
  </si>
  <si>
    <t>Kozikcou</t>
  </si>
  <si>
    <t xml:space="preserve">arvin </t>
  </si>
  <si>
    <t>thayer</t>
  </si>
  <si>
    <t xml:space="preserve">train station </t>
  </si>
  <si>
    <t>a lot</t>
  </si>
  <si>
    <t xml:space="preserve">D lot </t>
  </si>
  <si>
    <t xml:space="preserve">AA </t>
  </si>
  <si>
    <t xml:space="preserve">F LOT </t>
  </si>
  <si>
    <t xml:space="preserve">C LOT </t>
  </si>
  <si>
    <t xml:space="preserve">E LOT </t>
  </si>
  <si>
    <t>PX1</t>
  </si>
  <si>
    <t>PX2</t>
  </si>
  <si>
    <t>Daycare1</t>
  </si>
  <si>
    <t xml:space="preserve">DC 2 </t>
  </si>
  <si>
    <t>DC3</t>
  </si>
  <si>
    <t>Input</t>
  </si>
  <si>
    <t># Small vehicles</t>
  </si>
  <si>
    <t>on other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</si>
</sst>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44" fontId="0" fillId="0" borderId="0" xfId="1" applyFont="1"/>
    <xf numFmtId="0" fontId="0" fillId="2" borderId="0" xfId="0" applyFill="1"/>
    <xf numFmtId="0" fontId="0" fillId="2" borderId="1" xfId="0" applyFill="1" applyBorder="1"/>
    <xf numFmtId="44" fontId="0" fillId="0" borderId="0" xfId="0" applyNumberFormat="1"/>
    <xf numFmtId="44" fontId="0" fillId="3" borderId="1" xfId="1" applyFont="1" applyFill="1" applyBorder="1"/>
    <xf numFmtId="44" fontId="0" fillId="3" borderId="0" xfId="0" applyNumberFormat="1" applyFill="1"/>
    <xf numFmtId="0" fontId="0" fillId="4" borderId="1" xfId="0" applyFill="1" applyBorder="1" applyAlignment="1">
      <alignment wrapText="1"/>
    </xf>
    <xf numFmtId="44" fontId="0" fillId="4" borderId="1" xfId="1" applyFont="1" applyFill="1" applyBorder="1"/>
    <xf numFmtId="0" fontId="0" fillId="4" borderId="0" xfId="0" applyFill="1" applyAlignment="1">
      <alignment wrapText="1"/>
    </xf>
    <xf numFmtId="44" fontId="0" fillId="4" borderId="0" xfId="1" applyFont="1" applyFill="1"/>
    <xf numFmtId="49" fontId="0" fillId="0" borderId="0" xfId="0" applyNumberFormat="1"/>
    <xf numFmtId="9" fontId="0" fillId="0" borderId="0" xfId="3" applyFont="1"/>
    <xf numFmtId="8" fontId="0" fillId="0" borderId="0" xfId="0" applyNumberFormat="1"/>
    <xf numFmtId="0" fontId="0" fillId="7" borderId="0" xfId="0" applyFill="1"/>
    <xf numFmtId="8" fontId="0" fillId="7" borderId="0" xfId="0" applyNumberFormat="1" applyFill="1"/>
    <xf numFmtId="0" fontId="2" fillId="0" borderId="0" xfId="2" applyAlignment="1">
      <alignment wrapText="1"/>
    </xf>
    <xf numFmtId="0" fontId="2" fillId="0" borderId="0" xfId="2" applyAlignment="1">
      <alignment vertical="center" wrapText="1"/>
    </xf>
    <xf numFmtId="0" fontId="2" fillId="6" borderId="4" xfId="2" applyFill="1" applyBorder="1" applyAlignment="1">
      <alignment vertical="center" wrapText="1"/>
    </xf>
    <xf numFmtId="0" fontId="2" fillId="0" borderId="0" xfId="2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3" xfId="2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0" xfId="2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3" xfId="0" applyFill="1" applyBorder="1" applyAlignment="1">
      <alignment horizontal="center"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0</xdr:row>
      <xdr:rowOff>0</xdr:rowOff>
    </xdr:from>
    <xdr:to>
      <xdr:col>19</xdr:col>
      <xdr:colOff>277693</xdr:colOff>
      <xdr:row>27</xdr:row>
      <xdr:rowOff>155840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9E0EF2-7064-EB33-B0C9-75F9EA2D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9375" y="0"/>
          <a:ext cx="7950609" cy="5156465"/>
        </a:xfrm>
        <a:prstGeom prst="rect">
          <a:avLst/>
        </a:prstGeom>
      </xdr:spPr>
    </xdr:pic>
    <xdr:clientData/>
  </xdr:twoCellAnchor>
  <xdr:twoCellAnchor editAs="oneCell">
    <xdr:from>
      <xdr:col>6</xdr:col>
      <xdr:colOff>220487</xdr:colOff>
      <xdr:row>23</xdr:row>
      <xdr:rowOff>88194</xdr:rowOff>
    </xdr:from>
    <xdr:to>
      <xdr:col>19</xdr:col>
      <xdr:colOff>291806</xdr:colOff>
      <xdr:row>51</xdr:row>
      <xdr:rowOff>173132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2DDE07-0E35-231E-3A54-F1A325716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1737" y="4347986"/>
          <a:ext cx="7982360" cy="5270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</xdr:row>
      <xdr:rowOff>85725</xdr:rowOff>
    </xdr:from>
    <xdr:to>
      <xdr:col>13</xdr:col>
      <xdr:colOff>581025</xdr:colOff>
      <xdr:row>12</xdr:row>
      <xdr:rowOff>98425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BDCA39C-C617-7543-4756-A17BBC586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266700"/>
          <a:ext cx="3305175" cy="2038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30743-3C73-4530-B9E7-5211F19BD2A2}" name="Table1" displayName="Table1" ref="A1:E12" totalsRowShown="0">
  <autoFilter ref="A1:E12" xr:uid="{BE030743-3C73-4530-B9E7-5211F19BD2A2}"/>
  <tableColumns count="5">
    <tableColumn id="1" xr3:uid="{ABDCD2B2-C0A0-4E2C-9824-898494F39D85}" name="Cost"/>
    <tableColumn id="5" xr3:uid="{DE8E1C3B-CDBA-4579-A520-03927C0FA96B}" name="Unit"/>
    <tableColumn id="2" xr3:uid="{C11B7727-19DE-41B7-9EB6-0DF07194BA23}" name="Type"/>
    <tableColumn id="3" xr3:uid="{5850CCDB-EC5F-4FD7-A535-DD0CA98E93D3}" name="Notes: ALL COST ARE IN 2021 USD, 2022 USD IS 5% HIGHER"/>
    <tableColumn id="4" xr3:uid="{E64FADC4-421E-48CE-8F1F-B164E83D283D}" name="Source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3B073-8BD6-49F9-9699-D30497AB5D9B}" name="Table2" displayName="Table2" ref="A1:C13" totalsRowShown="0">
  <autoFilter ref="A1:C13" xr:uid="{6203B073-8BD6-49F9-9699-D30497AB5D9B}"/>
  <tableColumns count="3">
    <tableColumn id="1" xr3:uid="{736BCB5E-F865-42CB-A2BB-E7CA75E5B571}" name="WIND Input"/>
    <tableColumn id="2" xr3:uid="{3B9598D8-8E3C-4DDF-83E9-98D56D52A6D5}" name="Money/PWR"/>
    <tableColumn id="3" xr3:uid="{379CD103-AA8A-4340-8243-A84F83C514EB}" name="Description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76A8E9-A992-41CE-AD70-CD4F5F13FC8F}" name="Table3" displayName="Table3" ref="A1:E3" totalsRowShown="0">
  <autoFilter ref="A1:E3" xr:uid="{A376A8E9-A992-41CE-AD70-CD4F5F13FC8F}"/>
  <tableColumns count="5">
    <tableColumn id="1" xr3:uid="{F3EE0215-0A10-45E6-AE21-92B13FCED7E0}" name="Type"/>
    <tableColumn id="2" xr3:uid="{294CE1C8-15D0-4B53-B6EA-32DE08A91678}" name="CAPEX (USD/kW)"/>
    <tableColumn id="3" xr3:uid="{D62FE28B-D774-4CA4-BD77-670F7BBF5BEF}" name="OPEX (%/year of installed costs)"/>
    <tableColumn id="4" xr3:uid="{C2C14482-D4E8-4B14-8291-FB5E613F49BF}" name="CAP FACTOR(%)"/>
    <tableColumn id="5" xr3:uid="{D40B5343-FB65-4757-B36D-E33A2C5A69A4}" name="LCOE (2010 USD/kWh)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s.energy.utexas.edu/lcoe_map/" TargetMode="External"/><Relationship Id="rId2" Type="http://schemas.openxmlformats.org/officeDocument/2006/relationships/hyperlink" Target="file:///C:\Users\Erden.Ucok\Downloads\NREL%20US%20Solar%20Photovoltaic%20System%20and%20Energy%20Storage%20Cost%20Benchmark.pdf" TargetMode="External"/><Relationship Id="rId1" Type="http://schemas.openxmlformats.org/officeDocument/2006/relationships/hyperlink" Target="https://usarmywestpoint-my.sharepoint.com/personal/david_sang_westpoint_edu/_layouts/15/onedrive.aspx?id=%2Fpersonal%2Fdavid%5Fsang%5Fwestpoint%5Fedu%2FDocuments%2FMicrosoft%20Teams%20Chat%20Files%2FNREL%20Cost%20of%20Wind%20Energy%20Calculations%2Epdf&amp;parent=%2Fpersonal%2Fdavid%5Fsang%5Fwestpoint%5Fedu%2FDocuments%2FMicrosoft%20Teams%20Chat%20Files&amp;ga=1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file:///C:\Users\Erden.Ucok\Downloads\NREL%20US%20Solar%20Photovoltaic%20System%20and%20Energy%20Storage%20Cost%20Benchmark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serda.ny.gov/Energy-Prices/Electricity/Monthly-Avg-Electricity-Commercia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rel.gov/analysis/tech-lco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dnav/ng/hist/n3035ny3A.htm" TargetMode="External"/><Relationship Id="rId1" Type="http://schemas.openxmlformats.org/officeDocument/2006/relationships/hyperlink" Target="https://www.eia.gov/dnav/ng/hist/rngwhhdA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002-D716-4997-BFA7-8AA0E2A683A7}">
  <dimension ref="A1:E9"/>
  <sheetViews>
    <sheetView topLeftCell="A3" zoomScale="96" workbookViewId="0">
      <selection activeCell="D10" sqref="D10"/>
    </sheetView>
  </sheetViews>
  <sheetFormatPr defaultRowHeight="14.45"/>
  <cols>
    <col min="1" max="2" width="10.28515625" customWidth="1"/>
    <col min="3" max="3" width="10.5703125" customWidth="1"/>
    <col min="4" max="4" width="79.140625" customWidth="1"/>
    <col min="5" max="5" width="5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72">
      <c r="A2" s="2" t="s">
        <v>5</v>
      </c>
      <c r="B2" s="2" t="s">
        <v>6</v>
      </c>
      <c r="C2" s="2" t="s">
        <v>7</v>
      </c>
      <c r="D2" s="2" t="s">
        <v>8</v>
      </c>
      <c r="E2" s="19" t="s">
        <v>9</v>
      </c>
    </row>
    <row r="3" spans="1:5" ht="129.6">
      <c r="A3" s="2" t="s">
        <v>10</v>
      </c>
      <c r="B3" s="2" t="s">
        <v>6</v>
      </c>
      <c r="C3" s="2" t="s">
        <v>11</v>
      </c>
      <c r="D3" s="2" t="s">
        <v>12</v>
      </c>
      <c r="E3" s="2" t="s">
        <v>13</v>
      </c>
    </row>
    <row r="4" spans="1:5" ht="43.15">
      <c r="A4" s="1" t="s">
        <v>14</v>
      </c>
      <c r="B4" t="s">
        <v>15</v>
      </c>
      <c r="C4" t="s">
        <v>16</v>
      </c>
      <c r="D4" s="1" t="s">
        <v>17</v>
      </c>
      <c r="E4" s="18" t="s">
        <v>18</v>
      </c>
    </row>
    <row r="5" spans="1:5" s="1" customFormat="1" ht="28.9">
      <c r="A5" s="1" t="s">
        <v>19</v>
      </c>
      <c r="B5" s="1" t="s">
        <v>20</v>
      </c>
      <c r="C5" s="1" t="s">
        <v>16</v>
      </c>
      <c r="E5" s="1" t="s">
        <v>21</v>
      </c>
    </row>
    <row r="6" spans="1:5">
      <c r="C6" t="s">
        <v>22</v>
      </c>
      <c r="D6" t="s">
        <v>23</v>
      </c>
    </row>
    <row r="7" spans="1:5">
      <c r="C7" t="s">
        <v>24</v>
      </c>
    </row>
    <row r="8" spans="1:5" ht="28.9">
      <c r="A8">
        <v>99.17</v>
      </c>
      <c r="B8" t="s">
        <v>25</v>
      </c>
      <c r="C8" t="s">
        <v>26</v>
      </c>
      <c r="D8" s="1" t="s">
        <v>27</v>
      </c>
      <c r="E8" s="18" t="s">
        <v>28</v>
      </c>
    </row>
    <row r="9" spans="1:5">
      <c r="A9">
        <f>DIESEL!B5</f>
        <v>2.819</v>
      </c>
      <c r="B9" t="s">
        <v>29</v>
      </c>
      <c r="C9" t="s">
        <v>30</v>
      </c>
      <c r="D9" t="s">
        <v>31</v>
      </c>
      <c r="E9" t="s">
        <v>32</v>
      </c>
    </row>
  </sheetData>
  <hyperlinks>
    <hyperlink ref="E4" r:id="rId1" xr:uid="{25C055B2-87AB-4D30-8F19-9488E43C3776}"/>
    <hyperlink ref="E2" r:id="rId2" xr:uid="{28D56074-F176-4BBA-AB5C-A641C846228F}"/>
    <hyperlink ref="E8" r:id="rId3" location="/county/tech  and https://www.eia.gov/dnav/ng/hist/rngwhhdA.htm" xr:uid="{AFC11CCB-ECEA-423F-9DB9-9ABC75EB69E1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3FC4-119B-4E35-B107-EFCE3B4F9B69}">
  <dimension ref="A1:I13"/>
  <sheetViews>
    <sheetView zoomScale="72" workbookViewId="0">
      <selection activeCell="E5" sqref="E5"/>
    </sheetView>
  </sheetViews>
  <sheetFormatPr defaultRowHeight="14.45"/>
  <cols>
    <col min="1" max="1" width="18.5703125" bestFit="1" customWidth="1"/>
    <col min="2" max="2" width="18.140625" customWidth="1"/>
    <col min="3" max="3" width="30.42578125" bestFit="1" customWidth="1"/>
    <col min="4" max="4" width="20.28515625" bestFit="1" customWidth="1"/>
  </cols>
  <sheetData>
    <row r="1" spans="1:9">
      <c r="A1" t="s">
        <v>33</v>
      </c>
      <c r="B1" t="s">
        <v>34</v>
      </c>
      <c r="C1" t="s">
        <v>35</v>
      </c>
    </row>
    <row r="2" spans="1:9">
      <c r="A2" t="s">
        <v>36</v>
      </c>
      <c r="B2" s="22">
        <v>2000</v>
      </c>
      <c r="C2" t="s">
        <v>37</v>
      </c>
      <c r="H2" t="s">
        <v>38</v>
      </c>
    </row>
    <row r="3" spans="1:9">
      <c r="A3" t="s">
        <v>39</v>
      </c>
      <c r="B3">
        <v>200</v>
      </c>
      <c r="C3" t="s">
        <v>40</v>
      </c>
      <c r="H3" t="s">
        <v>41</v>
      </c>
    </row>
    <row r="4" spans="1:9">
      <c r="A4" t="s">
        <v>42</v>
      </c>
      <c r="B4">
        <v>1000</v>
      </c>
      <c r="C4" t="s">
        <v>43</v>
      </c>
      <c r="H4" t="s">
        <v>16</v>
      </c>
    </row>
    <row r="5" spans="1:9">
      <c r="A5" t="s">
        <v>44</v>
      </c>
      <c r="B5" s="6">
        <f>B3*B2*B4</f>
        <v>400000000</v>
      </c>
      <c r="C5" t="s">
        <v>45</v>
      </c>
      <c r="H5" t="s">
        <v>46</v>
      </c>
    </row>
    <row r="6" spans="1:9">
      <c r="A6" t="s">
        <v>47</v>
      </c>
      <c r="B6" s="14">
        <v>0.06</v>
      </c>
    </row>
    <row r="7" spans="1:9">
      <c r="A7" t="s">
        <v>48</v>
      </c>
      <c r="B7">
        <v>20</v>
      </c>
      <c r="C7" t="s">
        <v>49</v>
      </c>
      <c r="G7" t="s">
        <v>50</v>
      </c>
      <c r="H7" t="s">
        <v>51</v>
      </c>
      <c r="I7" s="20" t="s">
        <v>52</v>
      </c>
    </row>
    <row r="8" spans="1:9">
      <c r="A8" t="s">
        <v>53</v>
      </c>
      <c r="B8" s="3">
        <v>40</v>
      </c>
      <c r="C8" t="s">
        <v>54</v>
      </c>
    </row>
    <row r="9" spans="1:9">
      <c r="A9" t="s">
        <v>55</v>
      </c>
      <c r="B9" s="6">
        <f>B8*B4*B3</f>
        <v>8000000</v>
      </c>
    </row>
    <row r="10" spans="1:9">
      <c r="A10" t="s">
        <v>56</v>
      </c>
      <c r="B10" s="15">
        <f>-PV(B6,B7,B9)</f>
        <v>91759369.748522103</v>
      </c>
    </row>
    <row r="11" spans="1:9">
      <c r="A11" s="16" t="s">
        <v>57</v>
      </c>
      <c r="B11" s="17">
        <f>B10+B5</f>
        <v>491759369.7485221</v>
      </c>
    </row>
    <row r="12" spans="1:9">
      <c r="A12" t="s">
        <v>58</v>
      </c>
      <c r="C12" t="s">
        <v>59</v>
      </c>
    </row>
    <row r="13" spans="1:9">
      <c r="A13" t="s">
        <v>60</v>
      </c>
      <c r="B13" t="e">
        <f>B11/B12</f>
        <v>#DIV/0!</v>
      </c>
      <c r="C13" t="s">
        <v>61</v>
      </c>
    </row>
  </sheetData>
  <hyperlinks>
    <hyperlink ref="I7" r:id="rId1" xr:uid="{CB6902A3-8285-47C5-89EA-BDD9AE0571B7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5F9F-7993-42F5-9478-FC611C0899EA}">
  <dimension ref="A1:P16"/>
  <sheetViews>
    <sheetView zoomScale="99" workbookViewId="0">
      <selection activeCell="B13" sqref="B13"/>
    </sheetView>
  </sheetViews>
  <sheetFormatPr defaultRowHeight="14.45"/>
  <cols>
    <col min="1" max="1" width="9.7109375" customWidth="1"/>
    <col min="15" max="15" width="10.140625" customWidth="1"/>
  </cols>
  <sheetData>
    <row r="1" spans="1:16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</row>
    <row r="2" spans="1:16">
      <c r="A2" t="s">
        <v>62</v>
      </c>
      <c r="B2">
        <v>18.04</v>
      </c>
      <c r="C2">
        <v>16.600000000000001</v>
      </c>
      <c r="D2">
        <v>14.2</v>
      </c>
      <c r="E2">
        <v>13.1</v>
      </c>
      <c r="F2">
        <v>13</v>
      </c>
      <c r="G2">
        <v>14.4</v>
      </c>
      <c r="H2">
        <v>13.9</v>
      </c>
      <c r="I2">
        <v>13.4</v>
      </c>
      <c r="J2">
        <v>14.6</v>
      </c>
      <c r="K2">
        <v>16.399999999999999</v>
      </c>
      <c r="L2">
        <v>14.8</v>
      </c>
      <c r="M2">
        <v>14.5</v>
      </c>
      <c r="O2" s="4" t="s">
        <v>63</v>
      </c>
    </row>
    <row r="3" spans="1:16">
      <c r="A3" t="s">
        <v>64</v>
      </c>
      <c r="B3">
        <v>16.48</v>
      </c>
      <c r="C3">
        <v>17.399999999999999</v>
      </c>
      <c r="D3">
        <v>15.2</v>
      </c>
      <c r="E3">
        <v>13.2</v>
      </c>
      <c r="F3">
        <v>13.1</v>
      </c>
      <c r="G3">
        <v>13.6</v>
      </c>
      <c r="H3">
        <v>13.4</v>
      </c>
      <c r="I3">
        <v>13.6</v>
      </c>
      <c r="J3">
        <v>16</v>
      </c>
      <c r="K3">
        <v>17.5</v>
      </c>
      <c r="L3">
        <v>15.5</v>
      </c>
      <c r="M3">
        <v>14.3</v>
      </c>
      <c r="O3" s="4">
        <f>AVERAGE(B2:M13)</f>
        <v>15.471888111888113</v>
      </c>
      <c r="P3" t="s">
        <v>65</v>
      </c>
    </row>
    <row r="4" spans="1:16">
      <c r="A4" t="s">
        <v>66</v>
      </c>
      <c r="B4">
        <v>16.8</v>
      </c>
      <c r="C4">
        <v>16.2</v>
      </c>
      <c r="D4">
        <v>12</v>
      </c>
      <c r="E4">
        <v>13.3</v>
      </c>
      <c r="F4">
        <v>12.9</v>
      </c>
      <c r="G4">
        <v>13.4</v>
      </c>
      <c r="H4">
        <v>14.2</v>
      </c>
      <c r="I4">
        <v>13.6</v>
      </c>
      <c r="J4">
        <v>15.1</v>
      </c>
      <c r="K4">
        <v>16.899999999999999</v>
      </c>
      <c r="L4">
        <v>14.7</v>
      </c>
      <c r="M4">
        <v>14.3</v>
      </c>
    </row>
    <row r="5" spans="1:16">
      <c r="A5" t="s">
        <v>67</v>
      </c>
      <c r="B5">
        <v>16.239999999999998</v>
      </c>
      <c r="C5">
        <v>16.3</v>
      </c>
      <c r="D5">
        <v>15.9</v>
      </c>
      <c r="E5">
        <v>13.2</v>
      </c>
      <c r="F5">
        <v>13.1</v>
      </c>
      <c r="G5">
        <v>13.4</v>
      </c>
      <c r="H5">
        <v>13.8</v>
      </c>
      <c r="I5">
        <v>13.8</v>
      </c>
      <c r="J5">
        <v>14.5</v>
      </c>
      <c r="K5">
        <v>14.9</v>
      </c>
      <c r="L5">
        <v>14</v>
      </c>
      <c r="M5">
        <v>14.5</v>
      </c>
    </row>
    <row r="6" spans="1:16">
      <c r="A6" t="s">
        <v>68</v>
      </c>
      <c r="B6">
        <v>16.47</v>
      </c>
      <c r="C6">
        <v>16.899999999999999</v>
      </c>
      <c r="D6">
        <v>15.6</v>
      </c>
      <c r="E6">
        <v>13.9</v>
      </c>
      <c r="F6">
        <v>13.4</v>
      </c>
      <c r="G6">
        <v>13.7</v>
      </c>
      <c r="H6">
        <v>14.6</v>
      </c>
      <c r="I6">
        <v>13.6</v>
      </c>
      <c r="J6">
        <v>14.5</v>
      </c>
      <c r="K6">
        <v>15</v>
      </c>
      <c r="L6">
        <v>14.4</v>
      </c>
      <c r="M6">
        <v>14.6</v>
      </c>
    </row>
    <row r="7" spans="1:16">
      <c r="A7" t="s">
        <v>69</v>
      </c>
      <c r="B7">
        <v>18.47</v>
      </c>
      <c r="C7">
        <v>19.399999999999999</v>
      </c>
      <c r="D7">
        <v>17.100000000000001</v>
      </c>
      <c r="E7">
        <v>15.7</v>
      </c>
      <c r="F7">
        <v>14.8</v>
      </c>
      <c r="G7">
        <v>15.1</v>
      </c>
      <c r="H7">
        <v>16</v>
      </c>
      <c r="I7">
        <v>15.1</v>
      </c>
      <c r="J7">
        <v>15.8</v>
      </c>
      <c r="K7">
        <v>16.399999999999999</v>
      </c>
      <c r="L7">
        <v>15.9</v>
      </c>
      <c r="M7">
        <v>15.9</v>
      </c>
    </row>
    <row r="8" spans="1:16">
      <c r="A8" t="s">
        <v>70</v>
      </c>
      <c r="B8">
        <v>19.75</v>
      </c>
      <c r="C8">
        <v>20</v>
      </c>
      <c r="D8">
        <v>18.399999999999999</v>
      </c>
      <c r="E8">
        <v>15.8</v>
      </c>
      <c r="F8">
        <v>15.3</v>
      </c>
      <c r="G8">
        <v>16.100000000000001</v>
      </c>
      <c r="H8">
        <v>16.100000000000001</v>
      </c>
      <c r="I8">
        <v>15.7</v>
      </c>
      <c r="J8">
        <v>16.2</v>
      </c>
      <c r="K8">
        <v>16.7</v>
      </c>
      <c r="L8">
        <v>16.7</v>
      </c>
      <c r="M8">
        <v>16.5</v>
      </c>
    </row>
    <row r="9" spans="1:16">
      <c r="A9" t="s">
        <v>71</v>
      </c>
      <c r="B9">
        <v>19.61</v>
      </c>
      <c r="C9">
        <v>20.100000000000001</v>
      </c>
      <c r="D9">
        <v>18.600000000000001</v>
      </c>
      <c r="E9">
        <v>15.8</v>
      </c>
      <c r="F9">
        <v>15.2</v>
      </c>
      <c r="G9">
        <v>15.5</v>
      </c>
      <c r="H9">
        <v>16</v>
      </c>
      <c r="I9">
        <v>15.6</v>
      </c>
      <c r="J9">
        <v>16</v>
      </c>
      <c r="K9">
        <v>16.399999999999999</v>
      </c>
      <c r="L9">
        <v>16.2</v>
      </c>
      <c r="M9">
        <v>15.3</v>
      </c>
    </row>
    <row r="10" spans="1:16">
      <c r="A10" t="s">
        <v>72</v>
      </c>
      <c r="B10">
        <v>20.22</v>
      </c>
      <c r="C10">
        <v>20.5</v>
      </c>
      <c r="D10">
        <v>18.8</v>
      </c>
      <c r="E10">
        <v>16</v>
      </c>
      <c r="F10">
        <v>15.7</v>
      </c>
      <c r="G10">
        <v>16.100000000000001</v>
      </c>
      <c r="H10">
        <v>16.100000000000001</v>
      </c>
      <c r="I10">
        <v>15.8</v>
      </c>
      <c r="J10">
        <v>16.100000000000001</v>
      </c>
      <c r="K10">
        <v>16.8</v>
      </c>
      <c r="L10">
        <v>16.5</v>
      </c>
      <c r="M10">
        <v>16.2</v>
      </c>
    </row>
    <row r="11" spans="1:16">
      <c r="A11" t="s">
        <v>73</v>
      </c>
      <c r="B11">
        <v>18.82</v>
      </c>
      <c r="C11">
        <v>19</v>
      </c>
      <c r="D11">
        <v>17.2</v>
      </c>
      <c r="E11">
        <v>15.3</v>
      </c>
      <c r="F11">
        <v>14.6</v>
      </c>
      <c r="G11">
        <v>15</v>
      </c>
      <c r="H11">
        <v>15</v>
      </c>
      <c r="I11">
        <v>14.9</v>
      </c>
      <c r="J11">
        <v>15.3</v>
      </c>
      <c r="K11">
        <v>15.8</v>
      </c>
      <c r="L11">
        <v>15.2</v>
      </c>
      <c r="M11">
        <v>15.1</v>
      </c>
    </row>
    <row r="12" spans="1:16">
      <c r="A12" t="s">
        <v>74</v>
      </c>
      <c r="B12">
        <v>17.98</v>
      </c>
      <c r="C12">
        <v>17.899999999999999</v>
      </c>
      <c r="D12">
        <v>15.6</v>
      </c>
      <c r="E12">
        <v>14.8</v>
      </c>
      <c r="F12">
        <v>13.4</v>
      </c>
      <c r="G12">
        <v>13.8</v>
      </c>
      <c r="H12">
        <v>13.9</v>
      </c>
      <c r="I12">
        <v>14</v>
      </c>
      <c r="J12">
        <v>14</v>
      </c>
      <c r="K12">
        <v>15.3</v>
      </c>
      <c r="L12">
        <v>13.7</v>
      </c>
      <c r="M12">
        <v>14.3</v>
      </c>
    </row>
    <row r="13" spans="1:16">
      <c r="A13" t="s">
        <v>75</v>
      </c>
      <c r="C13">
        <v>17.600000000000001</v>
      </c>
      <c r="D13">
        <v>15.4</v>
      </c>
      <c r="E13">
        <v>14</v>
      </c>
      <c r="F13">
        <v>13.4</v>
      </c>
      <c r="G13">
        <v>13.1</v>
      </c>
      <c r="H13">
        <v>13.5</v>
      </c>
      <c r="I13">
        <v>13.8</v>
      </c>
      <c r="J13">
        <v>13.9</v>
      </c>
      <c r="K13">
        <v>14.9</v>
      </c>
      <c r="L13">
        <v>14.5</v>
      </c>
      <c r="M13">
        <v>14.5</v>
      </c>
    </row>
    <row r="16" spans="1:16">
      <c r="G16" s="21" t="s">
        <v>76</v>
      </c>
    </row>
  </sheetData>
  <hyperlinks>
    <hyperlink ref="G16" r:id="rId1" xr:uid="{F52B50FF-AFC4-4F4B-BEB1-81A155880B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B3B-DDB4-4254-8F8F-005BE6BB5277}">
  <dimension ref="A1:F41"/>
  <sheetViews>
    <sheetView zoomScale="72" workbookViewId="0">
      <selection activeCell="E8" sqref="E8"/>
    </sheetView>
  </sheetViews>
  <sheetFormatPr defaultRowHeight="14.45"/>
  <cols>
    <col min="1" max="1" width="8.140625" customWidth="1"/>
    <col min="2" max="2" width="8.5703125" customWidth="1"/>
    <col min="3" max="3" width="9.85546875" bestFit="1" customWidth="1"/>
  </cols>
  <sheetData>
    <row r="1" spans="1:6">
      <c r="A1" t="s">
        <v>77</v>
      </c>
    </row>
    <row r="2" spans="1:6">
      <c r="B2" s="16">
        <v>281.89999999999998</v>
      </c>
      <c r="C2" s="16" t="s">
        <v>78</v>
      </c>
    </row>
    <row r="3" spans="1:6">
      <c r="A3" s="21" t="s">
        <v>4</v>
      </c>
    </row>
    <row r="4" spans="1:6">
      <c r="A4" s="23"/>
      <c r="B4" s="23"/>
      <c r="C4" s="23"/>
      <c r="D4" s="23"/>
      <c r="E4" s="23"/>
      <c r="F4" s="23"/>
    </row>
    <row r="5" spans="1:6">
      <c r="A5" s="16" t="s">
        <v>60</v>
      </c>
      <c r="B5" s="16">
        <f>B2/100</f>
        <v>2.819</v>
      </c>
      <c r="C5" s="16" t="s">
        <v>29</v>
      </c>
    </row>
    <row r="7" spans="1:6">
      <c r="A7" s="24" t="s">
        <v>79</v>
      </c>
      <c r="B7" s="24"/>
      <c r="C7" s="24"/>
    </row>
    <row r="8" spans="1:6">
      <c r="A8" s="24"/>
      <c r="B8" s="24"/>
      <c r="C8" s="24"/>
    </row>
    <row r="9" spans="1:6">
      <c r="A9" s="24"/>
      <c r="B9" s="24"/>
      <c r="C9" s="24"/>
    </row>
    <row r="41" spans="6:6">
      <c r="F41" t="s">
        <v>80</v>
      </c>
    </row>
  </sheetData>
  <mergeCells count="2">
    <mergeCell ref="A4:F4"/>
    <mergeCell ref="A7:C9"/>
  </mergeCells>
  <hyperlinks>
    <hyperlink ref="A3" r:id="rId1" xr:uid="{3FB56F75-7CA5-4E0B-8929-B14B1F4F95F3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9F27-41C8-4192-91ED-7E2F5FCED28F}">
  <dimension ref="A1:K30"/>
  <sheetViews>
    <sheetView workbookViewId="0">
      <selection activeCell="F17" sqref="F17"/>
    </sheetView>
  </sheetViews>
  <sheetFormatPr defaultRowHeight="14.45"/>
  <cols>
    <col min="5" max="5" width="9.85546875" customWidth="1"/>
    <col min="6" max="6" width="10.42578125" bestFit="1" customWidth="1"/>
  </cols>
  <sheetData>
    <row r="1" spans="1:11">
      <c r="A1" s="25" t="s">
        <v>81</v>
      </c>
      <c r="B1" s="25"/>
      <c r="C1" s="25"/>
      <c r="D1" s="25"/>
      <c r="E1" s="25"/>
      <c r="F1" s="26" t="s">
        <v>82</v>
      </c>
      <c r="G1" s="23"/>
      <c r="H1" s="23"/>
      <c r="I1" s="23"/>
      <c r="J1" s="25" t="s">
        <v>83</v>
      </c>
      <c r="K1" s="25"/>
    </row>
    <row r="2" spans="1:11" ht="28.9">
      <c r="A2" s="5" t="s">
        <v>84</v>
      </c>
      <c r="B2" s="5" t="s">
        <v>85</v>
      </c>
      <c r="C2" s="5"/>
      <c r="D2" s="5"/>
      <c r="E2" s="5"/>
      <c r="F2" s="1" t="s">
        <v>86</v>
      </c>
      <c r="G2" t="s">
        <v>85</v>
      </c>
      <c r="J2" s="5"/>
      <c r="K2" s="5" t="s">
        <v>87</v>
      </c>
    </row>
    <row r="3" spans="1:11" ht="28.9">
      <c r="A3" s="5">
        <v>1997</v>
      </c>
      <c r="B3" s="7">
        <v>2.4900000000000002</v>
      </c>
      <c r="C3" s="5">
        <v>1</v>
      </c>
      <c r="D3" s="9" t="s">
        <v>88</v>
      </c>
      <c r="E3" s="10">
        <f>AVERAGE(B3:B29)</f>
        <v>4.1855555555555561</v>
      </c>
      <c r="F3" s="3">
        <v>5.05</v>
      </c>
      <c r="G3" s="8">
        <f>F3/K3</f>
        <v>4.8651252408477843</v>
      </c>
      <c r="H3" s="11" t="s">
        <v>89</v>
      </c>
      <c r="I3" s="12">
        <f>AVERAGE(G3:G28)</f>
        <v>7.5407588557877583</v>
      </c>
      <c r="J3" s="5" t="s">
        <v>90</v>
      </c>
      <c r="K3" s="5">
        <v>1.038</v>
      </c>
    </row>
    <row r="4" spans="1:11">
      <c r="A4" s="5">
        <v>1998</v>
      </c>
      <c r="B4" s="7">
        <v>2.09</v>
      </c>
      <c r="C4" s="5">
        <v>2</v>
      </c>
      <c r="D4" s="5"/>
      <c r="E4" s="5"/>
      <c r="F4" s="3">
        <f>402/100</f>
        <v>4.0199999999999996</v>
      </c>
      <c r="G4" s="8">
        <f>F4/K3</f>
        <v>3.8728323699421958</v>
      </c>
      <c r="J4" s="5"/>
      <c r="K4" s="5"/>
    </row>
    <row r="5" spans="1:11">
      <c r="A5" s="5">
        <v>1999</v>
      </c>
      <c r="B5" s="7">
        <v>2.27</v>
      </c>
      <c r="C5" s="5">
        <f>C4+1</f>
        <v>3</v>
      </c>
      <c r="D5" s="5"/>
      <c r="E5" s="5"/>
      <c r="F5" s="3">
        <v>3.9</v>
      </c>
      <c r="G5" s="8">
        <f>F5/1.038</f>
        <v>3.7572254335260116</v>
      </c>
      <c r="J5" s="5"/>
      <c r="K5" s="5"/>
    </row>
    <row r="6" spans="1:11">
      <c r="A6" s="5">
        <f>A5+1</f>
        <v>2000</v>
      </c>
      <c r="B6" s="7">
        <v>4.3099999999999996</v>
      </c>
      <c r="C6" s="5">
        <f t="shared" ref="C6:C29" si="0">C5+1</f>
        <v>4</v>
      </c>
      <c r="D6" s="5"/>
      <c r="E6" s="5"/>
      <c r="F6" s="3">
        <v>6.14</v>
      </c>
      <c r="G6" s="8">
        <f t="shared" ref="G6:G29" si="1">F6/1.038</f>
        <v>5.9152215799614636</v>
      </c>
      <c r="J6" s="5"/>
      <c r="K6" s="5"/>
    </row>
    <row r="7" spans="1:11">
      <c r="A7" s="5">
        <f t="shared" ref="A7:A28" si="2">A6+1</f>
        <v>2001</v>
      </c>
      <c r="B7" s="7">
        <v>3.96</v>
      </c>
      <c r="C7" s="5">
        <f t="shared" si="0"/>
        <v>5</v>
      </c>
      <c r="D7" s="5"/>
      <c r="E7" s="5"/>
      <c r="F7" s="3">
        <v>7.72</v>
      </c>
      <c r="G7" s="8">
        <f t="shared" si="1"/>
        <v>7.4373795761078991</v>
      </c>
      <c r="J7" s="5"/>
      <c r="K7" s="5"/>
    </row>
    <row r="8" spans="1:11">
      <c r="A8" s="5">
        <f t="shared" si="2"/>
        <v>2002</v>
      </c>
      <c r="B8" s="7">
        <v>3.38</v>
      </c>
      <c r="C8" s="5">
        <f t="shared" si="0"/>
        <v>6</v>
      </c>
      <c r="D8" s="5"/>
      <c r="E8" s="5"/>
      <c r="F8" s="3">
        <v>5.53</v>
      </c>
      <c r="G8" s="8">
        <f t="shared" si="1"/>
        <v>5.327552986512524</v>
      </c>
      <c r="J8" s="5"/>
      <c r="K8" s="5"/>
    </row>
    <row r="9" spans="1:11">
      <c r="A9" s="5">
        <f t="shared" si="2"/>
        <v>2003</v>
      </c>
      <c r="B9" s="7">
        <v>5.47</v>
      </c>
      <c r="C9" s="5">
        <f t="shared" si="0"/>
        <v>7</v>
      </c>
      <c r="D9" s="5"/>
      <c r="E9" s="5"/>
      <c r="F9" s="3">
        <v>7.35</v>
      </c>
      <c r="G9" s="8">
        <f t="shared" si="1"/>
        <v>7.0809248554913289</v>
      </c>
      <c r="J9" s="5"/>
      <c r="K9" s="5"/>
    </row>
    <row r="10" spans="1:11">
      <c r="A10" s="5">
        <f t="shared" si="2"/>
        <v>2004</v>
      </c>
      <c r="B10" s="7">
        <v>5.89</v>
      </c>
      <c r="C10" s="5">
        <f t="shared" si="0"/>
        <v>8</v>
      </c>
      <c r="D10" s="5"/>
      <c r="E10" s="5"/>
      <c r="F10" s="3">
        <v>8.0500000000000007</v>
      </c>
      <c r="G10" s="8">
        <f t="shared" si="1"/>
        <v>7.7552986512524091</v>
      </c>
      <c r="J10" s="5"/>
      <c r="K10" s="5"/>
    </row>
    <row r="11" spans="1:11">
      <c r="A11" s="5">
        <f t="shared" si="2"/>
        <v>2005</v>
      </c>
      <c r="B11" s="7">
        <v>8.69</v>
      </c>
      <c r="C11" s="5">
        <f t="shared" si="0"/>
        <v>9</v>
      </c>
      <c r="D11" s="5"/>
      <c r="E11" s="5"/>
      <c r="F11" s="3">
        <v>10.76</v>
      </c>
      <c r="G11" s="8">
        <f t="shared" si="1"/>
        <v>10.366088631984585</v>
      </c>
      <c r="J11" s="5"/>
      <c r="K11" s="5"/>
    </row>
    <row r="12" spans="1:11">
      <c r="A12" s="5">
        <f t="shared" si="2"/>
        <v>2006</v>
      </c>
      <c r="B12" s="7">
        <v>6.73</v>
      </c>
      <c r="C12" s="5">
        <f t="shared" si="0"/>
        <v>10</v>
      </c>
      <c r="D12" s="5"/>
      <c r="E12" s="5"/>
      <c r="F12" s="3">
        <v>10.56</v>
      </c>
      <c r="G12" s="8">
        <f t="shared" si="1"/>
        <v>10.173410404624278</v>
      </c>
      <c r="J12" s="5"/>
      <c r="K12" s="5"/>
    </row>
    <row r="13" spans="1:11">
      <c r="A13" s="5">
        <f t="shared" si="2"/>
        <v>2007</v>
      </c>
      <c r="B13" s="7">
        <v>6.97</v>
      </c>
      <c r="C13" s="5">
        <f t="shared" si="0"/>
        <v>11</v>
      </c>
      <c r="D13" s="5"/>
      <c r="E13" s="5"/>
      <c r="F13" s="3">
        <v>11.43</v>
      </c>
      <c r="G13" s="8">
        <f t="shared" si="1"/>
        <v>11.011560693641618</v>
      </c>
      <c r="J13" s="5"/>
      <c r="K13" s="5"/>
    </row>
    <row r="14" spans="1:11">
      <c r="A14" s="5">
        <f t="shared" si="2"/>
        <v>2008</v>
      </c>
      <c r="B14" s="7">
        <v>8.86</v>
      </c>
      <c r="C14" s="5">
        <f t="shared" si="0"/>
        <v>12</v>
      </c>
      <c r="D14" s="5"/>
      <c r="E14" s="5"/>
      <c r="F14" s="3">
        <v>12.3</v>
      </c>
      <c r="G14" s="8">
        <f t="shared" si="1"/>
        <v>11.84971098265896</v>
      </c>
      <c r="J14" s="5"/>
      <c r="K14" s="5"/>
    </row>
    <row r="15" spans="1:11">
      <c r="A15" s="5">
        <f t="shared" si="2"/>
        <v>2009</v>
      </c>
      <c r="B15" s="7">
        <v>3.94</v>
      </c>
      <c r="C15" s="5">
        <f t="shared" si="0"/>
        <v>13</v>
      </c>
      <c r="D15" s="5"/>
      <c r="E15" s="5"/>
      <c r="F15" s="3">
        <v>9.52</v>
      </c>
      <c r="G15" s="8">
        <f t="shared" si="1"/>
        <v>9.1714836223506744</v>
      </c>
      <c r="J15" s="5"/>
      <c r="K15" s="5"/>
    </row>
    <row r="16" spans="1:11">
      <c r="A16" s="5">
        <f t="shared" si="2"/>
        <v>2010</v>
      </c>
      <c r="B16" s="7">
        <v>4.37</v>
      </c>
      <c r="C16" s="5">
        <f t="shared" si="0"/>
        <v>14</v>
      </c>
      <c r="D16" s="5"/>
      <c r="E16" s="5"/>
      <c r="F16" s="3">
        <v>8.5500000000000007</v>
      </c>
      <c r="G16" s="8">
        <f t="shared" si="1"/>
        <v>8.2369942196531802</v>
      </c>
      <c r="J16" s="5"/>
      <c r="K16" s="5"/>
    </row>
    <row r="17" spans="1:11">
      <c r="A17" s="5">
        <f t="shared" si="2"/>
        <v>2011</v>
      </c>
      <c r="B17" s="7">
        <v>4</v>
      </c>
      <c r="C17" s="5">
        <f t="shared" si="0"/>
        <v>15</v>
      </c>
      <c r="D17" s="5"/>
      <c r="E17" s="5"/>
      <c r="F17" s="3">
        <v>8.18</v>
      </c>
      <c r="G17" s="8">
        <f t="shared" si="1"/>
        <v>7.8805394990366082</v>
      </c>
      <c r="J17" s="5"/>
      <c r="K17" s="5"/>
    </row>
    <row r="18" spans="1:11">
      <c r="A18" s="5">
        <f t="shared" si="2"/>
        <v>2012</v>
      </c>
      <c r="B18" s="7">
        <v>2.75</v>
      </c>
      <c r="C18" s="5">
        <f t="shared" si="0"/>
        <v>16</v>
      </c>
      <c r="D18" s="5"/>
      <c r="E18" s="5"/>
      <c r="F18" s="3">
        <v>6.92</v>
      </c>
      <c r="G18" s="8">
        <f t="shared" si="1"/>
        <v>6.6666666666666661</v>
      </c>
      <c r="J18" s="5"/>
      <c r="K18" s="5"/>
    </row>
    <row r="19" spans="1:11">
      <c r="A19" s="5">
        <f t="shared" si="2"/>
        <v>2013</v>
      </c>
      <c r="B19" s="7">
        <v>3.73</v>
      </c>
      <c r="C19" s="5">
        <f t="shared" si="0"/>
        <v>17</v>
      </c>
      <c r="D19" s="5"/>
      <c r="E19" s="5"/>
      <c r="F19" s="3">
        <v>7.44</v>
      </c>
      <c r="G19" s="8">
        <f t="shared" si="1"/>
        <v>7.1676300578034686</v>
      </c>
      <c r="J19" s="5"/>
      <c r="K19" s="5"/>
    </row>
    <row r="20" spans="1:11">
      <c r="A20" s="5">
        <f t="shared" si="2"/>
        <v>2014</v>
      </c>
      <c r="B20" s="7">
        <v>4.37</v>
      </c>
      <c r="C20" s="5">
        <f t="shared" si="0"/>
        <v>18</v>
      </c>
      <c r="D20" s="5"/>
      <c r="E20" s="5"/>
      <c r="F20" s="3">
        <v>8.1300000000000008</v>
      </c>
      <c r="G20" s="8">
        <f t="shared" si="1"/>
        <v>7.8323699421965323</v>
      </c>
      <c r="J20" s="5"/>
      <c r="K20" s="5"/>
    </row>
    <row r="21" spans="1:11">
      <c r="A21" s="5">
        <f t="shared" si="2"/>
        <v>2015</v>
      </c>
      <c r="B21" s="7">
        <v>2.62</v>
      </c>
      <c r="C21" s="5">
        <f t="shared" si="0"/>
        <v>19</v>
      </c>
      <c r="D21" s="5"/>
      <c r="E21" s="5"/>
      <c r="F21" s="3">
        <v>6.62</v>
      </c>
      <c r="G21" s="8">
        <f t="shared" si="1"/>
        <v>6.3776493256262041</v>
      </c>
      <c r="J21" s="5"/>
      <c r="K21" s="5"/>
    </row>
    <row r="22" spans="1:11">
      <c r="A22" s="5">
        <f t="shared" si="2"/>
        <v>2016</v>
      </c>
      <c r="B22" s="7">
        <v>2.52</v>
      </c>
      <c r="C22" s="5">
        <f t="shared" si="0"/>
        <v>20</v>
      </c>
      <c r="D22" s="5"/>
      <c r="E22" s="5"/>
      <c r="F22" s="3">
        <v>5.92</v>
      </c>
      <c r="G22" s="8">
        <f t="shared" si="1"/>
        <v>5.7032755298651248</v>
      </c>
      <c r="J22" s="5"/>
      <c r="K22" s="5"/>
    </row>
    <row r="23" spans="1:11">
      <c r="A23" s="5">
        <f t="shared" si="2"/>
        <v>2017</v>
      </c>
      <c r="B23" s="7">
        <v>2.99</v>
      </c>
      <c r="C23" s="5">
        <f t="shared" si="0"/>
        <v>21</v>
      </c>
      <c r="D23" s="5"/>
      <c r="E23" s="5"/>
      <c r="F23" s="3">
        <v>7.21</v>
      </c>
      <c r="G23" s="8">
        <f t="shared" si="1"/>
        <v>6.9460500963391132</v>
      </c>
      <c r="J23" s="5"/>
      <c r="K23" s="5"/>
    </row>
    <row r="24" spans="1:11">
      <c r="A24" s="5">
        <f t="shared" si="2"/>
        <v>2018</v>
      </c>
      <c r="B24" s="7">
        <v>3.15</v>
      </c>
      <c r="C24" s="5">
        <f t="shared" si="0"/>
        <v>22</v>
      </c>
      <c r="D24" s="5"/>
      <c r="E24" s="5"/>
      <c r="F24" s="3">
        <v>7.83</v>
      </c>
      <c r="G24" s="8">
        <f t="shared" si="1"/>
        <v>7.5433526011560694</v>
      </c>
      <c r="J24" s="5"/>
      <c r="K24" s="5"/>
    </row>
    <row r="25" spans="1:11">
      <c r="A25" s="5">
        <f t="shared" si="2"/>
        <v>2019</v>
      </c>
      <c r="B25" s="7">
        <v>2.56</v>
      </c>
      <c r="C25" s="5">
        <f t="shared" si="0"/>
        <v>23</v>
      </c>
      <c r="D25" s="5"/>
      <c r="E25" s="5"/>
      <c r="F25" s="3">
        <v>7.7</v>
      </c>
      <c r="G25" s="8">
        <f t="shared" si="1"/>
        <v>7.4181117533718686</v>
      </c>
      <c r="J25" s="5"/>
      <c r="K25" s="5"/>
    </row>
    <row r="26" spans="1:11">
      <c r="A26" s="5">
        <f t="shared" si="2"/>
        <v>2020</v>
      </c>
      <c r="B26" s="7">
        <v>2.0299999999999998</v>
      </c>
      <c r="C26" s="5">
        <f t="shared" si="0"/>
        <v>24</v>
      </c>
      <c r="D26" s="5"/>
      <c r="E26" s="5"/>
      <c r="F26" s="3">
        <v>7</v>
      </c>
      <c r="G26" s="8">
        <f t="shared" si="1"/>
        <v>6.7437379576107901</v>
      </c>
      <c r="J26" s="5"/>
      <c r="K26" s="5"/>
    </row>
    <row r="27" spans="1:11">
      <c r="A27" s="5">
        <f t="shared" si="2"/>
        <v>2021</v>
      </c>
      <c r="B27" s="7">
        <v>3.89</v>
      </c>
      <c r="C27" s="5">
        <f t="shared" si="0"/>
        <v>25</v>
      </c>
      <c r="D27" s="5"/>
      <c r="E27" s="5"/>
      <c r="F27" s="3">
        <v>8.3800000000000008</v>
      </c>
      <c r="G27" s="8">
        <f t="shared" si="1"/>
        <v>8.0732177263969174</v>
      </c>
      <c r="J27" s="5"/>
      <c r="K27" s="5"/>
    </row>
    <row r="28" spans="1:11">
      <c r="A28" s="5">
        <f t="shared" si="2"/>
        <v>2022</v>
      </c>
      <c r="B28" s="7">
        <v>6.45</v>
      </c>
      <c r="C28" s="5">
        <f t="shared" si="0"/>
        <v>26</v>
      </c>
      <c r="D28" s="5"/>
      <c r="E28" s="5"/>
      <c r="F28" s="3">
        <v>11.3</v>
      </c>
      <c r="G28" s="8">
        <f t="shared" si="1"/>
        <v>10.886319845857418</v>
      </c>
      <c r="J28" s="5"/>
      <c r="K28" s="5"/>
    </row>
    <row r="29" spans="1:11">
      <c r="A29" s="5">
        <f>A28+1</f>
        <v>2023</v>
      </c>
      <c r="B29" s="7">
        <v>2.5299999999999998</v>
      </c>
      <c r="C29" s="5">
        <f t="shared" si="0"/>
        <v>27</v>
      </c>
      <c r="D29" s="5"/>
      <c r="E29" s="5"/>
      <c r="G29" s="6">
        <f t="shared" si="1"/>
        <v>0</v>
      </c>
      <c r="J29" s="5"/>
      <c r="K29" s="5"/>
    </row>
    <row r="30" spans="1:11">
      <c r="A30" s="27" t="s">
        <v>91</v>
      </c>
      <c r="B30" s="28"/>
      <c r="C30" s="28"/>
      <c r="D30" s="28"/>
      <c r="E30" s="28"/>
      <c r="F30" s="29" t="s">
        <v>92</v>
      </c>
      <c r="G30" s="30"/>
      <c r="H30" s="30"/>
      <c r="I30" s="30"/>
      <c r="J30" s="31" t="s">
        <v>93</v>
      </c>
      <c r="K30" s="31"/>
    </row>
  </sheetData>
  <mergeCells count="6">
    <mergeCell ref="A1:E1"/>
    <mergeCell ref="F1:I1"/>
    <mergeCell ref="J1:K1"/>
    <mergeCell ref="A30:E30"/>
    <mergeCell ref="F30:I30"/>
    <mergeCell ref="J30:K30"/>
  </mergeCells>
  <hyperlinks>
    <hyperlink ref="A30" r:id="rId1" xr:uid="{E5018652-361B-4ACD-95F3-AF0F85026A01}"/>
    <hyperlink ref="F30" r:id="rId2" xr:uid="{8EE2C6E2-2280-457F-9D5B-B892844280E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FE69-AD8A-4CDF-8760-0A9CB2B3EAB1}">
  <dimension ref="A1:F20"/>
  <sheetViews>
    <sheetView workbookViewId="0">
      <selection activeCell="B7" sqref="B7"/>
    </sheetView>
  </sheetViews>
  <sheetFormatPr defaultRowHeight="14.45"/>
  <cols>
    <col min="1" max="1" width="10.85546875" bestFit="1" customWidth="1"/>
    <col min="2" max="2" width="16.85546875" customWidth="1"/>
    <col min="3" max="3" width="29.140625" customWidth="1"/>
    <col min="4" max="4" width="15.85546875" customWidth="1"/>
    <col min="5" max="5" width="21.42578125" customWidth="1"/>
  </cols>
  <sheetData>
    <row r="1" spans="1:6">
      <c r="A1" t="s">
        <v>2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</row>
    <row r="2" spans="1:6">
      <c r="A2" t="s">
        <v>99</v>
      </c>
      <c r="B2" t="s">
        <v>100</v>
      </c>
      <c r="C2" s="13" t="s">
        <v>101</v>
      </c>
      <c r="D2" t="s">
        <v>102</v>
      </c>
      <c r="E2" t="s">
        <v>103</v>
      </c>
    </row>
    <row r="3" spans="1:6">
      <c r="A3" t="s">
        <v>104</v>
      </c>
      <c r="B3" t="s">
        <v>105</v>
      </c>
      <c r="C3" t="s">
        <v>106</v>
      </c>
      <c r="D3" t="s">
        <v>107</v>
      </c>
      <c r="E3" t="s">
        <v>108</v>
      </c>
    </row>
    <row r="7" spans="1:6">
      <c r="A7" t="s">
        <v>109</v>
      </c>
    </row>
    <row r="20" spans="5:5">
      <c r="E20" t="s">
        <v>110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C2D9-F003-41E8-AA02-28F0A8D19C48}">
  <dimension ref="A1:H19"/>
  <sheetViews>
    <sheetView tabSelected="1" workbookViewId="0">
      <selection activeCell="H2" sqref="H2"/>
    </sheetView>
  </sheetViews>
  <sheetFormatPr defaultRowHeight="14.45"/>
  <cols>
    <col min="1" max="1" width="11.42578125" bestFit="1" customWidth="1"/>
    <col min="2" max="2" width="11" bestFit="1" customWidth="1"/>
  </cols>
  <sheetData>
    <row r="1" spans="1:8">
      <c r="A1" t="s">
        <v>111</v>
      </c>
      <c r="B1" t="s">
        <v>112</v>
      </c>
      <c r="D1" s="16" t="s">
        <v>113</v>
      </c>
      <c r="E1" s="16">
        <f>SUM(B2:B19)</f>
        <v>20.089999999999996</v>
      </c>
      <c r="F1" s="16" t="s">
        <v>114</v>
      </c>
      <c r="H1">
        <f>E1*4046.86</f>
        <v>81301.417399999991</v>
      </c>
    </row>
    <row r="2" spans="1:8">
      <c r="A2" t="s">
        <v>115</v>
      </c>
      <c r="B2">
        <v>2.1800000000000002</v>
      </c>
    </row>
    <row r="3" spans="1:8">
      <c r="A3" t="s">
        <v>116</v>
      </c>
      <c r="B3">
        <v>1.21</v>
      </c>
    </row>
    <row r="4" spans="1:8">
      <c r="A4" t="s">
        <v>117</v>
      </c>
      <c r="B4">
        <v>0.64</v>
      </c>
    </row>
    <row r="5" spans="1:8">
      <c r="A5" t="s">
        <v>118</v>
      </c>
      <c r="B5">
        <v>0.55000000000000004</v>
      </c>
    </row>
    <row r="6" spans="1:8">
      <c r="A6" t="s">
        <v>119</v>
      </c>
      <c r="B6">
        <v>0.37</v>
      </c>
    </row>
    <row r="7" spans="1:8">
      <c r="A7" t="s">
        <v>120</v>
      </c>
      <c r="B7">
        <v>1.67</v>
      </c>
    </row>
    <row r="8" spans="1:8">
      <c r="A8" t="s">
        <v>121</v>
      </c>
      <c r="B8">
        <v>0.13</v>
      </c>
    </row>
    <row r="9" spans="1:8">
      <c r="A9" t="s">
        <v>122</v>
      </c>
      <c r="B9">
        <v>1.75</v>
      </c>
    </row>
    <row r="10" spans="1:8">
      <c r="A10" t="s">
        <v>123</v>
      </c>
      <c r="B10">
        <v>1.1000000000000001</v>
      </c>
    </row>
    <row r="11" spans="1:8">
      <c r="A11" t="s">
        <v>124</v>
      </c>
      <c r="B11">
        <v>1</v>
      </c>
    </row>
    <row r="12" spans="1:8">
      <c r="A12" t="s">
        <v>125</v>
      </c>
      <c r="B12">
        <v>1.79</v>
      </c>
    </row>
    <row r="13" spans="1:8">
      <c r="A13" t="s">
        <v>126</v>
      </c>
      <c r="B13">
        <v>1.37</v>
      </c>
    </row>
    <row r="14" spans="1:8">
      <c r="A14" t="s">
        <v>127</v>
      </c>
      <c r="B14">
        <v>2.35</v>
      </c>
    </row>
    <row r="15" spans="1:8">
      <c r="A15" t="s">
        <v>128</v>
      </c>
      <c r="B15">
        <v>1.49</v>
      </c>
    </row>
    <row r="16" spans="1:8">
      <c r="A16" t="s">
        <v>129</v>
      </c>
      <c r="B16">
        <v>1.79</v>
      </c>
    </row>
    <row r="17" spans="1:2">
      <c r="A17" t="s">
        <v>130</v>
      </c>
      <c r="B17">
        <v>0.57999999999999996</v>
      </c>
    </row>
    <row r="18" spans="1:2">
      <c r="A18" t="s">
        <v>131</v>
      </c>
      <c r="B18">
        <v>0.06</v>
      </c>
    </row>
    <row r="19" spans="1:2">
      <c r="A19" t="s">
        <v>132</v>
      </c>
      <c r="B19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A2B1-6284-4429-8492-7465816DCB1C}">
  <dimension ref="A1:A3"/>
  <sheetViews>
    <sheetView workbookViewId="0">
      <selection activeCell="A3" sqref="A3"/>
    </sheetView>
  </sheetViews>
  <sheetFormatPr defaultRowHeight="14.45"/>
  <sheetData>
    <row r="1" spans="1:1">
      <c r="A1" t="s">
        <v>133</v>
      </c>
    </row>
    <row r="2" spans="1:1">
      <c r="A2" t="s">
        <v>134</v>
      </c>
    </row>
    <row r="3" spans="1:1">
      <c r="A3" t="s">
        <v>135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AC0E2A8FD6747AD2DAAE9F35D7625" ma:contentTypeVersion="18" ma:contentTypeDescription="Create a new document." ma:contentTypeScope="" ma:versionID="3d7700e20e269a2aa67efa726c0519c2">
  <xsd:schema xmlns:xsd="http://www.w3.org/2001/XMLSchema" xmlns:xs="http://www.w3.org/2001/XMLSchema" xmlns:p="http://schemas.microsoft.com/office/2006/metadata/properties" xmlns:ns2="e4bf577e-f821-4df2-8c00-978d9b47100f" xmlns:ns3="780db79d-8223-411d-a534-b85d98337f74" targetNamespace="http://schemas.microsoft.com/office/2006/metadata/properties" ma:root="true" ma:fieldsID="2976d9bba379783784a29a1ae96a1f0e" ns2:_="" ns3:_="">
    <xsd:import namespace="e4bf577e-f821-4df2-8c00-978d9b47100f"/>
    <xsd:import namespace="780db79d-8223-411d-a534-b85d98337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577e-f821-4df2-8c00-978d9b4710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db79d-8223-411d-a534-b85d98337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d728194-7ce0-4451-9403-760521b31400}" ma:internalName="TaxCatchAll" ma:showField="CatchAllData" ma:web="780db79d-8223-411d-a534-b85d98337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f577e-f821-4df2-8c00-978d9b47100f">
      <Terms xmlns="http://schemas.microsoft.com/office/infopath/2007/PartnerControls"/>
    </lcf76f155ced4ddcb4097134ff3c332f>
    <TaxCatchAll xmlns="780db79d-8223-411d-a534-b85d98337f74" xsi:nil="true"/>
  </documentManagement>
</p:properties>
</file>

<file path=customXml/itemProps1.xml><?xml version="1.0" encoding="utf-8"?>
<ds:datastoreItem xmlns:ds="http://schemas.openxmlformats.org/officeDocument/2006/customXml" ds:itemID="{CC17DF48-A6C5-4A21-B9E4-76B4CC785BB2}"/>
</file>

<file path=customXml/itemProps2.xml><?xml version="1.0" encoding="utf-8"?>
<ds:datastoreItem xmlns:ds="http://schemas.openxmlformats.org/officeDocument/2006/customXml" ds:itemID="{9C29EC79-7D0F-41E1-B334-53B226A1F0BF}"/>
</file>

<file path=customXml/itemProps3.xml><?xml version="1.0" encoding="utf-8"?>
<ds:datastoreItem xmlns:ds="http://schemas.openxmlformats.org/officeDocument/2006/customXml" ds:itemID="{D6DF658C-14E7-4812-9A23-22371E979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Ucok, Erden CDT 2024</dc:creator>
  <cp:keywords/>
  <dc:description/>
  <cp:lastModifiedBy>Brown, Arthur S CDT 2025</cp:lastModifiedBy>
  <cp:revision/>
  <dcterms:created xsi:type="dcterms:W3CDTF">2024-01-11T15:36:23Z</dcterms:created>
  <dcterms:modified xsi:type="dcterms:W3CDTF">2025-01-22T15:57:57Z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0x010100F81AC0E2A8FD6747AD2DAAE9F35D7625</vt:lpwstr>
  </property>
  <property fmtid="{D5CDD505-2E9C-101B-9397-08002B2CF9AE}" pid="3" name="MediaServiceImageTags">
    <vt:lpwstr/>
  </property>
</Properties>
</file>