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kizarihdz/Documents/6to sem/Inteligencia artificial y analítica de datos con impacto empresarial/"/>
    </mc:Choice>
  </mc:AlternateContent>
  <xr:revisionPtr revIDLastSave="0" documentId="13_ncr:1_{1000CCDD-1758-AA4E-ACA8-DB0B0EC99E7D}" xr6:coauthVersionLast="47" xr6:coauthVersionMax="47" xr10:uidLastSave="{00000000-0000-0000-0000-000000000000}"/>
  <bookViews>
    <workbookView xWindow="0" yWindow="500" windowWidth="27980" windowHeight="17500" xr2:uid="{1B023AE6-5F54-7641-9B6A-ACD17EB6E811}"/>
  </bookViews>
  <sheets>
    <sheet name="Resumen del escenario" sheetId="12" r:id="rId1"/>
    <sheet name="Inversión" sheetId="3" r:id="rId2"/>
    <sheet name="ER Opt" sheetId="1" r:id="rId3"/>
    <sheet name="ER Real" sheetId="8" r:id="rId4"/>
    <sheet name="ER Pes" sheetId="9" r:id="rId5"/>
  </sheets>
  <definedNames>
    <definedName name="IR">'ER Opt'!$B$43</definedName>
    <definedName name="Payback">'ER Opt'!$B$44</definedName>
    <definedName name="TIR">'ER Opt'!$B$42</definedName>
    <definedName name="Ventas">'ER Opt'!$B$13</definedName>
    <definedName name="VPN">'ER Opt'!$B$41</definedName>
  </definedNames>
  <calcPr calcId="191029" iterate="1" iterateCount="5000"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8" i="3" l="1"/>
  <c r="U17" i="3"/>
  <c r="B13" i="8" s="1"/>
  <c r="U16" i="3"/>
  <c r="B13" i="9" s="1"/>
  <c r="B13" i="1"/>
  <c r="C23" i="1" s="1"/>
  <c r="C24" i="9"/>
  <c r="D24" i="9" s="1"/>
  <c r="E24" i="9" s="1"/>
  <c r="F24" i="9" s="1"/>
  <c r="G24" i="9" s="1"/>
  <c r="B16" i="9"/>
  <c r="L4" i="9"/>
  <c r="C24" i="8"/>
  <c r="D24" i="8" s="1"/>
  <c r="E24" i="8" s="1"/>
  <c r="F24" i="8" s="1"/>
  <c r="G24" i="8" s="1"/>
  <c r="B16" i="8"/>
  <c r="L4" i="8"/>
  <c r="L4" i="1"/>
  <c r="J9" i="3"/>
  <c r="D9" i="3" s="1"/>
  <c r="C9" i="3" s="1"/>
  <c r="B16" i="1"/>
  <c r="C24" i="1"/>
  <c r="D24" i="1" s="1"/>
  <c r="J3" i="3"/>
  <c r="C16" i="3" s="1"/>
  <c r="D23" i="1" l="1"/>
  <c r="E24" i="1"/>
  <c r="F24" i="1" s="1"/>
  <c r="G24" i="1" s="1"/>
  <c r="R17" i="3" l="1"/>
  <c r="R16" i="3"/>
  <c r="R15" i="3"/>
  <c r="R14" i="3"/>
  <c r="R13" i="3"/>
  <c r="R12" i="3"/>
  <c r="R11" i="3"/>
  <c r="R10" i="3"/>
  <c r="R9" i="3"/>
  <c r="R8" i="3"/>
  <c r="R7" i="3"/>
  <c r="R6" i="3"/>
  <c r="R5" i="3"/>
  <c r="R4" i="3"/>
  <c r="R3" i="3"/>
  <c r="Q17" i="3"/>
  <c r="Q16" i="3"/>
  <c r="Q15" i="3"/>
  <c r="Q14" i="3"/>
  <c r="Q13" i="3"/>
  <c r="Q12" i="3"/>
  <c r="Q11" i="3"/>
  <c r="Q10" i="3"/>
  <c r="Q9" i="3"/>
  <c r="Q8" i="3"/>
  <c r="Q7" i="3"/>
  <c r="Q6" i="3"/>
  <c r="Q5" i="3"/>
  <c r="Q4" i="3"/>
  <c r="Q3" i="3"/>
  <c r="P17" i="3"/>
  <c r="T17" i="3" s="1"/>
  <c r="P16" i="3"/>
  <c r="T16" i="3" s="1"/>
  <c r="P15" i="3"/>
  <c r="T15" i="3" s="1"/>
  <c r="P14" i="3"/>
  <c r="T14" i="3" s="1"/>
  <c r="P13" i="3"/>
  <c r="T13" i="3" s="1"/>
  <c r="P12" i="3"/>
  <c r="T12" i="3" s="1"/>
  <c r="P11" i="3"/>
  <c r="T11" i="3" s="1"/>
  <c r="P10" i="3"/>
  <c r="T10" i="3" s="1"/>
  <c r="P9" i="3"/>
  <c r="T9" i="3" s="1"/>
  <c r="P8" i="3"/>
  <c r="T8" i="3" s="1"/>
  <c r="P7" i="3"/>
  <c r="T7" i="3" s="1"/>
  <c r="P6" i="3"/>
  <c r="T6" i="3" s="1"/>
  <c r="P5" i="3"/>
  <c r="T5" i="3" s="1"/>
  <c r="P4" i="3"/>
  <c r="T4" i="3" s="1"/>
  <c r="P3" i="3"/>
  <c r="T3" i="3" s="1"/>
  <c r="C23" i="8" l="1"/>
  <c r="C23" i="9"/>
  <c r="D23" i="9" l="1"/>
  <c r="C25" i="9"/>
  <c r="D23" i="8"/>
  <c r="C25" i="8"/>
  <c r="C25" i="1"/>
  <c r="E23" i="8" l="1"/>
  <c r="D25" i="8"/>
  <c r="E23" i="9"/>
  <c r="D25" i="9"/>
  <c r="E23" i="1"/>
  <c r="D25" i="1"/>
  <c r="E25" i="9" l="1"/>
  <c r="F23" i="9"/>
  <c r="E25" i="8"/>
  <c r="F23" i="8"/>
  <c r="E25" i="1"/>
  <c r="F23" i="1"/>
  <c r="F25" i="8" l="1"/>
  <c r="G23" i="8"/>
  <c r="G25" i="8" s="1"/>
  <c r="G23" i="9"/>
  <c r="G25" i="9" s="1"/>
  <c r="F25" i="9"/>
  <c r="F25" i="1"/>
  <c r="G23" i="1"/>
  <c r="G25" i="1" s="1"/>
  <c r="C11" i="3" l="1"/>
  <c r="D11" i="3" s="1"/>
  <c r="C12" i="3"/>
  <c r="D12" i="3" s="1"/>
  <c r="C13" i="3"/>
  <c r="D13" i="3" s="1"/>
  <c r="C14" i="3"/>
  <c r="D14" i="3" s="1"/>
  <c r="C15" i="3"/>
  <c r="D15" i="3" s="1"/>
  <c r="D6" i="3"/>
  <c r="R18" i="3"/>
  <c r="Q18" i="3"/>
  <c r="P18" i="3"/>
  <c r="D5" i="3"/>
  <c r="D4" i="3"/>
  <c r="D3" i="3"/>
  <c r="J10" i="3"/>
  <c r="D8" i="3" s="1"/>
  <c r="C8" i="3" s="1"/>
  <c r="D16" i="3"/>
  <c r="E10" i="3" l="1"/>
  <c r="E2" i="3"/>
  <c r="E16" i="3"/>
  <c r="E7" i="3"/>
  <c r="B17" i="8" l="1"/>
  <c r="B17" i="9"/>
  <c r="B17" i="1"/>
  <c r="E17" i="3"/>
  <c r="E26" i="8" l="1"/>
  <c r="E27" i="8" s="1"/>
  <c r="E28" i="8" s="1"/>
  <c r="E29" i="8" s="1"/>
  <c r="E31" i="8" s="1"/>
  <c r="G26" i="8"/>
  <c r="G27" i="8" s="1"/>
  <c r="G28" i="8" s="1"/>
  <c r="G29" i="8" s="1"/>
  <c r="G31" i="8" s="1"/>
  <c r="F26" i="8"/>
  <c r="F27" i="8" s="1"/>
  <c r="F28" i="8" s="1"/>
  <c r="F29" i="8" s="1"/>
  <c r="F31" i="8" s="1"/>
  <c r="C26" i="8"/>
  <c r="C27" i="8" s="1"/>
  <c r="C28" i="8" s="1"/>
  <c r="C29" i="8" s="1"/>
  <c r="C31" i="8" s="1"/>
  <c r="D26" i="8"/>
  <c r="D27" i="8" s="1"/>
  <c r="D28" i="8" s="1"/>
  <c r="D29" i="8" s="1"/>
  <c r="D31" i="8" s="1"/>
  <c r="B12" i="9"/>
  <c r="B12" i="8"/>
  <c r="E26" i="9"/>
  <c r="E27" i="9" s="1"/>
  <c r="E28" i="9" s="1"/>
  <c r="E29" i="9" s="1"/>
  <c r="E31" i="9" s="1"/>
  <c r="G26" i="9"/>
  <c r="G27" i="9" s="1"/>
  <c r="G28" i="9" s="1"/>
  <c r="G29" i="9" s="1"/>
  <c r="G31" i="9" s="1"/>
  <c r="F26" i="9"/>
  <c r="F27" i="9" s="1"/>
  <c r="F28" i="9" s="1"/>
  <c r="F29" i="9" s="1"/>
  <c r="F31" i="9" s="1"/>
  <c r="C26" i="9"/>
  <c r="C27" i="9" s="1"/>
  <c r="C28" i="9" s="1"/>
  <c r="C29" i="9" s="1"/>
  <c r="C31" i="9" s="1"/>
  <c r="D26" i="9"/>
  <c r="D27" i="9" s="1"/>
  <c r="D28" i="9" s="1"/>
  <c r="D29" i="9" s="1"/>
  <c r="D31" i="9" s="1"/>
  <c r="B12" i="1"/>
  <c r="E26" i="1"/>
  <c r="E27" i="1" s="1"/>
  <c r="E28" i="1" s="1"/>
  <c r="E29" i="1" s="1"/>
  <c r="E31" i="1" s="1"/>
  <c r="G26" i="1"/>
  <c r="G27" i="1" s="1"/>
  <c r="G28" i="1" s="1"/>
  <c r="G29" i="1" s="1"/>
  <c r="G31" i="1" s="1"/>
  <c r="D26" i="1"/>
  <c r="D27" i="1" s="1"/>
  <c r="D28" i="1" s="1"/>
  <c r="D29" i="1" s="1"/>
  <c r="D31" i="1" s="1"/>
  <c r="C26" i="1"/>
  <c r="C27" i="1" s="1"/>
  <c r="F26" i="1"/>
  <c r="F27" i="1" s="1"/>
  <c r="F28" i="1" s="1"/>
  <c r="F29" i="1" s="1"/>
  <c r="F31" i="1" s="1"/>
  <c r="E32" i="9" l="1"/>
  <c r="J23" i="9"/>
  <c r="B32" i="8"/>
  <c r="B31" i="8"/>
  <c r="B42" i="8" s="1"/>
  <c r="K21" i="8"/>
  <c r="J22" i="9"/>
  <c r="D32" i="9"/>
  <c r="J21" i="9"/>
  <c r="C32" i="9"/>
  <c r="J24" i="8"/>
  <c r="F32" i="8"/>
  <c r="B32" i="9"/>
  <c r="K21" i="9"/>
  <c r="B31" i="9"/>
  <c r="B42" i="9" s="1"/>
  <c r="G32" i="8"/>
  <c r="J25" i="8"/>
  <c r="D32" i="8"/>
  <c r="J22" i="8"/>
  <c r="C32" i="8"/>
  <c r="J21" i="8"/>
  <c r="F32" i="9"/>
  <c r="J24" i="9"/>
  <c r="G32" i="9"/>
  <c r="J25" i="9"/>
  <c r="E32" i="8"/>
  <c r="J23" i="8"/>
  <c r="C28" i="1"/>
  <c r="C29" i="1" s="1"/>
  <c r="C31" i="1" s="1"/>
  <c r="C32" i="1" s="1"/>
  <c r="K21" i="1"/>
  <c r="B31" i="1"/>
  <c r="B32" i="1"/>
  <c r="J24" i="1"/>
  <c r="F32" i="1"/>
  <c r="J22" i="1"/>
  <c r="D32" i="1"/>
  <c r="J25" i="1"/>
  <c r="G32" i="1"/>
  <c r="J23" i="1"/>
  <c r="E32" i="1"/>
  <c r="L21" i="9" l="1"/>
  <c r="K22" i="9" s="1"/>
  <c r="L22" i="9" s="1"/>
  <c r="K23" i="9" s="1"/>
  <c r="L23" i="9" s="1"/>
  <c r="K24" i="9" s="1"/>
  <c r="L24" i="9" s="1"/>
  <c r="K25" i="9" s="1"/>
  <c r="L25" i="9" s="1"/>
  <c r="L21" i="8"/>
  <c r="K22" i="8" s="1"/>
  <c r="L22" i="8" s="1"/>
  <c r="K23" i="8" s="1"/>
  <c r="B41" i="9"/>
  <c r="B43" i="8"/>
  <c r="B41" i="8"/>
  <c r="L23" i="8"/>
  <c r="K24" i="8" s="1"/>
  <c r="L24" i="8" s="1"/>
  <c r="K25" i="8" s="1"/>
  <c r="L25" i="8" s="1"/>
  <c r="B43" i="9"/>
  <c r="J21" i="1"/>
  <c r="L21" i="1" s="1"/>
  <c r="K22" i="1" s="1"/>
  <c r="L22" i="1" s="1"/>
  <c r="K23" i="1" s="1"/>
  <c r="L23" i="1" s="1"/>
  <c r="K24" i="1" s="1"/>
  <c r="L24" i="1" s="1"/>
  <c r="K25" i="1" s="1"/>
  <c r="L25" i="1" s="1"/>
</calcChain>
</file>

<file path=xl/sharedStrings.xml><?xml version="1.0" encoding="utf-8"?>
<sst xmlns="http://schemas.openxmlformats.org/spreadsheetml/2006/main" count="250" uniqueCount="128">
  <si>
    <t>Supuesto de Cash Flow</t>
  </si>
  <si>
    <t>Supuesto de tiempo</t>
  </si>
  <si>
    <t>Supuesto de tasa de descuento</t>
  </si>
  <si>
    <t>Crecimiento</t>
  </si>
  <si>
    <t>Tiempo</t>
  </si>
  <si>
    <t>años</t>
  </si>
  <si>
    <t>Inversión inicial</t>
  </si>
  <si>
    <t>Tasa de descuento</t>
  </si>
  <si>
    <t>Utilidad bruta</t>
  </si>
  <si>
    <t>Utilidad operativa</t>
  </si>
  <si>
    <t>Utilidad neta</t>
  </si>
  <si>
    <t>Datos</t>
  </si>
  <si>
    <t>Contracargos en compras con tarjetas de crédito</t>
  </si>
  <si>
    <t>Equipo computacional</t>
  </si>
  <si>
    <t>igual a</t>
  </si>
  <si>
    <t>Tasa de cambio (MXN a US DLLS)</t>
  </si>
  <si>
    <t>Cantidad</t>
  </si>
  <si>
    <t>Precio 1GB AWS</t>
  </si>
  <si>
    <t>(RStudio, 2022)</t>
  </si>
  <si>
    <t>*Cantidades en MXN</t>
  </si>
  <si>
    <t>Información de relevancia</t>
  </si>
  <si>
    <t>Nóminas</t>
  </si>
  <si>
    <t xml:space="preserve">     Desarrollador/Programador</t>
  </si>
  <si>
    <t xml:space="preserve">     Integrador de bases de datos</t>
  </si>
  <si>
    <t xml:space="preserve">     Arquitecto de datos</t>
  </si>
  <si>
    <t xml:space="preserve">     API Manager</t>
  </si>
  <si>
    <t>Sueldo base promedio Programador</t>
  </si>
  <si>
    <t>/mes</t>
  </si>
  <si>
    <t>Sueldo base promedio Integrador de BD</t>
  </si>
  <si>
    <t xml:space="preserve">     UX Designer (Interfaz gráfica)</t>
  </si>
  <si>
    <t>Sueldo base promedio UX Designer</t>
  </si>
  <si>
    <t>Sueldo base promedio Arquitecto de datos</t>
  </si>
  <si>
    <t>Sueldo base promedio API Manager</t>
  </si>
  <si>
    <t>(Glassdoor, 2022)</t>
  </si>
  <si>
    <t>https://www.glassdoor.com.mx/member/home/index.htm</t>
  </si>
  <si>
    <t>Software de producción</t>
  </si>
  <si>
    <t xml:space="preserve">     R/R Studio</t>
  </si>
  <si>
    <t>RapidMiner AI Hub</t>
  </si>
  <si>
    <t xml:space="preserve">     RapidMiner</t>
  </si>
  <si>
    <t>Costo mensual</t>
  </si>
  <si>
    <t>Costo anual</t>
  </si>
  <si>
    <t>RStudio Workbench</t>
  </si>
  <si>
    <t>/año</t>
  </si>
  <si>
    <t>https://www.rstudio.com/products/rstudio/download/</t>
  </si>
  <si>
    <t xml:space="preserve">     Laptop (ThinkPad E15 2da Gen)</t>
  </si>
  <si>
    <t>Laptop (ThinkPad E15 2da Gen)</t>
  </si>
  <si>
    <t>Monitor ThinkVision S22e-20 de 54,6 cm (21,5")</t>
  </si>
  <si>
    <t xml:space="preserve">     Monitor ThinkVision S22e-20 de 54,6 cm (21,5")</t>
  </si>
  <si>
    <t>(Lenovo, 2022)</t>
  </si>
  <si>
    <t>https://www.lenovo.com/mx/es?Redirect=False</t>
  </si>
  <si>
    <t>Kit De Teclado Y Mouse Lenovo Essential Inalambrico Español</t>
  </si>
  <si>
    <t xml:space="preserve">     Kit De Teclado Y Mouse Lenovo Essential Inalambrico Español</t>
  </si>
  <si>
    <t>(Mercado Libre, 2022)</t>
  </si>
  <si>
    <t>https://articulo.mercadolibre.com.mx/MLM-945964441-kit-de-teclado-y-mouse-lenovo-essential-inalambrico-espanol-_JM?matt_tool=20003779&amp;matt_word=&amp;matt_source=google&amp;matt_campaign_id=15698047603&amp;matt_ad_group_id=134599565994&amp;matt_match_type=&amp;matt_network=g&amp;matt_device=c&amp;matt_creative=571866623474&amp;matt_keyword=&amp;matt_ad_position=&amp;matt_ad_type=pla&amp;matt_merchant_id=248342825&amp;matt_product_id=MLM945964441&amp;matt_product_partition_id=1701184196797&amp;matt_target_id=pla-1701184196797&amp;gclid=CjwKCAjw7vuUBhBUEiwAEdu2pGNCh3t3S7KazpOSIN3txr-nwA3uP6y--te4zqWWmjkR2rOGiUHuehoCJz4QAvD_BwE</t>
  </si>
  <si>
    <t>Lenovo Docking Station ThinkPad Ultra, 2x USB C, 4x USB 3.0, 2x DisplayPort, 1x RJ-45, Negro</t>
  </si>
  <si>
    <t xml:space="preserve">     Lenovo Docking Station ThinkPad Ultra, 2x USB C, 4x USB 3.0, 2x DisplayPort, 1x RJ-45, Negro</t>
  </si>
  <si>
    <t>(CyberPuerta, 2022)</t>
  </si>
  <si>
    <t>https://www.cyberpuerta.mx/Computadoras/Accesorios-para-Portatiles/Docking-Stations/Lenovo-Docking-Station-ThinkPad-Ultra-2x-USB-C-4x-USB-3-0-2x-DisplayPort-1x-RJ-45-Negro.html?gclid=CjwKCAjw7vuUBhBUEiwAEdu2pEqTD0EDm3V_IapnY9Bul4PUzWdh90S5m8bHdmbXs2PimlNbQ6fBFRoCAykQAvD_BwE</t>
  </si>
  <si>
    <t>*Inversión inicial sin considerar capacitaciones</t>
  </si>
  <si>
    <t>Almacenamiento de bases de datos y modelos serverless (deployment) en la nube</t>
  </si>
  <si>
    <t>*Almacenamiento de bases de datos y modelos es igual a 3GB</t>
  </si>
  <si>
    <t>(ITQlick, 2022)</t>
  </si>
  <si>
    <t>https://www.itqlick.com/rapidminer/pricing</t>
  </si>
  <si>
    <t>Entidad</t>
  </si>
  <si>
    <t>Monto</t>
  </si>
  <si>
    <t>#</t>
  </si>
  <si>
    <t>% de contracargos respecto de compras autorizadas</t>
  </si>
  <si>
    <t>BBVA Bancomer</t>
  </si>
  <si>
    <t>Citibanamex</t>
  </si>
  <si>
    <t>Santander</t>
  </si>
  <si>
    <t>Banorte</t>
  </si>
  <si>
    <t>HSBC</t>
  </si>
  <si>
    <t>Scotiabank</t>
  </si>
  <si>
    <t>Banregio</t>
  </si>
  <si>
    <t>Inbursa</t>
  </si>
  <si>
    <t>Invex</t>
  </si>
  <si>
    <t>Azteca</t>
  </si>
  <si>
    <t>Bajío</t>
  </si>
  <si>
    <t>Afirme</t>
  </si>
  <si>
    <t>Banjército</t>
  </si>
  <si>
    <t>Evertec</t>
  </si>
  <si>
    <t>Mifel</t>
  </si>
  <si>
    <t>Total</t>
  </si>
  <si>
    <t>Inputs</t>
  </si>
  <si>
    <t>Ventas</t>
  </si>
  <si>
    <t>Costo de Ventas</t>
  </si>
  <si>
    <t>Crecimiento anual (Costo de Ventas)</t>
  </si>
  <si>
    <t>Crecimiento anual (Ventas)</t>
  </si>
  <si>
    <t>Gastos de operación</t>
  </si>
  <si>
    <t>Impuesto</t>
  </si>
  <si>
    <t>Tasa de interés en México</t>
  </si>
  <si>
    <t>Inflación</t>
  </si>
  <si>
    <t>(Banxico, 2022)</t>
  </si>
  <si>
    <t>https://www.banxico.org.mx/</t>
  </si>
  <si>
    <t>Accuracy de modelo estructurado</t>
  </si>
  <si>
    <t>Accuracy de modelo no estructurado</t>
  </si>
  <si>
    <t>Estado de resultados</t>
  </si>
  <si>
    <t>Impuestos</t>
  </si>
  <si>
    <t>Flujo</t>
  </si>
  <si>
    <t>Flujo descontado</t>
  </si>
  <si>
    <t>Flujos</t>
  </si>
  <si>
    <t>Falta por liquidar</t>
  </si>
  <si>
    <t>Total al final del periodo</t>
  </si>
  <si>
    <t>Outputs</t>
  </si>
  <si>
    <t>VPN</t>
  </si>
  <si>
    <t>TIR</t>
  </si>
  <si>
    <t>IR</t>
  </si>
  <si>
    <t>Payback</t>
  </si>
  <si>
    <t>(Passport, 2022)</t>
  </si>
  <si>
    <t>Forecast Credit Cards Transactions: % Growth 2021-2026</t>
  </si>
  <si>
    <t>https://www.portal.euromonitor.com/portal/Analysis/Tab</t>
  </si>
  <si>
    <t>Se seleccionó un crecimiento del 4.3%, puesto que, se obtuvo el crecimiento de transacciones de tarjetas de crédito en México del 2021-2026.</t>
  </si>
  <si>
    <t>(Condusef, 2022)</t>
  </si>
  <si>
    <t>https://www.condusef.gob.mx/?p=estadisticas</t>
  </si>
  <si>
    <t>Exceso de valor obtenido por sobre lo exigido al capital invertido.</t>
  </si>
  <si>
    <t>Escenario optimista</t>
  </si>
  <si>
    <t>Escenario pesimista</t>
  </si>
  <si>
    <t>Se eligió una tasa de descuento contemplando la tasa de interés de México en el presente año, al igual que el porcentaje de inflación, para, posteriormente, obtener el promedio de los dos porcentajes y obtener la tasa de descuento utilizada, en este caso: 7.34% (Banxico, 2022).</t>
  </si>
  <si>
    <t>-</t>
  </si>
  <si>
    <t>Más de 5</t>
  </si>
  <si>
    <t>Optimista</t>
  </si>
  <si>
    <t>Realista</t>
  </si>
  <si>
    <t>Pesimista</t>
  </si>
  <si>
    <t>Resumen del escenario</t>
  </si>
  <si>
    <t>Celdas cambiantes:</t>
  </si>
  <si>
    <t>Celdas de resultado:</t>
  </si>
  <si>
    <t>Escenario realista</t>
  </si>
  <si>
    <t>Para fines de comparación, en los dos escenarios se utilizó la cantidad de 5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</si>
</sst>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
  </numFmts>
  <fonts count="13"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u/>
      <sz val="12"/>
      <color theme="1"/>
      <name val="Calibri"/>
      <family val="2"/>
      <scheme val="minor"/>
    </font>
    <font>
      <b/>
      <i/>
      <u/>
      <sz val="20"/>
      <color theme="1"/>
      <name val="Calibri"/>
      <family val="2"/>
      <scheme val="minor"/>
    </font>
    <font>
      <b/>
      <sz val="14"/>
      <color indexed="9"/>
      <name val="Calibri"/>
      <family val="2"/>
      <scheme val="minor"/>
    </font>
    <font>
      <b/>
      <sz val="12"/>
      <color indexed="8"/>
      <name val="Calibri"/>
      <family val="2"/>
      <scheme val="minor"/>
    </font>
    <font>
      <b/>
      <sz val="12"/>
      <color indexed="18"/>
      <name val="Calibri"/>
      <family val="2"/>
      <scheme val="minor"/>
    </font>
    <font>
      <sz val="11"/>
      <color indexed="9"/>
      <name val="Calibri"/>
      <family val="2"/>
      <scheme val="minor"/>
    </font>
    <font>
      <sz val="8"/>
      <color theme="1"/>
      <name val="Calibri"/>
      <family val="2"/>
      <scheme val="minor"/>
    </font>
  </fonts>
  <fills count="19">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indexed="20"/>
        <bgColor indexed="24"/>
      </patternFill>
    </fill>
    <fill>
      <patternFill patternType="solid">
        <fgColor indexed="22"/>
        <bgColor indexed="24"/>
      </patternFill>
    </fill>
    <fill>
      <patternFill patternType="solid">
        <fgColor indexed="22"/>
        <bgColor indexed="64"/>
      </patternFill>
    </fill>
    <fill>
      <patternFill patternType="solid">
        <fgColor rgb="FFFFFF00"/>
        <bgColor indexed="64"/>
      </patternFill>
    </fill>
  </fills>
  <borders count="8">
    <border>
      <left/>
      <right/>
      <top/>
      <bottom/>
      <diagonal/>
    </border>
    <border>
      <left/>
      <right/>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medium">
        <color indexed="64"/>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123">
    <xf numFmtId="0" fontId="0" fillId="0" borderId="0" xfId="0"/>
    <xf numFmtId="0" fontId="0" fillId="0" borderId="0" xfId="0" applyAlignment="1">
      <alignment vertical="center"/>
    </xf>
    <xf numFmtId="0" fontId="3" fillId="2" borderId="0" xfId="0" applyFont="1" applyFill="1" applyAlignment="1">
      <alignment vertical="center"/>
    </xf>
    <xf numFmtId="0" fontId="0" fillId="2" borderId="0" xfId="0" applyFill="1" applyAlignment="1">
      <alignment horizontal="left" vertical="center"/>
    </xf>
    <xf numFmtId="0" fontId="0" fillId="2" borderId="0" xfId="0" applyFill="1" applyAlignment="1">
      <alignment vertical="center"/>
    </xf>
    <xf numFmtId="10" fontId="0" fillId="4" borderId="0" xfId="0" applyNumberFormat="1" applyFill="1" applyAlignment="1">
      <alignment horizontal="left" vertical="center"/>
    </xf>
    <xf numFmtId="9" fontId="0" fillId="0" borderId="0" xfId="0" applyNumberFormat="1" applyAlignment="1">
      <alignment vertical="center"/>
    </xf>
    <xf numFmtId="44" fontId="0" fillId="0" borderId="0" xfId="0" applyNumberFormat="1" applyAlignment="1">
      <alignment vertical="center"/>
    </xf>
    <xf numFmtId="0" fontId="3" fillId="0" borderId="0" xfId="0" applyFont="1" applyAlignment="1">
      <alignment vertical="center"/>
    </xf>
    <xf numFmtId="0" fontId="0" fillId="0" borderId="0" xfId="0" applyFont="1" applyAlignment="1">
      <alignment vertical="center"/>
    </xf>
    <xf numFmtId="10" fontId="0" fillId="0" borderId="0" xfId="0" applyNumberFormat="1" applyAlignment="1">
      <alignment vertical="center"/>
    </xf>
    <xf numFmtId="0" fontId="0" fillId="2" borderId="2" xfId="0" applyFill="1" applyBorder="1" applyAlignment="1">
      <alignment vertical="center"/>
    </xf>
    <xf numFmtId="0" fontId="3" fillId="2" borderId="2" xfId="0" applyFont="1" applyFill="1" applyBorder="1" applyAlignment="1">
      <alignment horizontal="center" vertical="center"/>
    </xf>
    <xf numFmtId="0" fontId="0" fillId="3" borderId="0" xfId="0" applyFill="1" applyAlignment="1">
      <alignment vertical="center"/>
    </xf>
    <xf numFmtId="0" fontId="0" fillId="3" borderId="0" xfId="0" applyFill="1" applyAlignment="1">
      <alignment horizontal="center" vertical="center"/>
    </xf>
    <xf numFmtId="44" fontId="0" fillId="3" borderId="0" xfId="1" applyFont="1" applyFill="1" applyAlignment="1">
      <alignment vertical="center"/>
    </xf>
    <xf numFmtId="44" fontId="3" fillId="3" borderId="0" xfId="0" applyNumberFormat="1" applyFont="1" applyFill="1" applyAlignment="1">
      <alignment vertical="center"/>
    </xf>
    <xf numFmtId="0" fontId="0" fillId="5" borderId="0" xfId="0" applyFill="1" applyAlignment="1">
      <alignment vertical="center"/>
    </xf>
    <xf numFmtId="44" fontId="0" fillId="5" borderId="0" xfId="1" applyFont="1" applyFill="1" applyAlignment="1">
      <alignment vertical="center"/>
    </xf>
    <xf numFmtId="44" fontId="0" fillId="5" borderId="0" xfId="1" applyNumberFormat="1" applyFont="1" applyFill="1" applyAlignment="1">
      <alignment vertical="center"/>
    </xf>
    <xf numFmtId="0" fontId="0" fillId="0" borderId="4" xfId="0" applyBorder="1" applyAlignment="1">
      <alignment vertical="center"/>
    </xf>
    <xf numFmtId="44" fontId="0" fillId="3" borderId="0" xfId="0" applyNumberFormat="1" applyFill="1" applyAlignment="1">
      <alignment vertical="center"/>
    </xf>
    <xf numFmtId="0" fontId="0" fillId="9" borderId="0" xfId="0" applyFill="1" applyAlignment="1">
      <alignment vertical="center"/>
    </xf>
    <xf numFmtId="44" fontId="0" fillId="9" borderId="0" xfId="1" applyFont="1" applyFill="1" applyAlignment="1">
      <alignment vertical="center"/>
    </xf>
    <xf numFmtId="3" fontId="0" fillId="9" borderId="0" xfId="0" applyNumberFormat="1" applyFill="1" applyAlignment="1">
      <alignment vertical="center"/>
    </xf>
    <xf numFmtId="10" fontId="0" fillId="9" borderId="0" xfId="2" applyNumberFormat="1" applyFont="1" applyFill="1" applyAlignment="1">
      <alignment vertical="center"/>
    </xf>
    <xf numFmtId="0" fontId="3" fillId="3" borderId="0" xfId="0" applyFont="1" applyFill="1" applyAlignment="1">
      <alignment vertical="center"/>
    </xf>
    <xf numFmtId="0" fontId="5" fillId="0" borderId="0" xfId="3" applyAlignment="1">
      <alignment vertical="center"/>
    </xf>
    <xf numFmtId="0" fontId="5" fillId="0" borderId="0" xfId="3" applyFont="1" applyAlignment="1">
      <alignment vertical="center"/>
    </xf>
    <xf numFmtId="44" fontId="3" fillId="0" borderId="0" xfId="0" applyNumberFormat="1" applyFont="1" applyAlignment="1">
      <alignment vertical="center"/>
    </xf>
    <xf numFmtId="44" fontId="0" fillId="0" borderId="0" xfId="1" applyFont="1" applyAlignment="1">
      <alignment vertical="center"/>
    </xf>
    <xf numFmtId="3" fontId="0" fillId="0" borderId="0" xfId="0" applyNumberFormat="1" applyAlignment="1">
      <alignment vertical="center"/>
    </xf>
    <xf numFmtId="10" fontId="0" fillId="0" borderId="0" xfId="2" applyNumberFormat="1" applyFont="1" applyAlignment="1">
      <alignment vertical="center"/>
    </xf>
    <xf numFmtId="0" fontId="0" fillId="5" borderId="3" xfId="0" applyFill="1" applyBorder="1" applyAlignment="1">
      <alignment vertical="center"/>
    </xf>
    <xf numFmtId="44" fontId="0" fillId="5" borderId="3" xfId="1" applyFont="1" applyFill="1" applyBorder="1" applyAlignment="1">
      <alignment vertical="center"/>
    </xf>
    <xf numFmtId="0" fontId="0" fillId="3" borderId="1" xfId="0" applyFill="1" applyBorder="1" applyAlignment="1">
      <alignment vertical="center"/>
    </xf>
    <xf numFmtId="44" fontId="0" fillId="3" borderId="1" xfId="0" applyNumberFormat="1" applyFill="1" applyBorder="1" applyAlignment="1">
      <alignment horizontal="center" vertical="center"/>
    </xf>
    <xf numFmtId="44" fontId="0" fillId="3" borderId="1" xfId="0" applyNumberFormat="1" applyFill="1" applyBorder="1" applyAlignment="1">
      <alignment vertical="center"/>
    </xf>
    <xf numFmtId="44" fontId="3" fillId="3" borderId="1" xfId="0" applyNumberFormat="1" applyFont="1" applyFill="1" applyBorder="1" applyAlignment="1">
      <alignment vertical="center"/>
    </xf>
    <xf numFmtId="0" fontId="2" fillId="6" borderId="2" xfId="0" applyFont="1" applyFill="1" applyBorder="1" applyAlignment="1">
      <alignment vertical="center"/>
    </xf>
    <xf numFmtId="0" fontId="4" fillId="6" borderId="2" xfId="0" applyFont="1" applyFill="1" applyBorder="1" applyAlignment="1">
      <alignment horizontal="center" vertical="center"/>
    </xf>
    <xf numFmtId="0" fontId="4" fillId="6" borderId="2" xfId="0" applyFont="1" applyFill="1" applyBorder="1" applyAlignment="1">
      <alignment vertical="center"/>
    </xf>
    <xf numFmtId="44" fontId="2" fillId="6" borderId="2" xfId="1" applyFont="1" applyFill="1" applyBorder="1" applyAlignment="1">
      <alignment vertical="center"/>
    </xf>
    <xf numFmtId="0" fontId="0" fillId="0" borderId="0" xfId="0" applyBorder="1" applyAlignment="1">
      <alignment vertical="center"/>
    </xf>
    <xf numFmtId="44" fontId="0" fillId="0" borderId="0" xfId="1" applyFont="1" applyBorder="1" applyAlignment="1">
      <alignment vertical="center"/>
    </xf>
    <xf numFmtId="3" fontId="0" fillId="0" borderId="0" xfId="0" applyNumberFormat="1" applyBorder="1" applyAlignment="1">
      <alignment vertical="center"/>
    </xf>
    <xf numFmtId="10" fontId="0" fillId="0" borderId="0" xfId="2" applyNumberFormat="1" applyFont="1" applyBorder="1" applyAlignment="1">
      <alignment vertical="center"/>
    </xf>
    <xf numFmtId="0" fontId="0" fillId="0" borderId="0" xfId="0" applyAlignment="1">
      <alignment horizontal="center" vertical="center"/>
    </xf>
    <xf numFmtId="0" fontId="3" fillId="0" borderId="2" xfId="0" applyFont="1" applyBorder="1" applyAlignment="1">
      <alignment vertical="center"/>
    </xf>
    <xf numFmtId="44" fontId="3" fillId="0" borderId="2" xfId="0" applyNumberFormat="1" applyFont="1" applyBorder="1" applyAlignment="1">
      <alignment vertical="center"/>
    </xf>
    <xf numFmtId="3" fontId="3" fillId="0" borderId="2" xfId="0" applyNumberFormat="1" applyFont="1" applyBorder="1" applyAlignment="1">
      <alignment vertical="center"/>
    </xf>
    <xf numFmtId="10" fontId="3" fillId="0" borderId="2" xfId="0" applyNumberFormat="1" applyFont="1" applyBorder="1" applyAlignment="1">
      <alignment vertical="center"/>
    </xf>
    <xf numFmtId="0" fontId="3" fillId="7" borderId="2" xfId="0" applyFont="1" applyFill="1" applyBorder="1" applyAlignment="1">
      <alignment vertical="center"/>
    </xf>
    <xf numFmtId="0" fontId="0" fillId="0" borderId="0" xfId="0" applyBorder="1" applyAlignment="1">
      <alignment horizontal="center" vertical="center"/>
    </xf>
    <xf numFmtId="0" fontId="0" fillId="8" borderId="0" xfId="0" applyFill="1" applyAlignment="1">
      <alignment vertical="center"/>
    </xf>
    <xf numFmtId="0" fontId="0" fillId="8" borderId="3" xfId="0" applyFill="1" applyBorder="1" applyAlignment="1">
      <alignment vertical="center"/>
    </xf>
    <xf numFmtId="44" fontId="0" fillId="0" borderId="0" xfId="0" applyNumberFormat="1" applyAlignment="1">
      <alignment horizontal="left" vertical="center"/>
    </xf>
    <xf numFmtId="10" fontId="0" fillId="0" borderId="0" xfId="2" applyNumberFormat="1" applyFont="1" applyAlignment="1">
      <alignment horizontal="left" vertical="center"/>
    </xf>
    <xf numFmtId="10" fontId="0" fillId="0" borderId="0" xfId="2" applyNumberFormat="1" applyFont="1" applyBorder="1" applyAlignment="1">
      <alignment horizontal="left" vertical="center"/>
    </xf>
    <xf numFmtId="9" fontId="0" fillId="0" borderId="0" xfId="0" applyNumberFormat="1" applyAlignment="1">
      <alignment horizontal="left" vertical="center"/>
    </xf>
    <xf numFmtId="10" fontId="0" fillId="0" borderId="0" xfId="0" applyNumberFormat="1" applyAlignment="1">
      <alignment horizontal="left" vertical="center"/>
    </xf>
    <xf numFmtId="0" fontId="0" fillId="0" borderId="3" xfId="0" applyBorder="1" applyAlignment="1">
      <alignment vertical="center"/>
    </xf>
    <xf numFmtId="9" fontId="0" fillId="0" borderId="3" xfId="2" applyFont="1" applyBorder="1" applyAlignment="1">
      <alignment horizontal="left" vertical="center"/>
    </xf>
    <xf numFmtId="0" fontId="0" fillId="0" borderId="1" xfId="0" applyBorder="1" applyAlignment="1">
      <alignment vertical="center"/>
    </xf>
    <xf numFmtId="0" fontId="3" fillId="0" borderId="0" xfId="0" applyFont="1" applyAlignment="1">
      <alignment horizontal="center" vertical="center"/>
    </xf>
    <xf numFmtId="0" fontId="0" fillId="0" borderId="6" xfId="0" applyBorder="1" applyAlignment="1">
      <alignment vertical="center"/>
    </xf>
    <xf numFmtId="0" fontId="0" fillId="12" borderId="0" xfId="0" applyFont="1" applyFill="1" applyAlignment="1">
      <alignment vertical="center"/>
    </xf>
    <xf numFmtId="0" fontId="0" fillId="0" borderId="3" xfId="0" applyBorder="1" applyAlignment="1">
      <alignment horizontal="center" vertical="center"/>
    </xf>
    <xf numFmtId="0" fontId="0" fillId="0" borderId="0" xfId="0" applyFill="1" applyBorder="1" applyAlignment="1">
      <alignment vertical="center" wrapText="1"/>
    </xf>
    <xf numFmtId="44" fontId="0" fillId="0" borderId="0" xfId="1" applyFont="1" applyAlignment="1">
      <alignment horizontal="left" vertical="center"/>
    </xf>
    <xf numFmtId="44" fontId="0" fillId="0" borderId="1" xfId="0" applyNumberFormat="1" applyBorder="1" applyAlignment="1">
      <alignment vertical="center"/>
    </xf>
    <xf numFmtId="44" fontId="0" fillId="0" borderId="0" xfId="0" applyNumberFormat="1" applyBorder="1" applyAlignment="1">
      <alignment vertical="center"/>
    </xf>
    <xf numFmtId="44" fontId="0" fillId="0" borderId="3" xfId="1" applyFont="1" applyBorder="1" applyAlignment="1">
      <alignment vertical="center"/>
    </xf>
    <xf numFmtId="44" fontId="0" fillId="0" borderId="0" xfId="0" applyNumberFormat="1" applyAlignment="1">
      <alignment horizontal="right" vertical="center"/>
    </xf>
    <xf numFmtId="9" fontId="0" fillId="0" borderId="0" xfId="0" applyNumberFormat="1" applyAlignment="1">
      <alignment horizontal="right" vertical="center"/>
    </xf>
    <xf numFmtId="2" fontId="0" fillId="0" borderId="0" xfId="0" applyNumberFormat="1" applyAlignment="1">
      <alignment horizontal="right" vertical="center"/>
    </xf>
    <xf numFmtId="0" fontId="0" fillId="0" borderId="0" xfId="0" applyFill="1" applyBorder="1" applyAlignment="1">
      <alignment horizontal="left" vertical="center" wrapText="1"/>
    </xf>
    <xf numFmtId="0" fontId="0" fillId="0" borderId="0" xfId="0" applyFill="1" applyAlignment="1">
      <alignment vertical="center"/>
    </xf>
    <xf numFmtId="0" fontId="0" fillId="0" borderId="0" xfId="0" applyFill="1" applyBorder="1" applyAlignment="1">
      <alignment vertical="center"/>
    </xf>
    <xf numFmtId="0" fontId="0" fillId="0" borderId="3" xfId="0" applyNumberFormat="1" applyBorder="1" applyAlignment="1">
      <alignment horizontal="right" vertical="center"/>
    </xf>
    <xf numFmtId="0" fontId="0" fillId="0" borderId="0" xfId="0" applyBorder="1" applyAlignment="1">
      <alignment vertical="center" wrapText="1"/>
    </xf>
    <xf numFmtId="0" fontId="7" fillId="0" borderId="0" xfId="0" applyFont="1" applyAlignment="1">
      <alignment vertical="center"/>
    </xf>
    <xf numFmtId="164" fontId="0" fillId="11" borderId="0" xfId="0" applyNumberFormat="1" applyFill="1" applyAlignment="1">
      <alignment horizontal="left" vertical="center"/>
    </xf>
    <xf numFmtId="14" fontId="0" fillId="0" borderId="6" xfId="0" applyNumberFormat="1" applyBorder="1" applyAlignment="1">
      <alignment horizontal="center" vertical="center"/>
    </xf>
    <xf numFmtId="10" fontId="0" fillId="0" borderId="3" xfId="0" applyNumberFormat="1" applyBorder="1" applyAlignment="1">
      <alignment horizontal="left" vertical="center"/>
    </xf>
    <xf numFmtId="44" fontId="0" fillId="0" borderId="0" xfId="0" applyNumberFormat="1" applyFill="1" applyBorder="1" applyAlignment="1"/>
    <xf numFmtId="9" fontId="0" fillId="0" borderId="0" xfId="0" applyNumberFormat="1" applyFill="1" applyBorder="1" applyAlignment="1"/>
    <xf numFmtId="2" fontId="0" fillId="0" borderId="0" xfId="0" applyNumberFormat="1" applyFill="1" applyBorder="1" applyAlignment="1"/>
    <xf numFmtId="0" fontId="8" fillId="15" borderId="1" xfId="0" applyFont="1" applyFill="1" applyBorder="1" applyAlignment="1">
      <alignment horizontal="left"/>
    </xf>
    <xf numFmtId="0" fontId="8" fillId="15" borderId="7" xfId="0" applyFont="1" applyFill="1" applyBorder="1" applyAlignment="1">
      <alignment horizontal="left"/>
    </xf>
    <xf numFmtId="0" fontId="0" fillId="0" borderId="6" xfId="0" applyFill="1" applyBorder="1" applyAlignment="1"/>
    <xf numFmtId="0" fontId="9" fillId="16" borderId="0" xfId="0" applyFont="1" applyFill="1" applyBorder="1" applyAlignment="1">
      <alignment horizontal="left"/>
    </xf>
    <xf numFmtId="0" fontId="10" fillId="16" borderId="6" xfId="0" applyFont="1" applyFill="1" applyBorder="1" applyAlignment="1">
      <alignment horizontal="left"/>
    </xf>
    <xf numFmtId="0" fontId="9" fillId="16" borderId="3" xfId="0" applyFont="1" applyFill="1" applyBorder="1" applyAlignment="1">
      <alignment horizontal="left"/>
    </xf>
    <xf numFmtId="0" fontId="11" fillId="15" borderId="7" xfId="0" applyFont="1" applyFill="1" applyBorder="1" applyAlignment="1">
      <alignment horizontal="right"/>
    </xf>
    <xf numFmtId="0" fontId="11" fillId="15" borderId="1" xfId="0" applyFont="1" applyFill="1" applyBorder="1" applyAlignment="1">
      <alignment horizontal="right"/>
    </xf>
    <xf numFmtId="0" fontId="12" fillId="0" borderId="0" xfId="0" applyFont="1" applyFill="1" applyBorder="1" applyAlignment="1">
      <alignment vertical="top" wrapText="1"/>
    </xf>
    <xf numFmtId="44" fontId="0" fillId="0" borderId="0" xfId="0" applyNumberFormat="1" applyFill="1" applyBorder="1" applyAlignment="1">
      <alignment horizontal="right"/>
    </xf>
    <xf numFmtId="9" fontId="0" fillId="0" borderId="0" xfId="0" applyNumberFormat="1" applyFill="1" applyBorder="1" applyAlignment="1">
      <alignment horizontal="right"/>
    </xf>
    <xf numFmtId="2" fontId="0" fillId="0" borderId="0" xfId="0" applyNumberFormat="1" applyFill="1" applyBorder="1" applyAlignment="1">
      <alignment horizontal="right"/>
    </xf>
    <xf numFmtId="0" fontId="0" fillId="0" borderId="3" xfId="0" applyFill="1" applyBorder="1" applyAlignment="1">
      <alignment horizontal="right"/>
    </xf>
    <xf numFmtId="0" fontId="0" fillId="18" borderId="0" xfId="0" applyFill="1" applyAlignment="1">
      <alignment vertical="center"/>
    </xf>
    <xf numFmtId="0" fontId="3" fillId="4" borderId="2" xfId="0" applyFont="1" applyFill="1" applyBorder="1" applyAlignment="1">
      <alignment horizontal="left" vertical="center"/>
    </xf>
    <xf numFmtId="0" fontId="0" fillId="0" borderId="4" xfId="0" applyBorder="1" applyAlignment="1">
      <alignment horizontal="center" vertical="center" wrapText="1"/>
    </xf>
    <xf numFmtId="0" fontId="3" fillId="0" borderId="4" xfId="0" applyFont="1" applyBorder="1" applyAlignment="1">
      <alignment horizontal="left" vertical="center"/>
    </xf>
    <xf numFmtId="0" fontId="0" fillId="10" borderId="2" xfId="0" applyFill="1" applyBorder="1" applyAlignment="1">
      <alignment horizontal="left" vertical="center"/>
    </xf>
    <xf numFmtId="0" fontId="3" fillId="11" borderId="0" xfId="0" applyFont="1" applyFill="1" applyAlignment="1">
      <alignment horizontal="left" vertical="center"/>
    </xf>
    <xf numFmtId="0" fontId="0" fillId="12" borderId="2" xfId="0" applyFill="1" applyBorder="1" applyAlignment="1">
      <alignment horizontal="left" vertical="center"/>
    </xf>
    <xf numFmtId="0" fontId="0" fillId="13" borderId="2" xfId="0" applyFill="1" applyBorder="1" applyAlignment="1">
      <alignment horizontal="left" vertical="center"/>
    </xf>
    <xf numFmtId="0" fontId="3" fillId="4" borderId="0" xfId="0" applyFont="1" applyFill="1" applyAlignment="1">
      <alignment horizontal="left" vertical="center"/>
    </xf>
    <xf numFmtId="0" fontId="0" fillId="3" borderId="5" xfId="0" applyFill="1" applyBorder="1" applyAlignment="1">
      <alignment horizontal="left" vertical="center" wrapText="1"/>
    </xf>
    <xf numFmtId="0" fontId="0" fillId="3" borderId="3" xfId="0" applyFill="1" applyBorder="1" applyAlignment="1">
      <alignment horizontal="left" vertical="center" wrapText="1"/>
    </xf>
    <xf numFmtId="0" fontId="0" fillId="5" borderId="5" xfId="0" applyFill="1" applyBorder="1" applyAlignment="1">
      <alignment horizontal="left" vertical="center" wrapText="1"/>
    </xf>
    <xf numFmtId="0" fontId="0" fillId="5" borderId="0" xfId="0" applyFill="1" applyBorder="1" applyAlignment="1">
      <alignment horizontal="left" vertical="center" wrapText="1"/>
    </xf>
    <xf numFmtId="0" fontId="0" fillId="5" borderId="3" xfId="0" applyFill="1" applyBorder="1" applyAlignment="1">
      <alignment horizontal="left" vertical="center" wrapText="1"/>
    </xf>
    <xf numFmtId="0" fontId="2" fillId="6" borderId="2" xfId="0" applyFont="1" applyFill="1" applyBorder="1" applyAlignment="1">
      <alignment horizontal="left" vertical="center"/>
    </xf>
    <xf numFmtId="0" fontId="0" fillId="9" borderId="5" xfId="0" applyFill="1" applyBorder="1" applyAlignment="1">
      <alignment horizontal="left" vertical="center" wrapText="1"/>
    </xf>
    <xf numFmtId="0" fontId="0" fillId="9" borderId="0" xfId="0" applyFill="1" applyBorder="1" applyAlignment="1">
      <alignment horizontal="left" vertical="center" wrapText="1"/>
    </xf>
    <xf numFmtId="0" fontId="0" fillId="9" borderId="3" xfId="0" applyFill="1" applyBorder="1" applyAlignment="1">
      <alignment horizontal="left" vertical="center" wrapText="1"/>
    </xf>
    <xf numFmtId="0" fontId="3" fillId="14" borderId="2" xfId="0" applyFont="1" applyFill="1" applyBorder="1" applyAlignment="1">
      <alignment horizontal="left" vertical="center"/>
    </xf>
    <xf numFmtId="0" fontId="6" fillId="0" borderId="1" xfId="0" applyFont="1" applyBorder="1" applyAlignment="1">
      <alignment horizontal="left" vertical="center"/>
    </xf>
    <xf numFmtId="44" fontId="0" fillId="17" borderId="0" xfId="1" applyFont="1" applyFill="1" applyBorder="1" applyAlignment="1">
      <alignment horizontal="right"/>
    </xf>
    <xf numFmtId="44" fontId="0" fillId="0" borderId="0" xfId="1" applyFont="1" applyAlignment="1">
      <alignment horizontal="right" vertical="center"/>
    </xf>
  </cellXfs>
  <cellStyles count="4">
    <cellStyle name="Hipervínculo" xfId="3" builtinId="8"/>
    <cellStyle name="Moneda" xfId="1" builtinId="4"/>
    <cellStyle name="Normal" xfId="0" builtinId="0"/>
    <cellStyle name="Porcentaje" xfId="2"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condusef.gob.mx/?p=estadisticas" TargetMode="External"/><Relationship Id="rId2" Type="http://schemas.openxmlformats.org/officeDocument/2006/relationships/hyperlink" Target="https://www.itqlick.com/rapidminer/pricing" TargetMode="External"/><Relationship Id="rId1" Type="http://schemas.openxmlformats.org/officeDocument/2006/relationships/hyperlink" Target="https://www.glassdoor.com.mx/member/home/index.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ortal.euromonitor.com/portal/Analysis/Tab"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portal.euromonitor.com/portal/Analysis/Ta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portal.euromonitor.com/portal/Analysis/Ta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15B56-37A0-994C-B4DF-8B1397839F0B}">
  <sheetPr>
    <outlinePr summaryBelow="0"/>
  </sheetPr>
  <dimension ref="B1:F11"/>
  <sheetViews>
    <sheetView showGridLines="0" tabSelected="1" workbookViewId="0"/>
  </sheetViews>
  <sheetFormatPr baseColWidth="10" defaultRowHeight="16" outlineLevelRow="1" outlineLevelCol="1" x14ac:dyDescent="0.2"/>
  <cols>
    <col min="3" max="3" width="8" bestFit="1" customWidth="1"/>
    <col min="4" max="6" width="15" bestFit="1" customWidth="1" outlineLevel="1"/>
  </cols>
  <sheetData>
    <row r="1" spans="2:6" ht="17" thickBot="1" x14ac:dyDescent="0.25"/>
    <row r="2" spans="2:6" ht="19" x14ac:dyDescent="0.25">
      <c r="B2" s="89" t="s">
        <v>123</v>
      </c>
      <c r="C2" s="89"/>
      <c r="D2" s="94"/>
      <c r="E2" s="94"/>
      <c r="F2" s="94"/>
    </row>
    <row r="3" spans="2:6" ht="19" collapsed="1" x14ac:dyDescent="0.25">
      <c r="B3" s="88"/>
      <c r="C3" s="88"/>
      <c r="D3" s="95" t="s">
        <v>120</v>
      </c>
      <c r="E3" s="95" t="s">
        <v>121</v>
      </c>
      <c r="F3" s="95" t="s">
        <v>122</v>
      </c>
    </row>
    <row r="4" spans="2:6" hidden="1" outlineLevel="1" x14ac:dyDescent="0.2">
      <c r="B4" s="91"/>
      <c r="C4" s="91"/>
      <c r="D4" s="96"/>
      <c r="E4" s="96"/>
      <c r="F4" s="96"/>
    </row>
    <row r="5" spans="2:6" x14ac:dyDescent="0.2">
      <c r="B5" s="92" t="s">
        <v>124</v>
      </c>
      <c r="C5" s="92"/>
      <c r="D5" s="90"/>
      <c r="E5" s="90"/>
      <c r="F5" s="90"/>
    </row>
    <row r="6" spans="2:6" outlineLevel="1" x14ac:dyDescent="0.2">
      <c r="B6" s="91"/>
      <c r="C6" s="91" t="s">
        <v>84</v>
      </c>
      <c r="D6" s="121">
        <v>13481239.33</v>
      </c>
      <c r="E6" s="121">
        <v>12942273.01</v>
      </c>
      <c r="F6" s="121">
        <v>170028.47</v>
      </c>
    </row>
    <row r="7" spans="2:6" x14ac:dyDescent="0.2">
      <c r="B7" s="92" t="s">
        <v>125</v>
      </c>
      <c r="C7" s="92"/>
      <c r="D7" s="90"/>
      <c r="E7" s="90"/>
      <c r="F7" s="90"/>
    </row>
    <row r="8" spans="2:6" outlineLevel="1" x14ac:dyDescent="0.2">
      <c r="B8" s="91"/>
      <c r="C8" s="91" t="s">
        <v>104</v>
      </c>
      <c r="D8" s="122">
        <v>26167050.180280399</v>
      </c>
      <c r="E8" s="85">
        <v>25030303.978389211</v>
      </c>
      <c r="F8" s="97">
        <v>-14322666.667249365</v>
      </c>
    </row>
    <row r="9" spans="2:6" outlineLevel="1" x14ac:dyDescent="0.2">
      <c r="B9" s="91"/>
      <c r="C9" s="91" t="s">
        <v>105</v>
      </c>
      <c r="D9" s="74">
        <v>1.6957134095422199</v>
      </c>
      <c r="E9" s="86">
        <v>1.6309119191205323</v>
      </c>
      <c r="F9" s="98">
        <v>0</v>
      </c>
    </row>
    <row r="10" spans="2:6" outlineLevel="1" x14ac:dyDescent="0.2">
      <c r="B10" s="91"/>
      <c r="C10" s="91" t="s">
        <v>106</v>
      </c>
      <c r="D10" s="75">
        <v>7.4927938774146501</v>
      </c>
      <c r="E10" s="87">
        <v>7.210734618577157</v>
      </c>
      <c r="F10" s="99">
        <v>-2.5538634200139376</v>
      </c>
    </row>
    <row r="11" spans="2:6" ht="17" outlineLevel="1" thickBot="1" x14ac:dyDescent="0.25">
      <c r="B11" s="93"/>
      <c r="C11" s="93" t="s">
        <v>107</v>
      </c>
      <c r="D11" s="79">
        <v>1</v>
      </c>
      <c r="E11" s="100">
        <v>1</v>
      </c>
      <c r="F11" s="100" t="s">
        <v>119</v>
      </c>
    </row>
  </sheetData>
  <conditionalFormatting sqref="A1:XFD7 A12:XFD1048576 A8:C11 E8:XFD11">
    <cfRule type="cellIs" dxfId="7" priority="2" operator="lessThan">
      <formula>0</formula>
    </cfRule>
  </conditionalFormatting>
  <conditionalFormatting sqref="D8:D11">
    <cfRule type="cellIs" dxfId="1" priority="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DCC37-313E-F94E-AD49-E266FA6A792C}">
  <dimension ref="A1:X23"/>
  <sheetViews>
    <sheetView showGridLines="0" zoomScaleNormal="100" workbookViewId="0"/>
  </sheetViews>
  <sheetFormatPr baseColWidth="10" defaultRowHeight="16" x14ac:dyDescent="0.2"/>
  <cols>
    <col min="1" max="1" width="81.6640625" style="1" bestFit="1" customWidth="1"/>
    <col min="2" max="2" width="8.33203125" style="47" bestFit="1" customWidth="1"/>
    <col min="3" max="3" width="14" style="1" bestFit="1" customWidth="1"/>
    <col min="4" max="5" width="15" style="1" bestFit="1" customWidth="1"/>
    <col min="6" max="6" width="10.83203125" style="1" hidden="1" customWidth="1"/>
    <col min="7" max="7" width="11.6640625" style="1" hidden="1" customWidth="1"/>
    <col min="8" max="8" width="4.83203125" style="1" customWidth="1"/>
    <col min="9" max="9" width="41.1640625" style="1" bestFit="1" customWidth="1"/>
    <col min="10" max="10" width="14" style="1" bestFit="1" customWidth="1"/>
    <col min="11" max="11" width="6.6640625" style="1" bestFit="1" customWidth="1"/>
    <col min="12" max="12" width="11.5" style="1" bestFit="1" customWidth="1"/>
    <col min="13" max="13" width="5.5" style="1" bestFit="1" customWidth="1"/>
    <col min="14" max="14" width="4.83203125" style="1" customWidth="1"/>
    <col min="15" max="15" width="14.6640625" style="1" bestFit="1" customWidth="1"/>
    <col min="16" max="16" width="17.6640625" style="1" bestFit="1" customWidth="1"/>
    <col min="17" max="17" width="12.5" style="1" bestFit="1" customWidth="1"/>
    <col min="18" max="18" width="16.1640625" style="1" customWidth="1"/>
    <col min="19" max="19" width="10.83203125" style="1"/>
    <col min="20" max="21" width="15" style="1" hidden="1" customWidth="1"/>
    <col min="22" max="23" width="10.83203125" style="1" hidden="1" customWidth="1"/>
    <col min="24" max="25" width="0" style="1" hidden="1" customWidth="1"/>
    <col min="26" max="16384" width="10.83203125" style="1"/>
  </cols>
  <sheetData>
    <row r="1" spans="1:24" ht="17" thickBot="1" x14ac:dyDescent="0.25">
      <c r="A1" s="11"/>
      <c r="B1" s="12" t="s">
        <v>16</v>
      </c>
      <c r="C1" s="12" t="s">
        <v>39</v>
      </c>
      <c r="D1" s="12" t="s">
        <v>40</v>
      </c>
      <c r="E1" s="11"/>
      <c r="I1" s="102" t="s">
        <v>11</v>
      </c>
      <c r="J1" s="102"/>
      <c r="K1" s="102"/>
      <c r="L1" s="102"/>
      <c r="M1" s="102"/>
      <c r="O1" s="104" t="s">
        <v>12</v>
      </c>
      <c r="P1" s="104"/>
      <c r="Q1" s="104"/>
      <c r="R1" s="103" t="s">
        <v>66</v>
      </c>
    </row>
    <row r="2" spans="1:24" x14ac:dyDescent="0.2">
      <c r="A2" s="13" t="s">
        <v>13</v>
      </c>
      <c r="B2" s="14"/>
      <c r="C2" s="15"/>
      <c r="D2" s="13"/>
      <c r="E2" s="16">
        <f>SUM(D3:D6)</f>
        <v>227205</v>
      </c>
      <c r="I2" s="17" t="s">
        <v>15</v>
      </c>
      <c r="J2" s="18">
        <v>19.57</v>
      </c>
      <c r="K2" s="17" t="s">
        <v>14</v>
      </c>
      <c r="L2" s="19">
        <v>1</v>
      </c>
      <c r="M2" s="17"/>
      <c r="O2" s="20" t="s">
        <v>63</v>
      </c>
      <c r="P2" s="20" t="s">
        <v>64</v>
      </c>
      <c r="Q2" s="20" t="s">
        <v>65</v>
      </c>
      <c r="R2" s="103"/>
    </row>
    <row r="3" spans="1:24" x14ac:dyDescent="0.2">
      <c r="A3" s="13" t="s">
        <v>44</v>
      </c>
      <c r="B3" s="14">
        <v>5</v>
      </c>
      <c r="C3" s="13"/>
      <c r="D3" s="21">
        <f>J11*B3</f>
        <v>177605</v>
      </c>
      <c r="E3" s="13"/>
      <c r="F3" s="9" t="s">
        <v>48</v>
      </c>
      <c r="G3" s="9" t="s">
        <v>49</v>
      </c>
      <c r="I3" s="17" t="s">
        <v>17</v>
      </c>
      <c r="J3" s="18">
        <f>L3*J2</f>
        <v>1.9570000000000001</v>
      </c>
      <c r="K3" s="17" t="s">
        <v>14</v>
      </c>
      <c r="L3" s="18">
        <v>0.1</v>
      </c>
      <c r="M3" s="17" t="s">
        <v>27</v>
      </c>
      <c r="O3" s="101" t="s">
        <v>67</v>
      </c>
      <c r="P3" s="23">
        <f>199335241+181947224+227525095+269185968</f>
        <v>877993528</v>
      </c>
      <c r="Q3" s="24">
        <f>240901+216242+237405+239208</f>
        <v>933756</v>
      </c>
      <c r="R3" s="25">
        <f>0.91%+0.88%+1.03%+1.2%</f>
        <v>4.02E-2</v>
      </c>
      <c r="T3" s="7">
        <f>P3*0.01</f>
        <v>8779935.2799999993</v>
      </c>
    </row>
    <row r="4" spans="1:24" x14ac:dyDescent="0.2">
      <c r="A4" s="13" t="s">
        <v>47</v>
      </c>
      <c r="B4" s="14">
        <v>5</v>
      </c>
      <c r="C4" s="13"/>
      <c r="D4" s="21">
        <f>J12*B4</f>
        <v>26500</v>
      </c>
      <c r="E4" s="13"/>
      <c r="F4" s="9" t="s">
        <v>48</v>
      </c>
      <c r="G4" s="9" t="s">
        <v>49</v>
      </c>
      <c r="I4" s="17" t="s">
        <v>26</v>
      </c>
      <c r="J4" s="18">
        <v>20400</v>
      </c>
      <c r="K4" s="17" t="s">
        <v>27</v>
      </c>
      <c r="L4" s="17"/>
      <c r="M4" s="17"/>
      <c r="O4" s="101" t="s">
        <v>68</v>
      </c>
      <c r="P4" s="23">
        <f>182008941+83744204+83744204+83490251</f>
        <v>432987600</v>
      </c>
      <c r="Q4" s="24">
        <f>65109+53243+53243+48741</f>
        <v>220336</v>
      </c>
      <c r="R4" s="25">
        <f>0.38%+0.37%+0.33%+0.28%</f>
        <v>1.3600000000000001E-2</v>
      </c>
      <c r="T4" s="7">
        <f t="shared" ref="T4:T17" si="0">P4*0.01</f>
        <v>4329876</v>
      </c>
    </row>
    <row r="5" spans="1:24" x14ac:dyDescent="0.2">
      <c r="A5" s="13" t="s">
        <v>51</v>
      </c>
      <c r="B5" s="14">
        <v>5</v>
      </c>
      <c r="C5" s="13"/>
      <c r="D5" s="21">
        <f>J13*B5</f>
        <v>2850</v>
      </c>
      <c r="E5" s="13"/>
      <c r="F5" s="9" t="s">
        <v>52</v>
      </c>
      <c r="G5" s="9" t="s">
        <v>53</v>
      </c>
      <c r="I5" s="17" t="s">
        <v>28</v>
      </c>
      <c r="J5" s="18">
        <v>74000</v>
      </c>
      <c r="K5" s="17" t="s">
        <v>27</v>
      </c>
      <c r="L5" s="17"/>
      <c r="M5" s="17"/>
      <c r="O5" s="101" t="s">
        <v>69</v>
      </c>
      <c r="P5" s="23">
        <f>370447+141738+29864712+42788887</f>
        <v>73165784</v>
      </c>
      <c r="Q5" s="24">
        <f>180+86+13918+17818</f>
        <v>32002</v>
      </c>
      <c r="R5" s="25">
        <f>0%+0%+0.25%+0.34%</f>
        <v>5.9000000000000007E-3</v>
      </c>
      <c r="T5" s="7">
        <f t="shared" si="0"/>
        <v>731657.84</v>
      </c>
    </row>
    <row r="6" spans="1:24" x14ac:dyDescent="0.2">
      <c r="A6" s="13" t="s">
        <v>55</v>
      </c>
      <c r="B6" s="14">
        <v>5</v>
      </c>
      <c r="C6" s="13"/>
      <c r="D6" s="21">
        <f>J14*B6</f>
        <v>20250</v>
      </c>
      <c r="E6" s="26"/>
      <c r="F6" s="9" t="s">
        <v>56</v>
      </c>
      <c r="G6" s="9" t="s">
        <v>57</v>
      </c>
      <c r="I6" s="17" t="s">
        <v>30</v>
      </c>
      <c r="J6" s="18">
        <v>29200</v>
      </c>
      <c r="K6" s="17" t="s">
        <v>27</v>
      </c>
      <c r="L6" s="17"/>
      <c r="M6" s="17"/>
      <c r="O6" s="22" t="s">
        <v>70</v>
      </c>
      <c r="P6" s="23">
        <f>41818+3902+7783909+6814773</f>
        <v>14644402</v>
      </c>
      <c r="Q6" s="24">
        <f>8+4+2671+2377</f>
        <v>5060</v>
      </c>
      <c r="R6" s="25">
        <f>0%+0%+0.06%+0.05%</f>
        <v>1.0999999999999998E-3</v>
      </c>
      <c r="T6" s="7">
        <f t="shared" si="0"/>
        <v>146444.01999999999</v>
      </c>
    </row>
    <row r="7" spans="1:24" x14ac:dyDescent="0.2">
      <c r="A7" s="13" t="s">
        <v>35</v>
      </c>
      <c r="B7" s="14"/>
      <c r="C7" s="13"/>
      <c r="D7" s="13"/>
      <c r="E7" s="16">
        <f>SUM(D8:D9)</f>
        <v>586610.75</v>
      </c>
      <c r="F7" s="9"/>
      <c r="G7" s="9"/>
      <c r="I7" s="17" t="s">
        <v>31</v>
      </c>
      <c r="J7" s="18">
        <v>75400</v>
      </c>
      <c r="K7" s="17" t="s">
        <v>27</v>
      </c>
      <c r="L7" s="17"/>
      <c r="M7" s="17"/>
      <c r="O7" s="101" t="s">
        <v>71</v>
      </c>
      <c r="P7" s="23">
        <f>34256245+31065351+38243983+19425246</f>
        <v>122990825</v>
      </c>
      <c r="Q7" s="24">
        <f>12208+11385+13657+8476</f>
        <v>45726</v>
      </c>
      <c r="R7" s="25">
        <f>0.38%+0.42%+0.43%+0.26%</f>
        <v>1.49E-2</v>
      </c>
      <c r="T7" s="7">
        <f t="shared" si="0"/>
        <v>1229908.25</v>
      </c>
    </row>
    <row r="8" spans="1:24" x14ac:dyDescent="0.2">
      <c r="A8" s="13" t="s">
        <v>36</v>
      </c>
      <c r="B8" s="14"/>
      <c r="C8" s="21">
        <f>D8/12</f>
        <v>8113.395833333333</v>
      </c>
      <c r="D8" s="21">
        <f>J10</f>
        <v>97360.75</v>
      </c>
      <c r="E8" s="13"/>
      <c r="F8" s="9" t="s">
        <v>18</v>
      </c>
      <c r="G8" s="9" t="s">
        <v>43</v>
      </c>
      <c r="I8" s="17" t="s">
        <v>32</v>
      </c>
      <c r="J8" s="18">
        <v>69000</v>
      </c>
      <c r="K8" s="17" t="s">
        <v>27</v>
      </c>
      <c r="L8" s="17"/>
      <c r="M8" s="17"/>
      <c r="N8" s="1" t="s">
        <v>118</v>
      </c>
      <c r="O8" s="22" t="s">
        <v>72</v>
      </c>
      <c r="P8" s="23">
        <f>165332+38881+11115664+9220721</f>
        <v>20540598</v>
      </c>
      <c r="Q8" s="24">
        <f>29+8+5097+5162</f>
        <v>10296</v>
      </c>
      <c r="R8" s="25">
        <f>0%+0%+0.46%+0.42%</f>
        <v>8.7999999999999988E-3</v>
      </c>
      <c r="T8" s="7">
        <f t="shared" si="0"/>
        <v>205405.98</v>
      </c>
    </row>
    <row r="9" spans="1:24" x14ac:dyDescent="0.2">
      <c r="A9" s="13" t="s">
        <v>38</v>
      </c>
      <c r="B9" s="14">
        <v>5</v>
      </c>
      <c r="C9" s="21">
        <f>D9/12</f>
        <v>40770.833333333336</v>
      </c>
      <c r="D9" s="21">
        <f>J9*B9</f>
        <v>489250</v>
      </c>
      <c r="E9" s="13"/>
      <c r="F9" s="9" t="s">
        <v>61</v>
      </c>
      <c r="G9" s="27" t="s">
        <v>62</v>
      </c>
      <c r="I9" s="17" t="s">
        <v>37</v>
      </c>
      <c r="J9" s="18">
        <f>L9*J2</f>
        <v>97850</v>
      </c>
      <c r="K9" s="17" t="s">
        <v>42</v>
      </c>
      <c r="L9" s="18">
        <v>5000</v>
      </c>
      <c r="M9" s="17"/>
      <c r="O9" s="22" t="s">
        <v>73</v>
      </c>
      <c r="P9" s="23">
        <f>7053097+4544838+2691100+3044106</f>
        <v>17333141</v>
      </c>
      <c r="Q9" s="24">
        <f>2761+3531+1191+1268</f>
        <v>8751</v>
      </c>
      <c r="R9" s="25">
        <f>0.33%+0.31%+0.23%+0.23%</f>
        <v>1.0999999999999999E-2</v>
      </c>
      <c r="T9" s="7">
        <f t="shared" si="0"/>
        <v>173331.41</v>
      </c>
    </row>
    <row r="10" spans="1:24" x14ac:dyDescent="0.2">
      <c r="A10" s="13" t="s">
        <v>21</v>
      </c>
      <c r="B10" s="14"/>
      <c r="C10" s="15"/>
      <c r="D10" s="13"/>
      <c r="E10" s="16">
        <f>SUM(D11:D15)</f>
        <v>3216000</v>
      </c>
      <c r="F10" s="9" t="s">
        <v>33</v>
      </c>
      <c r="G10" s="28" t="s">
        <v>34</v>
      </c>
      <c r="I10" s="17" t="s">
        <v>41</v>
      </c>
      <c r="J10" s="18">
        <f>L10*J2</f>
        <v>97360.75</v>
      </c>
      <c r="K10" s="17" t="s">
        <v>42</v>
      </c>
      <c r="L10" s="18">
        <v>4975</v>
      </c>
      <c r="M10" s="17"/>
      <c r="O10" s="101" t="s">
        <v>74</v>
      </c>
      <c r="P10" s="23">
        <f>4568757+3249949+3465748+3605547</f>
        <v>14890001</v>
      </c>
      <c r="Q10" s="24">
        <f>4545+2+3204+3322</f>
        <v>11073</v>
      </c>
      <c r="R10" s="25">
        <f>0.49%+0.44%+0.35%+0.34%</f>
        <v>1.6199999999999999E-2</v>
      </c>
      <c r="T10" s="7">
        <f t="shared" si="0"/>
        <v>148900.01</v>
      </c>
    </row>
    <row r="11" spans="1:24" x14ac:dyDescent="0.2">
      <c r="A11" s="13" t="s">
        <v>22</v>
      </c>
      <c r="B11" s="14"/>
      <c r="C11" s="21">
        <f>J4</f>
        <v>20400</v>
      </c>
      <c r="D11" s="21">
        <f t="shared" ref="D11:D16" si="1">C11*12</f>
        <v>244800</v>
      </c>
      <c r="E11" s="13"/>
      <c r="I11" s="17" t="s">
        <v>45</v>
      </c>
      <c r="J11" s="18">
        <v>35521</v>
      </c>
      <c r="K11" s="17"/>
      <c r="L11" s="17"/>
      <c r="M11" s="17"/>
      <c r="O11" s="101" t="s">
        <v>75</v>
      </c>
      <c r="P11" s="30">
        <f>21015+1555+5513352+1266266</f>
        <v>6802188</v>
      </c>
      <c r="Q11" s="31">
        <f>7+1782+2754+603</f>
        <v>5146</v>
      </c>
      <c r="R11" s="32">
        <f>0%+0%+1.21%+0.53%</f>
        <v>1.7399999999999999E-2</v>
      </c>
      <c r="T11" s="7">
        <f t="shared" si="0"/>
        <v>68021.88</v>
      </c>
    </row>
    <row r="12" spans="1:24" x14ac:dyDescent="0.2">
      <c r="A12" s="13" t="s">
        <v>23</v>
      </c>
      <c r="B12" s="14"/>
      <c r="C12" s="21">
        <f>J5</f>
        <v>74000</v>
      </c>
      <c r="D12" s="21">
        <f t="shared" si="1"/>
        <v>888000</v>
      </c>
      <c r="E12" s="13"/>
      <c r="I12" s="17" t="s">
        <v>46</v>
      </c>
      <c r="J12" s="18">
        <v>5300</v>
      </c>
      <c r="K12" s="17"/>
      <c r="L12" s="17"/>
      <c r="M12" s="17"/>
      <c r="N12" s="1" t="s">
        <v>118</v>
      </c>
      <c r="O12" s="1" t="s">
        <v>76</v>
      </c>
      <c r="P12" s="30">
        <f>1728346+1944794+2301826+691341</f>
        <v>6666307</v>
      </c>
      <c r="Q12" s="31">
        <f>1716+1892+1898+799</f>
        <v>6305</v>
      </c>
      <c r="R12" s="32">
        <f>0.23%+0.36%+0.39%+0.24%</f>
        <v>1.2199999999999999E-2</v>
      </c>
      <c r="T12" s="7">
        <f t="shared" si="0"/>
        <v>66663.070000000007</v>
      </c>
      <c r="U12" s="29"/>
    </row>
    <row r="13" spans="1:24" x14ac:dyDescent="0.2">
      <c r="A13" s="13" t="s">
        <v>29</v>
      </c>
      <c r="B13" s="14"/>
      <c r="C13" s="21">
        <f>J6</f>
        <v>29200</v>
      </c>
      <c r="D13" s="21">
        <f t="shared" si="1"/>
        <v>350400</v>
      </c>
      <c r="E13" s="13"/>
      <c r="I13" s="17" t="s">
        <v>50</v>
      </c>
      <c r="J13" s="18">
        <v>570</v>
      </c>
      <c r="K13" s="17"/>
      <c r="L13" s="17"/>
      <c r="M13" s="17"/>
      <c r="O13" s="1" t="s">
        <v>77</v>
      </c>
      <c r="P13" s="30">
        <f>0+0+1745764+2637737</f>
        <v>4383501</v>
      </c>
      <c r="Q13" s="31">
        <f>0+0+1237+1308</f>
        <v>2545</v>
      </c>
      <c r="R13" s="32">
        <f>0%+0%+0.65%+0.66%</f>
        <v>1.3100000000000001E-2</v>
      </c>
      <c r="T13" s="7">
        <f t="shared" si="0"/>
        <v>43835.01</v>
      </c>
    </row>
    <row r="14" spans="1:24" ht="17" thickBot="1" x14ac:dyDescent="0.25">
      <c r="A14" s="13" t="s">
        <v>24</v>
      </c>
      <c r="B14" s="14"/>
      <c r="C14" s="21">
        <f>J7</f>
        <v>75400</v>
      </c>
      <c r="D14" s="21">
        <f t="shared" si="1"/>
        <v>904800</v>
      </c>
      <c r="E14" s="13"/>
      <c r="I14" s="33" t="s">
        <v>54</v>
      </c>
      <c r="J14" s="34">
        <v>4050</v>
      </c>
      <c r="K14" s="33"/>
      <c r="L14" s="33"/>
      <c r="M14" s="33"/>
      <c r="O14" s="101" t="s">
        <v>78</v>
      </c>
      <c r="P14" s="30">
        <f>558827+213471+555188+703761</f>
        <v>2031247</v>
      </c>
      <c r="Q14" s="31">
        <f>236+237+380+427</f>
        <v>1280</v>
      </c>
      <c r="R14" s="32">
        <f>0.33%+0.33%+0.41%+0.42%</f>
        <v>1.49E-2</v>
      </c>
      <c r="T14" s="7">
        <f t="shared" si="0"/>
        <v>20312.47</v>
      </c>
    </row>
    <row r="15" spans="1:24" x14ac:dyDescent="0.2">
      <c r="A15" s="13" t="s">
        <v>25</v>
      </c>
      <c r="B15" s="14"/>
      <c r="C15" s="21">
        <f>J8</f>
        <v>69000</v>
      </c>
      <c r="D15" s="21">
        <f t="shared" si="1"/>
        <v>828000</v>
      </c>
      <c r="E15" s="13"/>
      <c r="O15" s="1" t="s">
        <v>79</v>
      </c>
      <c r="P15" s="30">
        <f>0+0+52426+111613</f>
        <v>164039</v>
      </c>
      <c r="Q15" s="31">
        <f>0+0+34+79</f>
        <v>113</v>
      </c>
      <c r="R15" s="32">
        <f>0%+0%+0.09%+0.19%</f>
        <v>2.8E-3</v>
      </c>
      <c r="T15" s="7">
        <f t="shared" si="0"/>
        <v>1640.39</v>
      </c>
    </row>
    <row r="16" spans="1:24" x14ac:dyDescent="0.2">
      <c r="A16" s="35" t="s">
        <v>59</v>
      </c>
      <c r="B16" s="36"/>
      <c r="C16" s="37">
        <f>J3*15</f>
        <v>29.355</v>
      </c>
      <c r="D16" s="37">
        <f t="shared" si="1"/>
        <v>352.26</v>
      </c>
      <c r="E16" s="38">
        <f>D16</f>
        <v>352.26</v>
      </c>
      <c r="O16" s="101" t="s">
        <v>80</v>
      </c>
      <c r="P16" s="30">
        <f>44080+0+0+0</f>
        <v>44080</v>
      </c>
      <c r="Q16" s="31">
        <f>0+4+0+0</f>
        <v>4</v>
      </c>
      <c r="R16" s="32">
        <f>0%+0%+0%+0%</f>
        <v>0</v>
      </c>
      <c r="T16" s="7">
        <f t="shared" si="0"/>
        <v>440.8</v>
      </c>
      <c r="U16" s="29">
        <f>SUM(T11:T17)</f>
        <v>201121.92000000001</v>
      </c>
      <c r="V16" s="1" t="s">
        <v>122</v>
      </c>
      <c r="W16" s="1" t="s">
        <v>112</v>
      </c>
      <c r="X16" s="27" t="s">
        <v>113</v>
      </c>
    </row>
    <row r="17" spans="1:22" ht="17" thickBot="1" x14ac:dyDescent="0.25">
      <c r="A17" s="39" t="s">
        <v>6</v>
      </c>
      <c r="B17" s="40"/>
      <c r="C17" s="41"/>
      <c r="D17" s="41"/>
      <c r="E17" s="42">
        <f>SUM(E2:E16)</f>
        <v>4030168.01</v>
      </c>
      <c r="F17" s="7"/>
      <c r="O17" s="43" t="s">
        <v>81</v>
      </c>
      <c r="P17" s="44">
        <f>899+0+16936+2995</f>
        <v>20830</v>
      </c>
      <c r="Q17" s="45">
        <f>1+0+0+8</f>
        <v>9</v>
      </c>
      <c r="R17" s="46">
        <f>0.01%+0.04%+0.48%+0.06%</f>
        <v>5.899999999999999E-3</v>
      </c>
      <c r="T17" s="7">
        <f t="shared" si="0"/>
        <v>208.3</v>
      </c>
      <c r="U17" s="29">
        <f>SUM(T3,T4,T5,T7,T10,T11,T14,T16)</f>
        <v>15309052.530000001</v>
      </c>
      <c r="V17" s="1" t="s">
        <v>121</v>
      </c>
    </row>
    <row r="18" spans="1:22" ht="17" thickBot="1" x14ac:dyDescent="0.25">
      <c r="F18" s="7"/>
      <c r="O18" s="48" t="s">
        <v>82</v>
      </c>
      <c r="P18" s="49">
        <f>SUM(P3:P17)</f>
        <v>1594658071</v>
      </c>
      <c r="Q18" s="50">
        <f>SUM(Q3:Q17)</f>
        <v>1282402</v>
      </c>
      <c r="R18" s="51">
        <f>SUM(R3:R17)</f>
        <v>0.17799999999999996</v>
      </c>
      <c r="U18" s="29">
        <f>SUM(T3:T17)</f>
        <v>15946580.710000003</v>
      </c>
      <c r="V18" s="1" t="s">
        <v>120</v>
      </c>
    </row>
    <row r="19" spans="1:22" ht="17" thickBot="1" x14ac:dyDescent="0.25">
      <c r="A19" s="52" t="s">
        <v>20</v>
      </c>
      <c r="B19" s="53"/>
      <c r="C19" s="43"/>
      <c r="D19" s="43"/>
      <c r="E19" s="43"/>
    </row>
    <row r="20" spans="1:22" x14ac:dyDescent="0.2">
      <c r="A20" s="54" t="s">
        <v>19</v>
      </c>
      <c r="B20" s="53"/>
      <c r="C20" s="43"/>
      <c r="D20" s="43"/>
      <c r="E20" s="43"/>
    </row>
    <row r="21" spans="1:22" x14ac:dyDescent="0.2">
      <c r="A21" s="54" t="s">
        <v>58</v>
      </c>
      <c r="B21" s="53"/>
      <c r="C21" s="43"/>
      <c r="D21" s="43"/>
      <c r="E21" s="43"/>
      <c r="P21" s="7"/>
    </row>
    <row r="22" spans="1:22" ht="17" thickBot="1" x14ac:dyDescent="0.25">
      <c r="A22" s="55" t="s">
        <v>60</v>
      </c>
      <c r="B22" s="53"/>
      <c r="C22" s="43"/>
      <c r="D22" s="43"/>
      <c r="E22" s="43"/>
      <c r="P22" s="7"/>
    </row>
    <row r="23" spans="1:22" x14ac:dyDescent="0.2">
      <c r="P23" s="30"/>
    </row>
  </sheetData>
  <mergeCells count="3">
    <mergeCell ref="I1:M1"/>
    <mergeCell ref="R1:R2"/>
    <mergeCell ref="O1:Q1"/>
  </mergeCells>
  <conditionalFormatting sqref="A1:XFD9 A10:T10 Y10:XFD10 A11:XFD15 A17:XFD1048576 A16:U16 W16:XFD16">
    <cfRule type="cellIs" dxfId="6" priority="1" operator="lessThan">
      <formula>0</formula>
    </cfRule>
  </conditionalFormatting>
  <hyperlinks>
    <hyperlink ref="G10" r:id="rId1" xr:uid="{811163C3-EE35-AF4B-89B9-E4DBDD873023}"/>
    <hyperlink ref="G9" r:id="rId2" xr:uid="{12E04F72-0223-6A47-8F98-4DA9118945FA}"/>
    <hyperlink ref="X16" r:id="rId3" xr:uid="{136CEE59-6E4F-704A-83B1-4FB28B0A0C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9952-1BDA-B44C-BDF3-53F55B152F69}">
  <dimension ref="A1:O44"/>
  <sheetViews>
    <sheetView showGridLines="0" zoomScaleNormal="100" workbookViewId="0"/>
  </sheetViews>
  <sheetFormatPr baseColWidth="10" defaultRowHeight="16" x14ac:dyDescent="0.2"/>
  <cols>
    <col min="1" max="1" width="31.5" style="1" bestFit="1" customWidth="1"/>
    <col min="2" max="2" width="15" style="1" bestFit="1" customWidth="1"/>
    <col min="3" max="7" width="15" style="1" customWidth="1"/>
    <col min="8" max="8" width="14" style="1" bestFit="1" customWidth="1"/>
    <col min="9" max="9" width="15.1640625" style="1" bestFit="1" customWidth="1"/>
    <col min="10" max="10" width="21.5" style="1" bestFit="1" customWidth="1"/>
    <col min="11" max="11" width="15.1640625" style="1" bestFit="1" customWidth="1"/>
    <col min="12" max="12" width="21.5" style="1" bestFit="1" customWidth="1"/>
    <col min="13" max="13" width="0" style="1" hidden="1" customWidth="1"/>
    <col min="14" max="14" width="23" style="1" bestFit="1" customWidth="1"/>
    <col min="15" max="15" width="14" style="1" bestFit="1" customWidth="1"/>
    <col min="16" max="16384" width="10.83203125" style="1"/>
  </cols>
  <sheetData>
    <row r="1" spans="1:13" ht="26" x14ac:dyDescent="0.2">
      <c r="A1" s="81" t="s">
        <v>115</v>
      </c>
    </row>
    <row r="3" spans="1:13" ht="17" thickBot="1" x14ac:dyDescent="0.25">
      <c r="B3" s="105" t="s">
        <v>0</v>
      </c>
      <c r="C3" s="105"/>
      <c r="D3" s="105"/>
      <c r="F3" s="107" t="s">
        <v>1</v>
      </c>
      <c r="G3" s="107"/>
      <c r="H3" s="107"/>
      <c r="J3" s="108" t="s">
        <v>2</v>
      </c>
      <c r="K3" s="108"/>
      <c r="L3" s="108"/>
    </row>
    <row r="4" spans="1:13" x14ac:dyDescent="0.2">
      <c r="B4" s="106" t="s">
        <v>3</v>
      </c>
      <c r="C4" s="106"/>
      <c r="D4" s="82">
        <v>4.2999999999999997E-2</v>
      </c>
      <c r="F4" s="2" t="s">
        <v>4</v>
      </c>
      <c r="G4" s="3">
        <v>5</v>
      </c>
      <c r="H4" s="4" t="s">
        <v>5</v>
      </c>
      <c r="J4" s="109" t="s">
        <v>7</v>
      </c>
      <c r="K4" s="109"/>
      <c r="L4" s="5">
        <f>AVERAGE(B35:B36)</f>
        <v>7.3399999999999993E-2</v>
      </c>
    </row>
    <row r="5" spans="1:13" ht="16" customHeight="1" x14ac:dyDescent="0.2">
      <c r="B5" s="116" t="s">
        <v>111</v>
      </c>
      <c r="C5" s="116"/>
      <c r="D5" s="116"/>
      <c r="F5" s="110" t="s">
        <v>127</v>
      </c>
      <c r="G5" s="110"/>
      <c r="H5" s="110"/>
      <c r="J5" s="112" t="s">
        <v>117</v>
      </c>
      <c r="K5" s="112"/>
      <c r="L5" s="112"/>
    </row>
    <row r="6" spans="1:13" ht="17" thickBot="1" x14ac:dyDescent="0.25">
      <c r="B6" s="117"/>
      <c r="C6" s="117"/>
      <c r="D6" s="117"/>
      <c r="F6" s="111"/>
      <c r="G6" s="111"/>
      <c r="H6" s="111"/>
      <c r="J6" s="113"/>
      <c r="K6" s="113"/>
      <c r="L6" s="113"/>
    </row>
    <row r="7" spans="1:13" ht="17" thickBot="1" x14ac:dyDescent="0.25">
      <c r="B7" s="118"/>
      <c r="C7" s="118"/>
      <c r="D7" s="118"/>
      <c r="E7" s="77"/>
      <c r="F7" s="68"/>
      <c r="G7" s="68"/>
      <c r="H7" s="68"/>
      <c r="J7" s="113"/>
      <c r="K7" s="113"/>
      <c r="L7" s="113"/>
    </row>
    <row r="8" spans="1:13" x14ac:dyDescent="0.2">
      <c r="B8" s="68"/>
      <c r="C8" s="68"/>
      <c r="D8" s="68"/>
      <c r="E8" s="77"/>
      <c r="F8" s="78"/>
      <c r="G8" s="78"/>
      <c r="H8" s="78"/>
      <c r="J8" s="113"/>
      <c r="K8" s="113"/>
      <c r="L8" s="113"/>
      <c r="M8" s="1" t="s">
        <v>93</v>
      </c>
    </row>
    <row r="9" spans="1:13" ht="17" thickBot="1" x14ac:dyDescent="0.25">
      <c r="B9" s="76"/>
      <c r="C9" s="76"/>
      <c r="D9" s="76"/>
      <c r="J9" s="114"/>
      <c r="K9" s="114"/>
      <c r="L9" s="114"/>
    </row>
    <row r="10" spans="1:13" x14ac:dyDescent="0.2">
      <c r="B10" s="76"/>
      <c r="C10" s="76"/>
      <c r="D10" s="76"/>
      <c r="J10" s="76"/>
      <c r="K10" s="76"/>
      <c r="L10" s="76"/>
    </row>
    <row r="11" spans="1:13" ht="17" thickBot="1" x14ac:dyDescent="0.25">
      <c r="A11" s="115" t="s">
        <v>83</v>
      </c>
      <c r="B11" s="115"/>
      <c r="J11" s="43"/>
      <c r="K11" s="43"/>
      <c r="L11" s="43"/>
    </row>
    <row r="12" spans="1:13" x14ac:dyDescent="0.2">
      <c r="A12" s="1" t="s">
        <v>6</v>
      </c>
      <c r="B12" s="56">
        <f>Inversión!E17</f>
        <v>4030168.01</v>
      </c>
      <c r="D12" s="10"/>
      <c r="E12" s="10"/>
    </row>
    <row r="13" spans="1:13" x14ac:dyDescent="0.2">
      <c r="A13" s="1" t="s">
        <v>84</v>
      </c>
      <c r="B13" s="56">
        <f>Inversión!U18*AVERAGE(B37:B38)</f>
        <v>13481239.332234001</v>
      </c>
      <c r="D13" s="6"/>
    </row>
    <row r="14" spans="1:13" x14ac:dyDescent="0.2">
      <c r="A14" s="1" t="s">
        <v>85</v>
      </c>
      <c r="B14" s="69">
        <v>0</v>
      </c>
    </row>
    <row r="15" spans="1:13" x14ac:dyDescent="0.2">
      <c r="A15" s="1" t="s">
        <v>86</v>
      </c>
      <c r="B15" s="59">
        <v>0</v>
      </c>
    </row>
    <row r="16" spans="1:13" x14ac:dyDescent="0.2">
      <c r="A16" s="1" t="s">
        <v>87</v>
      </c>
      <c r="B16" s="60">
        <f>D4</f>
        <v>4.2999999999999997E-2</v>
      </c>
      <c r="C16" s="1" t="s">
        <v>108</v>
      </c>
      <c r="D16" s="1" t="s">
        <v>109</v>
      </c>
      <c r="E16" s="27" t="s">
        <v>110</v>
      </c>
    </row>
    <row r="17" spans="1:15" x14ac:dyDescent="0.2">
      <c r="A17" s="1" t="s">
        <v>88</v>
      </c>
      <c r="B17" s="56">
        <f>Inversión!E7+Inversión!E10+Inversión!E16</f>
        <v>3802963.01</v>
      </c>
    </row>
    <row r="18" spans="1:15" ht="17" thickBot="1" x14ac:dyDescent="0.25">
      <c r="A18" s="61" t="s">
        <v>89</v>
      </c>
      <c r="B18" s="62">
        <v>0.3</v>
      </c>
      <c r="N18" s="43"/>
      <c r="O18" s="43"/>
    </row>
    <row r="19" spans="1:15" x14ac:dyDescent="0.2">
      <c r="N19" s="43"/>
      <c r="O19" s="43"/>
    </row>
    <row r="20" spans="1:15" ht="17" thickBot="1" x14ac:dyDescent="0.25">
      <c r="A20" s="120" t="s">
        <v>96</v>
      </c>
      <c r="B20" s="120"/>
      <c r="C20" s="120"/>
      <c r="D20" s="120"/>
      <c r="E20" s="120"/>
      <c r="I20" s="48" t="s">
        <v>4</v>
      </c>
      <c r="J20" s="48" t="s">
        <v>100</v>
      </c>
      <c r="K20" s="48" t="s">
        <v>101</v>
      </c>
      <c r="L20" s="48" t="s">
        <v>102</v>
      </c>
      <c r="N20" s="43"/>
      <c r="O20" s="71"/>
    </row>
    <row r="21" spans="1:15" ht="16" customHeight="1" x14ac:dyDescent="0.2">
      <c r="A21" s="65"/>
      <c r="B21" s="65"/>
      <c r="C21" s="83">
        <v>44926</v>
      </c>
      <c r="D21" s="83">
        <v>45291</v>
      </c>
      <c r="E21" s="83">
        <v>45657</v>
      </c>
      <c r="F21" s="83">
        <v>46022</v>
      </c>
      <c r="G21" s="83">
        <v>46387</v>
      </c>
      <c r="I21" s="47">
        <v>1</v>
      </c>
      <c r="J21" s="30">
        <f>C31</f>
        <v>6774793.4255638011</v>
      </c>
      <c r="K21" s="30">
        <f>B12</f>
        <v>4030168.01</v>
      </c>
      <c r="L21" s="30">
        <f>K21-J21</f>
        <v>-2744625.4155638013</v>
      </c>
      <c r="N21" s="80"/>
      <c r="O21" s="80"/>
    </row>
    <row r="22" spans="1:15" x14ac:dyDescent="0.2">
      <c r="B22" s="64">
        <v>0</v>
      </c>
      <c r="C22" s="64">
        <v>1</v>
      </c>
      <c r="D22" s="64">
        <v>2</v>
      </c>
      <c r="E22" s="64">
        <v>3</v>
      </c>
      <c r="F22" s="64">
        <v>4</v>
      </c>
      <c r="G22" s="64">
        <v>5</v>
      </c>
      <c r="I22" s="47">
        <v>2</v>
      </c>
      <c r="J22" s="30">
        <f>D31</f>
        <v>7180578.7294640429</v>
      </c>
      <c r="K22" s="30">
        <f>L21</f>
        <v>-2744625.4155638013</v>
      </c>
      <c r="L22" s="30">
        <f>K22-J22</f>
        <v>-9925204.1450278442</v>
      </c>
      <c r="N22" s="80"/>
      <c r="O22" s="80"/>
    </row>
    <row r="23" spans="1:15" x14ac:dyDescent="0.2">
      <c r="A23" s="1" t="s">
        <v>84</v>
      </c>
      <c r="C23" s="7">
        <f>B13</f>
        <v>13481239.332234001</v>
      </c>
      <c r="D23" s="7">
        <f>C23*(1+$B$16)</f>
        <v>14060932.623520061</v>
      </c>
      <c r="E23" s="7">
        <f>D23*(1+$B$16)</f>
        <v>14665552.726331422</v>
      </c>
      <c r="F23" s="7">
        <f>E23*(1+$B$16)</f>
        <v>15296171.493563673</v>
      </c>
      <c r="G23" s="7">
        <f>F23*(1+$B$16)</f>
        <v>15953906.867786909</v>
      </c>
      <c r="I23" s="47">
        <v>3</v>
      </c>
      <c r="J23" s="44">
        <f>E31</f>
        <v>7603812.8014319958</v>
      </c>
      <c r="K23" s="44">
        <f>L22</f>
        <v>-9925204.1450278442</v>
      </c>
      <c r="L23" s="44">
        <f>K23-J23</f>
        <v>-17529016.946459841</v>
      </c>
      <c r="N23" s="80"/>
      <c r="O23" s="80"/>
    </row>
    <row r="24" spans="1:15" x14ac:dyDescent="0.2">
      <c r="A24" s="63" t="s">
        <v>85</v>
      </c>
      <c r="B24" s="63"/>
      <c r="C24" s="70">
        <f>B14</f>
        <v>0</v>
      </c>
      <c r="D24" s="70">
        <f>C24*(1+$B$15)</f>
        <v>0</v>
      </c>
      <c r="E24" s="70">
        <f>D24*(1+$B$15)</f>
        <v>0</v>
      </c>
      <c r="F24" s="70">
        <f>E24*(1+$B$15)</f>
        <v>0</v>
      </c>
      <c r="G24" s="70">
        <f t="shared" ref="G24" si="0">F24*(1+$B$15)</f>
        <v>0</v>
      </c>
      <c r="H24" s="43"/>
      <c r="I24" s="47">
        <v>4</v>
      </c>
      <c r="J24" s="44">
        <f>F31</f>
        <v>8045245.9384945706</v>
      </c>
      <c r="K24" s="30">
        <f>L23</f>
        <v>-17529016.946459841</v>
      </c>
      <c r="L24" s="44">
        <f>K24-J24</f>
        <v>-25574262.884954412</v>
      </c>
      <c r="N24" s="80"/>
      <c r="O24" s="80"/>
    </row>
    <row r="25" spans="1:15" ht="17" thickBot="1" x14ac:dyDescent="0.25">
      <c r="A25" s="1" t="s">
        <v>8</v>
      </c>
      <c r="C25" s="7">
        <f>C23-C24</f>
        <v>13481239.332234001</v>
      </c>
      <c r="D25" s="7">
        <f>D23-D24</f>
        <v>14060932.623520061</v>
      </c>
      <c r="E25" s="7">
        <f>E23-E24</f>
        <v>14665552.726331422</v>
      </c>
      <c r="F25" s="7">
        <f t="shared" ref="F25:G25" si="1">F23-F24</f>
        <v>15296171.493563673</v>
      </c>
      <c r="G25" s="7">
        <f t="shared" si="1"/>
        <v>15953906.867786909</v>
      </c>
      <c r="I25" s="67">
        <v>5</v>
      </c>
      <c r="J25" s="72">
        <f>G31</f>
        <v>8505660.7004508357</v>
      </c>
      <c r="K25" s="72">
        <f>L24</f>
        <v>-25574262.884954412</v>
      </c>
      <c r="L25" s="72">
        <f>K25-J25</f>
        <v>-34079923.585405245</v>
      </c>
      <c r="N25" s="80"/>
      <c r="O25" s="80"/>
    </row>
    <row r="26" spans="1:15" x14ac:dyDescent="0.2">
      <c r="A26" s="63" t="s">
        <v>88</v>
      </c>
      <c r="B26" s="63"/>
      <c r="C26" s="70">
        <f>$B$17</f>
        <v>3802963.01</v>
      </c>
      <c r="D26" s="70">
        <f>$B$17</f>
        <v>3802963.01</v>
      </c>
      <c r="E26" s="70">
        <f>$B$17</f>
        <v>3802963.01</v>
      </c>
      <c r="F26" s="70">
        <f t="shared" ref="F26:G26" si="2">$B$17</f>
        <v>3802963.01</v>
      </c>
      <c r="G26" s="70">
        <f t="shared" si="2"/>
        <v>3802963.01</v>
      </c>
      <c r="N26" s="80"/>
      <c r="O26" s="80"/>
    </row>
    <row r="27" spans="1:15" x14ac:dyDescent="0.2">
      <c r="A27" s="1" t="s">
        <v>9</v>
      </c>
      <c r="C27" s="7">
        <f>C25-C26</f>
        <v>9678276.322234001</v>
      </c>
      <c r="D27" s="7">
        <f>D25-D26</f>
        <v>10257969.613520062</v>
      </c>
      <c r="E27" s="7">
        <f>E25-E26</f>
        <v>10862589.716331422</v>
      </c>
      <c r="F27" s="7">
        <f t="shared" ref="F27:G27" si="3">F25-F26</f>
        <v>11493208.483563673</v>
      </c>
      <c r="G27" s="7">
        <f t="shared" si="3"/>
        <v>12150943.857786909</v>
      </c>
      <c r="N27" s="80"/>
      <c r="O27" s="80"/>
    </row>
    <row r="28" spans="1:15" x14ac:dyDescent="0.2">
      <c r="A28" s="63" t="s">
        <v>97</v>
      </c>
      <c r="B28" s="63"/>
      <c r="C28" s="70">
        <f>C27*$B$18</f>
        <v>2903482.8966702004</v>
      </c>
      <c r="D28" s="70">
        <f>D27*$B$18</f>
        <v>3077390.8840560182</v>
      </c>
      <c r="E28" s="70">
        <f>E27*$B$18</f>
        <v>3258776.9148994265</v>
      </c>
      <c r="F28" s="70">
        <f t="shared" ref="F28:G28" si="4">F27*$B$18</f>
        <v>3447962.5450691017</v>
      </c>
      <c r="G28" s="70">
        <f t="shared" si="4"/>
        <v>3645283.1573360725</v>
      </c>
      <c r="N28" s="80"/>
      <c r="O28" s="80"/>
    </row>
    <row r="29" spans="1:15" x14ac:dyDescent="0.2">
      <c r="A29" s="8" t="s">
        <v>10</v>
      </c>
      <c r="C29" s="7">
        <f>C27-C28</f>
        <v>6774793.4255638011</v>
      </c>
      <c r="D29" s="7">
        <f>D27-D28</f>
        <v>7180578.7294640429</v>
      </c>
      <c r="E29" s="7">
        <f>E27-E28</f>
        <v>7603812.8014319958</v>
      </c>
      <c r="F29" s="7">
        <f t="shared" ref="F29:G29" si="5">F27-F28</f>
        <v>8045245.9384945706</v>
      </c>
      <c r="G29" s="7">
        <f t="shared" si="5"/>
        <v>8505660.7004508357</v>
      </c>
    </row>
    <row r="31" spans="1:15" x14ac:dyDescent="0.2">
      <c r="A31" s="66" t="s">
        <v>98</v>
      </c>
      <c r="B31" s="21">
        <f>-$B$12</f>
        <v>-4030168.01</v>
      </c>
      <c r="C31" s="21">
        <f>C29</f>
        <v>6774793.4255638011</v>
      </c>
      <c r="D31" s="21">
        <f t="shared" ref="D31:G31" si="6">D29</f>
        <v>7180578.7294640429</v>
      </c>
      <c r="E31" s="21">
        <f t="shared" si="6"/>
        <v>7603812.8014319958</v>
      </c>
      <c r="F31" s="21">
        <f t="shared" si="6"/>
        <v>8045245.9384945706</v>
      </c>
      <c r="G31" s="21">
        <f t="shared" si="6"/>
        <v>8505660.7004508357</v>
      </c>
    </row>
    <row r="32" spans="1:15" x14ac:dyDescent="0.2">
      <c r="A32" s="66" t="s">
        <v>99</v>
      </c>
      <c r="B32" s="21">
        <f>-$B$12</f>
        <v>-4030168.01</v>
      </c>
      <c r="C32" s="21">
        <f>C31/(1+$L$4)^C22</f>
        <v>6311527.320256942</v>
      </c>
      <c r="D32" s="21">
        <f>D31/(1+$L$4)^D22</f>
        <v>6232126.5901048649</v>
      </c>
      <c r="E32" s="21">
        <f>E31/(1+$L$4)^E22</f>
        <v>6148180.9870671853</v>
      </c>
      <c r="F32" s="21">
        <f t="shared" ref="F32:G32" si="7">F31/(1+$L$4)^F22</f>
        <v>6060283.7795191342</v>
      </c>
      <c r="G32" s="21">
        <f t="shared" si="7"/>
        <v>5968979.6672903188</v>
      </c>
    </row>
    <row r="34" spans="1:3" ht="17" thickBot="1" x14ac:dyDescent="0.25">
      <c r="A34" s="119" t="s">
        <v>11</v>
      </c>
      <c r="B34" s="119"/>
      <c r="C34" s="119"/>
    </row>
    <row r="35" spans="1:3" x14ac:dyDescent="0.2">
      <c r="A35" s="9" t="s">
        <v>90</v>
      </c>
      <c r="B35" s="57">
        <v>7.0000000000000007E-2</v>
      </c>
      <c r="C35" s="9" t="s">
        <v>92</v>
      </c>
    </row>
    <row r="36" spans="1:3" x14ac:dyDescent="0.2">
      <c r="A36" s="9" t="s">
        <v>91</v>
      </c>
      <c r="B36" s="58">
        <v>7.6799999999999993E-2</v>
      </c>
      <c r="C36" s="9" t="s">
        <v>92</v>
      </c>
    </row>
    <row r="37" spans="1:3" x14ac:dyDescent="0.2">
      <c r="A37" s="1" t="s">
        <v>94</v>
      </c>
      <c r="B37" s="60">
        <v>0.8448</v>
      </c>
    </row>
    <row r="38" spans="1:3" ht="17" thickBot="1" x14ac:dyDescent="0.25">
      <c r="A38" s="61" t="s">
        <v>95</v>
      </c>
      <c r="B38" s="84">
        <v>0.84599999999999997</v>
      </c>
      <c r="C38" s="61"/>
    </row>
    <row r="39" spans="1:3" x14ac:dyDescent="0.2">
      <c r="B39" s="10"/>
    </row>
    <row r="40" spans="1:3" ht="17" thickBot="1" x14ac:dyDescent="0.25">
      <c r="A40" s="115" t="s">
        <v>103</v>
      </c>
      <c r="B40" s="115"/>
    </row>
    <row r="41" spans="1:3" x14ac:dyDescent="0.2">
      <c r="A41" s="1" t="s">
        <v>104</v>
      </c>
      <c r="B41" s="73">
        <v>26167050.180280399</v>
      </c>
      <c r="C41" s="1" t="s">
        <v>114</v>
      </c>
    </row>
    <row r="42" spans="1:3" x14ac:dyDescent="0.2">
      <c r="A42" s="1" t="s">
        <v>105</v>
      </c>
      <c r="B42" s="74">
        <v>1.6957134095422199</v>
      </c>
    </row>
    <row r="43" spans="1:3" x14ac:dyDescent="0.2">
      <c r="A43" s="1" t="s">
        <v>106</v>
      </c>
      <c r="B43" s="75">
        <v>7.4927938774146501</v>
      </c>
    </row>
    <row r="44" spans="1:3" ht="17" thickBot="1" x14ac:dyDescent="0.25">
      <c r="A44" s="61" t="s">
        <v>107</v>
      </c>
      <c r="B44" s="79">
        <v>1</v>
      </c>
    </row>
  </sheetData>
  <scenarios current="0" sqref="B41:B44">
    <scenario name="Optimista" locked="1" count="1" user="Microsoft Office User">
      <inputCells r="B13" val="13311210.861066" numFmtId="44"/>
    </scenario>
    <scenario name="Realista" locked="1" count="1" user="Microsoft Office User">
      <inputCells r="B13" val="559927.31" numFmtId="44"/>
    </scenario>
    <scenario name="Pesimista" locked="1" count="1" user="Microsoft Office User">
      <inputCells r="B13" val="170028.47" numFmtId="44"/>
    </scenario>
  </scenarios>
  <mergeCells count="12">
    <mergeCell ref="F5:H6"/>
    <mergeCell ref="J5:L9"/>
    <mergeCell ref="A40:B40"/>
    <mergeCell ref="B5:D7"/>
    <mergeCell ref="A34:C34"/>
    <mergeCell ref="A20:E20"/>
    <mergeCell ref="A11:B11"/>
    <mergeCell ref="B3:D3"/>
    <mergeCell ref="B4:C4"/>
    <mergeCell ref="F3:H3"/>
    <mergeCell ref="J3:L3"/>
    <mergeCell ref="J4:K4"/>
  </mergeCells>
  <conditionalFormatting sqref="A1:XFD4 A11:XFD1048576 A5:J5 A6:I10 M5:XFD10">
    <cfRule type="cellIs" dxfId="5" priority="1" operator="lessThan">
      <formula>0</formula>
    </cfRule>
  </conditionalFormatting>
  <hyperlinks>
    <hyperlink ref="E16" r:id="rId1" xr:uid="{F7B12F64-70E7-6947-B024-A03E68FDEB3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B33A2-B7A3-F942-A3BD-CC91E39398A4}">
  <dimension ref="A1:O44"/>
  <sheetViews>
    <sheetView showGridLines="0" zoomScaleNormal="100" workbookViewId="0"/>
  </sheetViews>
  <sheetFormatPr baseColWidth="10" defaultRowHeight="16" x14ac:dyDescent="0.2"/>
  <cols>
    <col min="1" max="1" width="31.5" style="1" bestFit="1" customWidth="1"/>
    <col min="2" max="2" width="15" style="1" bestFit="1" customWidth="1"/>
    <col min="3" max="7" width="15" style="1" customWidth="1"/>
    <col min="8" max="8" width="14" style="1" bestFit="1" customWidth="1"/>
    <col min="9" max="9" width="15.1640625" style="1" bestFit="1" customWidth="1"/>
    <col min="10" max="10" width="21.5" style="1" bestFit="1" customWidth="1"/>
    <col min="11" max="11" width="15.1640625" style="1" bestFit="1" customWidth="1"/>
    <col min="12" max="12" width="21.5" style="1" bestFit="1" customWidth="1"/>
    <col min="13" max="13" width="0" style="1" hidden="1" customWidth="1"/>
    <col min="14" max="14" width="23" style="1" bestFit="1" customWidth="1"/>
    <col min="15" max="15" width="14" style="1" bestFit="1" customWidth="1"/>
    <col min="16" max="16384" width="10.83203125" style="1"/>
  </cols>
  <sheetData>
    <row r="1" spans="1:13" ht="26" x14ac:dyDescent="0.2">
      <c r="A1" s="81" t="s">
        <v>126</v>
      </c>
    </row>
    <row r="3" spans="1:13" ht="17" thickBot="1" x14ac:dyDescent="0.25">
      <c r="B3" s="105" t="s">
        <v>0</v>
      </c>
      <c r="C3" s="105"/>
      <c r="D3" s="105"/>
      <c r="F3" s="107" t="s">
        <v>1</v>
      </c>
      <c r="G3" s="107"/>
      <c r="H3" s="107"/>
      <c r="J3" s="108" t="s">
        <v>2</v>
      </c>
      <c r="K3" s="108"/>
      <c r="L3" s="108"/>
    </row>
    <row r="4" spans="1:13" x14ac:dyDescent="0.2">
      <c r="B4" s="106" t="s">
        <v>3</v>
      </c>
      <c r="C4" s="106"/>
      <c r="D4" s="82">
        <v>4.2999999999999997E-2</v>
      </c>
      <c r="F4" s="2" t="s">
        <v>4</v>
      </c>
      <c r="G4" s="3">
        <v>5</v>
      </c>
      <c r="H4" s="4" t="s">
        <v>5</v>
      </c>
      <c r="J4" s="109" t="s">
        <v>7</v>
      </c>
      <c r="K4" s="109"/>
      <c r="L4" s="5">
        <f>AVERAGE(B35:B36)</f>
        <v>7.3399999999999993E-2</v>
      </c>
    </row>
    <row r="5" spans="1:13" ht="16" customHeight="1" x14ac:dyDescent="0.2">
      <c r="B5" s="116" t="s">
        <v>111</v>
      </c>
      <c r="C5" s="116"/>
      <c r="D5" s="116"/>
      <c r="F5" s="110" t="s">
        <v>127</v>
      </c>
      <c r="G5" s="110"/>
      <c r="H5" s="110"/>
      <c r="J5" s="112" t="s">
        <v>117</v>
      </c>
      <c r="K5" s="112"/>
      <c r="L5" s="112"/>
    </row>
    <row r="6" spans="1:13" ht="17" thickBot="1" x14ac:dyDescent="0.25">
      <c r="B6" s="117"/>
      <c r="C6" s="117"/>
      <c r="D6" s="117"/>
      <c r="F6" s="111"/>
      <c r="G6" s="111"/>
      <c r="H6" s="111"/>
      <c r="J6" s="113"/>
      <c r="K6" s="113"/>
      <c r="L6" s="113"/>
    </row>
    <row r="7" spans="1:13" ht="17" thickBot="1" x14ac:dyDescent="0.25">
      <c r="B7" s="118"/>
      <c r="C7" s="118"/>
      <c r="D7" s="118"/>
      <c r="E7" s="77"/>
      <c r="F7" s="68"/>
      <c r="G7" s="68"/>
      <c r="H7" s="68"/>
      <c r="J7" s="113"/>
      <c r="K7" s="113"/>
      <c r="L7" s="113"/>
    </row>
    <row r="8" spans="1:13" x14ac:dyDescent="0.2">
      <c r="B8" s="68"/>
      <c r="C8" s="68"/>
      <c r="D8" s="68"/>
      <c r="E8" s="77"/>
      <c r="F8" s="78"/>
      <c r="G8" s="78"/>
      <c r="H8" s="78"/>
      <c r="J8" s="113"/>
      <c r="K8" s="113"/>
      <c r="L8" s="113"/>
      <c r="M8" s="1" t="s">
        <v>93</v>
      </c>
    </row>
    <row r="9" spans="1:13" ht="17" thickBot="1" x14ac:dyDescent="0.25">
      <c r="B9" s="76"/>
      <c r="C9" s="76"/>
      <c r="D9" s="76"/>
      <c r="J9" s="114"/>
      <c r="K9" s="114"/>
      <c r="L9" s="114"/>
    </row>
    <row r="10" spans="1:13" x14ac:dyDescent="0.2">
      <c r="B10" s="76"/>
      <c r="C10" s="76"/>
      <c r="D10" s="76"/>
      <c r="J10" s="76"/>
      <c r="K10" s="76"/>
      <c r="L10" s="76"/>
    </row>
    <row r="11" spans="1:13" ht="17" thickBot="1" x14ac:dyDescent="0.25">
      <c r="A11" s="115" t="s">
        <v>83</v>
      </c>
      <c r="B11" s="115"/>
      <c r="J11" s="43"/>
      <c r="K11" s="43"/>
      <c r="L11" s="43"/>
    </row>
    <row r="12" spans="1:13" x14ac:dyDescent="0.2">
      <c r="A12" s="1" t="s">
        <v>6</v>
      </c>
      <c r="B12" s="56">
        <f>Inversión!E17</f>
        <v>4030168.01</v>
      </c>
      <c r="D12" s="10"/>
      <c r="E12" s="10"/>
    </row>
    <row r="13" spans="1:13" x14ac:dyDescent="0.2">
      <c r="A13" s="1" t="s">
        <v>84</v>
      </c>
      <c r="B13" s="56">
        <f>Inversión!U17*AVERAGE(B37:B38)</f>
        <v>12942273.008862</v>
      </c>
      <c r="D13" s="6"/>
    </row>
    <row r="14" spans="1:13" x14ac:dyDescent="0.2">
      <c r="A14" s="1" t="s">
        <v>85</v>
      </c>
      <c r="B14" s="69">
        <v>0</v>
      </c>
    </row>
    <row r="15" spans="1:13" x14ac:dyDescent="0.2">
      <c r="A15" s="1" t="s">
        <v>86</v>
      </c>
      <c r="B15" s="59">
        <v>0</v>
      </c>
    </row>
    <row r="16" spans="1:13" x14ac:dyDescent="0.2">
      <c r="A16" s="1" t="s">
        <v>87</v>
      </c>
      <c r="B16" s="60">
        <f>D4</f>
        <v>4.2999999999999997E-2</v>
      </c>
      <c r="C16" s="1" t="s">
        <v>108</v>
      </c>
      <c r="D16" s="1" t="s">
        <v>109</v>
      </c>
      <c r="E16" s="27" t="s">
        <v>110</v>
      </c>
    </row>
    <row r="17" spans="1:15" x14ac:dyDescent="0.2">
      <c r="A17" s="1" t="s">
        <v>88</v>
      </c>
      <c r="B17" s="56">
        <f>Inversión!E7+Inversión!E10+Inversión!E16</f>
        <v>3802963.01</v>
      </c>
    </row>
    <row r="18" spans="1:15" ht="17" thickBot="1" x14ac:dyDescent="0.25">
      <c r="A18" s="61" t="s">
        <v>89</v>
      </c>
      <c r="B18" s="62">
        <v>0.3</v>
      </c>
      <c r="N18" s="43"/>
      <c r="O18" s="43"/>
    </row>
    <row r="19" spans="1:15" x14ac:dyDescent="0.2">
      <c r="N19" s="43"/>
      <c r="O19" s="43"/>
    </row>
    <row r="20" spans="1:15" ht="17" thickBot="1" x14ac:dyDescent="0.25">
      <c r="A20" s="120" t="s">
        <v>96</v>
      </c>
      <c r="B20" s="120"/>
      <c r="C20" s="120"/>
      <c r="D20" s="120"/>
      <c r="E20" s="120"/>
      <c r="I20" s="48" t="s">
        <v>4</v>
      </c>
      <c r="J20" s="48" t="s">
        <v>100</v>
      </c>
      <c r="K20" s="48" t="s">
        <v>101</v>
      </c>
      <c r="L20" s="48" t="s">
        <v>102</v>
      </c>
      <c r="N20" s="43"/>
      <c r="O20" s="71"/>
    </row>
    <row r="21" spans="1:15" ht="16" customHeight="1" x14ac:dyDescent="0.2">
      <c r="A21" s="65"/>
      <c r="B21" s="65"/>
      <c r="C21" s="83">
        <v>44926</v>
      </c>
      <c r="D21" s="83">
        <v>45291</v>
      </c>
      <c r="E21" s="83">
        <v>45657</v>
      </c>
      <c r="F21" s="83">
        <v>46022</v>
      </c>
      <c r="G21" s="83">
        <v>46387</v>
      </c>
      <c r="I21" s="47">
        <v>1</v>
      </c>
      <c r="J21" s="30">
        <f>C31</f>
        <v>6397516.9992034007</v>
      </c>
      <c r="K21" s="30">
        <f>B12</f>
        <v>4030168.01</v>
      </c>
      <c r="L21" s="30">
        <f>K21-J21</f>
        <v>-2367348.9892034009</v>
      </c>
      <c r="N21" s="80"/>
      <c r="O21" s="80"/>
    </row>
    <row r="22" spans="1:15" x14ac:dyDescent="0.2">
      <c r="B22" s="64">
        <v>0</v>
      </c>
      <c r="C22" s="64">
        <v>1</v>
      </c>
      <c r="D22" s="64">
        <v>2</v>
      </c>
      <c r="E22" s="64">
        <v>3</v>
      </c>
      <c r="F22" s="64">
        <v>4</v>
      </c>
      <c r="G22" s="64">
        <v>5</v>
      </c>
      <c r="I22" s="47">
        <v>2</v>
      </c>
      <c r="J22" s="30">
        <f>D31</f>
        <v>6787079.4167701462</v>
      </c>
      <c r="K22" s="30">
        <f>L21</f>
        <v>-2367348.9892034009</v>
      </c>
      <c r="L22" s="30">
        <f>K22-J22</f>
        <v>-9154428.4059735462</v>
      </c>
      <c r="N22" s="80"/>
      <c r="O22" s="80"/>
    </row>
    <row r="23" spans="1:15" x14ac:dyDescent="0.2">
      <c r="A23" s="1" t="s">
        <v>84</v>
      </c>
      <c r="C23" s="7">
        <f>B13</f>
        <v>12942273.008862</v>
      </c>
      <c r="D23" s="7">
        <f>C23*(1+$B$16)</f>
        <v>13498790.748243066</v>
      </c>
      <c r="E23" s="7">
        <f>D23*(1+$B$16)</f>
        <v>14079238.750417516</v>
      </c>
      <c r="F23" s="7">
        <f>E23*(1+$B$16)</f>
        <v>14684646.016685467</v>
      </c>
      <c r="G23" s="7">
        <f>F23*(1+$B$16)</f>
        <v>15316085.79540294</v>
      </c>
      <c r="I23" s="47">
        <v>3</v>
      </c>
      <c r="J23" s="44">
        <f>E31</f>
        <v>7193393.0182922613</v>
      </c>
      <c r="K23" s="44">
        <f>L22</f>
        <v>-9154428.4059735462</v>
      </c>
      <c r="L23" s="44">
        <f>K23-J23</f>
        <v>-16347821.424265807</v>
      </c>
      <c r="N23" s="80"/>
      <c r="O23" s="80"/>
    </row>
    <row r="24" spans="1:15" x14ac:dyDescent="0.2">
      <c r="A24" s="63" t="s">
        <v>85</v>
      </c>
      <c r="B24" s="63"/>
      <c r="C24" s="70">
        <f>B14</f>
        <v>0</v>
      </c>
      <c r="D24" s="70">
        <f>C24*(1+$B$15)</f>
        <v>0</v>
      </c>
      <c r="E24" s="70">
        <f>D24*(1+$B$15)</f>
        <v>0</v>
      </c>
      <c r="F24" s="70">
        <f>E24*(1+$B$15)</f>
        <v>0</v>
      </c>
      <c r="G24" s="70">
        <f t="shared" ref="G24" si="0">F24*(1+$B$15)</f>
        <v>0</v>
      </c>
      <c r="H24" s="43"/>
      <c r="I24" s="47">
        <v>4</v>
      </c>
      <c r="J24" s="44">
        <f>F31</f>
        <v>7617178.1046798266</v>
      </c>
      <c r="K24" s="30">
        <f>L23</f>
        <v>-16347821.424265807</v>
      </c>
      <c r="L24" s="44">
        <f>K24-J24</f>
        <v>-23964999.528945632</v>
      </c>
      <c r="N24" s="80"/>
      <c r="O24" s="80"/>
    </row>
    <row r="25" spans="1:15" ht="17" thickBot="1" x14ac:dyDescent="0.25">
      <c r="A25" s="1" t="s">
        <v>8</v>
      </c>
      <c r="C25" s="7">
        <f>C23-C24</f>
        <v>12942273.008862</v>
      </c>
      <c r="D25" s="7">
        <f>D23-D24</f>
        <v>13498790.748243066</v>
      </c>
      <c r="E25" s="7">
        <f>E23-E24</f>
        <v>14079238.750417516</v>
      </c>
      <c r="F25" s="7">
        <f t="shared" ref="F25:G25" si="1">F23-F24</f>
        <v>14684646.016685467</v>
      </c>
      <c r="G25" s="7">
        <f t="shared" si="1"/>
        <v>15316085.79540294</v>
      </c>
      <c r="I25" s="67">
        <v>5</v>
      </c>
      <c r="J25" s="72">
        <f>G31</f>
        <v>8059185.9497820586</v>
      </c>
      <c r="K25" s="72">
        <f>L24</f>
        <v>-23964999.528945632</v>
      </c>
      <c r="L25" s="72">
        <f>K25-J25</f>
        <v>-32024185.478727691</v>
      </c>
      <c r="N25" s="80"/>
      <c r="O25" s="80"/>
    </row>
    <row r="26" spans="1:15" x14ac:dyDescent="0.2">
      <c r="A26" s="63" t="s">
        <v>88</v>
      </c>
      <c r="B26" s="63"/>
      <c r="C26" s="70">
        <f>$B$17</f>
        <v>3802963.01</v>
      </c>
      <c r="D26" s="70">
        <f>$B$17</f>
        <v>3802963.01</v>
      </c>
      <c r="E26" s="70">
        <f>$B$17</f>
        <v>3802963.01</v>
      </c>
      <c r="F26" s="70">
        <f t="shared" ref="F26:G26" si="2">$B$17</f>
        <v>3802963.01</v>
      </c>
      <c r="G26" s="70">
        <f t="shared" si="2"/>
        <v>3802963.01</v>
      </c>
      <c r="N26" s="80"/>
      <c r="O26" s="80"/>
    </row>
    <row r="27" spans="1:15" x14ac:dyDescent="0.2">
      <c r="A27" s="1" t="s">
        <v>9</v>
      </c>
      <c r="C27" s="7">
        <f>C25-C26</f>
        <v>9139309.9988620002</v>
      </c>
      <c r="D27" s="7">
        <f>D25-D26</f>
        <v>9695827.7382430658</v>
      </c>
      <c r="E27" s="7">
        <f>E25-E26</f>
        <v>10276275.740417516</v>
      </c>
      <c r="F27" s="7">
        <f t="shared" ref="F27:G27" si="3">F25-F26</f>
        <v>10881683.006685467</v>
      </c>
      <c r="G27" s="7">
        <f t="shared" si="3"/>
        <v>11513122.785402941</v>
      </c>
      <c r="N27" s="80"/>
      <c r="O27" s="80"/>
    </row>
    <row r="28" spans="1:15" x14ac:dyDescent="0.2">
      <c r="A28" s="63" t="s">
        <v>97</v>
      </c>
      <c r="B28" s="63"/>
      <c r="C28" s="70">
        <f>C27*$B$18</f>
        <v>2741792.9996586</v>
      </c>
      <c r="D28" s="70">
        <f>D27*$B$18</f>
        <v>2908748.3214729195</v>
      </c>
      <c r="E28" s="70">
        <f>E27*$B$18</f>
        <v>3082882.7221252546</v>
      </c>
      <c r="F28" s="70">
        <f t="shared" ref="F28:G28" si="4">F27*$B$18</f>
        <v>3264504.9020056403</v>
      </c>
      <c r="G28" s="70">
        <f t="shared" si="4"/>
        <v>3453936.835620882</v>
      </c>
      <c r="N28" s="80"/>
      <c r="O28" s="80"/>
    </row>
    <row r="29" spans="1:15" x14ac:dyDescent="0.2">
      <c r="A29" s="8" t="s">
        <v>10</v>
      </c>
      <c r="C29" s="7">
        <f>C27-C28</f>
        <v>6397516.9992034007</v>
      </c>
      <c r="D29" s="7">
        <f>D27-D28</f>
        <v>6787079.4167701462</v>
      </c>
      <c r="E29" s="7">
        <f>E27-E28</f>
        <v>7193393.0182922613</v>
      </c>
      <c r="F29" s="7">
        <f t="shared" ref="F29:G29" si="5">F27-F28</f>
        <v>7617178.1046798266</v>
      </c>
      <c r="G29" s="7">
        <f t="shared" si="5"/>
        <v>8059185.9497820586</v>
      </c>
    </row>
    <row r="31" spans="1:15" x14ac:dyDescent="0.2">
      <c r="A31" s="66" t="s">
        <v>98</v>
      </c>
      <c r="B31" s="21">
        <f>-$B$12</f>
        <v>-4030168.01</v>
      </c>
      <c r="C31" s="21">
        <f>C29</f>
        <v>6397516.9992034007</v>
      </c>
      <c r="D31" s="21">
        <f t="shared" ref="D31:G31" si="6">D29</f>
        <v>6787079.4167701462</v>
      </c>
      <c r="E31" s="21">
        <f t="shared" si="6"/>
        <v>7193393.0182922613</v>
      </c>
      <c r="F31" s="21">
        <f t="shared" si="6"/>
        <v>7617178.1046798266</v>
      </c>
      <c r="G31" s="21">
        <f t="shared" si="6"/>
        <v>8059185.9497820586</v>
      </c>
    </row>
    <row r="32" spans="1:15" x14ac:dyDescent="0.2">
      <c r="A32" s="66" t="s">
        <v>99</v>
      </c>
      <c r="B32" s="21">
        <f>-$B$12</f>
        <v>-4030168.01</v>
      </c>
      <c r="C32" s="21">
        <f>C31/(1+$L$4)^C22</f>
        <v>5960049.3750730399</v>
      </c>
      <c r="D32" s="21">
        <f>D31/(1+$L$4)^D22</f>
        <v>5890602.9299345566</v>
      </c>
      <c r="E32" s="21">
        <f>E31/(1+$L$4)^E22</f>
        <v>5816329.6943919184</v>
      </c>
      <c r="F32" s="21">
        <f t="shared" ref="F32:G32" si="7">F31/(1+$L$4)^F22</f>
        <v>5737830.9210690651</v>
      </c>
      <c r="G32" s="21">
        <f t="shared" si="7"/>
        <v>5655659.0679206317</v>
      </c>
    </row>
    <row r="34" spans="1:3" ht="17" thickBot="1" x14ac:dyDescent="0.25">
      <c r="A34" s="119" t="s">
        <v>11</v>
      </c>
      <c r="B34" s="119"/>
      <c r="C34" s="119"/>
    </row>
    <row r="35" spans="1:3" x14ac:dyDescent="0.2">
      <c r="A35" s="9" t="s">
        <v>90</v>
      </c>
      <c r="B35" s="57">
        <v>7.0000000000000007E-2</v>
      </c>
      <c r="C35" s="9" t="s">
        <v>92</v>
      </c>
    </row>
    <row r="36" spans="1:3" x14ac:dyDescent="0.2">
      <c r="A36" s="9" t="s">
        <v>91</v>
      </c>
      <c r="B36" s="58">
        <v>7.6799999999999993E-2</v>
      </c>
      <c r="C36" s="9" t="s">
        <v>92</v>
      </c>
    </row>
    <row r="37" spans="1:3" x14ac:dyDescent="0.2">
      <c r="A37" s="1" t="s">
        <v>94</v>
      </c>
      <c r="B37" s="60">
        <v>0.8448</v>
      </c>
    </row>
    <row r="38" spans="1:3" ht="17" thickBot="1" x14ac:dyDescent="0.25">
      <c r="A38" s="61" t="s">
        <v>95</v>
      </c>
      <c r="B38" s="84">
        <v>0.84599999999999997</v>
      </c>
      <c r="C38" s="61"/>
    </row>
    <row r="39" spans="1:3" x14ac:dyDescent="0.2">
      <c r="B39" s="10"/>
    </row>
    <row r="40" spans="1:3" ht="17" thickBot="1" x14ac:dyDescent="0.25">
      <c r="A40" s="115" t="s">
        <v>103</v>
      </c>
      <c r="B40" s="115"/>
    </row>
    <row r="41" spans="1:3" x14ac:dyDescent="0.2">
      <c r="A41" s="1" t="s">
        <v>104</v>
      </c>
      <c r="B41" s="73">
        <f>SUM(B32:G32)</f>
        <v>25030303.978389211</v>
      </c>
    </row>
    <row r="42" spans="1:3" x14ac:dyDescent="0.2">
      <c r="A42" s="1" t="s">
        <v>105</v>
      </c>
      <c r="B42" s="74">
        <f>IRR(B31:G31)</f>
        <v>1.6309119191205323</v>
      </c>
    </row>
    <row r="43" spans="1:3" x14ac:dyDescent="0.2">
      <c r="A43" s="1" t="s">
        <v>106</v>
      </c>
      <c r="B43" s="75">
        <f>SUM(C32:G32)/ABS(B32)</f>
        <v>7.210734618577157</v>
      </c>
    </row>
    <row r="44" spans="1:3" ht="17" thickBot="1" x14ac:dyDescent="0.25">
      <c r="A44" s="61" t="s">
        <v>107</v>
      </c>
      <c r="B44" s="79">
        <v>1</v>
      </c>
    </row>
  </sheetData>
  <mergeCells count="12">
    <mergeCell ref="F3:H3"/>
    <mergeCell ref="J3:L3"/>
    <mergeCell ref="B4:C4"/>
    <mergeCell ref="J4:K4"/>
    <mergeCell ref="B5:D7"/>
    <mergeCell ref="F5:H6"/>
    <mergeCell ref="J5:L9"/>
    <mergeCell ref="A11:B11"/>
    <mergeCell ref="A20:E20"/>
    <mergeCell ref="A34:C34"/>
    <mergeCell ref="A40:B40"/>
    <mergeCell ref="B3:D3"/>
  </mergeCells>
  <conditionalFormatting sqref="A1:XFD4 A11:XFD1048576 A5:J5 A6:I10 M5:XFD10">
    <cfRule type="cellIs" dxfId="4" priority="1" operator="lessThan">
      <formula>0</formula>
    </cfRule>
  </conditionalFormatting>
  <hyperlinks>
    <hyperlink ref="E16" r:id="rId1" xr:uid="{C80C3A03-ADD0-0547-9AD7-0C196D39659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65377-63B5-474A-BC4D-DE212E4DFFB6}">
  <dimension ref="A1:O44"/>
  <sheetViews>
    <sheetView showGridLines="0" zoomScaleNormal="100" workbookViewId="0"/>
  </sheetViews>
  <sheetFormatPr baseColWidth="10" defaultRowHeight="16" x14ac:dyDescent="0.2"/>
  <cols>
    <col min="1" max="1" width="31.5" style="1" bestFit="1" customWidth="1"/>
    <col min="2" max="2" width="15" style="1" bestFit="1" customWidth="1"/>
    <col min="3" max="7" width="15" style="1" customWidth="1"/>
    <col min="8" max="8" width="14" style="1" bestFit="1" customWidth="1"/>
    <col min="9" max="9" width="15.1640625" style="1" bestFit="1" customWidth="1"/>
    <col min="10" max="10" width="21.5" style="1" bestFit="1" customWidth="1"/>
    <col min="11" max="11" width="15.1640625" style="1" bestFit="1" customWidth="1"/>
    <col min="12" max="12" width="21.5" style="1" bestFit="1" customWidth="1"/>
    <col min="13" max="13" width="0" style="1" hidden="1" customWidth="1"/>
    <col min="14" max="14" width="23" style="1" bestFit="1" customWidth="1"/>
    <col min="15" max="15" width="14" style="1" bestFit="1" customWidth="1"/>
    <col min="16" max="16384" width="10.83203125" style="1"/>
  </cols>
  <sheetData>
    <row r="1" spans="1:13" ht="26" x14ac:dyDescent="0.2">
      <c r="A1" s="81" t="s">
        <v>116</v>
      </c>
    </row>
    <row r="3" spans="1:13" ht="17" thickBot="1" x14ac:dyDescent="0.25">
      <c r="B3" s="105" t="s">
        <v>0</v>
      </c>
      <c r="C3" s="105"/>
      <c r="D3" s="105"/>
      <c r="F3" s="107" t="s">
        <v>1</v>
      </c>
      <c r="G3" s="107"/>
      <c r="H3" s="107"/>
      <c r="J3" s="108" t="s">
        <v>2</v>
      </c>
      <c r="K3" s="108"/>
      <c r="L3" s="108"/>
    </row>
    <row r="4" spans="1:13" x14ac:dyDescent="0.2">
      <c r="B4" s="106" t="s">
        <v>3</v>
      </c>
      <c r="C4" s="106"/>
      <c r="D4" s="82">
        <v>4.2999999999999997E-2</v>
      </c>
      <c r="F4" s="2" t="s">
        <v>4</v>
      </c>
      <c r="G4" s="3">
        <v>5</v>
      </c>
      <c r="H4" s="4" t="s">
        <v>5</v>
      </c>
      <c r="J4" s="109" t="s">
        <v>7</v>
      </c>
      <c r="K4" s="109"/>
      <c r="L4" s="5">
        <f>AVERAGE(B35:B36)</f>
        <v>7.3399999999999993E-2</v>
      </c>
    </row>
    <row r="5" spans="1:13" ht="16" customHeight="1" x14ac:dyDescent="0.2">
      <c r="B5" s="116" t="s">
        <v>111</v>
      </c>
      <c r="C5" s="116"/>
      <c r="D5" s="116"/>
      <c r="F5" s="110" t="s">
        <v>127</v>
      </c>
      <c r="G5" s="110"/>
      <c r="H5" s="110"/>
      <c r="J5" s="112" t="s">
        <v>117</v>
      </c>
      <c r="K5" s="112"/>
      <c r="L5" s="112"/>
    </row>
    <row r="6" spans="1:13" ht="17" thickBot="1" x14ac:dyDescent="0.25">
      <c r="B6" s="117"/>
      <c r="C6" s="117"/>
      <c r="D6" s="117"/>
      <c r="F6" s="111"/>
      <c r="G6" s="111"/>
      <c r="H6" s="111"/>
      <c r="J6" s="113"/>
      <c r="K6" s="113"/>
      <c r="L6" s="113"/>
    </row>
    <row r="7" spans="1:13" ht="17" thickBot="1" x14ac:dyDescent="0.25">
      <c r="B7" s="118"/>
      <c r="C7" s="118"/>
      <c r="D7" s="118"/>
      <c r="E7" s="77"/>
      <c r="F7" s="68"/>
      <c r="G7" s="68"/>
      <c r="H7" s="68"/>
      <c r="J7" s="113"/>
      <c r="K7" s="113"/>
      <c r="L7" s="113"/>
    </row>
    <row r="8" spans="1:13" x14ac:dyDescent="0.2">
      <c r="B8" s="68"/>
      <c r="C8" s="68"/>
      <c r="D8" s="68"/>
      <c r="E8" s="77"/>
      <c r="F8" s="78"/>
      <c r="G8" s="78"/>
      <c r="H8" s="78"/>
      <c r="J8" s="113"/>
      <c r="K8" s="113"/>
      <c r="L8" s="113"/>
      <c r="M8" s="1" t="s">
        <v>93</v>
      </c>
    </row>
    <row r="9" spans="1:13" ht="17" thickBot="1" x14ac:dyDescent="0.25">
      <c r="B9" s="76"/>
      <c r="C9" s="76"/>
      <c r="D9" s="76"/>
      <c r="J9" s="114"/>
      <c r="K9" s="114"/>
      <c r="L9" s="114"/>
    </row>
    <row r="10" spans="1:13" x14ac:dyDescent="0.2">
      <c r="B10" s="76"/>
      <c r="C10" s="76"/>
      <c r="D10" s="76"/>
      <c r="J10" s="76"/>
      <c r="K10" s="76"/>
      <c r="L10" s="76"/>
    </row>
    <row r="11" spans="1:13" ht="17" thickBot="1" x14ac:dyDescent="0.25">
      <c r="A11" s="115" t="s">
        <v>83</v>
      </c>
      <c r="B11" s="115"/>
      <c r="J11" s="43"/>
      <c r="K11" s="43"/>
      <c r="L11" s="43"/>
    </row>
    <row r="12" spans="1:13" x14ac:dyDescent="0.2">
      <c r="A12" s="1" t="s">
        <v>6</v>
      </c>
      <c r="B12" s="56">
        <f>Inversión!E17</f>
        <v>4030168.01</v>
      </c>
      <c r="D12" s="10"/>
      <c r="E12" s="10"/>
    </row>
    <row r="13" spans="1:13" x14ac:dyDescent="0.2">
      <c r="A13" s="1" t="s">
        <v>84</v>
      </c>
      <c r="B13" s="56">
        <f>Inversión!U16*AVERAGE(B37:B38)</f>
        <v>170028.47116799999</v>
      </c>
      <c r="D13" s="6"/>
    </row>
    <row r="14" spans="1:13" x14ac:dyDescent="0.2">
      <c r="A14" s="1" t="s">
        <v>85</v>
      </c>
      <c r="B14" s="69">
        <v>0</v>
      </c>
    </row>
    <row r="15" spans="1:13" x14ac:dyDescent="0.2">
      <c r="A15" s="1" t="s">
        <v>86</v>
      </c>
      <c r="B15" s="59">
        <v>0</v>
      </c>
    </row>
    <row r="16" spans="1:13" x14ac:dyDescent="0.2">
      <c r="A16" s="1" t="s">
        <v>87</v>
      </c>
      <c r="B16" s="60">
        <f>D4</f>
        <v>4.2999999999999997E-2</v>
      </c>
      <c r="C16" s="1" t="s">
        <v>108</v>
      </c>
      <c r="D16" s="1" t="s">
        <v>109</v>
      </c>
      <c r="E16" s="27" t="s">
        <v>110</v>
      </c>
    </row>
    <row r="17" spans="1:15" x14ac:dyDescent="0.2">
      <c r="A17" s="1" t="s">
        <v>88</v>
      </c>
      <c r="B17" s="56">
        <f>Inversión!E7+Inversión!E10+Inversión!E16</f>
        <v>3802963.01</v>
      </c>
    </row>
    <row r="18" spans="1:15" ht="17" thickBot="1" x14ac:dyDescent="0.25">
      <c r="A18" s="61" t="s">
        <v>89</v>
      </c>
      <c r="B18" s="62">
        <v>0.3</v>
      </c>
      <c r="N18" s="43"/>
      <c r="O18" s="43"/>
    </row>
    <row r="19" spans="1:15" x14ac:dyDescent="0.2">
      <c r="N19" s="43"/>
      <c r="O19" s="43"/>
    </row>
    <row r="20" spans="1:15" ht="17" thickBot="1" x14ac:dyDescent="0.25">
      <c r="A20" s="120" t="s">
        <v>96</v>
      </c>
      <c r="B20" s="120"/>
      <c r="C20" s="120"/>
      <c r="D20" s="120"/>
      <c r="E20" s="120"/>
      <c r="I20" s="48" t="s">
        <v>4</v>
      </c>
      <c r="J20" s="48" t="s">
        <v>100</v>
      </c>
      <c r="K20" s="48" t="s">
        <v>101</v>
      </c>
      <c r="L20" s="48" t="s">
        <v>102</v>
      </c>
      <c r="N20" s="43"/>
      <c r="O20" s="71"/>
    </row>
    <row r="21" spans="1:15" ht="16" customHeight="1" x14ac:dyDescent="0.2">
      <c r="A21" s="65"/>
      <c r="B21" s="65"/>
      <c r="C21" s="83">
        <v>44926</v>
      </c>
      <c r="D21" s="83">
        <v>45291</v>
      </c>
      <c r="E21" s="83">
        <v>45657</v>
      </c>
      <c r="F21" s="83">
        <v>46022</v>
      </c>
      <c r="G21" s="83">
        <v>46387</v>
      </c>
      <c r="I21" s="47">
        <v>1</v>
      </c>
      <c r="J21" s="30">
        <f>C31</f>
        <v>-2543054.1771824001</v>
      </c>
      <c r="K21" s="30">
        <f>B12</f>
        <v>4030168.01</v>
      </c>
      <c r="L21" s="30">
        <f>K21-J21</f>
        <v>6573222.1871824004</v>
      </c>
      <c r="N21" s="80"/>
      <c r="O21" s="80"/>
    </row>
    <row r="22" spans="1:15" x14ac:dyDescent="0.2">
      <c r="B22" s="64">
        <v>0</v>
      </c>
      <c r="C22" s="64">
        <v>1</v>
      </c>
      <c r="D22" s="64">
        <v>2</v>
      </c>
      <c r="E22" s="64">
        <v>3</v>
      </c>
      <c r="F22" s="64">
        <v>4</v>
      </c>
      <c r="G22" s="64">
        <v>5</v>
      </c>
      <c r="I22" s="47">
        <v>2</v>
      </c>
      <c r="J22" s="30">
        <f>D31</f>
        <v>-2537936.320200243</v>
      </c>
      <c r="K22" s="30">
        <f>L21</f>
        <v>6573222.1871824004</v>
      </c>
      <c r="L22" s="30">
        <f>K22-J22</f>
        <v>9111158.5073826425</v>
      </c>
      <c r="N22" s="80"/>
      <c r="O22" s="80"/>
    </row>
    <row r="23" spans="1:15" x14ac:dyDescent="0.2">
      <c r="A23" s="1" t="s">
        <v>84</v>
      </c>
      <c r="C23" s="7">
        <f>B13</f>
        <v>170028.47116799999</v>
      </c>
      <c r="D23" s="7">
        <f>C23*(1+$B$16)</f>
        <v>177339.69542822399</v>
      </c>
      <c r="E23" s="7">
        <f>D23*(1+$B$16)</f>
        <v>184965.30233163762</v>
      </c>
      <c r="F23" s="7">
        <f>E23*(1+$B$16)</f>
        <v>192918.81033189801</v>
      </c>
      <c r="G23" s="7">
        <f>F23*(1+$B$16)</f>
        <v>201214.31917616961</v>
      </c>
      <c r="I23" s="47">
        <v>3</v>
      </c>
      <c r="J23" s="44">
        <f>E31</f>
        <v>-2532598.3953678533</v>
      </c>
      <c r="K23" s="44">
        <f>L22</f>
        <v>9111158.5073826425</v>
      </c>
      <c r="L23" s="44">
        <f>K23-J23</f>
        <v>11643756.902750496</v>
      </c>
      <c r="N23" s="80"/>
      <c r="O23" s="80"/>
    </row>
    <row r="24" spans="1:15" x14ac:dyDescent="0.2">
      <c r="A24" s="63" t="s">
        <v>85</v>
      </c>
      <c r="B24" s="63"/>
      <c r="C24" s="70">
        <f>B14</f>
        <v>0</v>
      </c>
      <c r="D24" s="70">
        <f>C24*(1+$B$15)</f>
        <v>0</v>
      </c>
      <c r="E24" s="70">
        <f>D24*(1+$B$15)</f>
        <v>0</v>
      </c>
      <c r="F24" s="70">
        <f>E24*(1+$B$15)</f>
        <v>0</v>
      </c>
      <c r="G24" s="70">
        <f t="shared" ref="G24" si="0">F24*(1+$B$15)</f>
        <v>0</v>
      </c>
      <c r="H24" s="43"/>
      <c r="I24" s="47">
        <v>4</v>
      </c>
      <c r="J24" s="44">
        <f>F31</f>
        <v>-2527030.9397676717</v>
      </c>
      <c r="K24" s="30">
        <f>L23</f>
        <v>11643756.902750496</v>
      </c>
      <c r="L24" s="44">
        <f>K24-J24</f>
        <v>14170787.842518168</v>
      </c>
      <c r="N24" s="80"/>
      <c r="O24" s="80"/>
    </row>
    <row r="25" spans="1:15" ht="17" thickBot="1" x14ac:dyDescent="0.25">
      <c r="A25" s="1" t="s">
        <v>8</v>
      </c>
      <c r="C25" s="7">
        <f>C23-C24</f>
        <v>170028.47116799999</v>
      </c>
      <c r="D25" s="7">
        <f>D23-D24</f>
        <v>177339.69542822399</v>
      </c>
      <c r="E25" s="7">
        <f>E23-E24</f>
        <v>184965.30233163762</v>
      </c>
      <c r="F25" s="7">
        <f t="shared" ref="F25:G25" si="1">F23-F24</f>
        <v>192918.81033189801</v>
      </c>
      <c r="G25" s="7">
        <f t="shared" si="1"/>
        <v>201214.31917616961</v>
      </c>
      <c r="I25" s="67">
        <v>5</v>
      </c>
      <c r="J25" s="72">
        <f>G31</f>
        <v>-2521224.0835766811</v>
      </c>
      <c r="K25" s="72">
        <f>L24</f>
        <v>14170787.842518168</v>
      </c>
      <c r="L25" s="72">
        <f>K25-J25</f>
        <v>16692011.926094849</v>
      </c>
      <c r="N25" s="80"/>
      <c r="O25" s="80"/>
    </row>
    <row r="26" spans="1:15" x14ac:dyDescent="0.2">
      <c r="A26" s="63" t="s">
        <v>88</v>
      </c>
      <c r="B26" s="63"/>
      <c r="C26" s="70">
        <f>$B$17</f>
        <v>3802963.01</v>
      </c>
      <c r="D26" s="70">
        <f>$B$17</f>
        <v>3802963.01</v>
      </c>
      <c r="E26" s="70">
        <f>$B$17</f>
        <v>3802963.01</v>
      </c>
      <c r="F26" s="70">
        <f t="shared" ref="F26:G26" si="2">$B$17</f>
        <v>3802963.01</v>
      </c>
      <c r="G26" s="70">
        <f t="shared" si="2"/>
        <v>3802963.01</v>
      </c>
      <c r="N26" s="80"/>
      <c r="O26" s="80"/>
    </row>
    <row r="27" spans="1:15" x14ac:dyDescent="0.2">
      <c r="A27" s="1" t="s">
        <v>9</v>
      </c>
      <c r="C27" s="7">
        <f>C25-C26</f>
        <v>-3632934.538832</v>
      </c>
      <c r="D27" s="7">
        <f>D25-D26</f>
        <v>-3625623.314571776</v>
      </c>
      <c r="E27" s="7">
        <f>E25-E26</f>
        <v>-3617997.7076683622</v>
      </c>
      <c r="F27" s="7">
        <f t="shared" ref="F27:G27" si="3">F25-F26</f>
        <v>-3610044.199668102</v>
      </c>
      <c r="G27" s="7">
        <f t="shared" si="3"/>
        <v>-3601748.6908238302</v>
      </c>
      <c r="N27" s="80"/>
      <c r="O27" s="80"/>
    </row>
    <row r="28" spans="1:15" x14ac:dyDescent="0.2">
      <c r="A28" s="63" t="s">
        <v>97</v>
      </c>
      <c r="B28" s="63"/>
      <c r="C28" s="70">
        <f>C27*$B$18</f>
        <v>-1089880.3616495999</v>
      </c>
      <c r="D28" s="70">
        <f>D27*$B$18</f>
        <v>-1087686.9943715327</v>
      </c>
      <c r="E28" s="70">
        <f>E27*$B$18</f>
        <v>-1085399.3123005086</v>
      </c>
      <c r="F28" s="70">
        <f t="shared" ref="F28:G28" si="4">F27*$B$18</f>
        <v>-1083013.2599004305</v>
      </c>
      <c r="G28" s="70">
        <f t="shared" si="4"/>
        <v>-1080524.6072471491</v>
      </c>
      <c r="N28" s="80"/>
      <c r="O28" s="80"/>
    </row>
    <row r="29" spans="1:15" x14ac:dyDescent="0.2">
      <c r="A29" s="8" t="s">
        <v>10</v>
      </c>
      <c r="C29" s="7">
        <f>C27-C28</f>
        <v>-2543054.1771824001</v>
      </c>
      <c r="D29" s="7">
        <f>D27-D28</f>
        <v>-2537936.320200243</v>
      </c>
      <c r="E29" s="7">
        <f>E27-E28</f>
        <v>-2532598.3953678533</v>
      </c>
      <c r="F29" s="7">
        <f t="shared" ref="F29:G29" si="5">F27-F28</f>
        <v>-2527030.9397676717</v>
      </c>
      <c r="G29" s="7">
        <f t="shared" si="5"/>
        <v>-2521224.0835766811</v>
      </c>
    </row>
    <row r="31" spans="1:15" x14ac:dyDescent="0.2">
      <c r="A31" s="66" t="s">
        <v>98</v>
      </c>
      <c r="B31" s="21">
        <f>-$B$12</f>
        <v>-4030168.01</v>
      </c>
      <c r="C31" s="21">
        <f>C29</f>
        <v>-2543054.1771824001</v>
      </c>
      <c r="D31" s="21">
        <f t="shared" ref="D31:G31" si="6">D29</f>
        <v>-2537936.320200243</v>
      </c>
      <c r="E31" s="21">
        <f t="shared" si="6"/>
        <v>-2532598.3953678533</v>
      </c>
      <c r="F31" s="21">
        <f t="shared" si="6"/>
        <v>-2527030.9397676717</v>
      </c>
      <c r="G31" s="21">
        <f t="shared" si="6"/>
        <v>-2521224.0835766811</v>
      </c>
    </row>
    <row r="32" spans="1:15" x14ac:dyDescent="0.2">
      <c r="A32" s="66" t="s">
        <v>99</v>
      </c>
      <c r="B32" s="21">
        <f>-$B$12</f>
        <v>-4030168.01</v>
      </c>
      <c r="C32" s="21">
        <f>C31/(1+$L$4)^C22</f>
        <v>-2369157.9813512205</v>
      </c>
      <c r="D32" s="21">
        <f>D31/(1+$L$4)^D22</f>
        <v>-2202711.093496135</v>
      </c>
      <c r="E32" s="21">
        <f>E31/(1+$L$4)^E22</f>
        <v>-2047771.7835643059</v>
      </c>
      <c r="F32" s="21">
        <f t="shared" ref="F32:G32" si="7">F31/(1+$L$4)^F22</f>
        <v>-1903549.5908634304</v>
      </c>
      <c r="G32" s="21">
        <f t="shared" si="7"/>
        <v>-1769308.2079742739</v>
      </c>
    </row>
    <row r="34" spans="1:3" ht="17" thickBot="1" x14ac:dyDescent="0.25">
      <c r="A34" s="119" t="s">
        <v>11</v>
      </c>
      <c r="B34" s="119"/>
      <c r="C34" s="119"/>
    </row>
    <row r="35" spans="1:3" x14ac:dyDescent="0.2">
      <c r="A35" s="9" t="s">
        <v>90</v>
      </c>
      <c r="B35" s="57">
        <v>7.0000000000000007E-2</v>
      </c>
      <c r="C35" s="9" t="s">
        <v>92</v>
      </c>
    </row>
    <row r="36" spans="1:3" x14ac:dyDescent="0.2">
      <c r="A36" s="9" t="s">
        <v>91</v>
      </c>
      <c r="B36" s="58">
        <v>7.6799999999999993E-2</v>
      </c>
      <c r="C36" s="9" t="s">
        <v>92</v>
      </c>
    </row>
    <row r="37" spans="1:3" x14ac:dyDescent="0.2">
      <c r="A37" s="1" t="s">
        <v>94</v>
      </c>
      <c r="B37" s="60">
        <v>0.8448</v>
      </c>
    </row>
    <row r="38" spans="1:3" ht="17" thickBot="1" x14ac:dyDescent="0.25">
      <c r="A38" s="61" t="s">
        <v>95</v>
      </c>
      <c r="B38" s="84">
        <v>0.84599999999999997</v>
      </c>
      <c r="C38" s="61"/>
    </row>
    <row r="39" spans="1:3" x14ac:dyDescent="0.2">
      <c r="B39" s="10"/>
    </row>
    <row r="40" spans="1:3" ht="17" thickBot="1" x14ac:dyDescent="0.25">
      <c r="A40" s="115" t="s">
        <v>103</v>
      </c>
      <c r="B40" s="115"/>
    </row>
    <row r="41" spans="1:3" x14ac:dyDescent="0.2">
      <c r="A41" s="1" t="s">
        <v>104</v>
      </c>
      <c r="B41" s="73">
        <f>SUM(B32:G32)</f>
        <v>-14322666.667249365</v>
      </c>
    </row>
    <row r="42" spans="1:3" x14ac:dyDescent="0.2">
      <c r="A42" s="1" t="s">
        <v>105</v>
      </c>
      <c r="B42" s="74" t="e">
        <f>IRR(B31:G31)</f>
        <v>#NUM!</v>
      </c>
    </row>
    <row r="43" spans="1:3" x14ac:dyDescent="0.2">
      <c r="A43" s="1" t="s">
        <v>106</v>
      </c>
      <c r="B43" s="75">
        <f>SUM(C32:G32)/ABS(B32)</f>
        <v>-2.5538634200139376</v>
      </c>
    </row>
    <row r="44" spans="1:3" ht="17" thickBot="1" x14ac:dyDescent="0.25">
      <c r="A44" s="61" t="s">
        <v>107</v>
      </c>
      <c r="B44" s="79" t="s">
        <v>119</v>
      </c>
    </row>
  </sheetData>
  <mergeCells count="12">
    <mergeCell ref="F3:H3"/>
    <mergeCell ref="J3:L3"/>
    <mergeCell ref="B4:C4"/>
    <mergeCell ref="J4:K4"/>
    <mergeCell ref="B5:D7"/>
    <mergeCell ref="F5:H6"/>
    <mergeCell ref="J5:L9"/>
    <mergeCell ref="A11:B11"/>
    <mergeCell ref="A20:E20"/>
    <mergeCell ref="A34:C34"/>
    <mergeCell ref="A40:B40"/>
    <mergeCell ref="B3:D3"/>
  </mergeCells>
  <conditionalFormatting sqref="A1:XFD4 A11:XFD1048576 A5:J5 A6:I10 M5:XFD10">
    <cfRule type="cellIs" dxfId="3" priority="1" operator="lessThan">
      <formula>0</formula>
    </cfRule>
  </conditionalFormatting>
  <hyperlinks>
    <hyperlink ref="E16" r:id="rId1" xr:uid="{DA16B4C9-17A6-8A40-AFEE-370A1996F15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Resumen del escenario</vt:lpstr>
      <vt:lpstr>Inversión</vt:lpstr>
      <vt:lpstr>ER Opt</vt:lpstr>
      <vt:lpstr>ER Real</vt:lpstr>
      <vt:lpstr>ER Pes</vt:lpstr>
      <vt:lpstr>IR</vt:lpstr>
      <vt:lpstr>Payback</vt:lpstr>
      <vt:lpstr>TIR</vt:lpstr>
      <vt:lpstr>Ventas</vt:lpstr>
      <vt:lpstr>VPN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2022-06-06T20:54:41Z</dcterms:created>
  <dcterms:modified xsi:type="dcterms:W3CDTF">2022-06-14T20:16:31Z</dcterms:modified>
  <cp:category/>
</cp:coreProperties>
</file>