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ocuments\GitHub\"/>
    </mc:Choice>
  </mc:AlternateContent>
  <bookViews>
    <workbookView xWindow="0" yWindow="0" windowWidth="14370" windowHeight="7485" firstSheet="5" activeTab="12"/>
  </bookViews>
  <sheets>
    <sheet name="Sheet0" sheetId="9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10" sheetId="10" r:id="rId10"/>
    <sheet name="Sheet11" sheetId="11" r:id="rId11"/>
    <sheet name="Sheet12" sheetId="12" r:id="rId12"/>
    <sheet name="Sheet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3" l="1"/>
  <c r="J8" i="13"/>
  <c r="J9" i="13"/>
  <c r="J10" i="13"/>
  <c r="J11" i="13"/>
  <c r="J12" i="13"/>
  <c r="J13" i="13"/>
  <c r="J14" i="13"/>
  <c r="J6" i="13"/>
  <c r="I7" i="13"/>
  <c r="I8" i="13"/>
  <c r="I9" i="13"/>
  <c r="I10" i="13"/>
  <c r="I11" i="13"/>
  <c r="I12" i="13"/>
  <c r="I13" i="13"/>
  <c r="I14" i="13"/>
  <c r="I6" i="13"/>
  <c r="F14" i="13"/>
  <c r="F7" i="13"/>
  <c r="F8" i="13"/>
  <c r="F9" i="13"/>
  <c r="F10" i="13"/>
  <c r="F11" i="13"/>
  <c r="F12" i="13"/>
  <c r="F13" i="13"/>
  <c r="F6" i="13"/>
  <c r="E7" i="13"/>
  <c r="E8" i="13"/>
  <c r="E9" i="13"/>
  <c r="E10" i="13"/>
  <c r="E11" i="13"/>
  <c r="E12" i="13"/>
  <c r="E13" i="13"/>
  <c r="E14" i="13"/>
  <c r="E6" i="13"/>
  <c r="D7" i="13"/>
  <c r="D8" i="13"/>
  <c r="D9" i="13"/>
  <c r="D10" i="13"/>
  <c r="D11" i="13"/>
  <c r="D12" i="13"/>
  <c r="D13" i="13"/>
  <c r="D14" i="13"/>
  <c r="D6" i="13"/>
  <c r="E8" i="12"/>
  <c r="E9" i="12"/>
  <c r="E10" i="12"/>
  <c r="E11" i="12"/>
  <c r="E12" i="12"/>
  <c r="E7" i="12"/>
  <c r="D8" i="12"/>
  <c r="D9" i="12"/>
  <c r="D10" i="12"/>
  <c r="D11" i="12"/>
  <c r="D12" i="12"/>
  <c r="D7" i="12"/>
  <c r="C9" i="12"/>
  <c r="C8" i="12"/>
  <c r="C10" i="12"/>
  <c r="C11" i="12"/>
  <c r="C12" i="12"/>
  <c r="C7" i="12"/>
  <c r="B8" i="12"/>
  <c r="B9" i="12"/>
  <c r="B10" i="12"/>
  <c r="B11" i="12"/>
  <c r="B12" i="12"/>
  <c r="B7" i="12"/>
  <c r="G7" i="11"/>
  <c r="G8" i="11"/>
  <c r="G9" i="11"/>
  <c r="G10" i="11"/>
  <c r="G6" i="11"/>
  <c r="F7" i="11"/>
  <c r="F8" i="11"/>
  <c r="F9" i="11"/>
  <c r="F10" i="11"/>
  <c r="F6" i="11"/>
  <c r="E7" i="11"/>
  <c r="E8" i="11"/>
  <c r="E9" i="11"/>
  <c r="E10" i="11"/>
  <c r="E6" i="11"/>
  <c r="D7" i="11"/>
  <c r="D8" i="11"/>
  <c r="D9" i="11"/>
  <c r="D10" i="11"/>
  <c r="D6" i="11"/>
  <c r="C7" i="11"/>
  <c r="C8" i="11"/>
  <c r="C9" i="11"/>
  <c r="C10" i="11"/>
  <c r="C6" i="11"/>
  <c r="E5" i="10"/>
  <c r="E6" i="10"/>
  <c r="E7" i="10"/>
  <c r="E8" i="10"/>
  <c r="E9" i="10"/>
  <c r="E10" i="10"/>
  <c r="E11" i="10"/>
  <c r="E4" i="10"/>
  <c r="D4" i="10"/>
  <c r="D5" i="10"/>
  <c r="D6" i="10"/>
  <c r="D7" i="10"/>
  <c r="D8" i="10"/>
  <c r="D9" i="10"/>
  <c r="D10" i="10"/>
  <c r="D11" i="10"/>
  <c r="I14" i="9"/>
  <c r="I15" i="9"/>
  <c r="I16" i="9"/>
  <c r="I17" i="9"/>
  <c r="I13" i="9"/>
  <c r="H14" i="9"/>
  <c r="H15" i="9"/>
  <c r="H16" i="9"/>
  <c r="H17" i="9"/>
  <c r="H13" i="9"/>
  <c r="G17" i="9"/>
  <c r="G14" i="9"/>
  <c r="G15" i="9"/>
  <c r="G16" i="9"/>
  <c r="G13" i="9"/>
  <c r="I6" i="9"/>
  <c r="I7" i="9"/>
  <c r="I8" i="9"/>
  <c r="I9" i="9"/>
  <c r="I5" i="9"/>
  <c r="H6" i="9"/>
  <c r="H7" i="9"/>
  <c r="H8" i="9"/>
  <c r="H9" i="9"/>
  <c r="H5" i="9"/>
  <c r="G6" i="9"/>
  <c r="G7" i="9"/>
  <c r="G8" i="9"/>
  <c r="G9" i="9"/>
  <c r="G5" i="9"/>
  <c r="H8" i="8"/>
  <c r="H9" i="8"/>
  <c r="H10" i="8"/>
  <c r="H11" i="8"/>
  <c r="H12" i="8"/>
  <c r="H13" i="8"/>
  <c r="H7" i="8"/>
  <c r="G8" i="8"/>
  <c r="G9" i="8"/>
  <c r="G10" i="8"/>
  <c r="G11" i="8"/>
  <c r="G12" i="8"/>
  <c r="G13" i="8"/>
  <c r="G7" i="8"/>
  <c r="F8" i="8"/>
  <c r="F9" i="8"/>
  <c r="F10" i="8"/>
  <c r="F11" i="8"/>
  <c r="F12" i="8"/>
  <c r="F13" i="8"/>
  <c r="F7" i="8"/>
  <c r="G2" i="7"/>
  <c r="G3" i="7"/>
  <c r="G4" i="7"/>
  <c r="G5" i="7"/>
  <c r="G6" i="7"/>
  <c r="H3" i="7"/>
  <c r="H4" i="7"/>
  <c r="H5" i="7"/>
  <c r="H6" i="7"/>
  <c r="H2" i="7"/>
  <c r="F6" i="7"/>
  <c r="F5" i="7"/>
  <c r="F4" i="7"/>
  <c r="F3" i="7"/>
  <c r="F2" i="7"/>
  <c r="F4" i="6"/>
  <c r="F5" i="6"/>
  <c r="F6" i="6"/>
  <c r="F7" i="6"/>
  <c r="F3" i="6"/>
  <c r="E4" i="6"/>
  <c r="E5" i="6"/>
  <c r="E6" i="6"/>
  <c r="E7" i="6"/>
  <c r="E3" i="6"/>
  <c r="D4" i="6"/>
  <c r="D5" i="6"/>
  <c r="D6" i="6"/>
  <c r="D7" i="6"/>
  <c r="D3" i="6"/>
  <c r="D3" i="5"/>
  <c r="D4" i="5"/>
  <c r="D5" i="5"/>
  <c r="D6" i="5"/>
  <c r="D2" i="5"/>
  <c r="C3" i="5"/>
  <c r="C4" i="5"/>
  <c r="C5" i="5"/>
  <c r="C6" i="5"/>
  <c r="C2" i="5"/>
  <c r="H3" i="5"/>
  <c r="H4" i="5"/>
  <c r="H5" i="5"/>
  <c r="H6" i="5"/>
  <c r="H2" i="5"/>
  <c r="F9" i="4"/>
  <c r="F5" i="4"/>
  <c r="F6" i="4"/>
  <c r="F7" i="4"/>
  <c r="F8" i="4"/>
  <c r="F4" i="4"/>
  <c r="D4" i="4"/>
  <c r="D5" i="4"/>
  <c r="D6" i="4"/>
  <c r="D7" i="4"/>
  <c r="D8" i="4"/>
  <c r="D9" i="4"/>
  <c r="E5" i="3"/>
  <c r="E6" i="3"/>
  <c r="E7" i="3"/>
  <c r="E8" i="3"/>
  <c r="E9" i="3"/>
  <c r="E4" i="3"/>
  <c r="D5" i="3"/>
  <c r="D6" i="3"/>
  <c r="D7" i="3"/>
  <c r="D8" i="3"/>
  <c r="D9" i="3"/>
  <c r="D4" i="3"/>
  <c r="E4" i="2"/>
  <c r="E5" i="2"/>
  <c r="E6" i="2"/>
  <c r="E7" i="2"/>
  <c r="E3" i="2"/>
  <c r="D4" i="2"/>
  <c r="D5" i="2"/>
  <c r="D6" i="2"/>
  <c r="D7" i="2"/>
  <c r="D3" i="2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<sst xmlns="http://schemas.openxmlformats.org/spreadsheetml/2006/main" count="245" uniqueCount="149">
  <si>
    <t>이름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</si>
  <si>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</si>
  <si>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</si>
  <si>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</si>
  <si>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</si>
  <si>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</si>
  <si>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</si>
  <si>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</si>
  <si>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</si>
  <si>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과장</t>
    <phoneticPr fontId="1" type="noConversion"/>
  </si>
  <si>
    <t>부장</t>
    <phoneticPr fontId="1" type="noConversion"/>
  </si>
  <si>
    <t>사원</t>
    <phoneticPr fontId="1" type="noConversion"/>
  </si>
  <si>
    <t>이사</t>
    <phoneticPr fontId="1" type="noConversion"/>
  </si>
  <si>
    <t>직위</t>
    <phoneticPr fontId="1" type="noConversion"/>
  </si>
  <si>
    <t>대리</t>
    <phoneticPr fontId="1" type="noConversion"/>
  </si>
  <si>
    <t>김숙자</t>
    <phoneticPr fontId="1" type="noConversion"/>
  </si>
  <si>
    <t>김명희</t>
    <phoneticPr fontId="1" type="noConversion"/>
  </si>
  <si>
    <t>김영희</t>
    <phoneticPr fontId="1" type="noConversion"/>
  </si>
  <si>
    <t>윤민지</t>
    <phoneticPr fontId="1" type="noConversion"/>
  </si>
  <si>
    <t>근무연수</t>
    <phoneticPr fontId="1" type="noConversion"/>
  </si>
  <si>
    <t>초과근무</t>
    <phoneticPr fontId="1" type="noConversion"/>
  </si>
  <si>
    <t>성명</t>
    <phoneticPr fontId="1" type="noConversion"/>
  </si>
  <si>
    <t>직급</t>
    <phoneticPr fontId="1" type="noConversion"/>
  </si>
  <si>
    <t>출장지</t>
    <phoneticPr fontId="1" type="noConversion"/>
  </si>
  <si>
    <t>출장비</t>
    <phoneticPr fontId="1" type="noConversion"/>
  </si>
  <si>
    <t>출장일수</t>
    <phoneticPr fontId="1" type="noConversion"/>
  </si>
  <si>
    <t>선임</t>
    <phoneticPr fontId="1" type="noConversion"/>
  </si>
  <si>
    <t>부산</t>
    <phoneticPr fontId="1" type="noConversion"/>
  </si>
  <si>
    <t>주임</t>
    <phoneticPr fontId="1" type="noConversion"/>
  </si>
  <si>
    <t>연구원</t>
    <phoneticPr fontId="1" type="noConversion"/>
  </si>
  <si>
    <t>책임</t>
    <phoneticPr fontId="1" type="noConversion"/>
  </si>
  <si>
    <t>경기</t>
    <phoneticPr fontId="1" type="noConversion"/>
  </si>
  <si>
    <t>대전</t>
    <phoneticPr fontId="1" type="noConversion"/>
  </si>
  <si>
    <t>광주</t>
    <phoneticPr fontId="1" type="noConversion"/>
  </si>
  <si>
    <t>대구</t>
    <phoneticPr fontId="1" type="noConversion"/>
  </si>
  <si>
    <t>울산</t>
    <phoneticPr fontId="1" type="noConversion"/>
  </si>
  <si>
    <t>임원</t>
    <phoneticPr fontId="1" type="noConversion"/>
  </si>
  <si>
    <t>이민상</t>
    <phoneticPr fontId="1" type="noConversion"/>
  </si>
  <si>
    <t>C0820</t>
    <phoneticPr fontId="1" type="noConversion"/>
  </si>
  <si>
    <t>E0645</t>
    <phoneticPr fontId="1" type="noConversion"/>
  </si>
  <si>
    <t>C1022</t>
    <phoneticPr fontId="1" type="noConversion"/>
  </si>
  <si>
    <t>E0455</t>
    <phoneticPr fontId="1" type="noConversion"/>
  </si>
  <si>
    <t>K0598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</si>
  <si>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</si>
  <si>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</si>
  <si>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</si>
  <si>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</si>
  <si>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019-123-4567</t>
    <phoneticPr fontId="1" type="noConversion"/>
  </si>
  <si>
    <t>018-455-7890</t>
    <phoneticPr fontId="1" type="noConversion"/>
  </si>
  <si>
    <t>017-789-0234</t>
    <phoneticPr fontId="1" type="noConversion"/>
  </si>
  <si>
    <t>017-456-1212</t>
    <phoneticPr fontId="1" type="noConversion"/>
  </si>
  <si>
    <t>019-122-9876</t>
    <phoneticPr fontId="1" type="noConversion"/>
  </si>
  <si>
    <t>AAA-010</t>
    <phoneticPr fontId="1" type="noConversion"/>
  </si>
  <si>
    <t>AAA-090</t>
    <phoneticPr fontId="1" type="noConversion"/>
  </si>
  <si>
    <t>AAE-001</t>
    <phoneticPr fontId="1" type="noConversion"/>
  </si>
  <si>
    <t>AEA-005</t>
    <phoneticPr fontId="1" type="noConversion"/>
  </si>
  <si>
    <t>AAA-012</t>
    <phoneticPr fontId="1" type="noConversion"/>
  </si>
  <si>
    <t>변경전 번호</t>
    <phoneticPr fontId="1" type="noConversion"/>
  </si>
  <si>
    <t>변경전 코드</t>
    <phoneticPr fontId="1" type="noConversion"/>
  </si>
  <si>
    <t>변경후 번호</t>
    <phoneticPr fontId="1" type="noConversion"/>
  </si>
  <si>
    <t>변경후 코드1</t>
    <phoneticPr fontId="1" type="noConversion"/>
  </si>
  <si>
    <t>변경후 코드2</t>
    <phoneticPr fontId="1" type="noConversion"/>
  </si>
  <si>
    <t>제품</t>
    <phoneticPr fontId="1" type="noConversion"/>
  </si>
  <si>
    <t>LCD TV</t>
    <phoneticPr fontId="1" type="noConversion"/>
  </si>
  <si>
    <t>세탁기</t>
    <phoneticPr fontId="1" type="noConversion"/>
  </si>
  <si>
    <t>냉장고</t>
    <phoneticPr fontId="1" type="noConversion"/>
  </si>
  <si>
    <t>단가</t>
    <phoneticPr fontId="1" type="noConversion"/>
  </si>
  <si>
    <t>K001</t>
    <phoneticPr fontId="1" type="noConversion"/>
  </si>
  <si>
    <t>K002</t>
  </si>
  <si>
    <t>K003</t>
  </si>
  <si>
    <t>K004</t>
  </si>
  <si>
    <t>K005</t>
  </si>
  <si>
    <t>K006</t>
  </si>
  <si>
    <t>K007</t>
  </si>
  <si>
    <t>김철수</t>
    <phoneticPr fontId="1" type="noConversion"/>
  </si>
  <si>
    <t>이병희</t>
    <phoneticPr fontId="1" type="noConversion"/>
  </si>
  <si>
    <t>서기회</t>
    <phoneticPr fontId="1" type="noConversion"/>
  </si>
  <si>
    <t>박민성</t>
    <phoneticPr fontId="1" type="noConversion"/>
  </si>
  <si>
    <t>김성태</t>
    <phoneticPr fontId="1" type="noConversion"/>
  </si>
  <si>
    <t>남진성</t>
    <phoneticPr fontId="1" type="noConversion"/>
  </si>
  <si>
    <t>유태민</t>
    <phoneticPr fontId="1" type="noConversion"/>
  </si>
  <si>
    <t>LCD TV</t>
    <phoneticPr fontId="1" type="noConversion"/>
  </si>
  <si>
    <t>판매금액</t>
    <phoneticPr fontId="1" type="noConversion"/>
  </si>
  <si>
    <t>실적순위</t>
    <phoneticPr fontId="1" type="noConversion"/>
  </si>
  <si>
    <t>실적그래프</t>
    <phoneticPr fontId="1" type="noConversion"/>
  </si>
  <si>
    <t>상반기</t>
    <phoneticPr fontId="1" type="noConversion"/>
  </si>
  <si>
    <t>공항점</t>
    <phoneticPr fontId="1" type="noConversion"/>
  </si>
  <si>
    <t>하반기</t>
    <phoneticPr fontId="1" type="noConversion"/>
  </si>
  <si>
    <t>상반기</t>
    <phoneticPr fontId="1" type="noConversion"/>
  </si>
  <si>
    <t>강남점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</si>
  <si>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</si>
  <si>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</si>
  <si>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</si>
  <si>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영업점</t>
    <phoneticPr fontId="1" type="noConversion"/>
  </si>
  <si>
    <t>매출합계</t>
    <phoneticPr fontId="1" type="noConversion"/>
  </si>
  <si>
    <t>매출 횟수</t>
    <phoneticPr fontId="1" type="noConversion"/>
  </si>
  <si>
    <t>매출평균</t>
    <phoneticPr fontId="1" type="noConversion"/>
  </si>
  <si>
    <t>김민영</t>
    <phoneticPr fontId="1" type="noConversion"/>
  </si>
  <si>
    <t>강길성</t>
    <phoneticPr fontId="1" type="noConversion"/>
  </si>
  <si>
    <t>임숙회</t>
    <phoneticPr fontId="1" type="noConversion"/>
  </si>
  <si>
    <t>김미미</t>
    <phoneticPr fontId="1" type="noConversion"/>
  </si>
  <si>
    <t>백석철</t>
    <phoneticPr fontId="1" type="noConversion"/>
  </si>
  <si>
    <t>백지성</t>
    <phoneticPr fontId="1" type="noConversion"/>
  </si>
  <si>
    <t>최준호</t>
    <phoneticPr fontId="1" type="noConversion"/>
  </si>
  <si>
    <t>강숙희</t>
    <phoneticPr fontId="1" type="noConversion"/>
  </si>
  <si>
    <t>05월 15일</t>
    <phoneticPr fontId="1" type="noConversion"/>
  </si>
  <si>
    <t>05월 16일</t>
    <phoneticPr fontId="1" type="noConversion"/>
  </si>
  <si>
    <t>06월 17일</t>
    <phoneticPr fontId="1" type="noConversion"/>
  </si>
  <si>
    <t>06월 18일</t>
    <phoneticPr fontId="1" type="noConversion"/>
  </si>
  <si>
    <t>07월 18일</t>
    <phoneticPr fontId="1" type="noConversion"/>
  </si>
  <si>
    <t>현재날짜</t>
    <phoneticPr fontId="1" type="noConversion"/>
  </si>
  <si>
    <t>입사일</t>
    <phoneticPr fontId="1" type="noConversion"/>
  </si>
  <si>
    <t>근무년수</t>
    <phoneticPr fontId="1" type="noConversion"/>
  </si>
  <si>
    <t>근무월수</t>
    <phoneticPr fontId="1" type="noConversion"/>
  </si>
  <si>
    <t>근무일수</t>
    <phoneticPr fontId="1" type="noConversion"/>
  </si>
  <si>
    <t>근무 년/월수</t>
    <phoneticPr fontId="1" type="noConversion"/>
  </si>
  <si>
    <t>근무 년/월/일수</t>
    <phoneticPr fontId="1" type="noConversion"/>
  </si>
  <si>
    <t>김희재</t>
    <phoneticPr fontId="1" type="noConversion"/>
  </si>
  <si>
    <t>김희수</t>
    <phoneticPr fontId="1" type="noConversion"/>
  </si>
  <si>
    <t>김택수</t>
    <phoneticPr fontId="1" type="noConversion"/>
  </si>
  <si>
    <t>한성진</t>
    <phoneticPr fontId="1" type="noConversion"/>
  </si>
  <si>
    <t>날짜</t>
    <phoneticPr fontId="1" type="noConversion"/>
  </si>
  <si>
    <t>요일표시1</t>
    <phoneticPr fontId="1" type="noConversion"/>
  </si>
  <si>
    <t>요일표시2</t>
    <phoneticPr fontId="1" type="noConversion"/>
  </si>
  <si>
    <t>요일표시3</t>
    <phoneticPr fontId="1" type="noConversion"/>
  </si>
  <si>
    <t>요일표시4</t>
    <phoneticPr fontId="1" type="noConversion"/>
  </si>
  <si>
    <t>김희철</t>
    <phoneticPr fontId="1" type="noConversion"/>
  </si>
  <si>
    <t>감나희</t>
    <phoneticPr fontId="1" type="noConversion"/>
  </si>
  <si>
    <t>한은숙</t>
    <phoneticPr fontId="1" type="noConversion"/>
  </si>
  <si>
    <t>김지명</t>
    <phoneticPr fontId="1" type="noConversion"/>
  </si>
  <si>
    <t>김성주</t>
    <phoneticPr fontId="1" type="noConversion"/>
  </si>
  <si>
    <t>유재석</t>
    <phoneticPr fontId="1" type="noConversion"/>
  </si>
  <si>
    <t>박재은</t>
    <phoneticPr fontId="1" type="noConversion"/>
  </si>
  <si>
    <t>노옿웃</t>
    <phoneticPr fontId="1" type="noConversion"/>
  </si>
  <si>
    <t>정진회</t>
    <phoneticPr fontId="1" type="noConversion"/>
  </si>
  <si>
    <t>교육팀</t>
    <phoneticPr fontId="1" type="noConversion"/>
  </si>
  <si>
    <t>영업팀</t>
    <phoneticPr fontId="1" type="noConversion"/>
  </si>
  <si>
    <t>교육팀</t>
    <phoneticPr fontId="1" type="noConversion"/>
  </si>
  <si>
    <t>기회팀</t>
    <phoneticPr fontId="1" type="noConversion"/>
  </si>
  <si>
    <t>홍보팀</t>
    <phoneticPr fontId="1" type="noConversion"/>
  </si>
  <si>
    <t>861219-1******</t>
    <phoneticPr fontId="1" type="noConversion"/>
  </si>
  <si>
    <t>871014-1******</t>
    <phoneticPr fontId="1" type="noConversion"/>
  </si>
  <si>
    <t>010119-4******</t>
    <phoneticPr fontId="1" type="noConversion"/>
  </si>
  <si>
    <t>860320-1******</t>
    <phoneticPr fontId="1" type="noConversion"/>
  </si>
  <si>
    <t>020919-3******</t>
    <phoneticPr fontId="1" type="noConversion"/>
  </si>
  <si>
    <t>000215-3******</t>
    <phoneticPr fontId="1" type="noConversion"/>
  </si>
  <si>
    <t>631025-2******</t>
    <phoneticPr fontId="1" type="noConversion"/>
  </si>
  <si>
    <t>650315-1******</t>
    <phoneticPr fontId="1" type="noConversion"/>
  </si>
  <si>
    <t>670725-2******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</si>
</sst>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176" formatCode="General&quot;세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2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3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workbookViewId="0">
      <selection activeCell="J15" sqref="J15"/>
    </sheetView>
  </sheetViews>
  <sheetFormatPr defaultRowHeight="16.5" x14ac:dyDescent="0.3"/>
  <sheetData>
    <row r="4" spans="1:9" x14ac:dyDescent="0.3">
      <c r="F4" t="s">
        <v>93</v>
      </c>
      <c r="G4" t="s">
        <v>94</v>
      </c>
      <c r="H4" t="s">
        <v>95</v>
      </c>
      <c r="I4" t="s">
        <v>96</v>
      </c>
    </row>
    <row r="5" spans="1:9" x14ac:dyDescent="0.3">
      <c r="A5" t="s">
        <v>89</v>
      </c>
      <c r="B5" t="s">
        <v>85</v>
      </c>
      <c r="C5">
        <v>4057</v>
      </c>
      <c r="F5" t="s">
        <v>89</v>
      </c>
      <c r="G5">
        <f>SUMIF($A$5:$A$18,F5,$C$5:$C$18)</f>
        <v>13494</v>
      </c>
      <c r="H5">
        <f>COUNTIF($A$5:$A$18,F5)</f>
        <v>3</v>
      </c>
      <c r="I5">
        <f>ROUND(AVERAGEIF($A$5:$A$18,F5,$C$5:$C$18),0)</f>
        <v>4498</v>
      </c>
    </row>
    <row r="6" spans="1:9" x14ac:dyDescent="0.3">
      <c r="A6" t="s">
        <v>86</v>
      </c>
      <c r="B6" t="s">
        <v>87</v>
      </c>
      <c r="C6">
        <v>4994</v>
      </c>
      <c r="F6" t="s">
        <v>86</v>
      </c>
      <c r="G6">
        <f t="shared" ref="G6:G9" si="0">SUMIF($A$5:$A$18,F6,$C$5:$C$18)</f>
        <v>19950</v>
      </c>
      <c r="H6">
        <f t="shared" ref="H6:H9" si="1">COUNTIF($A$5:$A$18,F6)</f>
        <v>4</v>
      </c>
      <c r="I6">
        <f t="shared" ref="I6:I9" si="2">ROUND(AVERAGEIF($A$5:$A$18,F6,$C$5:$C$18),0)</f>
        <v>4988</v>
      </c>
    </row>
    <row r="7" spans="1:9" x14ac:dyDescent="0.3">
      <c r="A7" t="s">
        <v>86</v>
      </c>
      <c r="B7" t="s">
        <v>88</v>
      </c>
      <c r="C7">
        <v>3103</v>
      </c>
      <c r="F7" t="s">
        <v>90</v>
      </c>
      <c r="G7">
        <f t="shared" si="0"/>
        <v>23824</v>
      </c>
      <c r="H7">
        <f t="shared" si="1"/>
        <v>3</v>
      </c>
      <c r="I7">
        <f t="shared" si="2"/>
        <v>7941</v>
      </c>
    </row>
    <row r="8" spans="1:9" x14ac:dyDescent="0.3">
      <c r="A8" t="s">
        <v>89</v>
      </c>
      <c r="B8" t="s">
        <v>87</v>
      </c>
      <c r="C8">
        <v>6964</v>
      </c>
      <c r="F8" t="s">
        <v>91</v>
      </c>
      <c r="G8">
        <f t="shared" si="0"/>
        <v>3339</v>
      </c>
      <c r="H8">
        <f t="shared" si="1"/>
        <v>2</v>
      </c>
      <c r="I8">
        <f t="shared" si="2"/>
        <v>1670</v>
      </c>
    </row>
    <row r="9" spans="1:9" x14ac:dyDescent="0.3">
      <c r="A9" t="s">
        <v>90</v>
      </c>
      <c r="B9" t="s">
        <v>85</v>
      </c>
      <c r="C9">
        <v>8710</v>
      </c>
      <c r="F9" t="s">
        <v>92</v>
      </c>
      <c r="G9">
        <f t="shared" si="0"/>
        <v>3778</v>
      </c>
      <c r="H9">
        <f t="shared" si="1"/>
        <v>2</v>
      </c>
      <c r="I9">
        <f t="shared" si="2"/>
        <v>1889</v>
      </c>
    </row>
    <row r="10" spans="1:9" x14ac:dyDescent="0.3">
      <c r="A10" t="s">
        <v>89</v>
      </c>
      <c r="B10" t="s">
        <v>87</v>
      </c>
      <c r="C10">
        <v>2473</v>
      </c>
    </row>
    <row r="11" spans="1:9" x14ac:dyDescent="0.3">
      <c r="A11" t="s">
        <v>91</v>
      </c>
      <c r="B11" t="s">
        <v>88</v>
      </c>
      <c r="C11">
        <v>729</v>
      </c>
    </row>
    <row r="12" spans="1:9" x14ac:dyDescent="0.3">
      <c r="A12" t="s">
        <v>90</v>
      </c>
      <c r="B12" t="s">
        <v>87</v>
      </c>
      <c r="C12">
        <v>6572</v>
      </c>
    </row>
    <row r="13" spans="1:9" x14ac:dyDescent="0.3">
      <c r="A13" t="s">
        <v>86</v>
      </c>
      <c r="B13" t="s">
        <v>85</v>
      </c>
      <c r="C13">
        <v>3898</v>
      </c>
      <c r="E13" t="s">
        <v>89</v>
      </c>
      <c r="F13" s="6" t="s">
        <v>88</v>
      </c>
      <c r="G13">
        <f>SUMIFS($C$5:$C$18,$A$5:$A$18,E13,$B$5:$B$18,$F$13)</f>
        <v>4057</v>
      </c>
      <c r="H13">
        <f>COUNTIFS($A$5:$A$18,E13,$B$5:$B$18,$F$13)</f>
        <v>1</v>
      </c>
      <c r="I13">
        <f>ROUND(AVERAGEIFS($C$5:$C$18,$A$5:$A$18,E13,$B$5:$B$18,$F$13),0)</f>
        <v>4057</v>
      </c>
    </row>
    <row r="14" spans="1:9" x14ac:dyDescent="0.3">
      <c r="A14" t="s">
        <v>92</v>
      </c>
      <c r="B14" t="s">
        <v>88</v>
      </c>
      <c r="C14">
        <v>3079</v>
      </c>
      <c r="E14" t="s">
        <v>86</v>
      </c>
      <c r="F14" s="6"/>
      <c r="G14">
        <f t="shared" ref="G14:G16" si="3">SUMIFS($C$5:$C$18,$A$5:$A$18,E14,$B$5:$B$18,$F$13)</f>
        <v>7001</v>
      </c>
      <c r="H14">
        <f t="shared" ref="H14:H17" si="4">COUNTIFS($A$5:$A$18,E14,$B$5:$B$18,$F$13)</f>
        <v>2</v>
      </c>
      <c r="I14">
        <f t="shared" ref="I14:I17" si="5">ROUND(AVERAGEIFS($C$5:$C$18,$A$5:$A$18,E14,$B$5:$B$18,$F$13),0)</f>
        <v>3501</v>
      </c>
    </row>
    <row r="15" spans="1:9" x14ac:dyDescent="0.3">
      <c r="A15" t="s">
        <v>86</v>
      </c>
      <c r="B15" t="s">
        <v>87</v>
      </c>
      <c r="C15">
        <v>7955</v>
      </c>
      <c r="E15" t="s">
        <v>90</v>
      </c>
      <c r="F15" s="6"/>
      <c r="G15">
        <f t="shared" si="3"/>
        <v>17252</v>
      </c>
      <c r="H15">
        <f t="shared" si="4"/>
        <v>2</v>
      </c>
      <c r="I15">
        <f t="shared" si="5"/>
        <v>8626</v>
      </c>
    </row>
    <row r="16" spans="1:9" x14ac:dyDescent="0.3">
      <c r="A16" t="s">
        <v>91</v>
      </c>
      <c r="B16" t="s">
        <v>87</v>
      </c>
      <c r="C16">
        <v>2610</v>
      </c>
      <c r="E16" t="s">
        <v>91</v>
      </c>
      <c r="F16" s="6"/>
      <c r="G16">
        <f t="shared" si="3"/>
        <v>729</v>
      </c>
      <c r="H16">
        <f t="shared" si="4"/>
        <v>1</v>
      </c>
      <c r="I16">
        <f t="shared" si="5"/>
        <v>729</v>
      </c>
    </row>
    <row r="17" spans="1:9" x14ac:dyDescent="0.3">
      <c r="A17" t="s">
        <v>90</v>
      </c>
      <c r="B17" t="s">
        <v>88</v>
      </c>
      <c r="C17">
        <v>8542</v>
      </c>
      <c r="E17" t="s">
        <v>92</v>
      </c>
      <c r="F17" s="6"/>
      <c r="G17">
        <f>SUMIFS($C$5:$C$18,$A$5:$A$18,E17,$B$5:$B$18,$F$13)</f>
        <v>3079</v>
      </c>
      <c r="H17">
        <f t="shared" si="4"/>
        <v>1</v>
      </c>
      <c r="I17">
        <f t="shared" si="5"/>
        <v>3079</v>
      </c>
    </row>
    <row r="18" spans="1:9" x14ac:dyDescent="0.3">
      <c r="A18" t="s">
        <v>92</v>
      </c>
      <c r="B18" t="s">
        <v>87</v>
      </c>
      <c r="C18">
        <v>699</v>
      </c>
    </row>
  </sheetData>
  <mergeCells count="1">
    <mergeCell ref="F13:F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E5" sqref="E5"/>
    </sheetView>
  </sheetViews>
  <sheetFormatPr defaultRowHeight="16.5" x14ac:dyDescent="0.3"/>
  <cols>
    <col min="3" max="3" width="9.875" bestFit="1" customWidth="1"/>
    <col min="4" max="4" width="18" customWidth="1"/>
    <col min="5" max="5" width="21.75" customWidth="1"/>
  </cols>
  <sheetData>
    <row r="4" spans="1:5" x14ac:dyDescent="0.3">
      <c r="A4">
        <v>1</v>
      </c>
      <c r="B4" t="s">
        <v>97</v>
      </c>
      <c r="C4" s="3" t="s">
        <v>105</v>
      </c>
      <c r="D4" s="2">
        <f ca="1">DATE(YEAR(TODAY()), LEFT(C4,2),MID(C4,5,2))</f>
        <v>42139</v>
      </c>
      <c r="E4" t="str">
        <f>"2011-"&amp;LEFT(C4,2)&amp;"-"&amp;MID(C4,5,2)</f>
        <v>2011-05-15</v>
      </c>
    </row>
    <row r="5" spans="1:5" x14ac:dyDescent="0.3">
      <c r="A5">
        <v>2</v>
      </c>
      <c r="B5" t="s">
        <v>98</v>
      </c>
      <c r="C5" s="3" t="s">
        <v>105</v>
      </c>
      <c r="D5" s="2">
        <f t="shared" ref="D5:D11" ca="1" si="0">DATE(YEAR(TODAY()), LEFT(C5,2),MID(C5,5,2))</f>
        <v>42139</v>
      </c>
      <c r="E5" t="str">
        <f t="shared" ref="E5:E11" si="1">"2011-"&amp;LEFT(C5,2)&amp;"-"&amp;MID(C5,5,2)</f>
        <v>2011-05-15</v>
      </c>
    </row>
    <row r="6" spans="1:5" x14ac:dyDescent="0.3">
      <c r="A6">
        <v>3</v>
      </c>
      <c r="B6" t="s">
        <v>99</v>
      </c>
      <c r="C6" s="3" t="s">
        <v>106</v>
      </c>
      <c r="D6" s="2">
        <f t="shared" ca="1" si="0"/>
        <v>42140</v>
      </c>
      <c r="E6" t="str">
        <f t="shared" si="1"/>
        <v>2011-05-16</v>
      </c>
    </row>
    <row r="7" spans="1:5" x14ac:dyDescent="0.3">
      <c r="A7">
        <v>4</v>
      </c>
      <c r="B7" t="s">
        <v>100</v>
      </c>
      <c r="C7" s="3" t="s">
        <v>106</v>
      </c>
      <c r="D7" s="2">
        <f t="shared" ca="1" si="0"/>
        <v>42140</v>
      </c>
      <c r="E7" t="str">
        <f t="shared" si="1"/>
        <v>2011-05-16</v>
      </c>
    </row>
    <row r="8" spans="1:5" x14ac:dyDescent="0.3">
      <c r="A8">
        <v>5</v>
      </c>
      <c r="B8" t="s">
        <v>101</v>
      </c>
      <c r="C8" s="3" t="s">
        <v>107</v>
      </c>
      <c r="D8" s="2">
        <f t="shared" ca="1" si="0"/>
        <v>42172</v>
      </c>
      <c r="E8" t="str">
        <f t="shared" si="1"/>
        <v>2011-06-17</v>
      </c>
    </row>
    <row r="9" spans="1:5" x14ac:dyDescent="0.3">
      <c r="A9">
        <v>6</v>
      </c>
      <c r="B9" t="s">
        <v>102</v>
      </c>
      <c r="C9" s="3" t="s">
        <v>108</v>
      </c>
      <c r="D9" s="2">
        <f t="shared" ca="1" si="0"/>
        <v>42173</v>
      </c>
      <c r="E9" t="str">
        <f t="shared" si="1"/>
        <v>2011-06-18</v>
      </c>
    </row>
    <row r="10" spans="1:5" x14ac:dyDescent="0.3">
      <c r="A10">
        <v>7</v>
      </c>
      <c r="B10" t="s">
        <v>103</v>
      </c>
      <c r="C10" s="3" t="s">
        <v>108</v>
      </c>
      <c r="D10" s="2">
        <f t="shared" ca="1" si="0"/>
        <v>42173</v>
      </c>
      <c r="E10" t="str">
        <f t="shared" si="1"/>
        <v>2011-06-18</v>
      </c>
    </row>
    <row r="11" spans="1:5" x14ac:dyDescent="0.3">
      <c r="A11">
        <v>8</v>
      </c>
      <c r="B11" t="s">
        <v>104</v>
      </c>
      <c r="C11" s="3" t="s">
        <v>109</v>
      </c>
      <c r="D11" s="2">
        <f t="shared" ca="1" si="0"/>
        <v>42203</v>
      </c>
      <c r="E11" t="str">
        <f t="shared" si="1"/>
        <v>2011-07-18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H7" sqref="H7"/>
    </sheetView>
  </sheetViews>
  <sheetFormatPr defaultRowHeight="16.5" x14ac:dyDescent="0.3"/>
  <cols>
    <col min="2" max="2" width="11.125" bestFit="1" customWidth="1"/>
    <col min="6" max="6" width="12.5" bestFit="1" customWidth="1"/>
    <col min="7" max="7" width="15.375" bestFit="1" customWidth="1"/>
  </cols>
  <sheetData>
    <row r="2" spans="1:7" x14ac:dyDescent="0.3">
      <c r="A2" t="s">
        <v>110</v>
      </c>
      <c r="B2" s="2">
        <v>40464</v>
      </c>
    </row>
    <row r="5" spans="1:7" x14ac:dyDescent="0.3">
      <c r="A5" t="s">
        <v>21</v>
      </c>
      <c r="B5" t="s">
        <v>111</v>
      </c>
      <c r="C5" t="s">
        <v>112</v>
      </c>
      <c r="D5" t="s">
        <v>113</v>
      </c>
      <c r="E5" t="s">
        <v>114</v>
      </c>
      <c r="F5" t="s">
        <v>115</v>
      </c>
      <c r="G5" t="s">
        <v>116</v>
      </c>
    </row>
    <row r="6" spans="1:7" x14ac:dyDescent="0.3">
      <c r="A6" t="s">
        <v>37</v>
      </c>
      <c r="B6" s="2">
        <v>36661</v>
      </c>
      <c r="C6">
        <f>DATEDIF(B6,$B$2,"Y")</f>
        <v>10</v>
      </c>
      <c r="D6">
        <f>DATEDIF(B6,$B$2,"M")</f>
        <v>124</v>
      </c>
      <c r="E6">
        <f>DATEDIF(B6,$B$2,"D")</f>
        <v>3803</v>
      </c>
      <c r="F6" t="str">
        <f>DATEDIF(B6,$B$2,"Y")&amp;"년 "&amp;DATEDIF(B6,$B$2,"YM")&amp;"개월"</f>
        <v>10년 4개월</v>
      </c>
      <c r="G6" t="str">
        <f>DATEDIF(B6,$B$2,"Y")&amp;"년 "&amp;DATEDIF(B6,$B$2,"YM")&amp;"개월 " &amp;DATEDIF(B6,$B$2,"MD")&amp;"일"</f>
        <v>10년 4개월 28일</v>
      </c>
    </row>
    <row r="7" spans="1:7" x14ac:dyDescent="0.3">
      <c r="A7" t="s">
        <v>117</v>
      </c>
      <c r="B7" s="2">
        <v>36320</v>
      </c>
      <c r="C7">
        <f t="shared" ref="C7:C10" si="0">DATEDIF(B7,$B$2,"Y")</f>
        <v>11</v>
      </c>
      <c r="D7">
        <f t="shared" ref="D7:D10" si="1">DATEDIF(B7,$B$2,"M")</f>
        <v>136</v>
      </c>
      <c r="E7">
        <f t="shared" ref="E7:E10" si="2">DATEDIF(B7,$B$2,"D")</f>
        <v>4144</v>
      </c>
      <c r="F7" t="str">
        <f t="shared" ref="F7:F10" si="3">DATEDIF(B7,$B$2,"Y")&amp;"년 "&amp;DATEDIF(B7,$B$2,"YM")&amp;"개월"</f>
        <v>11년 4개월</v>
      </c>
      <c r="G7" t="str">
        <f t="shared" ref="G7:G10" si="4">DATEDIF(B7,$B$2,"Y")&amp;"년 "&amp;DATEDIF(B7,$B$2,"YM")&amp;"개월 " &amp;DATEDIF(B7,$B$2,"MD")&amp;"일"</f>
        <v>11년 4개월 4일</v>
      </c>
    </row>
    <row r="8" spans="1:7" x14ac:dyDescent="0.3">
      <c r="A8" t="s">
        <v>118</v>
      </c>
      <c r="B8" s="2">
        <v>36255</v>
      </c>
      <c r="C8">
        <f t="shared" si="0"/>
        <v>11</v>
      </c>
      <c r="D8">
        <f t="shared" si="1"/>
        <v>138</v>
      </c>
      <c r="E8">
        <f t="shared" si="2"/>
        <v>4209</v>
      </c>
      <c r="F8" t="str">
        <f t="shared" si="3"/>
        <v>11년 6개월</v>
      </c>
      <c r="G8" t="str">
        <f t="shared" si="4"/>
        <v>11년 6개월 8일</v>
      </c>
    </row>
    <row r="9" spans="1:7" x14ac:dyDescent="0.3">
      <c r="A9" t="s">
        <v>119</v>
      </c>
      <c r="B9" s="2">
        <v>35556</v>
      </c>
      <c r="C9">
        <f t="shared" si="0"/>
        <v>13</v>
      </c>
      <c r="D9">
        <f t="shared" si="1"/>
        <v>161</v>
      </c>
      <c r="E9">
        <f t="shared" si="2"/>
        <v>4908</v>
      </c>
      <c r="F9" t="str">
        <f t="shared" si="3"/>
        <v>13년 5개월</v>
      </c>
      <c r="G9" t="str">
        <f t="shared" si="4"/>
        <v>13년 5개월 7일</v>
      </c>
    </row>
    <row r="10" spans="1:7" x14ac:dyDescent="0.3">
      <c r="A10" t="s">
        <v>120</v>
      </c>
      <c r="B10" s="2">
        <v>34949</v>
      </c>
      <c r="C10">
        <f t="shared" si="0"/>
        <v>15</v>
      </c>
      <c r="D10">
        <f t="shared" si="1"/>
        <v>181</v>
      </c>
      <c r="E10">
        <f t="shared" si="2"/>
        <v>5515</v>
      </c>
      <c r="F10" t="str">
        <f t="shared" si="3"/>
        <v>15년 1개월</v>
      </c>
      <c r="G10" t="str">
        <f t="shared" si="4"/>
        <v>15년 1개월 6일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2"/>
  <sheetViews>
    <sheetView workbookViewId="0">
      <selection activeCell="G10" sqref="G10"/>
    </sheetView>
  </sheetViews>
  <sheetFormatPr defaultRowHeight="16.5" x14ac:dyDescent="0.3"/>
  <cols>
    <col min="1" max="1" width="17.125" bestFit="1" customWidth="1"/>
    <col min="2" max="4" width="10" bestFit="1" customWidth="1"/>
  </cols>
  <sheetData>
    <row r="6" spans="1:5" x14ac:dyDescent="0.3">
      <c r="A6" t="s">
        <v>121</v>
      </c>
      <c r="B6" t="s">
        <v>122</v>
      </c>
      <c r="C6" t="s">
        <v>123</v>
      </c>
      <c r="D6" t="s">
        <v>124</v>
      </c>
      <c r="E6" t="s">
        <v>125</v>
      </c>
    </row>
    <row r="7" spans="1:5" x14ac:dyDescent="0.3">
      <c r="A7" s="4">
        <v>40603</v>
      </c>
      <c r="B7" t="str">
        <f>CHOOSE(WEEKDAY(A7,2), "월","화","수","목","금","토","일")</f>
        <v>화</v>
      </c>
      <c r="C7" t="str">
        <f>TEXT(A7,"aaa")</f>
        <v>화</v>
      </c>
      <c r="D7" t="str">
        <f>TEXT(A7,"ddd")</f>
        <v>Tue</v>
      </c>
      <c r="E7" t="str">
        <f>TEXT(A7,"aaaa")</f>
        <v>화요일</v>
      </c>
    </row>
    <row r="8" spans="1:5" x14ac:dyDescent="0.3">
      <c r="A8" s="4">
        <v>40604</v>
      </c>
      <c r="B8" t="str">
        <f t="shared" ref="B8:B12" si="0">CHOOSE(WEEKDAY(A8,2), "월","화","수","목","금","토","일")</f>
        <v>수</v>
      </c>
      <c r="C8" t="str">
        <f t="shared" ref="C8:C12" si="1">TEXT(A8,"aaa")</f>
        <v>수</v>
      </c>
      <c r="D8" t="str">
        <f t="shared" ref="D8:D12" si="2">TEXT(A8,"ddd")</f>
        <v>Wed</v>
      </c>
      <c r="E8" t="str">
        <f t="shared" ref="E8:E12" si="3">TEXT(A8,"aaaa")</f>
        <v>수요일</v>
      </c>
    </row>
    <row r="9" spans="1:5" x14ac:dyDescent="0.3">
      <c r="A9" s="4">
        <v>40605</v>
      </c>
      <c r="B9" t="str">
        <f t="shared" si="0"/>
        <v>목</v>
      </c>
      <c r="C9" t="str">
        <f>TEXT(A9,"aaa")</f>
        <v>목</v>
      </c>
      <c r="D9" t="str">
        <f t="shared" si="2"/>
        <v>Thu</v>
      </c>
      <c r="E9" t="str">
        <f t="shared" si="3"/>
        <v>목요일</v>
      </c>
    </row>
    <row r="10" spans="1:5" x14ac:dyDescent="0.3">
      <c r="A10" s="4">
        <v>40606</v>
      </c>
      <c r="B10" t="str">
        <f t="shared" si="0"/>
        <v>금</v>
      </c>
      <c r="C10" t="str">
        <f t="shared" si="1"/>
        <v>금</v>
      </c>
      <c r="D10" t="str">
        <f t="shared" si="2"/>
        <v>Fri</v>
      </c>
      <c r="E10" t="str">
        <f t="shared" si="3"/>
        <v>금요일</v>
      </c>
    </row>
    <row r="11" spans="1:5" x14ac:dyDescent="0.3">
      <c r="A11" s="4">
        <v>40607</v>
      </c>
      <c r="B11" t="str">
        <f t="shared" si="0"/>
        <v>토</v>
      </c>
      <c r="C11" t="str">
        <f t="shared" si="1"/>
        <v>토</v>
      </c>
      <c r="D11" t="str">
        <f t="shared" si="2"/>
        <v>Sat</v>
      </c>
      <c r="E11" t="str">
        <f t="shared" si="3"/>
        <v>토요일</v>
      </c>
    </row>
    <row r="12" spans="1:5" x14ac:dyDescent="0.3">
      <c r="A12" s="4">
        <v>40608</v>
      </c>
      <c r="B12" t="str">
        <f t="shared" si="0"/>
        <v>일</v>
      </c>
      <c r="C12" t="str">
        <f t="shared" si="1"/>
        <v>일</v>
      </c>
      <c r="D12" t="str">
        <f t="shared" si="2"/>
        <v>Sun</v>
      </c>
      <c r="E12" t="str">
        <f t="shared" si="3"/>
        <v>일요일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4"/>
  <sheetViews>
    <sheetView tabSelected="1" workbookViewId="0">
      <selection activeCell="K9" sqref="K9"/>
    </sheetView>
  </sheetViews>
  <sheetFormatPr defaultRowHeight="16.5" x14ac:dyDescent="0.3"/>
  <cols>
    <col min="3" max="3" width="14.125" bestFit="1" customWidth="1"/>
    <col min="5" max="8" width="11.125" bestFit="1" customWidth="1"/>
  </cols>
  <sheetData>
    <row r="5" spans="1:10" x14ac:dyDescent="0.3">
      <c r="C5" s="2">
        <v>40616</v>
      </c>
    </row>
    <row r="6" spans="1:10" x14ac:dyDescent="0.3">
      <c r="A6" t="s">
        <v>126</v>
      </c>
      <c r="B6" t="s">
        <v>135</v>
      </c>
      <c r="C6" t="s">
        <v>140</v>
      </c>
      <c r="D6" t="str">
        <f>IF(OR(MID(C6,8,1)="1",MID(C6,7,1)="3"),"남","여")</f>
        <v>남</v>
      </c>
      <c r="E6" s="2">
        <f>DATE(CHOOSE(MID(C6,8,1),1900,1900,2000,2000)+LEFT(C6,2),MID(C6,3,2),MID(C6,5,2))</f>
        <v>31765</v>
      </c>
      <c r="F6" s="5">
        <f>YEAR($C$5)-YEAR(E6)</f>
        <v>25</v>
      </c>
      <c r="G6">
        <v>1340000</v>
      </c>
      <c r="H6" s="2">
        <v>34770</v>
      </c>
      <c r="I6">
        <f>DATEDIF(H6,$C$5,"y")</f>
        <v>16</v>
      </c>
      <c r="J6" t="str">
        <f>IF(MONTH(E6) = MONTH($C$5), "★"," ")</f>
        <v xml:space="preserve"> </v>
      </c>
    </row>
    <row r="7" spans="1:10" x14ac:dyDescent="0.3">
      <c r="A7" t="s">
        <v>127</v>
      </c>
      <c r="B7" t="s">
        <v>136</v>
      </c>
      <c r="C7" t="s">
        <v>141</v>
      </c>
      <c r="D7" t="str">
        <f t="shared" ref="D7:D14" si="0">IF(OR(MID(C7,8,1)="1",MID(C7,7,1)="3"),"남","여")</f>
        <v>남</v>
      </c>
      <c r="E7" s="2">
        <f t="shared" ref="E7:E14" si="1">DATE(CHOOSE(MID(C7,8,1),1900,1900,2000,2000)+LEFT(C7,2),MID(C7,3,2),MID(C7,5,2))</f>
        <v>32064</v>
      </c>
      <c r="F7" s="5">
        <f t="shared" ref="F7:F14" si="2">YEAR($C$5)-YEAR(E7)</f>
        <v>24</v>
      </c>
      <c r="G7">
        <v>1810000</v>
      </c>
      <c r="H7" s="2">
        <v>35494</v>
      </c>
      <c r="I7">
        <f t="shared" ref="I7:I14" si="3">DATEDIF(H7,$C$5,"y")</f>
        <v>14</v>
      </c>
      <c r="J7" t="str">
        <f t="shared" ref="J7:J14" si="4">IF(MONTH(E7) = MONTH($C$5), "★"," ")</f>
        <v xml:space="preserve"> </v>
      </c>
    </row>
    <row r="8" spans="1:10" x14ac:dyDescent="0.3">
      <c r="A8" t="s">
        <v>128</v>
      </c>
      <c r="B8" t="s">
        <v>137</v>
      </c>
      <c r="C8" t="s">
        <v>142</v>
      </c>
      <c r="D8" t="str">
        <f t="shared" si="0"/>
        <v>여</v>
      </c>
      <c r="E8" s="2">
        <f t="shared" si="1"/>
        <v>36910</v>
      </c>
      <c r="F8" s="5">
        <f t="shared" si="2"/>
        <v>10</v>
      </c>
      <c r="G8">
        <v>2160000</v>
      </c>
      <c r="H8" s="2">
        <v>35499</v>
      </c>
      <c r="I8">
        <f t="shared" si="3"/>
        <v>14</v>
      </c>
      <c r="J8" t="str">
        <f t="shared" si="4"/>
        <v xml:space="preserve"> </v>
      </c>
    </row>
    <row r="9" spans="1:10" x14ac:dyDescent="0.3">
      <c r="A9" t="s">
        <v>129</v>
      </c>
      <c r="B9" t="s">
        <v>138</v>
      </c>
      <c r="C9" t="s">
        <v>143</v>
      </c>
      <c r="D9" t="str">
        <f t="shared" si="0"/>
        <v>남</v>
      </c>
      <c r="E9" s="2">
        <f t="shared" si="1"/>
        <v>31491</v>
      </c>
      <c r="F9" s="5">
        <f t="shared" si="2"/>
        <v>25</v>
      </c>
      <c r="G9">
        <v>2460000</v>
      </c>
      <c r="H9" s="2">
        <v>35859</v>
      </c>
      <c r="I9">
        <f t="shared" si="3"/>
        <v>13</v>
      </c>
      <c r="J9" t="str">
        <f t="shared" si="4"/>
        <v>★</v>
      </c>
    </row>
    <row r="10" spans="1:10" x14ac:dyDescent="0.3">
      <c r="A10" t="s">
        <v>130</v>
      </c>
      <c r="B10" t="s">
        <v>137</v>
      </c>
      <c r="C10" t="s">
        <v>144</v>
      </c>
      <c r="D10" t="str">
        <f t="shared" si="0"/>
        <v>여</v>
      </c>
      <c r="E10" s="2">
        <f t="shared" si="1"/>
        <v>37518</v>
      </c>
      <c r="F10" s="5">
        <f t="shared" si="2"/>
        <v>9</v>
      </c>
      <c r="G10">
        <v>2030000</v>
      </c>
      <c r="H10" s="2">
        <v>37334</v>
      </c>
      <c r="I10">
        <f t="shared" si="3"/>
        <v>8</v>
      </c>
      <c r="J10" t="str">
        <f t="shared" si="4"/>
        <v xml:space="preserve"> </v>
      </c>
    </row>
    <row r="11" spans="1:10" x14ac:dyDescent="0.3">
      <c r="A11" t="s">
        <v>131</v>
      </c>
      <c r="B11" t="s">
        <v>139</v>
      </c>
      <c r="C11" t="s">
        <v>145</v>
      </c>
      <c r="D11" t="str">
        <f t="shared" si="0"/>
        <v>여</v>
      </c>
      <c r="E11" s="2">
        <f t="shared" si="1"/>
        <v>36571</v>
      </c>
      <c r="F11" s="5">
        <f t="shared" si="2"/>
        <v>11</v>
      </c>
      <c r="G11">
        <v>2390000</v>
      </c>
      <c r="H11" s="2">
        <v>36617</v>
      </c>
      <c r="I11">
        <f t="shared" si="3"/>
        <v>10</v>
      </c>
      <c r="J11" t="str">
        <f t="shared" si="4"/>
        <v xml:space="preserve"> </v>
      </c>
    </row>
    <row r="12" spans="1:10" x14ac:dyDescent="0.3">
      <c r="A12" t="s">
        <v>132</v>
      </c>
      <c r="B12" t="s">
        <v>136</v>
      </c>
      <c r="C12" t="s">
        <v>146</v>
      </c>
      <c r="D12" t="str">
        <f t="shared" si="0"/>
        <v>여</v>
      </c>
      <c r="E12" s="2">
        <f t="shared" si="1"/>
        <v>23309</v>
      </c>
      <c r="F12" s="5">
        <f t="shared" si="2"/>
        <v>48</v>
      </c>
      <c r="G12">
        <v>1750000</v>
      </c>
      <c r="H12" s="2">
        <v>38483</v>
      </c>
      <c r="I12">
        <f t="shared" si="3"/>
        <v>5</v>
      </c>
      <c r="J12" t="str">
        <f t="shared" si="4"/>
        <v xml:space="preserve"> </v>
      </c>
    </row>
    <row r="13" spans="1:10" x14ac:dyDescent="0.3">
      <c r="A13" t="s">
        <v>133</v>
      </c>
      <c r="B13" t="s">
        <v>138</v>
      </c>
      <c r="C13" t="s">
        <v>147</v>
      </c>
      <c r="D13" t="str">
        <f t="shared" si="0"/>
        <v>남</v>
      </c>
      <c r="E13" s="2">
        <f t="shared" si="1"/>
        <v>23816</v>
      </c>
      <c r="F13" s="5">
        <f t="shared" si="2"/>
        <v>46</v>
      </c>
      <c r="G13">
        <v>2150000</v>
      </c>
      <c r="H13" s="2">
        <v>38048</v>
      </c>
      <c r="I13">
        <f t="shared" si="3"/>
        <v>7</v>
      </c>
      <c r="J13" t="str">
        <f t="shared" si="4"/>
        <v>★</v>
      </c>
    </row>
    <row r="14" spans="1:10" x14ac:dyDescent="0.3">
      <c r="A14" t="s">
        <v>134</v>
      </c>
      <c r="B14" t="s">
        <v>139</v>
      </c>
      <c r="C14" t="s">
        <v>148</v>
      </c>
      <c r="D14" t="str">
        <f t="shared" si="0"/>
        <v>여</v>
      </c>
      <c r="E14" s="2">
        <f t="shared" si="1"/>
        <v>24678</v>
      </c>
      <c r="F14" s="5">
        <f t="shared" si="2"/>
        <v>44</v>
      </c>
      <c r="G14">
        <v>1960000</v>
      </c>
      <c r="H14" s="2">
        <v>35491</v>
      </c>
      <c r="I14">
        <f t="shared" si="3"/>
        <v>14</v>
      </c>
      <c r="J14" t="str">
        <f t="shared" si="4"/>
        <v xml:space="preserve">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E6" sqref="E6"/>
    </sheetView>
  </sheetViews>
  <sheetFormatPr defaultRowHeight="16.5" x14ac:dyDescent="0.3"/>
  <sheetData>
    <row r="3" spans="1:4" x14ac:dyDescent="0.3">
      <c r="A3" t="s">
        <v>0</v>
      </c>
      <c r="B3" t="s">
        <v>6</v>
      </c>
      <c r="C3" t="s">
        <v>7</v>
      </c>
      <c r="D3" t="s">
        <v>8</v>
      </c>
    </row>
    <row r="4" spans="1:4" x14ac:dyDescent="0.3">
      <c r="A4" t="s">
        <v>1</v>
      </c>
      <c r="B4" t="s">
        <v>9</v>
      </c>
      <c r="C4">
        <f>VLOOKUP(B4,$B$11:$D$15,2,FALSE)</f>
        <v>1500000</v>
      </c>
      <c r="D4">
        <f>VLOOKUP(B4,$B$11:$D$15,3,FALSE)</f>
        <v>400000</v>
      </c>
    </row>
    <row r="5" spans="1:4" x14ac:dyDescent="0.3">
      <c r="A5" t="s">
        <v>2</v>
      </c>
      <c r="B5" t="s">
        <v>10</v>
      </c>
      <c r="C5">
        <f t="shared" ref="C5:C8" si="0">VLOOKUP(B5,$B$11:$D$15,2,FALSE)</f>
        <v>1850000</v>
      </c>
      <c r="D5">
        <f t="shared" ref="D5:D8" si="1">VLOOKUP(B5,$B$11:$D$15,3,FALSE)</f>
        <v>500000</v>
      </c>
    </row>
    <row r="6" spans="1:4" x14ac:dyDescent="0.3">
      <c r="A6" t="s">
        <v>3</v>
      </c>
      <c r="B6" t="s">
        <v>9</v>
      </c>
      <c r="C6">
        <f t="shared" si="0"/>
        <v>1500000</v>
      </c>
      <c r="D6">
        <f t="shared" si="1"/>
        <v>400000</v>
      </c>
    </row>
    <row r="7" spans="1:4" x14ac:dyDescent="0.3">
      <c r="A7" t="s">
        <v>4</v>
      </c>
      <c r="B7" t="s">
        <v>12</v>
      </c>
      <c r="C7">
        <f t="shared" si="0"/>
        <v>2530000</v>
      </c>
      <c r="D7">
        <f t="shared" si="1"/>
        <v>1000000</v>
      </c>
    </row>
    <row r="8" spans="1:4" x14ac:dyDescent="0.3">
      <c r="A8" t="s">
        <v>5</v>
      </c>
      <c r="B8" t="s">
        <v>11</v>
      </c>
      <c r="C8">
        <f t="shared" si="0"/>
        <v>1200000</v>
      </c>
      <c r="D8">
        <f t="shared" si="1"/>
        <v>250000</v>
      </c>
    </row>
    <row r="10" spans="1:4" x14ac:dyDescent="0.3">
      <c r="B10" t="s">
        <v>13</v>
      </c>
      <c r="C10" t="s">
        <v>7</v>
      </c>
      <c r="D10" t="s">
        <v>8</v>
      </c>
    </row>
    <row r="11" spans="1:4" x14ac:dyDescent="0.3">
      <c r="B11" t="s">
        <v>11</v>
      </c>
      <c r="C11">
        <v>1200000</v>
      </c>
      <c r="D11">
        <v>250000</v>
      </c>
    </row>
    <row r="12" spans="1:4" x14ac:dyDescent="0.3">
      <c r="B12" t="s">
        <v>14</v>
      </c>
      <c r="C12">
        <v>1350000</v>
      </c>
      <c r="D12">
        <v>350000</v>
      </c>
    </row>
    <row r="13" spans="1:4" x14ac:dyDescent="0.3">
      <c r="B13" t="s">
        <v>9</v>
      </c>
      <c r="C13">
        <v>1500000</v>
      </c>
      <c r="D13">
        <v>400000</v>
      </c>
    </row>
    <row r="14" spans="1:4" x14ac:dyDescent="0.3">
      <c r="B14" t="s">
        <v>10</v>
      </c>
      <c r="C14">
        <v>1850000</v>
      </c>
      <c r="D14">
        <v>500000</v>
      </c>
    </row>
    <row r="15" spans="1:4" x14ac:dyDescent="0.3">
      <c r="B15" t="s">
        <v>12</v>
      </c>
      <c r="C15">
        <v>2530000</v>
      </c>
      <c r="D15">
        <v>1000000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F7" sqref="F7"/>
    </sheetView>
  </sheetViews>
  <sheetFormatPr defaultRowHeight="16.5" x14ac:dyDescent="0.3"/>
  <sheetData>
    <row r="3" spans="2:6" x14ac:dyDescent="0.3">
      <c r="B3" t="s">
        <v>15</v>
      </c>
      <c r="C3" t="s">
        <v>9</v>
      </c>
      <c r="D3">
        <f>HLOOKUP(C3,$B$10:$F$12,2,FALSE)</f>
        <v>1500000</v>
      </c>
      <c r="E3">
        <f>HLOOKUP(C3,$B$10:$F$12,3,FALSE)</f>
        <v>400000</v>
      </c>
    </row>
    <row r="4" spans="2:6" x14ac:dyDescent="0.3">
      <c r="B4" t="s">
        <v>2</v>
      </c>
      <c r="C4" t="s">
        <v>10</v>
      </c>
      <c r="D4">
        <f t="shared" ref="D4:D7" si="0">HLOOKUP(C4,$B$10:$F$12,2,FALSE)</f>
        <v>1850000</v>
      </c>
      <c r="E4">
        <f t="shared" ref="E4:E7" si="1">HLOOKUP(C4,$B$10:$F$12,3,FALSE)</f>
        <v>500000</v>
      </c>
    </row>
    <row r="5" spans="2:6" x14ac:dyDescent="0.3">
      <c r="B5" t="s">
        <v>16</v>
      </c>
      <c r="C5" t="s">
        <v>9</v>
      </c>
      <c r="D5">
        <f t="shared" si="0"/>
        <v>1500000</v>
      </c>
      <c r="E5">
        <f t="shared" si="1"/>
        <v>400000</v>
      </c>
    </row>
    <row r="6" spans="2:6" x14ac:dyDescent="0.3">
      <c r="B6" t="s">
        <v>4</v>
      </c>
      <c r="C6" t="s">
        <v>12</v>
      </c>
      <c r="D6">
        <f t="shared" si="0"/>
        <v>2300000</v>
      </c>
      <c r="E6">
        <f t="shared" si="1"/>
        <v>1000000</v>
      </c>
    </row>
    <row r="7" spans="2:6" x14ac:dyDescent="0.3">
      <c r="B7" t="s">
        <v>5</v>
      </c>
      <c r="C7" t="s">
        <v>11</v>
      </c>
      <c r="D7">
        <f t="shared" si="0"/>
        <v>1200000</v>
      </c>
      <c r="E7">
        <f t="shared" si="1"/>
        <v>250000</v>
      </c>
    </row>
    <row r="10" spans="2:6" x14ac:dyDescent="0.3">
      <c r="B10" t="s">
        <v>11</v>
      </c>
      <c r="C10" t="s">
        <v>14</v>
      </c>
      <c r="D10" t="s">
        <v>9</v>
      </c>
      <c r="E10" t="s">
        <v>10</v>
      </c>
      <c r="F10" t="s">
        <v>12</v>
      </c>
    </row>
    <row r="11" spans="2:6" x14ac:dyDescent="0.3">
      <c r="B11">
        <v>1200000</v>
      </c>
      <c r="C11">
        <v>1350000</v>
      </c>
      <c r="D11">
        <v>1500000</v>
      </c>
      <c r="E11">
        <v>1850000</v>
      </c>
      <c r="F11">
        <v>2300000</v>
      </c>
    </row>
    <row r="12" spans="2:6" x14ac:dyDescent="0.3">
      <c r="B12">
        <v>250000</v>
      </c>
      <c r="C12">
        <v>350000</v>
      </c>
      <c r="D12">
        <v>400000</v>
      </c>
      <c r="E12">
        <v>500000</v>
      </c>
      <c r="F12">
        <v>1000000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7"/>
  <sheetViews>
    <sheetView workbookViewId="0">
      <selection activeCell="G7" sqref="G7"/>
    </sheetView>
  </sheetViews>
  <sheetFormatPr defaultRowHeight="16.5" x14ac:dyDescent="0.3"/>
  <sheetData>
    <row r="4" spans="2:5" x14ac:dyDescent="0.3">
      <c r="B4" t="s">
        <v>1</v>
      </c>
      <c r="C4">
        <v>2</v>
      </c>
      <c r="D4">
        <f>IFERROR(VLOOKUP(C4,$B$13:$D$17,2,1), 0)</f>
        <v>0</v>
      </c>
      <c r="E4">
        <f>IFERROR(VLOOKUP(C4,$B$13:$D$17,3,1), 0)</f>
        <v>0</v>
      </c>
    </row>
    <row r="5" spans="2:5" x14ac:dyDescent="0.3">
      <c r="B5" t="s">
        <v>2</v>
      </c>
      <c r="C5">
        <v>5</v>
      </c>
      <c r="D5">
        <f t="shared" ref="D5:D9" si="0">IFERROR(VLOOKUP(C5,$B$13:$D$17,2,1), 0)</f>
        <v>250000</v>
      </c>
      <c r="E5">
        <f t="shared" ref="E5:E9" si="1">IFERROR(VLOOKUP(C5,$B$13:$D$17,3,1), 0)</f>
        <v>3500</v>
      </c>
    </row>
    <row r="6" spans="2:5" x14ac:dyDescent="0.3">
      <c r="B6" t="s">
        <v>17</v>
      </c>
      <c r="C6">
        <v>16</v>
      </c>
      <c r="D6">
        <f t="shared" si="0"/>
        <v>400000</v>
      </c>
      <c r="E6">
        <f t="shared" si="1"/>
        <v>5500</v>
      </c>
    </row>
    <row r="7" spans="2:5" x14ac:dyDescent="0.3">
      <c r="B7" t="s">
        <v>4</v>
      </c>
      <c r="C7">
        <v>22</v>
      </c>
      <c r="D7">
        <f t="shared" si="0"/>
        <v>500000</v>
      </c>
      <c r="E7">
        <f t="shared" si="1"/>
        <v>6000</v>
      </c>
    </row>
    <row r="8" spans="2:5" x14ac:dyDescent="0.3">
      <c r="B8" t="s">
        <v>5</v>
      </c>
      <c r="C8">
        <v>26</v>
      </c>
      <c r="D8">
        <f t="shared" si="0"/>
        <v>1000000</v>
      </c>
      <c r="E8">
        <f t="shared" si="1"/>
        <v>7000</v>
      </c>
    </row>
    <row r="9" spans="2:5" x14ac:dyDescent="0.3">
      <c r="B9" t="s">
        <v>18</v>
      </c>
      <c r="C9">
        <v>8</v>
      </c>
      <c r="D9">
        <f t="shared" si="0"/>
        <v>250000</v>
      </c>
      <c r="E9">
        <f t="shared" si="1"/>
        <v>3500</v>
      </c>
    </row>
    <row r="12" spans="2:5" x14ac:dyDescent="0.3">
      <c r="B12" t="s">
        <v>19</v>
      </c>
      <c r="C12" t="s">
        <v>8</v>
      </c>
      <c r="D12" t="s">
        <v>20</v>
      </c>
    </row>
    <row r="13" spans="2:5" x14ac:dyDescent="0.3">
      <c r="B13">
        <v>5</v>
      </c>
      <c r="C13">
        <v>250000</v>
      </c>
      <c r="D13">
        <v>3500</v>
      </c>
    </row>
    <row r="14" spans="2:5" x14ac:dyDescent="0.3">
      <c r="B14">
        <v>10</v>
      </c>
      <c r="C14">
        <v>350000</v>
      </c>
      <c r="D14">
        <v>4500</v>
      </c>
    </row>
    <row r="15" spans="2:5" x14ac:dyDescent="0.3">
      <c r="B15">
        <v>15</v>
      </c>
      <c r="C15">
        <v>400000</v>
      </c>
      <c r="D15">
        <v>5500</v>
      </c>
    </row>
    <row r="16" spans="2:5" x14ac:dyDescent="0.3">
      <c r="B16">
        <v>20</v>
      </c>
      <c r="C16">
        <v>500000</v>
      </c>
      <c r="D16">
        <v>6000</v>
      </c>
    </row>
    <row r="17" spans="2:4" x14ac:dyDescent="0.3">
      <c r="B17">
        <v>25</v>
      </c>
      <c r="C17">
        <v>1000000</v>
      </c>
      <c r="D17">
        <v>7000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workbookViewId="0">
      <selection activeCell="G12" sqref="G12"/>
    </sheetView>
  </sheetViews>
  <sheetFormatPr defaultRowHeight="16.5" x14ac:dyDescent="0.3"/>
  <sheetData>
    <row r="3" spans="1:13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24</v>
      </c>
    </row>
    <row r="4" spans="1:13" x14ac:dyDescent="0.3">
      <c r="A4" t="s">
        <v>1</v>
      </c>
      <c r="B4" t="s">
        <v>26</v>
      </c>
      <c r="C4" t="s">
        <v>27</v>
      </c>
      <c r="D4">
        <f>INDEX($I$5:$M$10,MATCH(C4,$H$5:$H$10,0),MATCH(B4,$I$4:$M$4,0))</f>
        <v>50000</v>
      </c>
      <c r="E4">
        <v>2</v>
      </c>
      <c r="F4">
        <f>INDEX($I$5:$M$10,MATCH(C4,$H$5:$H$10,0),MATCH(B4,$I$4:$M$4,0))*E4</f>
        <v>100000</v>
      </c>
      <c r="I4" t="s">
        <v>29</v>
      </c>
      <c r="J4" t="s">
        <v>28</v>
      </c>
      <c r="K4" t="s">
        <v>26</v>
      </c>
      <c r="L4" t="s">
        <v>30</v>
      </c>
      <c r="M4" t="s">
        <v>36</v>
      </c>
    </row>
    <row r="5" spans="1:13" x14ac:dyDescent="0.3">
      <c r="A5" t="s">
        <v>2</v>
      </c>
      <c r="B5" t="s">
        <v>28</v>
      </c>
      <c r="C5" t="s">
        <v>34</v>
      </c>
      <c r="D5">
        <f t="shared" ref="D5:D9" si="0">INDEX($I$5:$M$10,MATCH(C5,$H$5:$H$10,0),MATCH(B5,$I$4:$M$4,0))</f>
        <v>33000</v>
      </c>
      <c r="E5">
        <v>3</v>
      </c>
      <c r="F5">
        <f t="shared" ref="F5:F9" si="1">INDEX($I$5:$M$10,MATCH(C5,$H$5:$H$10,0),MATCH(B5,$I$4:$M$4,0))*E5</f>
        <v>99000</v>
      </c>
      <c r="H5" t="s">
        <v>31</v>
      </c>
      <c r="I5">
        <v>10000</v>
      </c>
      <c r="J5">
        <v>13000</v>
      </c>
      <c r="K5">
        <v>16000</v>
      </c>
      <c r="L5">
        <v>19000</v>
      </c>
      <c r="M5">
        <v>22000</v>
      </c>
    </row>
    <row r="6" spans="1:13" x14ac:dyDescent="0.3">
      <c r="A6" t="s">
        <v>3</v>
      </c>
      <c r="B6" t="s">
        <v>29</v>
      </c>
      <c r="C6" t="s">
        <v>33</v>
      </c>
      <c r="D6">
        <f t="shared" si="0"/>
        <v>25000</v>
      </c>
      <c r="E6">
        <v>4</v>
      </c>
      <c r="F6">
        <f t="shared" si="1"/>
        <v>100000</v>
      </c>
      <c r="H6" t="s">
        <v>32</v>
      </c>
      <c r="I6">
        <v>22000</v>
      </c>
      <c r="J6">
        <v>25000</v>
      </c>
      <c r="K6">
        <v>28000</v>
      </c>
      <c r="L6">
        <v>31000</v>
      </c>
      <c r="M6">
        <v>34000</v>
      </c>
    </row>
    <row r="7" spans="1:13" x14ac:dyDescent="0.3">
      <c r="A7" t="s">
        <v>4</v>
      </c>
      <c r="B7" t="s">
        <v>26</v>
      </c>
      <c r="C7" t="s">
        <v>32</v>
      </c>
      <c r="D7">
        <f t="shared" si="0"/>
        <v>28000</v>
      </c>
      <c r="E7">
        <v>5</v>
      </c>
      <c r="F7">
        <f t="shared" si="1"/>
        <v>140000</v>
      </c>
      <c r="H7" t="s">
        <v>33</v>
      </c>
      <c r="I7">
        <v>25000</v>
      </c>
      <c r="J7">
        <v>30000</v>
      </c>
      <c r="K7">
        <v>15000</v>
      </c>
      <c r="L7">
        <v>40000</v>
      </c>
      <c r="M7">
        <v>45000</v>
      </c>
    </row>
    <row r="8" spans="1:13" x14ac:dyDescent="0.3">
      <c r="A8" t="s">
        <v>5</v>
      </c>
      <c r="B8" t="s">
        <v>36</v>
      </c>
      <c r="C8" t="s">
        <v>35</v>
      </c>
      <c r="D8">
        <f t="shared" si="0"/>
        <v>47000</v>
      </c>
      <c r="E8">
        <v>3</v>
      </c>
      <c r="F8">
        <f t="shared" si="1"/>
        <v>141000</v>
      </c>
      <c r="H8" t="s">
        <v>34</v>
      </c>
      <c r="I8">
        <v>30000</v>
      </c>
      <c r="J8">
        <v>33000</v>
      </c>
      <c r="K8">
        <v>36000</v>
      </c>
      <c r="L8">
        <v>39000</v>
      </c>
      <c r="M8">
        <v>42000</v>
      </c>
    </row>
    <row r="9" spans="1:13" x14ac:dyDescent="0.3">
      <c r="A9" t="s">
        <v>18</v>
      </c>
      <c r="B9" t="s">
        <v>30</v>
      </c>
      <c r="C9" t="s">
        <v>32</v>
      </c>
      <c r="D9">
        <f t="shared" si="0"/>
        <v>31000</v>
      </c>
      <c r="E9">
        <v>4</v>
      </c>
      <c r="F9">
        <f t="shared" si="1"/>
        <v>124000</v>
      </c>
      <c r="H9" t="s">
        <v>35</v>
      </c>
      <c r="I9">
        <v>35000</v>
      </c>
      <c r="J9">
        <v>38000</v>
      </c>
      <c r="K9">
        <v>41000</v>
      </c>
      <c r="L9">
        <v>44000</v>
      </c>
      <c r="M9">
        <v>47000</v>
      </c>
    </row>
    <row r="10" spans="1:13" x14ac:dyDescent="0.3">
      <c r="H10" t="s">
        <v>27</v>
      </c>
      <c r="I10">
        <v>40000</v>
      </c>
      <c r="J10">
        <v>45000</v>
      </c>
      <c r="K10">
        <v>50000</v>
      </c>
      <c r="L10">
        <v>55000</v>
      </c>
      <c r="M10">
        <v>60000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I3" sqref="I3:J3"/>
    </sheetView>
  </sheetViews>
  <sheetFormatPr defaultRowHeight="16.5" x14ac:dyDescent="0.3"/>
  <sheetData>
    <row r="2" spans="1:8" x14ac:dyDescent="0.3">
      <c r="A2" t="s">
        <v>37</v>
      </c>
      <c r="B2" t="s">
        <v>38</v>
      </c>
      <c r="C2" t="str">
        <f>IF(LEFT(B2,1)="C","컴공과",IF(LEFT(B2,1)="E","영어과","국어과"))</f>
        <v>컴공과</v>
      </c>
      <c r="D2" t="str">
        <f>"20"&amp;MID(B2,2,2)&amp;"년도"</f>
        <v>2008년도</v>
      </c>
      <c r="E2">
        <v>20</v>
      </c>
      <c r="F2">
        <v>40</v>
      </c>
      <c r="G2">
        <v>40</v>
      </c>
      <c r="H2">
        <f>SUM(E2:G2)</f>
        <v>100</v>
      </c>
    </row>
    <row r="3" spans="1:8" x14ac:dyDescent="0.3">
      <c r="A3" t="s">
        <v>43</v>
      </c>
      <c r="B3" t="s">
        <v>39</v>
      </c>
      <c r="C3" t="str">
        <f t="shared" ref="C3:C6" si="0">IF(LEFT(B3,1)="C","컴공과",IF(LEFT(B3,1)="E","영어과","국어과"))</f>
        <v>영어과</v>
      </c>
      <c r="D3" t="str">
        <f t="shared" ref="D3:D6" si="1">"20"&amp;MID(B3,2,2)&amp;"년도"</f>
        <v>2006년도</v>
      </c>
      <c r="E3">
        <v>15</v>
      </c>
      <c r="F3">
        <v>30</v>
      </c>
      <c r="G3">
        <v>20</v>
      </c>
      <c r="H3">
        <f t="shared" ref="H3:H6" si="2">SUM(E3:G3)</f>
        <v>65</v>
      </c>
    </row>
    <row r="4" spans="1:8" x14ac:dyDescent="0.3">
      <c r="A4" t="s">
        <v>44</v>
      </c>
      <c r="B4" t="s">
        <v>40</v>
      </c>
      <c r="C4" t="str">
        <f t="shared" si="0"/>
        <v>컴공과</v>
      </c>
      <c r="D4" t="str">
        <f t="shared" si="1"/>
        <v>2010년도</v>
      </c>
      <c r="E4">
        <v>18</v>
      </c>
      <c r="F4">
        <v>25</v>
      </c>
      <c r="G4">
        <v>30</v>
      </c>
      <c r="H4">
        <f t="shared" si="2"/>
        <v>73</v>
      </c>
    </row>
    <row r="5" spans="1:8" x14ac:dyDescent="0.3">
      <c r="A5" t="s">
        <v>45</v>
      </c>
      <c r="B5" t="s">
        <v>41</v>
      </c>
      <c r="C5" t="str">
        <f t="shared" si="0"/>
        <v>영어과</v>
      </c>
      <c r="D5" t="str">
        <f t="shared" si="1"/>
        <v>2004년도</v>
      </c>
      <c r="E5">
        <v>14</v>
      </c>
      <c r="F5">
        <v>35</v>
      </c>
      <c r="G5">
        <v>34</v>
      </c>
      <c r="H5">
        <f t="shared" si="2"/>
        <v>83</v>
      </c>
    </row>
    <row r="6" spans="1:8" x14ac:dyDescent="0.3">
      <c r="A6" t="s">
        <v>46</v>
      </c>
      <c r="B6" t="s">
        <v>42</v>
      </c>
      <c r="C6" t="str">
        <f t="shared" si="0"/>
        <v>국어과</v>
      </c>
      <c r="D6" t="str">
        <f t="shared" si="1"/>
        <v>2005년도</v>
      </c>
      <c r="E6">
        <v>19</v>
      </c>
      <c r="F6">
        <v>40</v>
      </c>
      <c r="G6">
        <v>38</v>
      </c>
      <c r="H6">
        <f t="shared" si="2"/>
        <v>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G10" sqref="G10"/>
    </sheetView>
  </sheetViews>
  <sheetFormatPr defaultRowHeight="16.5" x14ac:dyDescent="0.3"/>
  <cols>
    <col min="1" max="1" width="13.375" bestFit="1" customWidth="1"/>
    <col min="2" max="2" width="11.625" bestFit="1" customWidth="1"/>
    <col min="4" max="4" width="13.375" bestFit="1" customWidth="1"/>
    <col min="5" max="6" width="12.75" bestFit="1" customWidth="1"/>
  </cols>
  <sheetData>
    <row r="2" spans="1:6" x14ac:dyDescent="0.3">
      <c r="A2" t="s">
        <v>57</v>
      </c>
      <c r="B2" t="s">
        <v>58</v>
      </c>
      <c r="D2" t="s">
        <v>59</v>
      </c>
      <c r="E2" t="s">
        <v>60</v>
      </c>
      <c r="F2" t="s">
        <v>61</v>
      </c>
    </row>
    <row r="3" spans="1:6" x14ac:dyDescent="0.3">
      <c r="A3" t="s">
        <v>47</v>
      </c>
      <c r="B3" t="s">
        <v>52</v>
      </c>
      <c r="D3" t="str">
        <f>REPLACE(A3,1,3,"010")</f>
        <v>010-123-4567</v>
      </c>
      <c r="E3" t="str">
        <f>SUBSTITUTE(B3,0,3,1)</f>
        <v>AAA-310</v>
      </c>
      <c r="F3" t="str">
        <f>SUBSTITUTE(B3,0,3)</f>
        <v>AAA-313</v>
      </c>
    </row>
    <row r="4" spans="1:6" x14ac:dyDescent="0.3">
      <c r="A4" t="s">
        <v>48</v>
      </c>
      <c r="B4" t="s">
        <v>53</v>
      </c>
      <c r="D4" t="str">
        <f t="shared" ref="D4:D7" si="0">REPLACE(A4,1,3,"010")</f>
        <v>010-455-7890</v>
      </c>
      <c r="E4" t="str">
        <f t="shared" ref="E4:E7" si="1">SUBSTITUTE(B4,0,3,1)</f>
        <v>AAA-390</v>
      </c>
      <c r="F4" t="str">
        <f t="shared" ref="F4:F7" si="2">SUBSTITUTE(B4,0,3)</f>
        <v>AAA-393</v>
      </c>
    </row>
    <row r="5" spans="1:6" x14ac:dyDescent="0.3">
      <c r="A5" t="s">
        <v>49</v>
      </c>
      <c r="B5" t="s">
        <v>54</v>
      </c>
      <c r="D5" t="str">
        <f t="shared" si="0"/>
        <v>010-789-0234</v>
      </c>
      <c r="E5" t="str">
        <f t="shared" si="1"/>
        <v>AAE-301</v>
      </c>
      <c r="F5" t="str">
        <f t="shared" si="2"/>
        <v>AAE-331</v>
      </c>
    </row>
    <row r="6" spans="1:6" x14ac:dyDescent="0.3">
      <c r="A6" t="s">
        <v>50</v>
      </c>
      <c r="B6" t="s">
        <v>55</v>
      </c>
      <c r="D6" t="str">
        <f t="shared" si="0"/>
        <v>010-456-1212</v>
      </c>
      <c r="E6" t="str">
        <f t="shared" si="1"/>
        <v>AEA-305</v>
      </c>
      <c r="F6" t="str">
        <f t="shared" si="2"/>
        <v>AEA-335</v>
      </c>
    </row>
    <row r="7" spans="1:6" x14ac:dyDescent="0.3">
      <c r="A7" t="s">
        <v>51</v>
      </c>
      <c r="B7" t="s">
        <v>56</v>
      </c>
      <c r="D7" t="str">
        <f t="shared" si="0"/>
        <v>010-122-9876</v>
      </c>
      <c r="E7" t="str">
        <f t="shared" si="1"/>
        <v>AAA-312</v>
      </c>
      <c r="F7" t="str">
        <f t="shared" si="2"/>
        <v>AAA-312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G12" sqref="G12"/>
    </sheetView>
  </sheetViews>
  <sheetFormatPr defaultRowHeight="16.5" x14ac:dyDescent="0.3"/>
  <cols>
    <col min="8" max="8" width="21.375" bestFit="1" customWidth="1"/>
  </cols>
  <sheetData>
    <row r="2" spans="1:8" x14ac:dyDescent="0.3">
      <c r="A2" t="s">
        <v>37</v>
      </c>
      <c r="B2" t="s">
        <v>38</v>
      </c>
      <c r="C2">
        <v>20</v>
      </c>
      <c r="D2">
        <v>40</v>
      </c>
      <c r="E2">
        <v>40</v>
      </c>
      <c r="F2">
        <f>SUM(C2:E2)</f>
        <v>100</v>
      </c>
      <c r="G2" t="str">
        <f>IF(F2&gt;=90,"우수","미흡")</f>
        <v>우수</v>
      </c>
      <c r="H2" t="str">
        <f>REPT("★",INT(F2/10))</f>
        <v>★★★★★★★★★★</v>
      </c>
    </row>
    <row r="3" spans="1:8" x14ac:dyDescent="0.3">
      <c r="A3" t="s">
        <v>43</v>
      </c>
      <c r="B3" t="s">
        <v>39</v>
      </c>
      <c r="C3">
        <v>15</v>
      </c>
      <c r="D3">
        <v>10</v>
      </c>
      <c r="E3">
        <v>20</v>
      </c>
      <c r="F3">
        <f t="shared" ref="F3:F6" si="0">SUM(C3:E3)</f>
        <v>45</v>
      </c>
      <c r="G3" t="str">
        <f t="shared" ref="G3:G6" si="1">IF(F3&gt;=90,"우수","미흡")</f>
        <v>미흡</v>
      </c>
      <c r="H3" t="str">
        <f t="shared" ref="H3:H6" si="2">REPT("★",INT(F3/10))</f>
        <v>★★★★</v>
      </c>
    </row>
    <row r="4" spans="1:8" x14ac:dyDescent="0.3">
      <c r="A4" t="s">
        <v>44</v>
      </c>
      <c r="B4" t="s">
        <v>40</v>
      </c>
      <c r="C4">
        <v>18</v>
      </c>
      <c r="D4">
        <v>25</v>
      </c>
      <c r="E4">
        <v>30</v>
      </c>
      <c r="F4">
        <f t="shared" si="0"/>
        <v>73</v>
      </c>
      <c r="G4" t="str">
        <f t="shared" si="1"/>
        <v>미흡</v>
      </c>
      <c r="H4" t="str">
        <f t="shared" si="2"/>
        <v>★★★★★★★</v>
      </c>
    </row>
    <row r="5" spans="1:8" x14ac:dyDescent="0.3">
      <c r="A5" t="s">
        <v>45</v>
      </c>
      <c r="B5" t="s">
        <v>41</v>
      </c>
      <c r="C5">
        <v>14</v>
      </c>
      <c r="D5">
        <v>20</v>
      </c>
      <c r="E5">
        <v>34</v>
      </c>
      <c r="F5">
        <f t="shared" si="0"/>
        <v>68</v>
      </c>
      <c r="G5" t="str">
        <f t="shared" si="1"/>
        <v>미흡</v>
      </c>
      <c r="H5" t="str">
        <f t="shared" si="2"/>
        <v>★★★★★★</v>
      </c>
    </row>
    <row r="6" spans="1:8" x14ac:dyDescent="0.3">
      <c r="A6" t="s">
        <v>46</v>
      </c>
      <c r="B6" t="s">
        <v>42</v>
      </c>
      <c r="C6">
        <v>19</v>
      </c>
      <c r="D6">
        <v>40</v>
      </c>
      <c r="E6">
        <v>38</v>
      </c>
      <c r="F6">
        <f t="shared" si="0"/>
        <v>97</v>
      </c>
      <c r="G6" t="str">
        <f t="shared" si="1"/>
        <v>우수</v>
      </c>
      <c r="H6" t="str">
        <f t="shared" si="2"/>
        <v>★★★★★★★★★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H18" sqref="H18"/>
    </sheetView>
  </sheetViews>
  <sheetFormatPr defaultRowHeight="16.5" x14ac:dyDescent="0.3"/>
  <cols>
    <col min="6" max="6" width="13.5" bestFit="1" customWidth="1"/>
    <col min="8" max="8" width="15.125" bestFit="1" customWidth="1"/>
  </cols>
  <sheetData>
    <row r="2" spans="1:8" x14ac:dyDescent="0.3">
      <c r="A2" t="s">
        <v>62</v>
      </c>
      <c r="B2" t="s">
        <v>63</v>
      </c>
      <c r="C2" t="s">
        <v>64</v>
      </c>
      <c r="D2" t="s">
        <v>65</v>
      </c>
    </row>
    <row r="3" spans="1:8" x14ac:dyDescent="0.3">
      <c r="A3" t="s">
        <v>66</v>
      </c>
      <c r="B3">
        <v>3100000</v>
      </c>
      <c r="C3">
        <v>550000</v>
      </c>
      <c r="D3">
        <v>1700000</v>
      </c>
    </row>
    <row r="6" spans="1:8" x14ac:dyDescent="0.3">
      <c r="C6" t="s">
        <v>81</v>
      </c>
      <c r="D6" t="s">
        <v>64</v>
      </c>
      <c r="E6" t="s">
        <v>65</v>
      </c>
      <c r="F6" t="s">
        <v>82</v>
      </c>
      <c r="G6" t="s">
        <v>83</v>
      </c>
      <c r="H6" t="s">
        <v>84</v>
      </c>
    </row>
    <row r="7" spans="1:8" x14ac:dyDescent="0.3">
      <c r="A7" t="s">
        <v>67</v>
      </c>
      <c r="B7" t="s">
        <v>74</v>
      </c>
      <c r="C7">
        <v>10</v>
      </c>
      <c r="D7">
        <v>13</v>
      </c>
      <c r="E7">
        <v>8</v>
      </c>
      <c r="F7" s="1">
        <f>$B$3*C7+$C$3*D7+$D$3*E7</f>
        <v>51750000</v>
      </c>
      <c r="G7">
        <f>RANK(F7,$F$7:$F$13)</f>
        <v>7</v>
      </c>
      <c r="H7" t="str">
        <f>REPT("■", RANK(F7,$F$7:$F$13,2))</f>
        <v>■</v>
      </c>
    </row>
    <row r="8" spans="1:8" x14ac:dyDescent="0.3">
      <c r="A8" t="s">
        <v>68</v>
      </c>
      <c r="B8" t="s">
        <v>75</v>
      </c>
      <c r="C8">
        <v>15</v>
      </c>
      <c r="D8">
        <v>10</v>
      </c>
      <c r="E8">
        <v>28</v>
      </c>
      <c r="F8" s="1">
        <f t="shared" ref="F8:F13" si="0">$B$3*C8+$C$3*D8+$D$3*E8</f>
        <v>99600000</v>
      </c>
      <c r="G8">
        <f t="shared" ref="G8:G13" si="1">RANK(F8,$F$7:$F$13)</f>
        <v>1</v>
      </c>
      <c r="H8" t="str">
        <f t="shared" ref="H8:H13" si="2">REPT("■", RANK(F8,$F$7:$F$13,2))</f>
        <v>■■■■■■■</v>
      </c>
    </row>
    <row r="9" spans="1:8" x14ac:dyDescent="0.3">
      <c r="A9" t="s">
        <v>69</v>
      </c>
      <c r="B9" t="s">
        <v>76</v>
      </c>
      <c r="C9">
        <v>10</v>
      </c>
      <c r="D9">
        <v>3</v>
      </c>
      <c r="E9">
        <v>23</v>
      </c>
      <c r="F9" s="1">
        <f t="shared" si="0"/>
        <v>71750000</v>
      </c>
      <c r="G9">
        <f t="shared" si="1"/>
        <v>4</v>
      </c>
      <c r="H9" t="str">
        <f t="shared" si="2"/>
        <v>■■■■</v>
      </c>
    </row>
    <row r="10" spans="1:8" x14ac:dyDescent="0.3">
      <c r="A10" t="s">
        <v>70</v>
      </c>
      <c r="B10" t="s">
        <v>80</v>
      </c>
      <c r="C10">
        <v>12</v>
      </c>
      <c r="D10">
        <v>12</v>
      </c>
      <c r="E10">
        <v>25</v>
      </c>
      <c r="F10" s="1">
        <f t="shared" si="0"/>
        <v>86300000</v>
      </c>
      <c r="G10">
        <f t="shared" si="1"/>
        <v>3</v>
      </c>
      <c r="H10" t="str">
        <f t="shared" si="2"/>
        <v>■■■■■</v>
      </c>
    </row>
    <row r="11" spans="1:8" x14ac:dyDescent="0.3">
      <c r="A11" t="s">
        <v>71</v>
      </c>
      <c r="B11" t="s">
        <v>77</v>
      </c>
      <c r="C11">
        <v>11</v>
      </c>
      <c r="D11">
        <v>15</v>
      </c>
      <c r="E11">
        <v>30</v>
      </c>
      <c r="F11" s="1">
        <f t="shared" si="0"/>
        <v>93350000</v>
      </c>
      <c r="G11">
        <f t="shared" si="1"/>
        <v>2</v>
      </c>
      <c r="H11" t="str">
        <f t="shared" si="2"/>
        <v>■■■■■■</v>
      </c>
    </row>
    <row r="12" spans="1:8" x14ac:dyDescent="0.3">
      <c r="A12" t="s">
        <v>72</v>
      </c>
      <c r="B12" t="s">
        <v>78</v>
      </c>
      <c r="C12">
        <v>5</v>
      </c>
      <c r="D12">
        <v>21</v>
      </c>
      <c r="E12">
        <v>16</v>
      </c>
      <c r="F12" s="1">
        <f t="shared" si="0"/>
        <v>54250000</v>
      </c>
      <c r="G12">
        <f t="shared" si="1"/>
        <v>6</v>
      </c>
      <c r="H12" t="str">
        <f t="shared" si="2"/>
        <v>■■</v>
      </c>
    </row>
    <row r="13" spans="1:8" x14ac:dyDescent="0.3">
      <c r="A13" t="s">
        <v>73</v>
      </c>
      <c r="B13" t="s">
        <v>79</v>
      </c>
      <c r="C13">
        <v>10</v>
      </c>
      <c r="D13">
        <v>18</v>
      </c>
      <c r="E13">
        <v>18</v>
      </c>
      <c r="F13" s="1">
        <f t="shared" si="0"/>
        <v>71500000</v>
      </c>
      <c r="G13">
        <f t="shared" si="1"/>
        <v>5</v>
      </c>
      <c r="H13" t="str">
        <f t="shared" si="2"/>
        <v>■■■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2015-09-15T04:51:07Z</dcterms:created>
  <dcterms:modified xsi:type="dcterms:W3CDTF">2015-09-15T07:30:27Z</dcterms:modified>
</cp:coreProperties>
</file>