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8175" yWindow="1965" windowWidth="14805" windowHeight="10935" tabRatio="777" firstSheet="2" activeTab="18"/>
  </bookViews>
  <sheets>
    <sheet name="У" sheetId="1" r:id="rId1"/>
    <sheet name="16" sheetId="2" r:id="rId2"/>
    <sheet name="17" sheetId="3" r:id="rId3"/>
    <sheet name="18-19" sheetId="4" r:id="rId4"/>
    <sheet name="20" sheetId="5" r:id="rId5"/>
    <sheet name="21" sheetId="6" r:id="rId6"/>
    <sheet name="22" sheetId="10" r:id="rId7"/>
    <sheet name="23" sheetId="11" r:id="rId8"/>
    <sheet name="24" sheetId="12" r:id="rId9"/>
    <sheet name="25" sheetId="9" r:id="rId10"/>
    <sheet name="26,34" sheetId="7" r:id="rId11"/>
    <sheet name="27" sheetId="8" r:id="rId12"/>
    <sheet name="35" sheetId="15" r:id="rId13"/>
    <sheet name="36" sheetId="16" r:id="rId14"/>
    <sheet name="Стояк" sheetId="13" r:id="rId15"/>
    <sheet name="CCC" sheetId="14" r:id="rId16"/>
    <sheet name="Ц61г" sheetId="17" r:id="rId17"/>
    <sheet name="Ц92-3п" sheetId="18" r:id="rId18"/>
    <sheet name="Ц61г1" sheetId="19" r:id="rId19"/>
  </sheets>
  <calcPr calcId="162913"/>
</workbook>
</file>

<file path=xl/calcChain.xml><?xml version="1.0" encoding="utf-8"?>
<calcChain xmlns="http://schemas.openxmlformats.org/spreadsheetml/2006/main">
  <c r="C5" i="19" l="1"/>
  <c r="B5" i="19"/>
  <c r="C2" i="1"/>
  <c r="B2" i="1"/>
  <c r="G9" i="19"/>
  <c r="F6" i="19"/>
  <c r="F12" i="19"/>
  <c r="G12" i="19"/>
  <c r="H12" i="19"/>
  <c r="I12" i="19"/>
  <c r="F13" i="19"/>
  <c r="G13" i="19"/>
  <c r="H13" i="19"/>
  <c r="I13" i="19"/>
  <c r="I11" i="19"/>
  <c r="H11" i="19"/>
  <c r="G11" i="19"/>
  <c r="F11" i="19"/>
  <c r="I10" i="19"/>
  <c r="H10" i="19"/>
  <c r="G10" i="19"/>
  <c r="F10" i="19"/>
  <c r="I9" i="19"/>
  <c r="H9" i="19"/>
  <c r="F9" i="19"/>
  <c r="I8" i="19"/>
  <c r="H8" i="19"/>
  <c r="G8" i="19"/>
  <c r="F8" i="19"/>
  <c r="I7" i="19"/>
  <c r="H7" i="19"/>
  <c r="G7" i="19"/>
  <c r="F7" i="19"/>
  <c r="I6" i="19"/>
  <c r="H6" i="19"/>
  <c r="G6" i="19"/>
  <c r="K6" i="19" l="1"/>
  <c r="O10" i="19"/>
  <c r="O9" i="19"/>
  <c r="J6" i="19"/>
  <c r="L6" i="19" s="1"/>
  <c r="C6" i="19"/>
  <c r="O11" i="19"/>
  <c r="O7" i="19"/>
  <c r="O8" i="19"/>
  <c r="B6" i="19"/>
  <c r="Q5" i="19"/>
  <c r="O6" i="19"/>
  <c r="O8" i="18"/>
  <c r="O9" i="18"/>
  <c r="O12" i="18"/>
  <c r="O6" i="18"/>
  <c r="I12" i="18"/>
  <c r="F12" i="18"/>
  <c r="I11" i="18"/>
  <c r="F11" i="18"/>
  <c r="I10" i="18"/>
  <c r="F10" i="18"/>
  <c r="I9" i="18"/>
  <c r="F9" i="18"/>
  <c r="I8" i="18"/>
  <c r="F8" i="18"/>
  <c r="I7" i="18"/>
  <c r="F7" i="18"/>
  <c r="I6" i="18"/>
  <c r="F6" i="18"/>
  <c r="O7" i="18" s="1"/>
  <c r="B7" i="19" l="1"/>
  <c r="J7" i="19"/>
  <c r="Q6" i="19"/>
  <c r="C7" i="19"/>
  <c r="K7" i="19"/>
  <c r="O10" i="18"/>
  <c r="O11" i="18"/>
  <c r="L7" i="19" l="1"/>
  <c r="J8" i="19"/>
  <c r="Q7" i="19"/>
  <c r="B8" i="19"/>
  <c r="C8" i="19"/>
  <c r="K8" i="19"/>
  <c r="B30" i="17"/>
  <c r="I48" i="17"/>
  <c r="F48" i="17"/>
  <c r="I47" i="17"/>
  <c r="F47" i="17"/>
  <c r="I46" i="17"/>
  <c r="F46" i="17"/>
  <c r="I38" i="17"/>
  <c r="F38" i="17"/>
  <c r="I37" i="17"/>
  <c r="F37" i="17"/>
  <c r="I45" i="17"/>
  <c r="F45" i="17"/>
  <c r="I44" i="17"/>
  <c r="F44" i="17"/>
  <c r="I43" i="17"/>
  <c r="F43" i="17"/>
  <c r="I42" i="17"/>
  <c r="F42" i="17"/>
  <c r="I41" i="17"/>
  <c r="F41" i="17"/>
  <c r="I36" i="17"/>
  <c r="F36" i="17"/>
  <c r="I35" i="17"/>
  <c r="F35" i="17"/>
  <c r="I34" i="17"/>
  <c r="F34" i="17"/>
  <c r="I33" i="17"/>
  <c r="F33" i="17"/>
  <c r="I32" i="17"/>
  <c r="F32" i="17"/>
  <c r="I31" i="17"/>
  <c r="F31" i="17"/>
  <c r="B20" i="17"/>
  <c r="B5" i="17"/>
  <c r="I25" i="17"/>
  <c r="F25" i="17"/>
  <c r="I24" i="17"/>
  <c r="F24" i="17"/>
  <c r="I23" i="17"/>
  <c r="F23" i="17"/>
  <c r="I22" i="17"/>
  <c r="F22" i="17"/>
  <c r="I21" i="17"/>
  <c r="F21" i="17"/>
  <c r="I18" i="17"/>
  <c r="F18" i="17"/>
  <c r="I17" i="17"/>
  <c r="F17" i="17"/>
  <c r="I16" i="17"/>
  <c r="F16" i="17"/>
  <c r="I15" i="17"/>
  <c r="F15" i="17"/>
  <c r="I14" i="17"/>
  <c r="F14" i="17"/>
  <c r="I11" i="17"/>
  <c r="F11" i="17"/>
  <c r="I10" i="17"/>
  <c r="F10" i="17"/>
  <c r="I9" i="17"/>
  <c r="F9" i="17"/>
  <c r="I8" i="17"/>
  <c r="F8" i="17"/>
  <c r="I7" i="17"/>
  <c r="F7" i="17"/>
  <c r="I6" i="17"/>
  <c r="F6" i="17"/>
  <c r="O10" i="17" s="1"/>
  <c r="C41" i="1"/>
  <c r="C5" i="18" s="1"/>
  <c r="B41" i="1"/>
  <c r="B5" i="18" s="1"/>
  <c r="C43" i="1"/>
  <c r="B43" i="1"/>
  <c r="C42" i="1"/>
  <c r="B42" i="1"/>
  <c r="K9" i="19" l="1"/>
  <c r="C9" i="19"/>
  <c r="Q8" i="19"/>
  <c r="J9" i="19"/>
  <c r="B9" i="19"/>
  <c r="L8" i="19"/>
  <c r="C30" i="17"/>
  <c r="C5" i="17"/>
  <c r="Q5" i="17" s="1"/>
  <c r="C20" i="17"/>
  <c r="Q20" i="17" s="1"/>
  <c r="B40" i="17"/>
  <c r="K6" i="18"/>
  <c r="C13" i="17"/>
  <c r="J6" i="18"/>
  <c r="L6" i="18" s="1"/>
  <c r="B13" i="17"/>
  <c r="Q13" i="17" s="1"/>
  <c r="C40" i="17"/>
  <c r="K41" i="17" s="1"/>
  <c r="J31" i="17"/>
  <c r="L31" i="17" s="1"/>
  <c r="O32" i="17"/>
  <c r="O36" i="17"/>
  <c r="K31" i="17"/>
  <c r="O33" i="17"/>
  <c r="J41" i="17"/>
  <c r="L41" i="17" s="1"/>
  <c r="O37" i="17"/>
  <c r="O34" i="17"/>
  <c r="O31" i="17"/>
  <c r="O35" i="17"/>
  <c r="O38" i="17"/>
  <c r="K21" i="17"/>
  <c r="J14" i="17"/>
  <c r="O11" i="17"/>
  <c r="O6" i="17"/>
  <c r="O9" i="17"/>
  <c r="O7" i="17"/>
  <c r="O8" i="17"/>
  <c r="K14" i="17"/>
  <c r="K6" i="17"/>
  <c r="J6" i="17"/>
  <c r="J21" i="17"/>
  <c r="C33" i="11"/>
  <c r="C34" i="11" s="1"/>
  <c r="C35" i="11" s="1"/>
  <c r="C36" i="11" s="1"/>
  <c r="C37" i="11" s="1"/>
  <c r="C38" i="11" s="1"/>
  <c r="C39" i="11" s="1"/>
  <c r="C40" i="11" s="1"/>
  <c r="C41" i="11" s="1"/>
  <c r="B33" i="11"/>
  <c r="B34" i="11" s="1"/>
  <c r="B35" i="11" s="1"/>
  <c r="B36" i="11" s="1"/>
  <c r="B37" i="11" s="1"/>
  <c r="B38" i="11" s="1"/>
  <c r="B39" i="11" s="1"/>
  <c r="B40" i="11" s="1"/>
  <c r="B41" i="11" s="1"/>
  <c r="N39" i="11"/>
  <c r="N34" i="11"/>
  <c r="N35" i="11"/>
  <c r="N36" i="11"/>
  <c r="N37" i="11"/>
  <c r="N38" i="11"/>
  <c r="N33" i="11"/>
  <c r="B10" i="19" l="1"/>
  <c r="Q9" i="19"/>
  <c r="J10" i="19"/>
  <c r="L9" i="19"/>
  <c r="K10" i="19"/>
  <c r="C10" i="19"/>
  <c r="L21" i="17"/>
  <c r="L14" i="17"/>
  <c r="L6" i="17"/>
  <c r="B3" i="1"/>
  <c r="C3" i="1"/>
  <c r="B4" i="1"/>
  <c r="C4" i="1"/>
  <c r="B5" i="1"/>
  <c r="C5" i="1"/>
  <c r="B6" i="1"/>
  <c r="C6" i="1"/>
  <c r="B7" i="1"/>
  <c r="C7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8" i="1"/>
  <c r="C18" i="1"/>
  <c r="B19" i="1"/>
  <c r="C19" i="1"/>
  <c r="B20" i="1"/>
  <c r="C20" i="1"/>
  <c r="B21" i="1"/>
  <c r="C21" i="1"/>
  <c r="B22" i="1"/>
  <c r="C22" i="1"/>
  <c r="B24" i="1"/>
  <c r="C24" i="1"/>
  <c r="B25" i="1"/>
  <c r="G11" i="18" s="1"/>
  <c r="C25" i="1"/>
  <c r="B26" i="1"/>
  <c r="C26" i="1"/>
  <c r="B27" i="1"/>
  <c r="C27" i="1"/>
  <c r="B28" i="1"/>
  <c r="C28" i="1"/>
  <c r="B29" i="1"/>
  <c r="C29" i="1"/>
  <c r="B30" i="1"/>
  <c r="C30" i="1"/>
  <c r="B32" i="1"/>
  <c r="C32" i="1"/>
  <c r="B33" i="1"/>
  <c r="C33" i="1"/>
  <c r="B34" i="1"/>
  <c r="C34" i="1"/>
  <c r="B35" i="1"/>
  <c r="C35" i="1"/>
  <c r="B37" i="1"/>
  <c r="C37" i="1"/>
  <c r="B38" i="1"/>
  <c r="C38" i="1"/>
  <c r="B39" i="1"/>
  <c r="C39" i="1"/>
  <c r="G41" i="1"/>
  <c r="F41" i="1" s="1"/>
  <c r="I27" i="11"/>
  <c r="G27" i="11"/>
  <c r="F27" i="11"/>
  <c r="I26" i="11"/>
  <c r="F26" i="11"/>
  <c r="I25" i="11"/>
  <c r="G25" i="11"/>
  <c r="F25" i="11"/>
  <c r="I24" i="11"/>
  <c r="F24" i="11"/>
  <c r="I23" i="11"/>
  <c r="H23" i="11"/>
  <c r="F23" i="11"/>
  <c r="I22" i="11"/>
  <c r="G22" i="11"/>
  <c r="F22" i="11"/>
  <c r="I21" i="11"/>
  <c r="F21" i="11"/>
  <c r="I20" i="11"/>
  <c r="F20" i="11"/>
  <c r="I19" i="11"/>
  <c r="K19" i="11" s="1"/>
  <c r="F19" i="11"/>
  <c r="C11" i="19" l="1"/>
  <c r="K11" i="19"/>
  <c r="L10" i="19"/>
  <c r="B11" i="19"/>
  <c r="Q11" i="19" s="1"/>
  <c r="J11" i="19"/>
  <c r="L11" i="19" s="1"/>
  <c r="Q10" i="19"/>
  <c r="H12" i="18"/>
  <c r="H47" i="17"/>
  <c r="H38" i="17"/>
  <c r="H45" i="17"/>
  <c r="G21" i="11"/>
  <c r="G42" i="17"/>
  <c r="G41" i="17"/>
  <c r="B41" i="17" s="1"/>
  <c r="G24" i="11"/>
  <c r="G9" i="18"/>
  <c r="G8" i="18"/>
  <c r="G35" i="17"/>
  <c r="G34" i="17"/>
  <c r="G23" i="17"/>
  <c r="G22" i="17"/>
  <c r="G16" i="17"/>
  <c r="G10" i="17"/>
  <c r="G9" i="17"/>
  <c r="G26" i="11"/>
  <c r="G48" i="17"/>
  <c r="G46" i="17"/>
  <c r="G37" i="17"/>
  <c r="G25" i="17"/>
  <c r="G12" i="18"/>
  <c r="G47" i="17"/>
  <c r="G38" i="17"/>
  <c r="G45" i="17"/>
  <c r="H42" i="17"/>
  <c r="H41" i="17"/>
  <c r="C41" i="17" s="1"/>
  <c r="H25" i="17"/>
  <c r="H48" i="17"/>
  <c r="H46" i="17"/>
  <c r="H37" i="17"/>
  <c r="H21" i="11"/>
  <c r="H22" i="11"/>
  <c r="H7" i="18"/>
  <c r="H6" i="18"/>
  <c r="C6" i="18" s="1"/>
  <c r="H21" i="17"/>
  <c r="C21" i="17" s="1"/>
  <c r="H15" i="17"/>
  <c r="H14" i="17"/>
  <c r="C14" i="17" s="1"/>
  <c r="H8" i="17"/>
  <c r="H7" i="17"/>
  <c r="H6" i="17"/>
  <c r="C6" i="17" s="1"/>
  <c r="H33" i="17"/>
  <c r="H31" i="17"/>
  <c r="C31" i="17" s="1"/>
  <c r="H44" i="17"/>
  <c r="H43" i="17"/>
  <c r="H32" i="17"/>
  <c r="H25" i="11"/>
  <c r="H10" i="18"/>
  <c r="H24" i="17"/>
  <c r="H18" i="17"/>
  <c r="H17" i="17"/>
  <c r="H11" i="17"/>
  <c r="H36" i="17"/>
  <c r="H27" i="11"/>
  <c r="H11" i="18"/>
  <c r="H9" i="18"/>
  <c r="H8" i="18"/>
  <c r="H23" i="17"/>
  <c r="H22" i="17"/>
  <c r="H16" i="17"/>
  <c r="H10" i="17"/>
  <c r="H9" i="17"/>
  <c r="H35" i="17"/>
  <c r="H34" i="17"/>
  <c r="J19" i="11"/>
  <c r="H26" i="11"/>
  <c r="H19" i="11"/>
  <c r="C19" i="11" s="1"/>
  <c r="K20" i="11" s="1"/>
  <c r="H20" i="11"/>
  <c r="H24" i="11"/>
  <c r="G7" i="18"/>
  <c r="G6" i="18"/>
  <c r="B6" i="18" s="1"/>
  <c r="G44" i="17"/>
  <c r="G43" i="17"/>
  <c r="G33" i="17"/>
  <c r="G32" i="17"/>
  <c r="G31" i="17"/>
  <c r="B31" i="17" s="1"/>
  <c r="G21" i="17"/>
  <c r="B21" i="17" s="1"/>
  <c r="G15" i="17"/>
  <c r="G14" i="17"/>
  <c r="B14" i="17" s="1"/>
  <c r="G8" i="17"/>
  <c r="G7" i="17"/>
  <c r="G6" i="17"/>
  <c r="B6" i="17" s="1"/>
  <c r="G10" i="18"/>
  <c r="G36" i="17"/>
  <c r="G24" i="17"/>
  <c r="G18" i="17"/>
  <c r="G17" i="17"/>
  <c r="G11" i="17"/>
  <c r="G19" i="11"/>
  <c r="B19" i="11" s="1"/>
  <c r="G20" i="11"/>
  <c r="G23" i="11"/>
  <c r="I38" i="16"/>
  <c r="H38" i="16"/>
  <c r="G38" i="16"/>
  <c r="F38" i="16"/>
  <c r="I37" i="16"/>
  <c r="H37" i="16"/>
  <c r="G37" i="16"/>
  <c r="F37" i="16"/>
  <c r="I36" i="16"/>
  <c r="H36" i="16"/>
  <c r="G36" i="16"/>
  <c r="F36" i="16"/>
  <c r="I35" i="16"/>
  <c r="H35" i="16"/>
  <c r="G35" i="16"/>
  <c r="F35" i="16"/>
  <c r="I34" i="16"/>
  <c r="H34" i="16"/>
  <c r="G34" i="16"/>
  <c r="F34" i="16"/>
  <c r="K33" i="16"/>
  <c r="I33" i="16"/>
  <c r="J33" i="16" s="1"/>
  <c r="H33" i="16"/>
  <c r="C33" i="16" s="1"/>
  <c r="G33" i="16"/>
  <c r="B33" i="16" s="1"/>
  <c r="F33" i="16"/>
  <c r="I30" i="16"/>
  <c r="H30" i="16"/>
  <c r="G30" i="16"/>
  <c r="F30" i="16"/>
  <c r="I29" i="16"/>
  <c r="H29" i="16"/>
  <c r="G29" i="16"/>
  <c r="F29" i="16"/>
  <c r="I28" i="16"/>
  <c r="H28" i="16"/>
  <c r="G28" i="16"/>
  <c r="F28" i="16"/>
  <c r="I27" i="16"/>
  <c r="H27" i="16"/>
  <c r="G27" i="16"/>
  <c r="F27" i="16"/>
  <c r="I26" i="16"/>
  <c r="H26" i="16"/>
  <c r="G26" i="16"/>
  <c r="F26" i="16"/>
  <c r="I25" i="16"/>
  <c r="K25" i="16" s="1"/>
  <c r="H25" i="16"/>
  <c r="C25" i="16" s="1"/>
  <c r="G25" i="16"/>
  <c r="B25" i="16" s="1"/>
  <c r="F25" i="16"/>
  <c r="J12" i="19" l="1"/>
  <c r="B12" i="19"/>
  <c r="K12" i="19"/>
  <c r="C12" i="19"/>
  <c r="B7" i="18"/>
  <c r="J7" i="18"/>
  <c r="L7" i="18" s="1"/>
  <c r="Q6" i="18"/>
  <c r="C7" i="18"/>
  <c r="K7" i="18"/>
  <c r="C20" i="11"/>
  <c r="B7" i="17"/>
  <c r="Q6" i="17"/>
  <c r="J7" i="17"/>
  <c r="C15" i="17"/>
  <c r="K15" i="17"/>
  <c r="B22" i="17"/>
  <c r="J22" i="17"/>
  <c r="Q21" i="17"/>
  <c r="K7" i="17"/>
  <c r="C7" i="17"/>
  <c r="J15" i="17"/>
  <c r="Q14" i="17"/>
  <c r="B15" i="17"/>
  <c r="C32" i="17"/>
  <c r="K32" i="17"/>
  <c r="C42" i="17"/>
  <c r="K42" i="17"/>
  <c r="J42" i="17"/>
  <c r="L42" i="17" s="1"/>
  <c r="Q41" i="17"/>
  <c r="B42" i="17"/>
  <c r="J32" i="17"/>
  <c r="L32" i="17" s="1"/>
  <c r="B32" i="17"/>
  <c r="Q31" i="17"/>
  <c r="C22" i="17"/>
  <c r="K22" i="17"/>
  <c r="B20" i="11"/>
  <c r="J20" i="11"/>
  <c r="C34" i="16"/>
  <c r="C35" i="16" s="1"/>
  <c r="K21" i="11"/>
  <c r="C21" i="11"/>
  <c r="K34" i="16"/>
  <c r="L33" i="16"/>
  <c r="J34" i="16"/>
  <c r="B34" i="16"/>
  <c r="Q33" i="16"/>
  <c r="J25" i="16"/>
  <c r="L25" i="16"/>
  <c r="C26" i="16"/>
  <c r="K26" i="16"/>
  <c r="J26" i="16"/>
  <c r="Q25" i="16"/>
  <c r="B26" i="16"/>
  <c r="I21" i="16"/>
  <c r="H21" i="16"/>
  <c r="G21" i="16"/>
  <c r="F21" i="16"/>
  <c r="I20" i="16"/>
  <c r="H20" i="16"/>
  <c r="G20" i="16"/>
  <c r="F20" i="16"/>
  <c r="I19" i="16"/>
  <c r="H19" i="16"/>
  <c r="G19" i="16"/>
  <c r="F19" i="16"/>
  <c r="I18" i="16"/>
  <c r="H18" i="16"/>
  <c r="G18" i="16"/>
  <c r="F18" i="16"/>
  <c r="I17" i="16"/>
  <c r="H17" i="16"/>
  <c r="G17" i="16"/>
  <c r="F17" i="16"/>
  <c r="I16" i="16"/>
  <c r="J16" i="16" s="1"/>
  <c r="H16" i="16"/>
  <c r="C16" i="16" s="1"/>
  <c r="G16" i="16"/>
  <c r="B16" i="16" s="1"/>
  <c r="F16" i="16"/>
  <c r="Q12" i="19" l="1"/>
  <c r="K13" i="19"/>
  <c r="C13" i="19"/>
  <c r="B13" i="19"/>
  <c r="J13" i="19"/>
  <c r="L12" i="19"/>
  <c r="J33" i="17"/>
  <c r="Q32" i="17"/>
  <c r="B33" i="17"/>
  <c r="C8" i="18"/>
  <c r="K8" i="18"/>
  <c r="K16" i="16"/>
  <c r="C23" i="17"/>
  <c r="K23" i="17"/>
  <c r="Q42" i="17"/>
  <c r="B43" i="17"/>
  <c r="J43" i="17"/>
  <c r="K43" i="17"/>
  <c r="C43" i="17"/>
  <c r="K16" i="17"/>
  <c r="C16" i="17"/>
  <c r="K33" i="17"/>
  <c r="C33" i="17"/>
  <c r="K8" i="17"/>
  <c r="C8" i="17"/>
  <c r="B23" i="17"/>
  <c r="Q22" i="17"/>
  <c r="J23" i="17"/>
  <c r="Q15" i="17"/>
  <c r="J16" i="17"/>
  <c r="L16" i="17" s="1"/>
  <c r="B16" i="17"/>
  <c r="Q7" i="17"/>
  <c r="B8" i="17"/>
  <c r="J8" i="17"/>
  <c r="L8" i="17" s="1"/>
  <c r="L15" i="17"/>
  <c r="L22" i="17"/>
  <c r="L7" i="17"/>
  <c r="Q7" i="18"/>
  <c r="B8" i="18"/>
  <c r="J8" i="18"/>
  <c r="L8" i="18" s="1"/>
  <c r="O17" i="16"/>
  <c r="K35" i="16"/>
  <c r="J21" i="11"/>
  <c r="B21" i="11"/>
  <c r="C22" i="11"/>
  <c r="K22" i="11"/>
  <c r="L34" i="16"/>
  <c r="O33" i="16"/>
  <c r="O35" i="16"/>
  <c r="O26" i="16"/>
  <c r="O25" i="16"/>
  <c r="O34" i="16"/>
  <c r="O27" i="16"/>
  <c r="O16" i="16"/>
  <c r="Q34" i="16"/>
  <c r="B35" i="16"/>
  <c r="J35" i="16"/>
  <c r="K36" i="16"/>
  <c r="C36" i="16"/>
  <c r="L26" i="16"/>
  <c r="K27" i="16"/>
  <c r="C27" i="16"/>
  <c r="Q26" i="16"/>
  <c r="J27" i="16"/>
  <c r="B27" i="16"/>
  <c r="L16" i="16"/>
  <c r="O18" i="16"/>
  <c r="J17" i="16"/>
  <c r="B17" i="16"/>
  <c r="Q16" i="16"/>
  <c r="C17" i="16"/>
  <c r="K17" i="16"/>
  <c r="I11" i="16"/>
  <c r="H11" i="16"/>
  <c r="G11" i="16"/>
  <c r="F11" i="16"/>
  <c r="I10" i="16"/>
  <c r="H10" i="16"/>
  <c r="G10" i="16"/>
  <c r="F10" i="16"/>
  <c r="I9" i="16"/>
  <c r="H9" i="16"/>
  <c r="G9" i="16"/>
  <c r="F9" i="16"/>
  <c r="I8" i="16"/>
  <c r="H8" i="16"/>
  <c r="G8" i="16"/>
  <c r="F8" i="16"/>
  <c r="I7" i="16"/>
  <c r="H7" i="16"/>
  <c r="G7" i="16"/>
  <c r="F7" i="16"/>
  <c r="I6" i="16"/>
  <c r="J6" i="16" s="1"/>
  <c r="H6" i="16"/>
  <c r="C6" i="16" s="1"/>
  <c r="G6" i="16"/>
  <c r="B6" i="16" s="1"/>
  <c r="F6" i="16"/>
  <c r="L13" i="19" l="1"/>
  <c r="Q8" i="17"/>
  <c r="B9" i="17"/>
  <c r="J9" i="17"/>
  <c r="C9" i="17"/>
  <c r="K9" i="17"/>
  <c r="C17" i="17"/>
  <c r="K17" i="17"/>
  <c r="L43" i="17"/>
  <c r="K24" i="17"/>
  <c r="C24" i="17"/>
  <c r="Q33" i="17"/>
  <c r="J34" i="17"/>
  <c r="L34" i="17" s="1"/>
  <c r="B34" i="17"/>
  <c r="B24" i="17"/>
  <c r="Q23" i="17"/>
  <c r="J24" i="17"/>
  <c r="L24" i="17" s="1"/>
  <c r="K9" i="18"/>
  <c r="C9" i="18"/>
  <c r="L23" i="17"/>
  <c r="J44" i="17"/>
  <c r="L44" i="17" s="1"/>
  <c r="B44" i="17"/>
  <c r="Q43" i="17"/>
  <c r="Q8" i="18"/>
  <c r="J9" i="18"/>
  <c r="L9" i="18" s="1"/>
  <c r="B9" i="18"/>
  <c r="B17" i="17"/>
  <c r="J17" i="17"/>
  <c r="L17" i="17" s="1"/>
  <c r="Q16" i="17"/>
  <c r="C34" i="17"/>
  <c r="K34" i="17"/>
  <c r="K44" i="17"/>
  <c r="C44" i="17"/>
  <c r="L33" i="17"/>
  <c r="L35" i="16"/>
  <c r="L17" i="16"/>
  <c r="B22" i="11"/>
  <c r="J22" i="11"/>
  <c r="C23" i="11"/>
  <c r="K23" i="11"/>
  <c r="O37" i="16"/>
  <c r="O28" i="16"/>
  <c r="O38" i="16"/>
  <c r="O30" i="16"/>
  <c r="O36" i="16"/>
  <c r="O29" i="16"/>
  <c r="B36" i="16"/>
  <c r="Q35" i="16"/>
  <c r="J36" i="16"/>
  <c r="L36" i="16" s="1"/>
  <c r="C37" i="16"/>
  <c r="K37" i="16"/>
  <c r="K28" i="16"/>
  <c r="C28" i="16"/>
  <c r="B28" i="16"/>
  <c r="Q27" i="16"/>
  <c r="J28" i="16"/>
  <c r="L27" i="16"/>
  <c r="O21" i="16"/>
  <c r="O20" i="16"/>
  <c r="O19" i="16"/>
  <c r="Q17" i="16"/>
  <c r="J18" i="16"/>
  <c r="B18" i="16"/>
  <c r="K18" i="16"/>
  <c r="C18" i="16"/>
  <c r="O11" i="16"/>
  <c r="K6" i="16"/>
  <c r="L6" i="16" s="1"/>
  <c r="O8" i="16"/>
  <c r="K7" i="16"/>
  <c r="C7" i="16"/>
  <c r="Q6" i="16"/>
  <c r="B7" i="16"/>
  <c r="J7" i="16"/>
  <c r="O7" i="16"/>
  <c r="O6" i="16"/>
  <c r="O10" i="16"/>
  <c r="O9" i="16"/>
  <c r="I41" i="15"/>
  <c r="H41" i="15"/>
  <c r="G41" i="15"/>
  <c r="F41" i="15"/>
  <c r="I40" i="15"/>
  <c r="H40" i="15"/>
  <c r="G40" i="15"/>
  <c r="F40" i="15"/>
  <c r="I39" i="15"/>
  <c r="H39" i="15"/>
  <c r="G39" i="15"/>
  <c r="F39" i="15"/>
  <c r="I38" i="15"/>
  <c r="H38" i="15"/>
  <c r="G38" i="15"/>
  <c r="F38" i="15"/>
  <c r="J37" i="15"/>
  <c r="I37" i="15"/>
  <c r="K37" i="15" s="1"/>
  <c r="H37" i="15"/>
  <c r="C37" i="15" s="1"/>
  <c r="G37" i="15"/>
  <c r="B37" i="15" s="1"/>
  <c r="F37" i="15"/>
  <c r="L36" i="15"/>
  <c r="I32" i="15"/>
  <c r="H32" i="15"/>
  <c r="G32" i="15"/>
  <c r="F32" i="15"/>
  <c r="I31" i="15"/>
  <c r="H31" i="15"/>
  <c r="G31" i="15"/>
  <c r="F31" i="15"/>
  <c r="I30" i="15"/>
  <c r="H30" i="15"/>
  <c r="G30" i="15"/>
  <c r="F30" i="15"/>
  <c r="I29" i="15"/>
  <c r="H29" i="15"/>
  <c r="G29" i="15"/>
  <c r="F29" i="15"/>
  <c r="I28" i="15"/>
  <c r="J28" i="15" s="1"/>
  <c r="H28" i="15"/>
  <c r="C28" i="15" s="1"/>
  <c r="C29" i="15" s="1"/>
  <c r="G28" i="15"/>
  <c r="B28" i="15" s="1"/>
  <c r="F28" i="15"/>
  <c r="L27" i="15"/>
  <c r="B47" i="15"/>
  <c r="K10" i="17" l="1"/>
  <c r="C10" i="17"/>
  <c r="L9" i="17"/>
  <c r="C45" i="17"/>
  <c r="K45" i="17"/>
  <c r="Q17" i="17"/>
  <c r="B18" i="17"/>
  <c r="J18" i="17"/>
  <c r="L18" i="17" s="1"/>
  <c r="C10" i="18"/>
  <c r="K10" i="18"/>
  <c r="B25" i="17"/>
  <c r="Q24" i="17"/>
  <c r="J25" i="17"/>
  <c r="L25" i="17" s="1"/>
  <c r="K25" i="17"/>
  <c r="C25" i="17"/>
  <c r="C18" i="17"/>
  <c r="K18" i="17"/>
  <c r="Q9" i="17"/>
  <c r="B10" i="17"/>
  <c r="J10" i="17"/>
  <c r="L10" i="17" s="1"/>
  <c r="K35" i="17"/>
  <c r="C35" i="17"/>
  <c r="Q9" i="18"/>
  <c r="J10" i="18"/>
  <c r="L10" i="18" s="1"/>
  <c r="B10" i="18"/>
  <c r="B45" i="17"/>
  <c r="Q44" i="17"/>
  <c r="J45" i="17"/>
  <c r="L45" i="17" s="1"/>
  <c r="J35" i="17"/>
  <c r="L35" i="17" s="1"/>
  <c r="B35" i="17"/>
  <c r="Q34" i="17"/>
  <c r="N28" i="15"/>
  <c r="J23" i="11"/>
  <c r="B23" i="11"/>
  <c r="N37" i="15"/>
  <c r="K24" i="11"/>
  <c r="C24" i="11"/>
  <c r="C38" i="16"/>
  <c r="K38" i="16"/>
  <c r="Q36" i="16"/>
  <c r="B37" i="16"/>
  <c r="J37" i="16"/>
  <c r="L37" i="16" s="1"/>
  <c r="L28" i="16"/>
  <c r="B29" i="16"/>
  <c r="Q28" i="16"/>
  <c r="J29" i="16"/>
  <c r="C29" i="16"/>
  <c r="K29" i="16"/>
  <c r="B19" i="16"/>
  <c r="J19" i="16"/>
  <c r="Q18" i="16"/>
  <c r="L18" i="16"/>
  <c r="K19" i="16"/>
  <c r="C19" i="16"/>
  <c r="B8" i="16"/>
  <c r="Q7" i="16"/>
  <c r="J8" i="16"/>
  <c r="C8" i="16"/>
  <c r="K8" i="16"/>
  <c r="L7" i="16"/>
  <c r="K38" i="15"/>
  <c r="C38" i="15"/>
  <c r="K39" i="15" s="1"/>
  <c r="L37" i="15"/>
  <c r="B38" i="15"/>
  <c r="J38" i="15"/>
  <c r="K30" i="15"/>
  <c r="C30" i="15"/>
  <c r="B29" i="15"/>
  <c r="N29" i="15" s="1"/>
  <c r="J29" i="15"/>
  <c r="K28" i="15"/>
  <c r="L28" i="15" s="1"/>
  <c r="K29" i="15"/>
  <c r="L51" i="15"/>
  <c r="L50" i="15"/>
  <c r="L49" i="15"/>
  <c r="L48" i="15"/>
  <c r="L47" i="15"/>
  <c r="L46" i="15"/>
  <c r="L45" i="15"/>
  <c r="L35" i="15"/>
  <c r="L26" i="15"/>
  <c r="L25" i="15"/>
  <c r="I24" i="15"/>
  <c r="H24" i="15"/>
  <c r="G24" i="15"/>
  <c r="F24" i="15"/>
  <c r="I23" i="15"/>
  <c r="H23" i="15"/>
  <c r="G23" i="15"/>
  <c r="F23" i="15"/>
  <c r="I22" i="15"/>
  <c r="H22" i="15"/>
  <c r="G22" i="15"/>
  <c r="F22" i="15"/>
  <c r="I21" i="15"/>
  <c r="H21" i="15"/>
  <c r="G21" i="15"/>
  <c r="F21" i="15"/>
  <c r="I20" i="15"/>
  <c r="H20" i="15"/>
  <c r="G20" i="15"/>
  <c r="F20" i="15"/>
  <c r="I19" i="15"/>
  <c r="H19" i="15"/>
  <c r="G19" i="15"/>
  <c r="F19" i="15"/>
  <c r="I18" i="15"/>
  <c r="H18" i="15"/>
  <c r="G18" i="15"/>
  <c r="F18" i="15"/>
  <c r="K17" i="15"/>
  <c r="J17" i="15"/>
  <c r="I17" i="15"/>
  <c r="H17" i="15"/>
  <c r="C17" i="15" s="1"/>
  <c r="G17" i="15"/>
  <c r="B17" i="15" s="1"/>
  <c r="F17" i="15"/>
  <c r="L16" i="15"/>
  <c r="L15" i="15"/>
  <c r="I11" i="15"/>
  <c r="H11" i="15"/>
  <c r="G11" i="15"/>
  <c r="F11" i="15"/>
  <c r="I10" i="15"/>
  <c r="H10" i="15"/>
  <c r="G10" i="15"/>
  <c r="F10" i="15"/>
  <c r="I9" i="15"/>
  <c r="H9" i="15"/>
  <c r="G9" i="15"/>
  <c r="F9" i="15"/>
  <c r="I8" i="15"/>
  <c r="H8" i="15"/>
  <c r="G8" i="15"/>
  <c r="F8" i="15"/>
  <c r="I7" i="15"/>
  <c r="H7" i="15"/>
  <c r="G7" i="15"/>
  <c r="F7" i="15"/>
  <c r="K6" i="15"/>
  <c r="I6" i="15"/>
  <c r="J6" i="15" s="1"/>
  <c r="H6" i="15"/>
  <c r="C6" i="15" s="1"/>
  <c r="G6" i="15"/>
  <c r="B6" i="15" s="1"/>
  <c r="F6" i="15"/>
  <c r="J7" i="15" l="1"/>
  <c r="Q10" i="17"/>
  <c r="B11" i="17"/>
  <c r="J11" i="17"/>
  <c r="K46" i="17"/>
  <c r="C46" i="17"/>
  <c r="Q35" i="17"/>
  <c r="B36" i="17"/>
  <c r="J36" i="17"/>
  <c r="B46" i="17"/>
  <c r="Q45" i="17"/>
  <c r="J46" i="17"/>
  <c r="L46" i="17" s="1"/>
  <c r="K36" i="17"/>
  <c r="C36" i="17"/>
  <c r="C11" i="17"/>
  <c r="K11" i="17"/>
  <c r="Q10" i="18"/>
  <c r="B11" i="18"/>
  <c r="J11" i="18"/>
  <c r="C11" i="18"/>
  <c r="K11" i="18"/>
  <c r="C39" i="15"/>
  <c r="C40" i="15" s="1"/>
  <c r="L38" i="15"/>
  <c r="N38" i="15"/>
  <c r="J24" i="11"/>
  <c r="B24" i="11"/>
  <c r="K25" i="11"/>
  <c r="C25" i="11"/>
  <c r="J38" i="16"/>
  <c r="L38" i="16" s="1"/>
  <c r="B38" i="16"/>
  <c r="Q38" i="16" s="1"/>
  <c r="Q37" i="16"/>
  <c r="L29" i="16"/>
  <c r="J30" i="16"/>
  <c r="B30" i="16"/>
  <c r="Q29" i="16"/>
  <c r="C30" i="16"/>
  <c r="K30" i="16"/>
  <c r="L19" i="16"/>
  <c r="C20" i="16"/>
  <c r="K20" i="16"/>
  <c r="Q19" i="16"/>
  <c r="J20" i="16"/>
  <c r="B20" i="16"/>
  <c r="C9" i="16"/>
  <c r="K9" i="16"/>
  <c r="L8" i="16"/>
  <c r="J9" i="16"/>
  <c r="B9" i="16"/>
  <c r="Q8" i="16"/>
  <c r="L6" i="15"/>
  <c r="K18" i="15"/>
  <c r="C18" i="15"/>
  <c r="L17" i="15"/>
  <c r="L29" i="15"/>
  <c r="O9" i="15"/>
  <c r="B39" i="15"/>
  <c r="J39" i="15"/>
  <c r="L39" i="15" s="1"/>
  <c r="B30" i="15"/>
  <c r="N30" i="15" s="1"/>
  <c r="J30" i="15"/>
  <c r="L30" i="15" s="1"/>
  <c r="K31" i="15"/>
  <c r="C31" i="15"/>
  <c r="O8" i="15"/>
  <c r="O12" i="15"/>
  <c r="O11" i="15"/>
  <c r="O7" i="15"/>
  <c r="O10" i="15"/>
  <c r="O6" i="15"/>
  <c r="K7" i="15"/>
  <c r="L7" i="15" s="1"/>
  <c r="C7" i="15"/>
  <c r="J18" i="15"/>
  <c r="B18" i="15"/>
  <c r="Q6" i="15"/>
  <c r="B7" i="15"/>
  <c r="L11" i="18" l="1"/>
  <c r="C12" i="18"/>
  <c r="K12" i="18"/>
  <c r="Q36" i="17"/>
  <c r="B37" i="17"/>
  <c r="J37" i="17"/>
  <c r="L11" i="17"/>
  <c r="Q11" i="18"/>
  <c r="J12" i="18"/>
  <c r="L12" i="18" s="1"/>
  <c r="B12" i="18"/>
  <c r="C37" i="17"/>
  <c r="K37" i="17"/>
  <c r="B47" i="17"/>
  <c r="Q46" i="17"/>
  <c r="J47" i="17"/>
  <c r="C47" i="17"/>
  <c r="K47" i="17"/>
  <c r="L36" i="17"/>
  <c r="K40" i="15"/>
  <c r="N39" i="15"/>
  <c r="B25" i="11"/>
  <c r="J25" i="11"/>
  <c r="L18" i="15"/>
  <c r="K26" i="11"/>
  <c r="C26" i="11"/>
  <c r="L30" i="16"/>
  <c r="Q30" i="16"/>
  <c r="L20" i="16"/>
  <c r="J21" i="16"/>
  <c r="Q20" i="16"/>
  <c r="B21" i="16"/>
  <c r="K21" i="16"/>
  <c r="C21" i="16"/>
  <c r="L9" i="16"/>
  <c r="J10" i="16"/>
  <c r="Q9" i="16"/>
  <c r="B10" i="16"/>
  <c r="K10" i="16"/>
  <c r="C10" i="16"/>
  <c r="K19" i="15"/>
  <c r="C19" i="15"/>
  <c r="J40" i="15"/>
  <c r="B40" i="15"/>
  <c r="N40" i="15" s="1"/>
  <c r="C41" i="15"/>
  <c r="K41" i="15"/>
  <c r="L40" i="15"/>
  <c r="C32" i="15"/>
  <c r="K32" i="15"/>
  <c r="J31" i="15"/>
  <c r="L31" i="15" s="1"/>
  <c r="B31" i="15"/>
  <c r="N31" i="15" s="1"/>
  <c r="B19" i="15"/>
  <c r="J19" i="15"/>
  <c r="L19" i="15" s="1"/>
  <c r="K8" i="15"/>
  <c r="C8" i="15"/>
  <c r="Q7" i="15"/>
  <c r="J8" i="15"/>
  <c r="B8" i="15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16" i="7"/>
  <c r="L15" i="7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26" i="12"/>
  <c r="L25" i="12"/>
  <c r="L24" i="12"/>
  <c r="L19" i="12"/>
  <c r="L18" i="12"/>
  <c r="L17" i="12"/>
  <c r="L12" i="12"/>
  <c r="L11" i="12"/>
  <c r="L10" i="12"/>
  <c r="M25" i="7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2" i="10"/>
  <c r="L11" i="10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2" i="6"/>
  <c r="L11" i="6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3" i="5"/>
  <c r="L12" i="5"/>
  <c r="L11" i="5"/>
  <c r="L12" i="2"/>
  <c r="L13" i="2"/>
  <c r="L20" i="2"/>
  <c r="L21" i="2"/>
  <c r="L27" i="2"/>
  <c r="L28" i="2"/>
  <c r="L35" i="2"/>
  <c r="L36" i="2"/>
  <c r="L43" i="2"/>
  <c r="L44" i="2"/>
  <c r="L50" i="2"/>
  <c r="L51" i="2"/>
  <c r="L52" i="2"/>
  <c r="L53" i="2"/>
  <c r="K48" i="17" l="1"/>
  <c r="C48" i="17"/>
  <c r="L47" i="17"/>
  <c r="C38" i="17"/>
  <c r="K38" i="17"/>
  <c r="L37" i="17"/>
  <c r="J48" i="17"/>
  <c r="L48" i="17" s="1"/>
  <c r="Q47" i="17"/>
  <c r="B48" i="17"/>
  <c r="Q48" i="17" s="1"/>
  <c r="J38" i="17"/>
  <c r="L38" i="17" s="1"/>
  <c r="Q37" i="17"/>
  <c r="B38" i="17"/>
  <c r="Q38" i="17" s="1"/>
  <c r="J26" i="11"/>
  <c r="B26" i="11"/>
  <c r="K27" i="11"/>
  <c r="C27" i="11"/>
  <c r="L21" i="16"/>
  <c r="Q21" i="16"/>
  <c r="K11" i="16"/>
  <c r="C11" i="16"/>
  <c r="Q10" i="16"/>
  <c r="B11" i="16"/>
  <c r="J11" i="16"/>
  <c r="L10" i="16"/>
  <c r="K20" i="15"/>
  <c r="C20" i="15"/>
  <c r="L8" i="15"/>
  <c r="J41" i="15"/>
  <c r="L41" i="15" s="1"/>
  <c r="B41" i="15"/>
  <c r="N41" i="15" s="1"/>
  <c r="J32" i="15"/>
  <c r="L32" i="15" s="1"/>
  <c r="B32" i="15"/>
  <c r="N32" i="15" s="1"/>
  <c r="B20" i="15"/>
  <c r="J20" i="15"/>
  <c r="L20" i="15" s="1"/>
  <c r="K9" i="15"/>
  <c r="C9" i="15"/>
  <c r="B9" i="15"/>
  <c r="Q8" i="15"/>
  <c r="J9" i="15"/>
  <c r="B30" i="7"/>
  <c r="G24" i="7"/>
  <c r="G23" i="7"/>
  <c r="G22" i="7"/>
  <c r="G21" i="7"/>
  <c r="G20" i="7"/>
  <c r="G19" i="7"/>
  <c r="G18" i="7"/>
  <c r="G17" i="7"/>
  <c r="B17" i="7" s="1"/>
  <c r="G14" i="7"/>
  <c r="G13" i="7"/>
  <c r="G12" i="7"/>
  <c r="G11" i="7"/>
  <c r="G10" i="7"/>
  <c r="G9" i="7"/>
  <c r="G8" i="7"/>
  <c r="G7" i="7"/>
  <c r="G6" i="7"/>
  <c r="B6" i="7" s="1"/>
  <c r="G10" i="9"/>
  <c r="G9" i="9"/>
  <c r="G8" i="9"/>
  <c r="G7" i="9"/>
  <c r="G6" i="9"/>
  <c r="B6" i="9" s="1"/>
  <c r="G30" i="12"/>
  <c r="G29" i="12"/>
  <c r="G28" i="12"/>
  <c r="G27" i="12"/>
  <c r="B27" i="12" s="1"/>
  <c r="G23" i="12"/>
  <c r="G22" i="12"/>
  <c r="G21" i="12"/>
  <c r="G20" i="12"/>
  <c r="B20" i="12" s="1"/>
  <c r="G16" i="12"/>
  <c r="G15" i="12"/>
  <c r="G14" i="12"/>
  <c r="G13" i="12"/>
  <c r="B13" i="12" s="1"/>
  <c r="G9" i="12"/>
  <c r="G8" i="12"/>
  <c r="G7" i="12"/>
  <c r="G6" i="12"/>
  <c r="B6" i="12" s="1"/>
  <c r="G15" i="11"/>
  <c r="G14" i="11"/>
  <c r="G13" i="11"/>
  <c r="G12" i="11"/>
  <c r="G11" i="11"/>
  <c r="G10" i="11"/>
  <c r="G9" i="11"/>
  <c r="G8" i="11"/>
  <c r="G7" i="11"/>
  <c r="B7" i="11" s="1"/>
  <c r="B20" i="10"/>
  <c r="G17" i="10"/>
  <c r="G16" i="10"/>
  <c r="G15" i="10"/>
  <c r="G14" i="10"/>
  <c r="G13" i="10"/>
  <c r="B13" i="10" s="1"/>
  <c r="G10" i="10"/>
  <c r="G9" i="10"/>
  <c r="G8" i="10"/>
  <c r="G7" i="10"/>
  <c r="G6" i="10"/>
  <c r="B6" i="10" s="1"/>
  <c r="G17" i="6"/>
  <c r="G16" i="6"/>
  <c r="G15" i="6"/>
  <c r="G14" i="6"/>
  <c r="G13" i="6"/>
  <c r="B13" i="6" s="1"/>
  <c r="G10" i="6"/>
  <c r="G9" i="6"/>
  <c r="G8" i="6"/>
  <c r="G7" i="6"/>
  <c r="G6" i="6"/>
  <c r="B6" i="6" s="1"/>
  <c r="C20" i="6"/>
  <c r="G18" i="5"/>
  <c r="G17" i="5"/>
  <c r="G16" i="5"/>
  <c r="G15" i="5"/>
  <c r="G14" i="5"/>
  <c r="B14" i="5" s="1"/>
  <c r="G10" i="5"/>
  <c r="G9" i="5"/>
  <c r="G8" i="5"/>
  <c r="G7" i="5"/>
  <c r="G6" i="5"/>
  <c r="B6" i="5" s="1"/>
  <c r="B61" i="2"/>
  <c r="G49" i="2"/>
  <c r="G48" i="2"/>
  <c r="G47" i="2"/>
  <c r="G46" i="2"/>
  <c r="G45" i="2"/>
  <c r="B45" i="2" s="1"/>
  <c r="G42" i="2"/>
  <c r="G41" i="2"/>
  <c r="G40" i="2"/>
  <c r="G39" i="2"/>
  <c r="G38" i="2"/>
  <c r="G37" i="2"/>
  <c r="B37" i="2" s="1"/>
  <c r="G34" i="2"/>
  <c r="G33" i="2"/>
  <c r="G32" i="2"/>
  <c r="G31" i="2"/>
  <c r="G30" i="2"/>
  <c r="G29" i="2"/>
  <c r="B29" i="2" s="1"/>
  <c r="G26" i="2"/>
  <c r="G25" i="2"/>
  <c r="G24" i="2"/>
  <c r="G23" i="2"/>
  <c r="G22" i="2"/>
  <c r="B22" i="2" s="1"/>
  <c r="G19" i="2"/>
  <c r="G18" i="2"/>
  <c r="G17" i="2"/>
  <c r="G16" i="2"/>
  <c r="G15" i="2"/>
  <c r="G14" i="2"/>
  <c r="B14" i="2" s="1"/>
  <c r="G11" i="2"/>
  <c r="G10" i="2"/>
  <c r="G9" i="2"/>
  <c r="G8" i="2"/>
  <c r="G7" i="2"/>
  <c r="G6" i="2"/>
  <c r="B6" i="2" s="1"/>
  <c r="B7" i="6" l="1"/>
  <c r="B8" i="6" s="1"/>
  <c r="B27" i="11"/>
  <c r="J27" i="11"/>
  <c r="B14" i="6"/>
  <c r="B15" i="6" s="1"/>
  <c r="B8" i="11"/>
  <c r="L9" i="15"/>
  <c r="B28" i="12"/>
  <c r="B7" i="2"/>
  <c r="B8" i="2" s="1"/>
  <c r="B9" i="2" s="1"/>
  <c r="B10" i="2" s="1"/>
  <c r="B11" i="2" s="1"/>
  <c r="B7" i="5"/>
  <c r="B8" i="5" s="1"/>
  <c r="Q11" i="16"/>
  <c r="L11" i="16"/>
  <c r="K21" i="15"/>
  <c r="C21" i="15"/>
  <c r="J10" i="15"/>
  <c r="B10" i="15"/>
  <c r="Q9" i="15"/>
  <c r="C10" i="15"/>
  <c r="K10" i="15"/>
  <c r="L10" i="15" s="1"/>
  <c r="J21" i="15"/>
  <c r="B21" i="15"/>
  <c r="B18" i="7"/>
  <c r="B7" i="7"/>
  <c r="B7" i="9"/>
  <c r="B7" i="12"/>
  <c r="B14" i="12"/>
  <c r="B21" i="12"/>
  <c r="B29" i="12"/>
  <c r="B7" i="10"/>
  <c r="B14" i="10"/>
  <c r="B15" i="5"/>
  <c r="B38" i="2"/>
  <c r="B23" i="2"/>
  <c r="B30" i="2"/>
  <c r="B46" i="2"/>
  <c r="B15" i="2"/>
  <c r="B16" i="2" s="1"/>
  <c r="B17" i="2" s="1"/>
  <c r="B18" i="2" s="1"/>
  <c r="B19" i="2" s="1"/>
  <c r="I30" i="12"/>
  <c r="H30" i="12"/>
  <c r="F30" i="12"/>
  <c r="I29" i="12"/>
  <c r="H29" i="12"/>
  <c r="F29" i="12"/>
  <c r="I28" i="12"/>
  <c r="J28" i="12" s="1"/>
  <c r="H28" i="12"/>
  <c r="F28" i="12"/>
  <c r="I27" i="12"/>
  <c r="H27" i="12"/>
  <c r="C27" i="12" s="1"/>
  <c r="F27" i="12"/>
  <c r="J29" i="12" l="1"/>
  <c r="L21" i="15"/>
  <c r="B9" i="11"/>
  <c r="K22" i="15"/>
  <c r="C22" i="15"/>
  <c r="K11" i="15"/>
  <c r="C11" i="15"/>
  <c r="J22" i="15"/>
  <c r="B22" i="15"/>
  <c r="Q10" i="15"/>
  <c r="J11" i="15"/>
  <c r="B11" i="15"/>
  <c r="B8" i="7"/>
  <c r="B19" i="7"/>
  <c r="B8" i="9"/>
  <c r="B15" i="12"/>
  <c r="B30" i="12"/>
  <c r="J30" i="12"/>
  <c r="K28" i="12"/>
  <c r="L28" i="12" s="1"/>
  <c r="C28" i="12"/>
  <c r="B22" i="12"/>
  <c r="K27" i="12"/>
  <c r="J27" i="12"/>
  <c r="B8" i="12"/>
  <c r="B15" i="10"/>
  <c r="B8" i="10"/>
  <c r="B9" i="6"/>
  <c r="B16" i="6"/>
  <c r="B16" i="5"/>
  <c r="B9" i="5"/>
  <c r="B24" i="2"/>
  <c r="B47" i="2"/>
  <c r="B31" i="2"/>
  <c r="B39" i="2"/>
  <c r="I16" i="12"/>
  <c r="H16" i="12"/>
  <c r="F16" i="12"/>
  <c r="I15" i="12"/>
  <c r="J15" i="12" s="1"/>
  <c r="H15" i="12"/>
  <c r="F15" i="12"/>
  <c r="I14" i="12"/>
  <c r="J14" i="12" s="1"/>
  <c r="H14" i="12"/>
  <c r="F14" i="12"/>
  <c r="I13" i="12"/>
  <c r="H13" i="12"/>
  <c r="C13" i="12" s="1"/>
  <c r="F13" i="12"/>
  <c r="L27" i="12" l="1"/>
  <c r="L11" i="15"/>
  <c r="B10" i="11"/>
  <c r="L22" i="15"/>
  <c r="C23" i="15"/>
  <c r="K23" i="15"/>
  <c r="Q11" i="15"/>
  <c r="B23" i="15"/>
  <c r="J23" i="15"/>
  <c r="B9" i="7"/>
  <c r="B20" i="7"/>
  <c r="B9" i="9"/>
  <c r="K14" i="12"/>
  <c r="L14" i="12" s="1"/>
  <c r="C14" i="12"/>
  <c r="K13" i="12"/>
  <c r="J13" i="12"/>
  <c r="B9" i="12"/>
  <c r="B23" i="12"/>
  <c r="J23" i="12"/>
  <c r="C29" i="12"/>
  <c r="K29" i="12"/>
  <c r="L29" i="12" s="1"/>
  <c r="B16" i="12"/>
  <c r="J16" i="12"/>
  <c r="B9" i="10"/>
  <c r="B16" i="10"/>
  <c r="B10" i="6"/>
  <c r="B17" i="6"/>
  <c r="B10" i="5"/>
  <c r="B17" i="5"/>
  <c r="B40" i="2"/>
  <c r="B48" i="2"/>
  <c r="B32" i="2"/>
  <c r="B25" i="2"/>
  <c r="I23" i="12"/>
  <c r="H23" i="12"/>
  <c r="F23" i="12"/>
  <c r="I22" i="12"/>
  <c r="J22" i="12" s="1"/>
  <c r="H22" i="12"/>
  <c r="F22" i="12"/>
  <c r="I21" i="12"/>
  <c r="J21" i="12" s="1"/>
  <c r="H21" i="12"/>
  <c r="F21" i="12"/>
  <c r="I20" i="12"/>
  <c r="H20" i="12"/>
  <c r="C20" i="12" s="1"/>
  <c r="F20" i="12"/>
  <c r="B11" i="11" l="1"/>
  <c r="L23" i="15"/>
  <c r="C24" i="15"/>
  <c r="K24" i="15"/>
  <c r="Q12" i="15"/>
  <c r="B24" i="15"/>
  <c r="J24" i="15"/>
  <c r="B10" i="7"/>
  <c r="B21" i="7"/>
  <c r="B10" i="9"/>
  <c r="C21" i="12"/>
  <c r="K21" i="12"/>
  <c r="L21" i="12" s="1"/>
  <c r="C30" i="12"/>
  <c r="K30" i="12"/>
  <c r="L30" i="12" s="1"/>
  <c r="J20" i="12"/>
  <c r="K20" i="12"/>
  <c r="L13" i="12"/>
  <c r="C15" i="12"/>
  <c r="K15" i="12"/>
  <c r="L15" i="12" s="1"/>
  <c r="B17" i="10"/>
  <c r="B10" i="10"/>
  <c r="B18" i="5"/>
  <c r="B26" i="2"/>
  <c r="B49" i="2"/>
  <c r="B33" i="2"/>
  <c r="B41" i="2"/>
  <c r="I6" i="12"/>
  <c r="B12" i="11" l="1"/>
  <c r="L24" i="15"/>
  <c r="Q13" i="15"/>
  <c r="B22" i="7"/>
  <c r="B11" i="7"/>
  <c r="K6" i="12"/>
  <c r="J6" i="12"/>
  <c r="K22" i="12"/>
  <c r="L22" i="12" s="1"/>
  <c r="C22" i="12"/>
  <c r="C16" i="12"/>
  <c r="K16" i="12"/>
  <c r="L16" i="12" s="1"/>
  <c r="L20" i="12"/>
  <c r="B42" i="2"/>
  <c r="B34" i="2"/>
  <c r="C66" i="13"/>
  <c r="C67" i="13" s="1"/>
  <c r="C68" i="13" s="1"/>
  <c r="C69" i="13" s="1"/>
  <c r="C71" i="13"/>
  <c r="C72" i="13" s="1"/>
  <c r="C73" i="13" s="1"/>
  <c r="C74" i="13" s="1"/>
  <c r="G86" i="13"/>
  <c r="E86" i="13"/>
  <c r="G85" i="13"/>
  <c r="C85" i="13"/>
  <c r="E85" i="13" s="1"/>
  <c r="G84" i="13"/>
  <c r="G83" i="13"/>
  <c r="G82" i="13"/>
  <c r="G81" i="13"/>
  <c r="E81" i="13"/>
  <c r="G80" i="13"/>
  <c r="C80" i="13"/>
  <c r="E80" i="13" s="1"/>
  <c r="G79" i="13"/>
  <c r="G78" i="13"/>
  <c r="G77" i="13"/>
  <c r="L6" i="12" l="1"/>
  <c r="B13" i="11"/>
  <c r="Q14" i="15"/>
  <c r="B23" i="7"/>
  <c r="B12" i="7"/>
  <c r="C23" i="12"/>
  <c r="K23" i="12"/>
  <c r="L23" i="12" s="1"/>
  <c r="C84" i="13"/>
  <c r="C79" i="13"/>
  <c r="B36" i="3"/>
  <c r="B17" i="4"/>
  <c r="B20" i="6"/>
  <c r="I17" i="6"/>
  <c r="J17" i="6" s="1"/>
  <c r="H17" i="6"/>
  <c r="F17" i="6"/>
  <c r="I16" i="6"/>
  <c r="J16" i="6" s="1"/>
  <c r="H16" i="6"/>
  <c r="F16" i="6"/>
  <c r="I15" i="6"/>
  <c r="J15" i="6" s="1"/>
  <c r="H15" i="6"/>
  <c r="F15" i="6"/>
  <c r="I14" i="6"/>
  <c r="J14" i="6" s="1"/>
  <c r="H14" i="6"/>
  <c r="F14" i="6"/>
  <c r="I13" i="6"/>
  <c r="H13" i="6"/>
  <c r="C13" i="6" s="1"/>
  <c r="F13" i="6"/>
  <c r="I10" i="6"/>
  <c r="J10" i="6" s="1"/>
  <c r="H10" i="6"/>
  <c r="F10" i="6"/>
  <c r="I9" i="6"/>
  <c r="J9" i="6" s="1"/>
  <c r="H9" i="6"/>
  <c r="F9" i="6"/>
  <c r="I8" i="6"/>
  <c r="J8" i="6" s="1"/>
  <c r="H8" i="6"/>
  <c r="F8" i="6"/>
  <c r="I7" i="6"/>
  <c r="J7" i="6" s="1"/>
  <c r="H7" i="6"/>
  <c r="F7" i="6"/>
  <c r="I6" i="6"/>
  <c r="H6" i="6"/>
  <c r="C6" i="6" s="1"/>
  <c r="F6" i="6"/>
  <c r="C20" i="10"/>
  <c r="B14" i="11" l="1"/>
  <c r="B24" i="7"/>
  <c r="B13" i="7"/>
  <c r="K6" i="6"/>
  <c r="L6" i="6" s="1"/>
  <c r="J6" i="6"/>
  <c r="K14" i="6"/>
  <c r="L14" i="6" s="1"/>
  <c r="C14" i="6"/>
  <c r="C7" i="6"/>
  <c r="K7" i="6"/>
  <c r="L7" i="6" s="1"/>
  <c r="J13" i="6"/>
  <c r="K13" i="6"/>
  <c r="L13" i="6" s="1"/>
  <c r="O6" i="6"/>
  <c r="E79" i="13"/>
  <c r="C78" i="13"/>
  <c r="E84" i="13"/>
  <c r="C83" i="13"/>
  <c r="O7" i="6"/>
  <c r="O8" i="6"/>
  <c r="O9" i="6"/>
  <c r="B20" i="8"/>
  <c r="I15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H6" i="8" s="1"/>
  <c r="F6" i="8"/>
  <c r="E6" i="8"/>
  <c r="B15" i="11" l="1"/>
  <c r="B14" i="7"/>
  <c r="C15" i="6"/>
  <c r="K15" i="6"/>
  <c r="L15" i="6" s="1"/>
  <c r="C8" i="6"/>
  <c r="K8" i="6"/>
  <c r="L8" i="6" s="1"/>
  <c r="K12" i="8"/>
  <c r="E83" i="13"/>
  <c r="C82" i="13"/>
  <c r="E82" i="13" s="1"/>
  <c r="E78" i="13"/>
  <c r="C77" i="13"/>
  <c r="E77" i="13" s="1"/>
  <c r="K7" i="8"/>
  <c r="K9" i="8"/>
  <c r="K11" i="8"/>
  <c r="K6" i="8"/>
  <c r="K8" i="8"/>
  <c r="K10" i="8"/>
  <c r="C30" i="7"/>
  <c r="I24" i="7"/>
  <c r="J24" i="7" s="1"/>
  <c r="H24" i="7"/>
  <c r="F24" i="7"/>
  <c r="I23" i="7"/>
  <c r="J23" i="7" s="1"/>
  <c r="H23" i="7"/>
  <c r="F23" i="7"/>
  <c r="I22" i="7"/>
  <c r="J22" i="7" s="1"/>
  <c r="H22" i="7"/>
  <c r="F22" i="7"/>
  <c r="I21" i="7"/>
  <c r="J21" i="7" s="1"/>
  <c r="H21" i="7"/>
  <c r="F21" i="7"/>
  <c r="I20" i="7"/>
  <c r="J20" i="7" s="1"/>
  <c r="H20" i="7"/>
  <c r="F20" i="7"/>
  <c r="I19" i="7"/>
  <c r="J19" i="7" s="1"/>
  <c r="H19" i="7"/>
  <c r="F19" i="7"/>
  <c r="I18" i="7"/>
  <c r="J18" i="7" s="1"/>
  <c r="H18" i="7"/>
  <c r="F18" i="7"/>
  <c r="I17" i="7"/>
  <c r="H17" i="7"/>
  <c r="C17" i="7" s="1"/>
  <c r="F17" i="7"/>
  <c r="J17" i="7" l="1"/>
  <c r="K17" i="7"/>
  <c r="C18" i="7"/>
  <c r="K18" i="7"/>
  <c r="L18" i="7" s="1"/>
  <c r="C16" i="6"/>
  <c r="K16" i="6"/>
  <c r="L16" i="6" s="1"/>
  <c r="C9" i="6"/>
  <c r="K9" i="6"/>
  <c r="L9" i="6" s="1"/>
  <c r="E57" i="2"/>
  <c r="F60" i="2"/>
  <c r="F59" i="2"/>
  <c r="L17" i="7" l="1"/>
  <c r="C19" i="7"/>
  <c r="K19" i="7"/>
  <c r="L19" i="7" s="1"/>
  <c r="C10" i="6"/>
  <c r="K10" i="6"/>
  <c r="L10" i="6" s="1"/>
  <c r="C17" i="6"/>
  <c r="K17" i="6"/>
  <c r="L17" i="6" s="1"/>
  <c r="I49" i="2"/>
  <c r="J49" i="2" s="1"/>
  <c r="H49" i="2"/>
  <c r="F49" i="2"/>
  <c r="I48" i="2"/>
  <c r="J48" i="2" s="1"/>
  <c r="H48" i="2"/>
  <c r="F48" i="2"/>
  <c r="I47" i="2"/>
  <c r="J47" i="2" s="1"/>
  <c r="H47" i="2"/>
  <c r="F47" i="2"/>
  <c r="I46" i="2"/>
  <c r="J46" i="2" s="1"/>
  <c r="H46" i="2"/>
  <c r="F46" i="2"/>
  <c r="I45" i="2"/>
  <c r="H45" i="2"/>
  <c r="C45" i="2" s="1"/>
  <c r="F45" i="2"/>
  <c r="I42" i="2"/>
  <c r="J42" i="2" s="1"/>
  <c r="H42" i="2"/>
  <c r="F42" i="2"/>
  <c r="I41" i="2"/>
  <c r="J41" i="2" s="1"/>
  <c r="H41" i="2"/>
  <c r="F41" i="2"/>
  <c r="I40" i="2"/>
  <c r="J40" i="2" s="1"/>
  <c r="H40" i="2"/>
  <c r="F40" i="2"/>
  <c r="I39" i="2"/>
  <c r="J39" i="2" s="1"/>
  <c r="H39" i="2"/>
  <c r="F39" i="2"/>
  <c r="I38" i="2"/>
  <c r="J38" i="2" s="1"/>
  <c r="H38" i="2"/>
  <c r="F38" i="2"/>
  <c r="I37" i="2"/>
  <c r="H37" i="2"/>
  <c r="C37" i="2" s="1"/>
  <c r="F37" i="2"/>
  <c r="I34" i="2"/>
  <c r="J34" i="2" s="1"/>
  <c r="H34" i="2"/>
  <c r="F34" i="2"/>
  <c r="I33" i="2"/>
  <c r="J33" i="2" s="1"/>
  <c r="H33" i="2"/>
  <c r="F33" i="2"/>
  <c r="I32" i="2"/>
  <c r="J32" i="2" s="1"/>
  <c r="H32" i="2"/>
  <c r="F32" i="2"/>
  <c r="I31" i="2"/>
  <c r="J31" i="2" s="1"/>
  <c r="H31" i="2"/>
  <c r="F31" i="2"/>
  <c r="I30" i="2"/>
  <c r="J30" i="2" s="1"/>
  <c r="H30" i="2"/>
  <c r="F30" i="2"/>
  <c r="I29" i="2"/>
  <c r="H29" i="2"/>
  <c r="C29" i="2" s="1"/>
  <c r="F29" i="2"/>
  <c r="C20" i="7" l="1"/>
  <c r="K20" i="7"/>
  <c r="L20" i="7" s="1"/>
  <c r="K29" i="2"/>
  <c r="J29" i="2"/>
  <c r="K45" i="2"/>
  <c r="J45" i="2"/>
  <c r="C38" i="2"/>
  <c r="C39" i="2" s="1"/>
  <c r="C40" i="2" s="1"/>
  <c r="C41" i="2" s="1"/>
  <c r="C42" i="2" s="1"/>
  <c r="K37" i="2"/>
  <c r="L37" i="2" s="1"/>
  <c r="J37" i="2"/>
  <c r="C30" i="2"/>
  <c r="C31" i="2" s="1"/>
  <c r="C32" i="2" s="1"/>
  <c r="C33" i="2" s="1"/>
  <c r="C34" i="2" s="1"/>
  <c r="C46" i="2"/>
  <c r="C47" i="2" s="1"/>
  <c r="C48" i="2" s="1"/>
  <c r="C49" i="2" s="1"/>
  <c r="B6" i="8"/>
  <c r="L29" i="2" l="1"/>
  <c r="L45" i="2"/>
  <c r="C21" i="7"/>
  <c r="K21" i="7"/>
  <c r="L21" i="7" s="1"/>
  <c r="K39" i="2"/>
  <c r="L39" i="2" s="1"/>
  <c r="K47" i="2"/>
  <c r="L47" i="2" s="1"/>
  <c r="K30" i="2"/>
  <c r="L30" i="2" s="1"/>
  <c r="K31" i="2"/>
  <c r="L31" i="2" s="1"/>
  <c r="K46" i="2"/>
  <c r="L46" i="2" s="1"/>
  <c r="K38" i="2"/>
  <c r="L38" i="2" s="1"/>
  <c r="H7" i="8"/>
  <c r="B7" i="8"/>
  <c r="C22" i="7" l="1"/>
  <c r="K22" i="7"/>
  <c r="L22" i="7" s="1"/>
  <c r="K40" i="2"/>
  <c r="L40" i="2" s="1"/>
  <c r="K32" i="2"/>
  <c r="L32" i="2" s="1"/>
  <c r="B8" i="8"/>
  <c r="H8" i="8"/>
  <c r="C23" i="7" l="1"/>
  <c r="K23" i="7"/>
  <c r="L23" i="7" s="1"/>
  <c r="K48" i="2"/>
  <c r="L48" i="2" s="1"/>
  <c r="K41" i="2"/>
  <c r="L41" i="2" s="1"/>
  <c r="K33" i="2"/>
  <c r="L33" i="2" s="1"/>
  <c r="H9" i="8"/>
  <c r="B9" i="8"/>
  <c r="K49" i="2"/>
  <c r="L49" i="2" s="1"/>
  <c r="C24" i="7" l="1"/>
  <c r="K24" i="7"/>
  <c r="L24" i="7" s="1"/>
  <c r="K34" i="2"/>
  <c r="L34" i="2" s="1"/>
  <c r="B10" i="8"/>
  <c r="H10" i="8"/>
  <c r="K42" i="2"/>
  <c r="L42" i="2" s="1"/>
  <c r="H11" i="8" l="1"/>
  <c r="B11" i="8"/>
  <c r="E95" i="14"/>
  <c r="H91" i="14"/>
  <c r="G90" i="14"/>
  <c r="G89" i="14"/>
  <c r="G88" i="14"/>
  <c r="G87" i="14"/>
  <c r="D87" i="14"/>
  <c r="G86" i="14"/>
  <c r="G85" i="14"/>
  <c r="G84" i="14"/>
  <c r="G91" i="14" s="1"/>
  <c r="D81" i="14"/>
  <c r="D78" i="14"/>
  <c r="F77" i="14"/>
  <c r="D77" i="14"/>
  <c r="D79" i="14" s="1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H66" i="14" s="1"/>
  <c r="F66" i="14"/>
  <c r="B66" i="14" s="1"/>
  <c r="H67" i="14" s="1"/>
  <c r="E66" i="14"/>
  <c r="G63" i="14"/>
  <c r="F63" i="14"/>
  <c r="E63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H56" i="14" s="1"/>
  <c r="F56" i="14"/>
  <c r="B56" i="14" s="1"/>
  <c r="H57" i="14" s="1"/>
  <c r="E56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H46" i="14" s="1"/>
  <c r="F46" i="14"/>
  <c r="B46" i="14" s="1"/>
  <c r="H47" i="14" s="1"/>
  <c r="E46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H36" i="14" s="1"/>
  <c r="F36" i="14"/>
  <c r="B36" i="14" s="1"/>
  <c r="H37" i="14" s="1"/>
  <c r="E36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H26" i="14" s="1"/>
  <c r="F26" i="14"/>
  <c r="B26" i="14" s="1"/>
  <c r="H27" i="14" s="1"/>
  <c r="E26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H16" i="14" s="1"/>
  <c r="F16" i="14"/>
  <c r="B16" i="14" s="1"/>
  <c r="H17" i="14" s="1"/>
  <c r="E16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H6" i="14" s="1"/>
  <c r="F6" i="14"/>
  <c r="B6" i="14" s="1"/>
  <c r="H7" i="14" s="1"/>
  <c r="E6" i="14"/>
  <c r="H12" i="8" l="1"/>
  <c r="B12" i="8"/>
  <c r="B7" i="14"/>
  <c r="B17" i="14"/>
  <c r="B27" i="14"/>
  <c r="B37" i="14"/>
  <c r="B47" i="14"/>
  <c r="B57" i="14"/>
  <c r="B67" i="14"/>
  <c r="C53" i="13"/>
  <c r="C52" i="13" s="1"/>
  <c r="C51" i="13" s="1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E38" i="13"/>
  <c r="C98" i="13"/>
  <c r="E98" i="13" s="1"/>
  <c r="E95" i="13"/>
  <c r="E99" i="13"/>
  <c r="E89" i="13"/>
  <c r="C94" i="13"/>
  <c r="E94" i="13" s="1"/>
  <c r="G99" i="13"/>
  <c r="G98" i="13"/>
  <c r="G97" i="13"/>
  <c r="G96" i="13"/>
  <c r="G95" i="13"/>
  <c r="G94" i="13"/>
  <c r="G93" i="13"/>
  <c r="G92" i="13"/>
  <c r="G91" i="13"/>
  <c r="G90" i="13"/>
  <c r="G89" i="13"/>
  <c r="E102" i="13"/>
  <c r="G102" i="13"/>
  <c r="G103" i="13"/>
  <c r="G104" i="13"/>
  <c r="G105" i="13"/>
  <c r="C106" i="13"/>
  <c r="E106" i="13" s="1"/>
  <c r="G106" i="13"/>
  <c r="E111" i="13"/>
  <c r="G111" i="13"/>
  <c r="C110" i="13"/>
  <c r="C34" i="13"/>
  <c r="C33" i="13" s="1"/>
  <c r="C32" i="13" s="1"/>
  <c r="C31" i="13" s="1"/>
  <c r="C30" i="13" s="1"/>
  <c r="C29" i="13" s="1"/>
  <c r="C28" i="13" s="1"/>
  <c r="C27" i="13" s="1"/>
  <c r="C26" i="13" s="1"/>
  <c r="C25" i="13" s="1"/>
  <c r="E35" i="13"/>
  <c r="G35" i="13"/>
  <c r="G34" i="13"/>
  <c r="G33" i="13"/>
  <c r="G32" i="13"/>
  <c r="G31" i="13"/>
  <c r="G30" i="13"/>
  <c r="G29" i="13"/>
  <c r="G28" i="13"/>
  <c r="G27" i="13"/>
  <c r="G26" i="13"/>
  <c r="G25" i="13"/>
  <c r="E69" i="13"/>
  <c r="E74" i="13"/>
  <c r="E68" i="13"/>
  <c r="G74" i="13"/>
  <c r="G73" i="13"/>
  <c r="E73" i="13"/>
  <c r="G72" i="13"/>
  <c r="G71" i="13"/>
  <c r="G70" i="13"/>
  <c r="G69" i="13"/>
  <c r="G68" i="13"/>
  <c r="G67" i="13"/>
  <c r="G66" i="13"/>
  <c r="G65" i="13"/>
  <c r="G57" i="13"/>
  <c r="G58" i="13"/>
  <c r="G59" i="13"/>
  <c r="G60" i="13"/>
  <c r="G61" i="13"/>
  <c r="E57" i="13"/>
  <c r="C62" i="13"/>
  <c r="C61" i="13" s="1"/>
  <c r="E61" i="13" s="1"/>
  <c r="G62" i="13"/>
  <c r="C128" i="13"/>
  <c r="C127" i="13" s="1"/>
  <c r="C126" i="13" s="1"/>
  <c r="C124" i="13"/>
  <c r="C123" i="13" s="1"/>
  <c r="G129" i="13"/>
  <c r="E129" i="13"/>
  <c r="G128" i="13"/>
  <c r="G127" i="13"/>
  <c r="G126" i="13"/>
  <c r="G125" i="13"/>
  <c r="E125" i="13"/>
  <c r="G124" i="13"/>
  <c r="G123" i="13"/>
  <c r="G122" i="13"/>
  <c r="G121" i="13"/>
  <c r="E121" i="13"/>
  <c r="E107" i="13"/>
  <c r="H13" i="8" l="1"/>
  <c r="B13" i="8"/>
  <c r="H48" i="14"/>
  <c r="B48" i="14"/>
  <c r="H8" i="14"/>
  <c r="B8" i="14"/>
  <c r="H38" i="14"/>
  <c r="B38" i="14"/>
  <c r="H68" i="14"/>
  <c r="B68" i="14"/>
  <c r="H28" i="14"/>
  <c r="B28" i="14"/>
  <c r="H58" i="14"/>
  <c r="B58" i="14"/>
  <c r="H18" i="14"/>
  <c r="B18" i="14"/>
  <c r="C49" i="13"/>
  <c r="C48" i="13" s="1"/>
  <c r="E51" i="13"/>
  <c r="E52" i="13"/>
  <c r="E54" i="13"/>
  <c r="E53" i="13"/>
  <c r="C105" i="13"/>
  <c r="C104" i="13" s="1"/>
  <c r="C103" i="13" s="1"/>
  <c r="E103" i="13" s="1"/>
  <c r="C97" i="13"/>
  <c r="C96" i="13" s="1"/>
  <c r="E96" i="13" s="1"/>
  <c r="C93" i="13"/>
  <c r="E31" i="13"/>
  <c r="E34" i="13"/>
  <c r="E123" i="13"/>
  <c r="C122" i="13"/>
  <c r="E70" i="13"/>
  <c r="E62" i="13"/>
  <c r="C60" i="13"/>
  <c r="E124" i="13"/>
  <c r="I17" i="10"/>
  <c r="J17" i="10" s="1"/>
  <c r="H17" i="10"/>
  <c r="F17" i="10"/>
  <c r="I16" i="10"/>
  <c r="J16" i="10" s="1"/>
  <c r="H16" i="10"/>
  <c r="F16" i="10"/>
  <c r="I15" i="10"/>
  <c r="J15" i="10" s="1"/>
  <c r="H15" i="10"/>
  <c r="F15" i="10"/>
  <c r="I14" i="10"/>
  <c r="J14" i="10" s="1"/>
  <c r="H14" i="10"/>
  <c r="F14" i="10"/>
  <c r="I13" i="10"/>
  <c r="H13" i="10"/>
  <c r="C13" i="10" s="1"/>
  <c r="F13" i="10"/>
  <c r="E114" i="13"/>
  <c r="E9" i="13"/>
  <c r="E13" i="13"/>
  <c r="E17" i="13"/>
  <c r="E21" i="13"/>
  <c r="E22" i="13"/>
  <c r="E4" i="13"/>
  <c r="C5" i="13"/>
  <c r="C6" i="13" s="1"/>
  <c r="C7" i="13" s="1"/>
  <c r="C8" i="13" s="1"/>
  <c r="E8" i="13" s="1"/>
  <c r="C10" i="13"/>
  <c r="C11" i="13" s="1"/>
  <c r="C12" i="13" s="1"/>
  <c r="E12" i="13" s="1"/>
  <c r="C14" i="13"/>
  <c r="C15" i="13" s="1"/>
  <c r="E15" i="13" s="1"/>
  <c r="C18" i="13"/>
  <c r="C19" i="13" s="1"/>
  <c r="G22" i="13"/>
  <c r="G4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C118" i="13"/>
  <c r="E118" i="13" s="1"/>
  <c r="C115" i="13"/>
  <c r="E115" i="13" s="1"/>
  <c r="G118" i="13"/>
  <c r="G110" i="13"/>
  <c r="G109" i="13"/>
  <c r="G108" i="13"/>
  <c r="G107" i="13"/>
  <c r="K14" i="10" l="1"/>
  <c r="L14" i="10" s="1"/>
  <c r="C14" i="10"/>
  <c r="K13" i="10"/>
  <c r="J13" i="10"/>
  <c r="G23" i="13"/>
  <c r="H59" i="14"/>
  <c r="B59" i="14"/>
  <c r="H69" i="14"/>
  <c r="B69" i="14"/>
  <c r="H9" i="14"/>
  <c r="B9" i="14"/>
  <c r="H19" i="14"/>
  <c r="B19" i="14"/>
  <c r="H29" i="14"/>
  <c r="B29" i="14"/>
  <c r="H39" i="14"/>
  <c r="B39" i="14"/>
  <c r="H49" i="14"/>
  <c r="B49" i="14"/>
  <c r="C47" i="13"/>
  <c r="E48" i="13"/>
  <c r="E50" i="13"/>
  <c r="E49" i="13"/>
  <c r="E97" i="13"/>
  <c r="E105" i="13"/>
  <c r="E104" i="13"/>
  <c r="C92" i="13"/>
  <c r="E93" i="13"/>
  <c r="E30" i="13"/>
  <c r="E72" i="13"/>
  <c r="E71" i="13"/>
  <c r="E33" i="13"/>
  <c r="E67" i="13"/>
  <c r="E60" i="13"/>
  <c r="C59" i="13"/>
  <c r="E5" i="13"/>
  <c r="C109" i="13"/>
  <c r="E110" i="13"/>
  <c r="E6" i="13"/>
  <c r="E128" i="13"/>
  <c r="E122" i="13"/>
  <c r="E10" i="13"/>
  <c r="C116" i="13"/>
  <c r="C117" i="13" s="1"/>
  <c r="E117" i="13" s="1"/>
  <c r="E18" i="13"/>
  <c r="E19" i="13"/>
  <c r="C20" i="13"/>
  <c r="E20" i="13" s="1"/>
  <c r="E14" i="13"/>
  <c r="E11" i="13"/>
  <c r="E7" i="13"/>
  <c r="C16" i="13"/>
  <c r="E16" i="13" s="1"/>
  <c r="L13" i="10" l="1"/>
  <c r="C15" i="10"/>
  <c r="K15" i="10"/>
  <c r="L15" i="10" s="1"/>
  <c r="H40" i="14"/>
  <c r="B40" i="14"/>
  <c r="H20" i="14"/>
  <c r="B20" i="14"/>
  <c r="H70" i="14"/>
  <c r="B70" i="14"/>
  <c r="H50" i="14"/>
  <c r="B50" i="14"/>
  <c r="H30" i="14"/>
  <c r="B30" i="14"/>
  <c r="H10" i="14"/>
  <c r="B10" i="14"/>
  <c r="H60" i="14"/>
  <c r="B60" i="14"/>
  <c r="E47" i="13"/>
  <c r="C46" i="13"/>
  <c r="C91" i="13"/>
  <c r="E92" i="13"/>
  <c r="E29" i="13"/>
  <c r="E32" i="13"/>
  <c r="E65" i="13"/>
  <c r="E66" i="13"/>
  <c r="C58" i="13"/>
  <c r="E58" i="13" s="1"/>
  <c r="E59" i="13"/>
  <c r="C108" i="13"/>
  <c r="E108" i="13" s="1"/>
  <c r="E109" i="13"/>
  <c r="E127" i="13"/>
  <c r="E126" i="13"/>
  <c r="E116" i="13"/>
  <c r="C16" i="10" l="1"/>
  <c r="K16" i="10"/>
  <c r="L16" i="10" s="1"/>
  <c r="H11" i="14"/>
  <c r="B11" i="14"/>
  <c r="H51" i="14"/>
  <c r="B51" i="14"/>
  <c r="H21" i="14"/>
  <c r="B21" i="14"/>
  <c r="H61" i="14"/>
  <c r="B61" i="14"/>
  <c r="H31" i="14"/>
  <c r="B31" i="14"/>
  <c r="H71" i="14"/>
  <c r="B71" i="14"/>
  <c r="H41" i="14"/>
  <c r="B41" i="14"/>
  <c r="C45" i="13"/>
  <c r="E46" i="13"/>
  <c r="C90" i="13"/>
  <c r="E90" i="13" s="1"/>
  <c r="E91" i="13"/>
  <c r="E28" i="13"/>
  <c r="I10" i="9"/>
  <c r="J10" i="9" s="1"/>
  <c r="H10" i="9"/>
  <c r="F10" i="9"/>
  <c r="I9" i="9"/>
  <c r="J9" i="9" s="1"/>
  <c r="H9" i="9"/>
  <c r="F9" i="9"/>
  <c r="I8" i="9"/>
  <c r="J8" i="9" s="1"/>
  <c r="H8" i="9"/>
  <c r="F8" i="9"/>
  <c r="I7" i="9"/>
  <c r="J7" i="9" s="1"/>
  <c r="H7" i="9"/>
  <c r="F7" i="9"/>
  <c r="I6" i="9"/>
  <c r="H6" i="9"/>
  <c r="C6" i="9" s="1"/>
  <c r="F6" i="9"/>
  <c r="I9" i="12"/>
  <c r="J9" i="12" s="1"/>
  <c r="H9" i="12"/>
  <c r="F9" i="12"/>
  <c r="I8" i="12"/>
  <c r="J8" i="12" s="1"/>
  <c r="H8" i="12"/>
  <c r="F8" i="12"/>
  <c r="I7" i="12"/>
  <c r="J7" i="12" s="1"/>
  <c r="H7" i="12"/>
  <c r="F7" i="12"/>
  <c r="H6" i="12"/>
  <c r="C6" i="12" s="1"/>
  <c r="F6" i="12"/>
  <c r="K7" i="9" l="1"/>
  <c r="L7" i="9" s="1"/>
  <c r="C7" i="9"/>
  <c r="K6" i="9"/>
  <c r="J6" i="9"/>
  <c r="K7" i="12"/>
  <c r="L7" i="12" s="1"/>
  <c r="C7" i="12"/>
  <c r="C17" i="10"/>
  <c r="K17" i="10"/>
  <c r="L17" i="10" s="1"/>
  <c r="O7" i="12"/>
  <c r="O11" i="12"/>
  <c r="O9" i="12"/>
  <c r="O8" i="12"/>
  <c r="O6" i="12"/>
  <c r="O10" i="12"/>
  <c r="O7" i="9"/>
  <c r="O10" i="9"/>
  <c r="O6" i="9"/>
  <c r="O9" i="9"/>
  <c r="O12" i="9"/>
  <c r="O8" i="9"/>
  <c r="O11" i="9"/>
  <c r="H72" i="14"/>
  <c r="B72" i="14"/>
  <c r="H62" i="14"/>
  <c r="B62" i="14"/>
  <c r="H52" i="14"/>
  <c r="B52" i="14"/>
  <c r="H42" i="14"/>
  <c r="B42" i="14"/>
  <c r="H32" i="14"/>
  <c r="B32" i="14"/>
  <c r="H22" i="14"/>
  <c r="B22" i="14"/>
  <c r="H12" i="14"/>
  <c r="B12" i="14"/>
  <c r="E45" i="13"/>
  <c r="E27" i="13"/>
  <c r="I15" i="11"/>
  <c r="J15" i="11" s="1"/>
  <c r="H15" i="11"/>
  <c r="F15" i="11"/>
  <c r="I14" i="11"/>
  <c r="J14" i="11" s="1"/>
  <c r="H14" i="11"/>
  <c r="F14" i="11"/>
  <c r="I13" i="11"/>
  <c r="J13" i="11" s="1"/>
  <c r="H13" i="11"/>
  <c r="F13" i="11"/>
  <c r="I12" i="11"/>
  <c r="J12" i="11" s="1"/>
  <c r="H12" i="11"/>
  <c r="F12" i="11"/>
  <c r="I11" i="11"/>
  <c r="J11" i="11" s="1"/>
  <c r="H11" i="11"/>
  <c r="F11" i="11"/>
  <c r="I10" i="11"/>
  <c r="J10" i="11" s="1"/>
  <c r="H10" i="11"/>
  <c r="F10" i="11"/>
  <c r="I9" i="11"/>
  <c r="J9" i="11" s="1"/>
  <c r="H9" i="11"/>
  <c r="F9" i="11"/>
  <c r="I8" i="11"/>
  <c r="J8" i="11" s="1"/>
  <c r="H8" i="11"/>
  <c r="F8" i="11"/>
  <c r="I7" i="11"/>
  <c r="H7" i="11"/>
  <c r="C7" i="11" s="1"/>
  <c r="F7" i="11"/>
  <c r="I10" i="10"/>
  <c r="J10" i="10" s="1"/>
  <c r="H10" i="10"/>
  <c r="F10" i="10"/>
  <c r="I9" i="10"/>
  <c r="J9" i="10" s="1"/>
  <c r="H9" i="10"/>
  <c r="F9" i="10"/>
  <c r="I8" i="10"/>
  <c r="J8" i="10" s="1"/>
  <c r="H8" i="10"/>
  <c r="F8" i="10"/>
  <c r="I7" i="10"/>
  <c r="J7" i="10" s="1"/>
  <c r="H7" i="10"/>
  <c r="F7" i="10"/>
  <c r="I6" i="10"/>
  <c r="H6" i="10"/>
  <c r="C6" i="10" s="1"/>
  <c r="F6" i="10"/>
  <c r="K7" i="11" l="1"/>
  <c r="J7" i="11"/>
  <c r="K8" i="11"/>
  <c r="C8" i="11"/>
  <c r="N23" i="11"/>
  <c r="N19" i="11"/>
  <c r="N25" i="11"/>
  <c r="N24" i="11"/>
  <c r="N22" i="11"/>
  <c r="N20" i="11"/>
  <c r="N21" i="11"/>
  <c r="C8" i="9"/>
  <c r="K8" i="9"/>
  <c r="L8" i="9" s="1"/>
  <c r="L6" i="9"/>
  <c r="C8" i="12"/>
  <c r="K8" i="12"/>
  <c r="L8" i="12" s="1"/>
  <c r="K6" i="10"/>
  <c r="J6" i="10"/>
  <c r="K7" i="10"/>
  <c r="L7" i="10" s="1"/>
  <c r="C7" i="10"/>
  <c r="N11" i="11"/>
  <c r="N7" i="11"/>
  <c r="N13" i="11"/>
  <c r="N9" i="11"/>
  <c r="N12" i="11"/>
  <c r="N8" i="11"/>
  <c r="N10" i="11"/>
  <c r="O8" i="10"/>
  <c r="O6" i="10"/>
  <c r="O9" i="10"/>
  <c r="O7" i="10"/>
  <c r="H23" i="14"/>
  <c r="B23" i="14"/>
  <c r="H43" i="14"/>
  <c r="B43" i="14"/>
  <c r="H63" i="14"/>
  <c r="B63" i="14"/>
  <c r="H13" i="14"/>
  <c r="B13" i="14"/>
  <c r="H33" i="14"/>
  <c r="B33" i="14"/>
  <c r="B53" i="14"/>
  <c r="H53" i="14"/>
  <c r="H73" i="14"/>
  <c r="B73" i="14"/>
  <c r="C43" i="13"/>
  <c r="E44" i="13"/>
  <c r="E25" i="13"/>
  <c r="E26" i="1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H21" i="3" s="1"/>
  <c r="F21" i="3"/>
  <c r="B21" i="3" s="1"/>
  <c r="H22" i="3" s="1"/>
  <c r="E21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H13" i="3" s="1"/>
  <c r="F13" i="3"/>
  <c r="B13" i="3" s="1"/>
  <c r="E13" i="3"/>
  <c r="C9" i="11" l="1"/>
  <c r="K9" i="11"/>
  <c r="L6" i="10"/>
  <c r="C9" i="9"/>
  <c r="K9" i="9"/>
  <c r="L9" i="9" s="1"/>
  <c r="C9" i="12"/>
  <c r="K9" i="12"/>
  <c r="L9" i="12" s="1"/>
  <c r="C8" i="10"/>
  <c r="K8" i="10"/>
  <c r="L8" i="10" s="1"/>
  <c r="C42" i="13"/>
  <c r="E43" i="13"/>
  <c r="B22" i="3"/>
  <c r="H14" i="3"/>
  <c r="B14" i="3"/>
  <c r="C10" i="11" l="1"/>
  <c r="K10" i="11"/>
  <c r="C10" i="9"/>
  <c r="K10" i="9"/>
  <c r="L10" i="9" s="1"/>
  <c r="C9" i="10"/>
  <c r="K9" i="10"/>
  <c r="L9" i="10" s="1"/>
  <c r="C41" i="13"/>
  <c r="E42" i="13"/>
  <c r="H23" i="3"/>
  <c r="B23" i="3"/>
  <c r="H15" i="3"/>
  <c r="B15" i="3"/>
  <c r="C11" i="11" l="1"/>
  <c r="K11" i="11"/>
  <c r="C10" i="10"/>
  <c r="K10" i="10"/>
  <c r="L10" i="10" s="1"/>
  <c r="C40" i="13"/>
  <c r="E41" i="13"/>
  <c r="H24" i="3"/>
  <c r="B24" i="3"/>
  <c r="H16" i="3"/>
  <c r="B16" i="3"/>
  <c r="C12" i="11" l="1"/>
  <c r="K12" i="11"/>
  <c r="C39" i="13"/>
  <c r="E39" i="13" s="1"/>
  <c r="E40" i="13"/>
  <c r="H25" i="3"/>
  <c r="B25" i="3"/>
  <c r="H17" i="3"/>
  <c r="B17" i="3"/>
  <c r="C13" i="11" l="1"/>
  <c r="K13" i="11"/>
  <c r="H18" i="3"/>
  <c r="B18" i="3"/>
  <c r="C14" i="11" l="1"/>
  <c r="K14" i="11"/>
  <c r="I14" i="7"/>
  <c r="J14" i="7" s="1"/>
  <c r="H14" i="7"/>
  <c r="F14" i="7"/>
  <c r="I13" i="7"/>
  <c r="J13" i="7" s="1"/>
  <c r="H13" i="7"/>
  <c r="F13" i="7"/>
  <c r="I12" i="7"/>
  <c r="J12" i="7" s="1"/>
  <c r="H12" i="7"/>
  <c r="F12" i="7"/>
  <c r="I11" i="7"/>
  <c r="J11" i="7" s="1"/>
  <c r="H11" i="7"/>
  <c r="F11" i="7"/>
  <c r="I10" i="7"/>
  <c r="J10" i="7" s="1"/>
  <c r="H10" i="7"/>
  <c r="F10" i="7"/>
  <c r="I9" i="7"/>
  <c r="J9" i="7" s="1"/>
  <c r="H9" i="7"/>
  <c r="F9" i="7"/>
  <c r="I8" i="7"/>
  <c r="J8" i="7" s="1"/>
  <c r="H8" i="7"/>
  <c r="F8" i="7"/>
  <c r="I7" i="7"/>
  <c r="J7" i="7" s="1"/>
  <c r="H7" i="7"/>
  <c r="F7" i="7"/>
  <c r="I6" i="7"/>
  <c r="H6" i="7"/>
  <c r="C6" i="7" s="1"/>
  <c r="Q6" i="7" s="1"/>
  <c r="F6" i="7"/>
  <c r="C15" i="11" l="1"/>
  <c r="K15" i="11"/>
  <c r="K7" i="7"/>
  <c r="L7" i="7" s="1"/>
  <c r="C7" i="7"/>
  <c r="Q7" i="7" s="1"/>
  <c r="K6" i="7"/>
  <c r="J6" i="7"/>
  <c r="O7" i="7"/>
  <c r="O12" i="7"/>
  <c r="O8" i="7"/>
  <c r="O11" i="7"/>
  <c r="O9" i="7"/>
  <c r="O6" i="7"/>
  <c r="O10" i="7"/>
  <c r="C61" i="2"/>
  <c r="L6" i="7" l="1"/>
  <c r="C8" i="7"/>
  <c r="Q8" i="7" s="1"/>
  <c r="K8" i="7"/>
  <c r="L8" i="7" s="1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H28" i="3" s="1"/>
  <c r="F28" i="3"/>
  <c r="B28" i="3" s="1"/>
  <c r="E28" i="3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D1" i="4"/>
  <c r="A1" i="4"/>
  <c r="J3" i="4"/>
  <c r="I18" i="5"/>
  <c r="J18" i="5" s="1"/>
  <c r="H18" i="5"/>
  <c r="F18" i="5"/>
  <c r="I17" i="5"/>
  <c r="J17" i="5" s="1"/>
  <c r="H17" i="5"/>
  <c r="F17" i="5"/>
  <c r="I16" i="5"/>
  <c r="J16" i="5" s="1"/>
  <c r="H16" i="5"/>
  <c r="F16" i="5"/>
  <c r="I15" i="5"/>
  <c r="J15" i="5" s="1"/>
  <c r="H15" i="5"/>
  <c r="F15" i="5"/>
  <c r="I14" i="5"/>
  <c r="H14" i="5"/>
  <c r="C14" i="5" s="1"/>
  <c r="F14" i="5"/>
  <c r="I10" i="5"/>
  <c r="J10" i="5" s="1"/>
  <c r="H10" i="5"/>
  <c r="F10" i="5"/>
  <c r="I9" i="5"/>
  <c r="J9" i="5" s="1"/>
  <c r="H9" i="5"/>
  <c r="F9" i="5"/>
  <c r="I8" i="5"/>
  <c r="J8" i="5" s="1"/>
  <c r="H8" i="5"/>
  <c r="F8" i="5"/>
  <c r="I7" i="5"/>
  <c r="J7" i="5" s="1"/>
  <c r="H7" i="5"/>
  <c r="F7" i="5"/>
  <c r="I6" i="5"/>
  <c r="H6" i="5"/>
  <c r="C6" i="5" s="1"/>
  <c r="F6" i="5"/>
  <c r="G8" i="4"/>
  <c r="F8" i="4"/>
  <c r="E8" i="4"/>
  <c r="G7" i="4"/>
  <c r="F7" i="4"/>
  <c r="E7" i="4"/>
  <c r="G6" i="4"/>
  <c r="H6" i="4" s="1"/>
  <c r="F6" i="4"/>
  <c r="B6" i="4" s="1"/>
  <c r="H7" i="4" s="1"/>
  <c r="E6" i="4"/>
  <c r="F18" i="2"/>
  <c r="H18" i="2"/>
  <c r="I18" i="2"/>
  <c r="F19" i="2"/>
  <c r="H19" i="2"/>
  <c r="I19" i="2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H5" i="3" s="1"/>
  <c r="F5" i="3"/>
  <c r="B5" i="3" s="1"/>
  <c r="E5" i="3"/>
  <c r="I26" i="2"/>
  <c r="J26" i="2" s="1"/>
  <c r="H26" i="2"/>
  <c r="F26" i="2"/>
  <c r="I25" i="2"/>
  <c r="J25" i="2" s="1"/>
  <c r="H25" i="2"/>
  <c r="F25" i="2"/>
  <c r="I24" i="2"/>
  <c r="J24" i="2" s="1"/>
  <c r="H24" i="2"/>
  <c r="F24" i="2"/>
  <c r="I23" i="2"/>
  <c r="J23" i="2" s="1"/>
  <c r="H23" i="2"/>
  <c r="F23" i="2"/>
  <c r="I22" i="2"/>
  <c r="H22" i="2"/>
  <c r="C22" i="2" s="1"/>
  <c r="F22" i="2"/>
  <c r="I17" i="2"/>
  <c r="H17" i="2"/>
  <c r="F17" i="2"/>
  <c r="I16" i="2"/>
  <c r="H16" i="2"/>
  <c r="F16" i="2"/>
  <c r="I15" i="2"/>
  <c r="J15" i="2" s="1"/>
  <c r="H15" i="2"/>
  <c r="F15" i="2"/>
  <c r="I14" i="2"/>
  <c r="H14" i="2"/>
  <c r="C14" i="2" s="1"/>
  <c r="F14" i="2"/>
  <c r="F7" i="2"/>
  <c r="H7" i="2"/>
  <c r="I7" i="2"/>
  <c r="F8" i="2"/>
  <c r="H8" i="2"/>
  <c r="I8" i="2"/>
  <c r="F9" i="2"/>
  <c r="H9" i="2"/>
  <c r="I9" i="2"/>
  <c r="F10" i="2"/>
  <c r="H10" i="2"/>
  <c r="I10" i="2"/>
  <c r="F11" i="2"/>
  <c r="H11" i="2"/>
  <c r="I11" i="2"/>
  <c r="H6" i="2"/>
  <c r="C6" i="2" s="1"/>
  <c r="I6" i="2"/>
  <c r="J6" i="2" s="1"/>
  <c r="F6" i="2"/>
  <c r="C9" i="7" l="1"/>
  <c r="Q9" i="7" s="1"/>
  <c r="K9" i="7"/>
  <c r="L9" i="7" s="1"/>
  <c r="K15" i="5"/>
  <c r="L15" i="5" s="1"/>
  <c r="C15" i="5"/>
  <c r="C7" i="5"/>
  <c r="K7" i="5"/>
  <c r="L7" i="5" s="1"/>
  <c r="J14" i="5"/>
  <c r="K14" i="5"/>
  <c r="J6" i="5"/>
  <c r="K6" i="5"/>
  <c r="C7" i="2"/>
  <c r="C8" i="2" s="1"/>
  <c r="C9" i="2" s="1"/>
  <c r="C10" i="2" s="1"/>
  <c r="C11" i="2" s="1"/>
  <c r="C15" i="2"/>
  <c r="C16" i="2" s="1"/>
  <c r="C17" i="2" s="1"/>
  <c r="C18" i="2" s="1"/>
  <c r="C19" i="2" s="1"/>
  <c r="C23" i="2"/>
  <c r="C24" i="2" s="1"/>
  <c r="C25" i="2" s="1"/>
  <c r="C26" i="2" s="1"/>
  <c r="K14" i="2"/>
  <c r="J14" i="2"/>
  <c r="K22" i="2"/>
  <c r="L22" i="2" s="1"/>
  <c r="J22" i="2"/>
  <c r="K6" i="2"/>
  <c r="L6" i="2" s="1"/>
  <c r="K8" i="3"/>
  <c r="K5" i="3"/>
  <c r="K9" i="3"/>
  <c r="K6" i="3"/>
  <c r="K10" i="3"/>
  <c r="K7" i="3"/>
  <c r="K11" i="3"/>
  <c r="O9" i="5"/>
  <c r="O12" i="5"/>
  <c r="O8" i="5"/>
  <c r="O11" i="5"/>
  <c r="O7" i="5"/>
  <c r="O10" i="5"/>
  <c r="O6" i="5"/>
  <c r="K10" i="4"/>
  <c r="K6" i="4"/>
  <c r="K8" i="4"/>
  <c r="K7" i="4"/>
  <c r="K9" i="4"/>
  <c r="K12" i="4"/>
  <c r="K11" i="4"/>
  <c r="O8" i="2"/>
  <c r="O12" i="2"/>
  <c r="O16" i="2"/>
  <c r="O14" i="2"/>
  <c r="O7" i="2"/>
  <c r="O15" i="2"/>
  <c r="O9" i="2"/>
  <c r="O13" i="2"/>
  <c r="O17" i="2"/>
  <c r="O10" i="2"/>
  <c r="O6" i="2"/>
  <c r="O11" i="2"/>
  <c r="H29" i="3"/>
  <c r="B29" i="3"/>
  <c r="B7" i="4"/>
  <c r="H6" i="3"/>
  <c r="B6" i="3"/>
  <c r="L14" i="2" l="1"/>
  <c r="C10" i="7"/>
  <c r="Q10" i="7" s="1"/>
  <c r="K10" i="7"/>
  <c r="L10" i="7" s="1"/>
  <c r="L6" i="5"/>
  <c r="C8" i="5"/>
  <c r="K8" i="5"/>
  <c r="L8" i="5" s="1"/>
  <c r="L14" i="5"/>
  <c r="C16" i="5"/>
  <c r="K16" i="5"/>
  <c r="L16" i="5" s="1"/>
  <c r="K15" i="2"/>
  <c r="L15" i="2" s="1"/>
  <c r="K23" i="2"/>
  <c r="L23" i="2" s="1"/>
  <c r="K9" i="2"/>
  <c r="J7" i="2"/>
  <c r="H30" i="3"/>
  <c r="B30" i="3"/>
  <c r="H8" i="4"/>
  <c r="B8" i="4"/>
  <c r="H7" i="3"/>
  <c r="B7" i="3"/>
  <c r="K24" i="2"/>
  <c r="L24" i="2" s="1"/>
  <c r="K7" i="2"/>
  <c r="K8" i="2"/>
  <c r="K16" i="2"/>
  <c r="L7" i="2" l="1"/>
  <c r="C11" i="7"/>
  <c r="Q11" i="7" s="1"/>
  <c r="K11" i="7"/>
  <c r="L11" i="7" s="1"/>
  <c r="C17" i="5"/>
  <c r="K17" i="5"/>
  <c r="L17" i="5" s="1"/>
  <c r="C9" i="5"/>
  <c r="K9" i="5"/>
  <c r="L9" i="5" s="1"/>
  <c r="K11" i="2"/>
  <c r="J16" i="2"/>
  <c r="L16" i="2" s="1"/>
  <c r="H31" i="3"/>
  <c r="B31" i="3"/>
  <c r="H9" i="4"/>
  <c r="B9" i="4"/>
  <c r="H8" i="3"/>
  <c r="B8" i="3"/>
  <c r="K25" i="2"/>
  <c r="L25" i="2" s="1"/>
  <c r="K17" i="2"/>
  <c r="C12" i="7" l="1"/>
  <c r="Q12" i="7" s="1"/>
  <c r="K12" i="7"/>
  <c r="L12" i="7" s="1"/>
  <c r="C18" i="5"/>
  <c r="K18" i="5"/>
  <c r="L18" i="5" s="1"/>
  <c r="C10" i="5"/>
  <c r="K10" i="5"/>
  <c r="L10" i="5" s="1"/>
  <c r="J8" i="2"/>
  <c r="L8" i="2" s="1"/>
  <c r="K10" i="2"/>
  <c r="J17" i="2"/>
  <c r="L17" i="2" s="1"/>
  <c r="H32" i="3"/>
  <c r="B32" i="3"/>
  <c r="B10" i="4"/>
  <c r="H10" i="4"/>
  <c r="K26" i="2"/>
  <c r="L26" i="2" s="1"/>
  <c r="H9" i="3"/>
  <c r="B9" i="3"/>
  <c r="C13" i="7" l="1"/>
  <c r="Q13" i="7" s="1"/>
  <c r="K13" i="7"/>
  <c r="L13" i="7" s="1"/>
  <c r="J9" i="2"/>
  <c r="L9" i="2" s="1"/>
  <c r="J18" i="2"/>
  <c r="H11" i="4"/>
  <c r="B11" i="4"/>
  <c r="K18" i="2"/>
  <c r="J19" i="2"/>
  <c r="H10" i="3"/>
  <c r="B10" i="3"/>
  <c r="L18" i="2" l="1"/>
  <c r="C14" i="7"/>
  <c r="Q14" i="7" s="1"/>
  <c r="K14" i="7"/>
  <c r="L14" i="7" s="1"/>
  <c r="J10" i="2"/>
  <c r="L10" i="2" s="1"/>
  <c r="B12" i="4"/>
  <c r="H12" i="4"/>
  <c r="K19" i="2"/>
  <c r="L19" i="2" s="1"/>
  <c r="J11" i="2" l="1"/>
  <c r="L11" i="2" s="1"/>
  <c r="B13" i="4"/>
  <c r="H13" i="4"/>
</calcChain>
</file>

<file path=xl/sharedStrings.xml><?xml version="1.0" encoding="utf-8"?>
<sst xmlns="http://schemas.openxmlformats.org/spreadsheetml/2006/main" count="468" uniqueCount="88">
  <si>
    <t>ТАН-612F</t>
  </si>
  <si>
    <t>ТАН-624F</t>
  </si>
  <si>
    <t>ТАН-616F</t>
  </si>
  <si>
    <t>ТАН-620F</t>
  </si>
  <si>
    <t>Тип</t>
  </si>
  <si>
    <t>Затух Отвод</t>
  </si>
  <si>
    <t>TAH-426F</t>
  </si>
  <si>
    <t>ТАН-410F</t>
  </si>
  <si>
    <t>ТАН-412F</t>
  </si>
  <si>
    <t>ТАН-414F</t>
  </si>
  <si>
    <t>ТАН-416F</t>
  </si>
  <si>
    <t>ТАН-420F</t>
  </si>
  <si>
    <t>ТАН-424F</t>
  </si>
  <si>
    <t>ТАН-120F</t>
  </si>
  <si>
    <t>ТАН-106F</t>
  </si>
  <si>
    <t>ТАН-108F</t>
  </si>
  <si>
    <t>ТАН-110F</t>
  </si>
  <si>
    <t>ТАН-112F</t>
  </si>
  <si>
    <t>ТАН-116F</t>
  </si>
  <si>
    <t>RG11</t>
  </si>
  <si>
    <t>Кабель м.</t>
  </si>
  <si>
    <t>Индекс устройства</t>
  </si>
  <si>
    <t>Устройство</t>
  </si>
  <si>
    <t>Затух. Проход</t>
  </si>
  <si>
    <t>Затух. Отвод</t>
  </si>
  <si>
    <t>На отводе</t>
  </si>
  <si>
    <t>На вых.</t>
  </si>
  <si>
    <t>Этаж</t>
  </si>
  <si>
    <t xml:space="preserve"> 1 сектор </t>
  </si>
  <si>
    <t>ТАН-812F</t>
  </si>
  <si>
    <t>ТАН-816F</t>
  </si>
  <si>
    <t>ТАН-820F</t>
  </si>
  <si>
    <t>ТАН-310F</t>
  </si>
  <si>
    <t>ТАН-312F</t>
  </si>
  <si>
    <t>ТАН-316F</t>
  </si>
  <si>
    <t>ТАН-320F</t>
  </si>
  <si>
    <t>ТАН-324F</t>
  </si>
  <si>
    <t>ТАН-208F</t>
  </si>
  <si>
    <t>ТАН-210F</t>
  </si>
  <si>
    <t>ТАН-212F</t>
  </si>
  <si>
    <t>ТАН-216F</t>
  </si>
  <si>
    <t>ТАН-220F</t>
  </si>
  <si>
    <t>ТАН-224F</t>
  </si>
  <si>
    <t>ТАН-227F</t>
  </si>
  <si>
    <t>TAH-230F</t>
  </si>
  <si>
    <t>9 кв/эт</t>
  </si>
  <si>
    <t>3 кв/эт</t>
  </si>
  <si>
    <t>4 кв/эт</t>
  </si>
  <si>
    <t xml:space="preserve"> 3 подъезд </t>
  </si>
  <si>
    <t xml:space="preserve"> 1,2 подъезд </t>
  </si>
  <si>
    <t>6 кв/эт</t>
  </si>
  <si>
    <t>8 кв/эт</t>
  </si>
  <si>
    <t>UTP</t>
  </si>
  <si>
    <t>2-6 эт</t>
  </si>
  <si>
    <t>7-12 эт</t>
  </si>
  <si>
    <t>Кабелей в трубе</t>
  </si>
  <si>
    <t>Патч</t>
  </si>
  <si>
    <t>Квартир</t>
  </si>
  <si>
    <t>Труба, шт.</t>
  </si>
  <si>
    <t>+</t>
  </si>
  <si>
    <t>Длина, м.</t>
  </si>
  <si>
    <t>25  - 4кв.эт.</t>
  </si>
  <si>
    <t>Техэт</t>
  </si>
  <si>
    <t>Т, шт</t>
  </si>
  <si>
    <t>Квартирный кабель, шт.</t>
  </si>
  <si>
    <t>Магистр. кабель, шт.</t>
  </si>
  <si>
    <t>Коэф. Магистр. Кабеля</t>
  </si>
  <si>
    <t>16  - 8кв.эт.</t>
  </si>
  <si>
    <t>23, 26 - 4кв.эт.</t>
  </si>
  <si>
    <t>27 - 4кв.эт.</t>
  </si>
  <si>
    <t>20  - 4кв.эт.</t>
  </si>
  <si>
    <t>21 - 6кв.эт.</t>
  </si>
  <si>
    <t>17 -3-4 кв.эт.</t>
  </si>
  <si>
    <t>Тех</t>
  </si>
  <si>
    <t>22 - 6 кв.эт.</t>
  </si>
  <si>
    <t>18,19  - 8кв.эт.</t>
  </si>
  <si>
    <t>SAH306F</t>
  </si>
  <si>
    <t>Cable</t>
  </si>
  <si>
    <t>21 - 6кв.эт. 2 вариант (низ)</t>
  </si>
  <si>
    <t>Затух Проход до 470 МГц</t>
  </si>
  <si>
    <t>Затух Проход после 470 МГц</t>
  </si>
  <si>
    <t>Текст</t>
  </si>
  <si>
    <t>SAH204F</t>
  </si>
  <si>
    <t>3 вариант - актуальный</t>
  </si>
  <si>
    <t>2 вариант</t>
  </si>
  <si>
    <t>ТАН-426F</t>
  </si>
  <si>
    <t>На вых.Н</t>
  </si>
  <si>
    <t>На вых.В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</si>
</sst>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FF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7F0FD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2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Обычный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9FF99"/>
      <color rgb="FF0000FF"/>
      <color rgb="FFFFCCFF"/>
      <color rgb="FFE7F0FD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145" zoomScaleNormal="145" workbookViewId="0">
      <selection activeCell="G41" sqref="G41"/>
    </sheetView>
  </sheetViews>
  <sheetFormatPr defaultRowHeight="15" x14ac:dyDescent="0.25"/>
  <cols>
    <col min="1" max="1" width="12.375" style="2" customWidth="1"/>
    <col min="2" max="2" width="9.125" style="2"/>
    <col min="3" max="3" width="9.125" style="2" customWidth="1"/>
    <col min="4" max="4" width="6.875" style="2" customWidth="1"/>
    <col min="6" max="6" width="9.125" style="2"/>
    <col min="7" max="7" width="9.125" style="2" customWidth="1"/>
  </cols>
  <sheetData>
    <row r="1" spans="1:10" ht="60" x14ac:dyDescent="0.25">
      <c r="A1" s="2" t="s">
        <v>4</v>
      </c>
      <c r="B1" s="3" t="s">
        <v>79</v>
      </c>
      <c r="C1" s="3" t="s">
        <v>80</v>
      </c>
      <c r="D1" s="3" t="s">
        <v>5</v>
      </c>
      <c r="F1" s="3" t="s">
        <v>79</v>
      </c>
      <c r="G1" s="3" t="s">
        <v>80</v>
      </c>
    </row>
    <row r="2" spans="1:10" x14ac:dyDescent="0.25">
      <c r="A2" s="2" t="s">
        <v>14</v>
      </c>
      <c r="B2" s="2">
        <f>F2+0.5</f>
        <v>3</v>
      </c>
      <c r="C2" s="2">
        <f>G2+0.5</f>
        <v>3.5</v>
      </c>
      <c r="D2" s="3">
        <v>6</v>
      </c>
      <c r="F2" s="2">
        <v>2.5</v>
      </c>
      <c r="G2" s="3">
        <v>3</v>
      </c>
    </row>
    <row r="3" spans="1:10" x14ac:dyDescent="0.25">
      <c r="A3" s="2" t="s">
        <v>15</v>
      </c>
      <c r="B3" s="2">
        <f t="shared" ref="B3:B39" si="0">F3+0.5</f>
        <v>2.5</v>
      </c>
      <c r="C3" s="2">
        <f t="shared" ref="C3:C39" si="1">G3+0.5</f>
        <v>2.9</v>
      </c>
      <c r="D3" s="3">
        <v>8</v>
      </c>
      <c r="F3" s="2">
        <v>2</v>
      </c>
      <c r="G3" s="3">
        <v>2.4</v>
      </c>
    </row>
    <row r="4" spans="1:10" x14ac:dyDescent="0.25">
      <c r="A4" s="2" t="s">
        <v>16</v>
      </c>
      <c r="B4" s="2">
        <f t="shared" si="0"/>
        <v>2.5</v>
      </c>
      <c r="C4" s="2">
        <f t="shared" si="1"/>
        <v>2.9</v>
      </c>
      <c r="D4" s="3">
        <v>10</v>
      </c>
      <c r="F4" s="2">
        <v>2</v>
      </c>
      <c r="G4" s="3">
        <v>2.4</v>
      </c>
    </row>
    <row r="5" spans="1:10" x14ac:dyDescent="0.25">
      <c r="A5" s="2" t="s">
        <v>17</v>
      </c>
      <c r="B5" s="2">
        <f t="shared" si="0"/>
        <v>1.3</v>
      </c>
      <c r="C5" s="2">
        <f t="shared" si="1"/>
        <v>2</v>
      </c>
      <c r="D5" s="3">
        <v>12</v>
      </c>
      <c r="F5" s="2">
        <v>0.8</v>
      </c>
      <c r="G5" s="3">
        <v>1.5</v>
      </c>
    </row>
    <row r="6" spans="1:10" x14ac:dyDescent="0.25">
      <c r="A6" s="2" t="s">
        <v>18</v>
      </c>
      <c r="B6" s="2">
        <f t="shared" si="0"/>
        <v>1.3</v>
      </c>
      <c r="C6" s="2">
        <f t="shared" si="1"/>
        <v>1.5</v>
      </c>
      <c r="D6" s="3">
        <v>16</v>
      </c>
      <c r="F6" s="2">
        <v>0.8</v>
      </c>
      <c r="G6" s="3">
        <v>1</v>
      </c>
    </row>
    <row r="7" spans="1:10" x14ac:dyDescent="0.25">
      <c r="A7" s="2" t="s">
        <v>13</v>
      </c>
      <c r="B7" s="2">
        <f t="shared" si="0"/>
        <v>1.3</v>
      </c>
      <c r="C7" s="2">
        <f t="shared" si="1"/>
        <v>1.5</v>
      </c>
      <c r="D7" s="3">
        <v>20</v>
      </c>
      <c r="F7" s="2">
        <v>0.8</v>
      </c>
      <c r="G7" s="3">
        <v>1</v>
      </c>
    </row>
    <row r="8" spans="1:10" x14ac:dyDescent="0.25">
      <c r="D8" s="3"/>
      <c r="G8" s="3"/>
    </row>
    <row r="9" spans="1:10" x14ac:dyDescent="0.25">
      <c r="A9" s="2" t="s">
        <v>37</v>
      </c>
      <c r="B9" s="2">
        <f t="shared" si="0"/>
        <v>4.3</v>
      </c>
      <c r="C9" s="2">
        <f t="shared" si="1"/>
        <v>4.7</v>
      </c>
      <c r="D9" s="2">
        <v>8</v>
      </c>
      <c r="E9" s="1"/>
      <c r="F9" s="2">
        <v>3.8</v>
      </c>
      <c r="G9" s="1">
        <v>4.2</v>
      </c>
      <c r="H9" s="1"/>
      <c r="I9" s="1"/>
      <c r="J9" s="1"/>
    </row>
    <row r="10" spans="1:10" x14ac:dyDescent="0.25">
      <c r="A10" s="2" t="s">
        <v>38</v>
      </c>
      <c r="B10" s="2">
        <f t="shared" si="0"/>
        <v>3.3</v>
      </c>
      <c r="C10" s="2">
        <f t="shared" si="1"/>
        <v>3.7</v>
      </c>
      <c r="D10" s="2">
        <v>10</v>
      </c>
      <c r="E10" s="1"/>
      <c r="F10" s="2">
        <v>2.8</v>
      </c>
      <c r="G10" s="1">
        <v>3.2</v>
      </c>
      <c r="H10" s="1"/>
      <c r="I10" s="1"/>
      <c r="J10" s="1"/>
    </row>
    <row r="11" spans="1:10" x14ac:dyDescent="0.25">
      <c r="A11" s="2" t="s">
        <v>39</v>
      </c>
      <c r="B11" s="2">
        <f t="shared" si="0"/>
        <v>2.2999999999999998</v>
      </c>
      <c r="C11" s="2">
        <f t="shared" si="1"/>
        <v>2.7</v>
      </c>
      <c r="D11" s="2">
        <v>12</v>
      </c>
      <c r="E11" s="1"/>
      <c r="F11" s="2">
        <v>1.8</v>
      </c>
      <c r="G11" s="1">
        <v>2.2000000000000002</v>
      </c>
      <c r="H11" s="1"/>
      <c r="I11" s="1"/>
      <c r="J11" s="1"/>
    </row>
    <row r="12" spans="1:10" x14ac:dyDescent="0.25">
      <c r="A12" s="2" t="s">
        <v>40</v>
      </c>
      <c r="B12" s="2">
        <f t="shared" si="0"/>
        <v>1.7</v>
      </c>
      <c r="C12" s="2">
        <f t="shared" si="1"/>
        <v>2</v>
      </c>
      <c r="D12" s="2">
        <v>16</v>
      </c>
      <c r="E12" s="1"/>
      <c r="F12" s="2">
        <v>1.2</v>
      </c>
      <c r="G12" s="1">
        <v>1.5</v>
      </c>
      <c r="H12" s="1"/>
      <c r="I12" s="1"/>
      <c r="J12" s="1"/>
    </row>
    <row r="13" spans="1:10" x14ac:dyDescent="0.25">
      <c r="A13" s="2" t="s">
        <v>41</v>
      </c>
      <c r="B13" s="2">
        <f t="shared" si="0"/>
        <v>1.5</v>
      </c>
      <c r="C13" s="2">
        <f t="shared" si="1"/>
        <v>1.5</v>
      </c>
      <c r="D13" s="2">
        <v>20</v>
      </c>
      <c r="E13" s="1"/>
      <c r="F13" s="2">
        <v>1</v>
      </c>
      <c r="G13" s="1">
        <v>1</v>
      </c>
      <c r="H13" s="1"/>
      <c r="I13" s="1"/>
      <c r="J13" s="1"/>
    </row>
    <row r="14" spans="1:10" x14ac:dyDescent="0.25">
      <c r="A14" s="2" t="s">
        <v>42</v>
      </c>
      <c r="B14" s="2">
        <f t="shared" si="0"/>
        <v>1.5</v>
      </c>
      <c r="C14" s="2">
        <f t="shared" si="1"/>
        <v>1.5</v>
      </c>
      <c r="D14" s="2">
        <v>24</v>
      </c>
      <c r="E14" s="1"/>
      <c r="F14" s="2">
        <v>1</v>
      </c>
      <c r="G14" s="1">
        <v>1</v>
      </c>
      <c r="H14" s="1"/>
      <c r="I14" s="1"/>
      <c r="J14" s="1"/>
    </row>
    <row r="15" spans="1:10" x14ac:dyDescent="0.25">
      <c r="A15" s="2" t="s">
        <v>43</v>
      </c>
      <c r="B15" s="2">
        <f t="shared" si="0"/>
        <v>1.5</v>
      </c>
      <c r="C15" s="2">
        <f t="shared" si="1"/>
        <v>1.5</v>
      </c>
      <c r="D15" s="2">
        <v>27</v>
      </c>
      <c r="E15" s="1"/>
      <c r="F15" s="2">
        <v>1</v>
      </c>
      <c r="G15" s="1">
        <v>1</v>
      </c>
      <c r="H15" s="1"/>
      <c r="I15" s="1"/>
      <c r="J15" s="1"/>
    </row>
    <row r="16" spans="1:10" x14ac:dyDescent="0.25">
      <c r="A16" s="2" t="s">
        <v>44</v>
      </c>
      <c r="B16" s="2">
        <f t="shared" si="0"/>
        <v>1.5</v>
      </c>
      <c r="C16" s="2">
        <f t="shared" si="1"/>
        <v>1.5</v>
      </c>
      <c r="D16" s="2">
        <v>30</v>
      </c>
      <c r="E16" s="1"/>
      <c r="F16" s="2">
        <v>1</v>
      </c>
      <c r="G16" s="2">
        <v>1</v>
      </c>
      <c r="H16" s="1"/>
      <c r="I16" s="1"/>
      <c r="J16" s="1"/>
    </row>
    <row r="17" spans="1:10" x14ac:dyDescent="0.25">
      <c r="D17" s="3"/>
      <c r="E17" s="1"/>
      <c r="G17" s="3"/>
      <c r="H17" s="1"/>
      <c r="I17" s="1"/>
      <c r="J17" s="1"/>
    </row>
    <row r="18" spans="1:10" x14ac:dyDescent="0.25">
      <c r="A18" s="2" t="s">
        <v>32</v>
      </c>
      <c r="B18" s="2">
        <f t="shared" si="0"/>
        <v>4</v>
      </c>
      <c r="C18" s="2">
        <f t="shared" si="1"/>
        <v>5</v>
      </c>
      <c r="D18" s="3">
        <v>10</v>
      </c>
      <c r="F18" s="2">
        <v>3.5</v>
      </c>
      <c r="G18" s="2">
        <v>4.5</v>
      </c>
    </row>
    <row r="19" spans="1:10" x14ac:dyDescent="0.25">
      <c r="A19" s="2" t="s">
        <v>33</v>
      </c>
      <c r="B19" s="2">
        <f t="shared" si="0"/>
        <v>4</v>
      </c>
      <c r="C19" s="2">
        <f t="shared" si="1"/>
        <v>4.5</v>
      </c>
      <c r="D19" s="3">
        <v>12</v>
      </c>
      <c r="F19" s="2">
        <v>3.5</v>
      </c>
      <c r="G19" s="2">
        <v>4</v>
      </c>
    </row>
    <row r="20" spans="1:10" x14ac:dyDescent="0.25">
      <c r="A20" s="2" t="s">
        <v>34</v>
      </c>
      <c r="B20" s="2">
        <f t="shared" si="0"/>
        <v>2.5</v>
      </c>
      <c r="C20" s="2">
        <f t="shared" si="1"/>
        <v>3</v>
      </c>
      <c r="D20" s="3">
        <v>16</v>
      </c>
      <c r="F20" s="2">
        <v>2</v>
      </c>
      <c r="G20" s="2">
        <v>2.5</v>
      </c>
    </row>
    <row r="21" spans="1:10" x14ac:dyDescent="0.25">
      <c r="A21" s="2" t="s">
        <v>35</v>
      </c>
      <c r="B21" s="2">
        <f t="shared" si="0"/>
        <v>1.7</v>
      </c>
      <c r="C21" s="2">
        <f t="shared" si="1"/>
        <v>2</v>
      </c>
      <c r="D21" s="3">
        <v>20</v>
      </c>
      <c r="F21" s="2">
        <v>1.2</v>
      </c>
      <c r="G21" s="2">
        <v>1.5</v>
      </c>
    </row>
    <row r="22" spans="1:10" x14ac:dyDescent="0.25">
      <c r="A22" s="2" t="s">
        <v>36</v>
      </c>
      <c r="B22" s="2">
        <f t="shared" si="0"/>
        <v>1.5</v>
      </c>
      <c r="C22" s="2">
        <f t="shared" si="1"/>
        <v>1.7</v>
      </c>
      <c r="D22" s="3">
        <v>24</v>
      </c>
      <c r="F22" s="2">
        <v>1</v>
      </c>
      <c r="G22" s="2">
        <v>1.2</v>
      </c>
    </row>
    <row r="23" spans="1:10" x14ac:dyDescent="0.25">
      <c r="D23" s="3"/>
      <c r="G23" s="3"/>
    </row>
    <row r="24" spans="1:10" x14ac:dyDescent="0.25">
      <c r="A24" s="2" t="s">
        <v>7</v>
      </c>
      <c r="B24" s="2">
        <f t="shared" si="0"/>
        <v>4</v>
      </c>
      <c r="C24" s="2">
        <f t="shared" si="1"/>
        <v>5</v>
      </c>
      <c r="D24" s="2">
        <v>10</v>
      </c>
      <c r="F24" s="2">
        <v>3.5</v>
      </c>
      <c r="G24" s="2">
        <v>4.5</v>
      </c>
    </row>
    <row r="25" spans="1:10" x14ac:dyDescent="0.25">
      <c r="A25" s="2" t="s">
        <v>8</v>
      </c>
      <c r="B25" s="2">
        <f t="shared" si="0"/>
        <v>4</v>
      </c>
      <c r="C25" s="2">
        <f t="shared" si="1"/>
        <v>4.5</v>
      </c>
      <c r="D25" s="2">
        <v>12</v>
      </c>
      <c r="F25" s="2">
        <v>3.5</v>
      </c>
      <c r="G25" s="2">
        <v>4</v>
      </c>
    </row>
    <row r="26" spans="1:10" x14ac:dyDescent="0.25">
      <c r="A26" s="2" t="s">
        <v>9</v>
      </c>
      <c r="B26" s="2">
        <f t="shared" si="0"/>
        <v>3</v>
      </c>
      <c r="C26" s="2">
        <f t="shared" si="1"/>
        <v>3.5</v>
      </c>
      <c r="D26" s="2">
        <v>14</v>
      </c>
      <c r="F26" s="2">
        <v>2.5</v>
      </c>
      <c r="G26" s="3">
        <v>3</v>
      </c>
    </row>
    <row r="27" spans="1:10" x14ac:dyDescent="0.25">
      <c r="A27" s="2" t="s">
        <v>10</v>
      </c>
      <c r="B27" s="2">
        <f t="shared" si="0"/>
        <v>2.5</v>
      </c>
      <c r="C27" s="2">
        <f t="shared" si="1"/>
        <v>3</v>
      </c>
      <c r="D27" s="2">
        <v>16</v>
      </c>
      <c r="F27" s="2">
        <v>2</v>
      </c>
      <c r="G27" s="2">
        <v>2.5</v>
      </c>
    </row>
    <row r="28" spans="1:10" x14ac:dyDescent="0.25">
      <c r="A28" s="2" t="s">
        <v>11</v>
      </c>
      <c r="B28" s="2">
        <f t="shared" si="0"/>
        <v>1.7</v>
      </c>
      <c r="C28" s="2">
        <f t="shared" si="1"/>
        <v>2</v>
      </c>
      <c r="D28" s="2">
        <v>20</v>
      </c>
      <c r="F28" s="2">
        <v>1.2</v>
      </c>
      <c r="G28" s="2">
        <v>1.5</v>
      </c>
    </row>
    <row r="29" spans="1:10" x14ac:dyDescent="0.25">
      <c r="A29" s="2" t="s">
        <v>12</v>
      </c>
      <c r="B29" s="2">
        <f t="shared" si="0"/>
        <v>1.5</v>
      </c>
      <c r="C29" s="2">
        <f t="shared" si="1"/>
        <v>1.7</v>
      </c>
      <c r="D29" s="2">
        <v>24</v>
      </c>
      <c r="F29" s="2">
        <v>1</v>
      </c>
      <c r="G29" s="2">
        <v>1.2</v>
      </c>
    </row>
    <row r="30" spans="1:10" x14ac:dyDescent="0.25">
      <c r="A30" s="2" t="s">
        <v>85</v>
      </c>
      <c r="B30" s="2">
        <f t="shared" si="0"/>
        <v>1.5</v>
      </c>
      <c r="C30" s="2">
        <f t="shared" si="1"/>
        <v>1.7</v>
      </c>
      <c r="D30" s="2">
        <v>26</v>
      </c>
      <c r="F30" s="2">
        <v>1</v>
      </c>
      <c r="G30" s="2">
        <v>1.2</v>
      </c>
    </row>
    <row r="32" spans="1:10" x14ac:dyDescent="0.25">
      <c r="A32" s="2" t="s">
        <v>0</v>
      </c>
      <c r="B32" s="2">
        <f t="shared" si="0"/>
        <v>4</v>
      </c>
      <c r="C32" s="2">
        <f t="shared" si="1"/>
        <v>5</v>
      </c>
      <c r="D32" s="2">
        <v>12</v>
      </c>
      <c r="F32" s="2">
        <v>3.5</v>
      </c>
      <c r="G32" s="2">
        <v>4.5</v>
      </c>
    </row>
    <row r="33" spans="1:7" x14ac:dyDescent="0.25">
      <c r="A33" s="2" t="s">
        <v>2</v>
      </c>
      <c r="B33" s="2">
        <f t="shared" si="0"/>
        <v>2.5</v>
      </c>
      <c r="C33" s="2">
        <f t="shared" si="1"/>
        <v>3</v>
      </c>
      <c r="D33" s="2">
        <v>16</v>
      </c>
      <c r="F33" s="2">
        <v>2</v>
      </c>
      <c r="G33" s="2">
        <v>2.5</v>
      </c>
    </row>
    <row r="34" spans="1:7" x14ac:dyDescent="0.25">
      <c r="A34" s="2" t="s">
        <v>3</v>
      </c>
      <c r="B34" s="2">
        <f t="shared" si="0"/>
        <v>1.7</v>
      </c>
      <c r="C34" s="2">
        <f t="shared" si="1"/>
        <v>2</v>
      </c>
      <c r="D34" s="2">
        <v>20</v>
      </c>
      <c r="F34" s="2">
        <v>1.2</v>
      </c>
      <c r="G34" s="2">
        <v>1.5</v>
      </c>
    </row>
    <row r="35" spans="1:7" x14ac:dyDescent="0.25">
      <c r="A35" s="2" t="s">
        <v>1</v>
      </c>
      <c r="B35" s="2">
        <f t="shared" si="0"/>
        <v>1.5</v>
      </c>
      <c r="C35" s="2">
        <f t="shared" si="1"/>
        <v>1.7</v>
      </c>
      <c r="D35" s="2">
        <v>24</v>
      </c>
      <c r="F35" s="2">
        <v>1</v>
      </c>
      <c r="G35" s="2">
        <v>1.2</v>
      </c>
    </row>
    <row r="37" spans="1:7" x14ac:dyDescent="0.25">
      <c r="A37" s="2" t="s">
        <v>29</v>
      </c>
      <c r="B37" s="2">
        <f t="shared" si="0"/>
        <v>4</v>
      </c>
      <c r="C37" s="2">
        <f t="shared" si="1"/>
        <v>5</v>
      </c>
      <c r="D37" s="2">
        <v>12</v>
      </c>
      <c r="F37" s="2">
        <v>3.5</v>
      </c>
      <c r="G37" s="2">
        <v>4.5</v>
      </c>
    </row>
    <row r="38" spans="1:7" x14ac:dyDescent="0.25">
      <c r="A38" s="2" t="s">
        <v>30</v>
      </c>
      <c r="B38" s="2">
        <f t="shared" si="0"/>
        <v>4</v>
      </c>
      <c r="C38" s="2">
        <f t="shared" si="1"/>
        <v>4.7</v>
      </c>
      <c r="D38" s="2">
        <v>16</v>
      </c>
      <c r="F38" s="2">
        <v>3.5</v>
      </c>
      <c r="G38" s="2">
        <v>4.2</v>
      </c>
    </row>
    <row r="39" spans="1:7" x14ac:dyDescent="0.25">
      <c r="A39" s="2" t="s">
        <v>31</v>
      </c>
      <c r="B39" s="2">
        <f t="shared" si="0"/>
        <v>2.5</v>
      </c>
      <c r="C39" s="2">
        <f t="shared" si="1"/>
        <v>2.7</v>
      </c>
      <c r="D39" s="2">
        <v>20</v>
      </c>
      <c r="F39" s="2">
        <v>2</v>
      </c>
      <c r="G39" s="2">
        <v>2.2000000000000002</v>
      </c>
    </row>
    <row r="41" spans="1:7" x14ac:dyDescent="0.25">
      <c r="A41" s="33" t="s">
        <v>19</v>
      </c>
      <c r="B41" s="2">
        <f>6/100</f>
        <v>0.06</v>
      </c>
      <c r="C41" s="33">
        <f>14/100</f>
        <v>0.14000000000000001</v>
      </c>
      <c r="F41" s="2">
        <f>40*G41</f>
        <v>4</v>
      </c>
      <c r="G41" s="33">
        <f>10/100</f>
        <v>0.1</v>
      </c>
    </row>
    <row r="42" spans="1:7" x14ac:dyDescent="0.25">
      <c r="A42" s="2" t="s">
        <v>82</v>
      </c>
      <c r="B42" s="2">
        <f>F42+0.5</f>
        <v>4</v>
      </c>
      <c r="C42" s="2">
        <f>G42+0.5</f>
        <v>4.5</v>
      </c>
      <c r="D42" s="2">
        <v>4</v>
      </c>
      <c r="F42" s="2">
        <v>3.5</v>
      </c>
      <c r="G42" s="2">
        <v>4</v>
      </c>
    </row>
    <row r="43" spans="1:7" x14ac:dyDescent="0.25">
      <c r="A43" s="2" t="s">
        <v>76</v>
      </c>
      <c r="B43" s="2">
        <f>F43+0.5</f>
        <v>6</v>
      </c>
      <c r="C43" s="2">
        <f>G43+0.5</f>
        <v>6.7</v>
      </c>
      <c r="D43" s="2">
        <v>6.2</v>
      </c>
      <c r="F43" s="2">
        <v>5.5</v>
      </c>
      <c r="G43" s="2">
        <v>6.2</v>
      </c>
    </row>
    <row r="57" spans="5:5" x14ac:dyDescent="0.25">
      <c r="E57">
        <v>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Normal="100" workbookViewId="0">
      <selection activeCell="L1" sqref="L1:L1048576"/>
    </sheetView>
  </sheetViews>
  <sheetFormatPr defaultRowHeight="15" x14ac:dyDescent="0.25"/>
  <cols>
    <col min="1" max="1" width="5.375" style="2" bestFit="1" customWidth="1"/>
    <col min="2" max="3" width="7.75" style="1" bestFit="1" customWidth="1"/>
    <col min="4" max="4" width="8" style="1" customWidth="1"/>
    <col min="5" max="5" width="11.125" style="1" customWidth="1"/>
    <col min="6" max="6" width="11.125" style="1" bestFit="1" customWidth="1"/>
    <col min="7" max="9" width="9.125" style="1"/>
    <col min="10" max="11" width="7.375" style="2" bestFit="1" customWidth="1"/>
    <col min="12" max="12" width="11.375" style="2" customWidth="1"/>
  </cols>
  <sheetData>
    <row r="1" spans="1:15" x14ac:dyDescent="0.25">
      <c r="B1" s="1" t="s">
        <v>50</v>
      </c>
      <c r="C1" s="1" t="s">
        <v>50</v>
      </c>
    </row>
    <row r="3" spans="1:15" ht="30" x14ac:dyDescent="0.25">
      <c r="A3" s="2" t="s">
        <v>27</v>
      </c>
      <c r="B3" s="4" t="s">
        <v>26</v>
      </c>
      <c r="C3" s="4" t="s">
        <v>26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23</v>
      </c>
      <c r="I3" s="3" t="s">
        <v>24</v>
      </c>
      <c r="J3" s="4" t="s">
        <v>25</v>
      </c>
      <c r="K3" s="4" t="s">
        <v>25</v>
      </c>
      <c r="L3" s="2" t="s">
        <v>81</v>
      </c>
    </row>
    <row r="4" spans="1:15" x14ac:dyDescent="0.25">
      <c r="B4" s="3"/>
      <c r="C4" s="3"/>
      <c r="D4" s="3"/>
      <c r="E4" s="3"/>
      <c r="F4" s="3"/>
      <c r="G4" s="3"/>
      <c r="H4" s="3"/>
      <c r="I4" s="3"/>
      <c r="J4" s="4">
        <v>1</v>
      </c>
      <c r="K4" s="4">
        <v>2</v>
      </c>
      <c r="L4" s="12"/>
    </row>
    <row r="5" spans="1:15" x14ac:dyDescent="0.25">
      <c r="B5" s="6">
        <v>99</v>
      </c>
      <c r="C5" s="6">
        <v>99</v>
      </c>
      <c r="L5" s="12"/>
    </row>
    <row r="6" spans="1:15" x14ac:dyDescent="0.25">
      <c r="A6" s="5">
        <v>1</v>
      </c>
      <c r="B6" s="1">
        <f>B5-$D6*У!$C$41-G6</f>
        <v>97.36</v>
      </c>
      <c r="C6" s="1">
        <f>C5-$D6*У!$C$41-H6</f>
        <v>97.16</v>
      </c>
      <c r="D6" s="1">
        <v>1</v>
      </c>
      <c r="E6" s="1">
        <v>29</v>
      </c>
      <c r="F6" s="1" t="str">
        <f>INDEX(У!A$2:D$41,$E6,1)</f>
        <v>ТАН-426F</v>
      </c>
      <c r="G6" s="1">
        <f>INDEX(У!B$2:C$41,$E6,1)</f>
        <v>1.5</v>
      </c>
      <c r="H6" s="1">
        <f>INDEX(У!C$2:D$41,$E6,1)</f>
        <v>1.7</v>
      </c>
      <c r="I6" s="1">
        <f>INDEX(У!D$2:E$41,$E6,1)</f>
        <v>26</v>
      </c>
      <c r="J6" s="2">
        <f>B5-I6</f>
        <v>73</v>
      </c>
      <c r="K6" s="2">
        <f>C5-I6</f>
        <v>73</v>
      </c>
      <c r="L6" s="12" t="str">
        <f>CONCATENATE(K6," ",J6," ")</f>
        <v xml:space="preserve">73 73 </v>
      </c>
      <c r="M6" s="1">
        <v>3</v>
      </c>
      <c r="N6" s="2" t="s">
        <v>7</v>
      </c>
      <c r="O6" s="2">
        <f>SUMIFS(M$6:M$24,F$6:F$24,N6)</f>
        <v>0</v>
      </c>
    </row>
    <row r="7" spans="1:15" x14ac:dyDescent="0.25">
      <c r="A7" s="5">
        <v>2</v>
      </c>
      <c r="B7" s="1">
        <f>B6-$D7*У!$C$41-G7</f>
        <v>95.44</v>
      </c>
      <c r="C7" s="1">
        <f>C6-$D7*У!$C$41-H7</f>
        <v>95.039999999999992</v>
      </c>
      <c r="D7" s="1">
        <v>3</v>
      </c>
      <c r="E7" s="1">
        <v>29</v>
      </c>
      <c r="F7" s="1" t="str">
        <f>INDEX(У!A$2:D$41,$E7,1)</f>
        <v>ТАН-426F</v>
      </c>
      <c r="G7" s="1">
        <f>INDEX(У!B$2:C$41,$E7,1)</f>
        <v>1.5</v>
      </c>
      <c r="H7" s="1">
        <f>INDEX(У!C$2:D$41,$E7,1)</f>
        <v>1.7</v>
      </c>
      <c r="I7" s="1">
        <f>INDEX(У!D$2:E$41,$E7,1)</f>
        <v>26</v>
      </c>
      <c r="J7" s="2">
        <f t="shared" ref="J7:J10" si="0">B6-I7</f>
        <v>71.36</v>
      </c>
      <c r="K7" s="2">
        <f t="shared" ref="K7:K10" si="1">C6-I7</f>
        <v>71.16</v>
      </c>
      <c r="L7" s="12" t="str">
        <f t="shared" ref="L7:L53" si="2">CONCATENATE(K7," ",J7," ")</f>
        <v xml:space="preserve">71,16 71,36 </v>
      </c>
      <c r="M7" s="1">
        <v>3</v>
      </c>
      <c r="N7" s="2" t="s">
        <v>8</v>
      </c>
      <c r="O7" s="2">
        <f t="shared" ref="O7:O12" si="3">SUMIFS(M$6:M$24,F$6:F$24,N7)</f>
        <v>0</v>
      </c>
    </row>
    <row r="8" spans="1:15" x14ac:dyDescent="0.25">
      <c r="A8" s="5">
        <v>3</v>
      </c>
      <c r="B8" s="1">
        <f>B7-$D8*У!$C$41-G8</f>
        <v>93.52</v>
      </c>
      <c r="C8" s="1">
        <f>C7-$D8*У!$C$41-H8</f>
        <v>92.919999999999987</v>
      </c>
      <c r="D8" s="1">
        <v>3</v>
      </c>
      <c r="E8" s="1">
        <v>29</v>
      </c>
      <c r="F8" s="1" t="str">
        <f>INDEX(У!A$2:D$41,$E8,1)</f>
        <v>ТАН-426F</v>
      </c>
      <c r="G8" s="1">
        <f>INDEX(У!B$2:C$41,$E8,1)</f>
        <v>1.5</v>
      </c>
      <c r="H8" s="1">
        <f>INDEX(У!C$2:D$41,$E8,1)</f>
        <v>1.7</v>
      </c>
      <c r="I8" s="1">
        <f>INDEX(У!D$2:E$41,$E8,1)</f>
        <v>26</v>
      </c>
      <c r="J8" s="2">
        <f t="shared" si="0"/>
        <v>69.44</v>
      </c>
      <c r="K8" s="2">
        <f t="shared" si="1"/>
        <v>69.039999999999992</v>
      </c>
      <c r="L8" s="12" t="str">
        <f t="shared" si="2"/>
        <v xml:space="preserve">69,04 69,44 </v>
      </c>
      <c r="M8" s="1">
        <v>3</v>
      </c>
      <c r="N8" s="2" t="s">
        <v>9</v>
      </c>
      <c r="O8" s="2">
        <f>SUMIFS(M$6:M$24,F$6:F$24,N8)</f>
        <v>0</v>
      </c>
    </row>
    <row r="9" spans="1:15" x14ac:dyDescent="0.25">
      <c r="A9" s="5">
        <v>4</v>
      </c>
      <c r="B9" s="1">
        <f>B8-$D9*У!$C$41-G9</f>
        <v>91.6</v>
      </c>
      <c r="C9" s="1">
        <f>C8-$D9*У!$C$41-H9</f>
        <v>90.799999999999983</v>
      </c>
      <c r="D9" s="1">
        <v>3</v>
      </c>
      <c r="E9" s="1">
        <v>28</v>
      </c>
      <c r="F9" s="1" t="str">
        <f>INDEX(У!A$2:D$41,$E9,1)</f>
        <v>ТАН-424F</v>
      </c>
      <c r="G9" s="1">
        <f>INDEX(У!B$2:C$41,$E9,1)</f>
        <v>1.5</v>
      </c>
      <c r="H9" s="1">
        <f>INDEX(У!C$2:D$41,$E9,1)</f>
        <v>1.7</v>
      </c>
      <c r="I9" s="1">
        <f>INDEX(У!D$2:E$41,$E9,1)</f>
        <v>24</v>
      </c>
      <c r="J9" s="2">
        <f t="shared" si="0"/>
        <v>69.52</v>
      </c>
      <c r="K9" s="2">
        <f t="shared" si="1"/>
        <v>68.919999999999987</v>
      </c>
      <c r="L9" s="12" t="str">
        <f t="shared" si="2"/>
        <v xml:space="preserve">68,92 69,52 </v>
      </c>
      <c r="M9" s="1">
        <v>3</v>
      </c>
      <c r="N9" s="2" t="s">
        <v>10</v>
      </c>
      <c r="O9" s="2">
        <f t="shared" si="3"/>
        <v>0</v>
      </c>
    </row>
    <row r="10" spans="1:15" x14ac:dyDescent="0.25">
      <c r="A10" s="5">
        <v>5</v>
      </c>
      <c r="B10" s="1">
        <f>B9-$D10*У!$C$41-G10</f>
        <v>89.47999999999999</v>
      </c>
      <c r="C10" s="1">
        <f>C9-$D10*У!$C$41-H10</f>
        <v>88.379999999999981</v>
      </c>
      <c r="D10" s="1">
        <v>3</v>
      </c>
      <c r="E10" s="1">
        <v>27</v>
      </c>
      <c r="F10" s="1" t="str">
        <f>INDEX(У!A$2:D$41,$E10,1)</f>
        <v>ТАН-420F</v>
      </c>
      <c r="G10" s="1">
        <f>INDEX(У!B$2:C$41,$E10,1)</f>
        <v>1.7</v>
      </c>
      <c r="H10" s="1">
        <f>INDEX(У!C$2:D$41,$E10,1)</f>
        <v>2</v>
      </c>
      <c r="I10" s="1">
        <f>INDEX(У!D$2:E$41,$E10,1)</f>
        <v>20</v>
      </c>
      <c r="J10" s="2">
        <f t="shared" si="0"/>
        <v>71.599999999999994</v>
      </c>
      <c r="K10" s="2">
        <f t="shared" si="1"/>
        <v>70.799999999999983</v>
      </c>
      <c r="L10" s="12" t="str">
        <f t="shared" si="2"/>
        <v xml:space="preserve">70,8 71,6 </v>
      </c>
      <c r="M10" s="1">
        <v>3</v>
      </c>
      <c r="N10" s="2" t="s">
        <v>11</v>
      </c>
      <c r="O10" s="2">
        <f t="shared" si="3"/>
        <v>3</v>
      </c>
    </row>
    <row r="11" spans="1:15" x14ac:dyDescent="0.25">
      <c r="L11" s="12" t="str">
        <f t="shared" si="2"/>
        <v xml:space="preserve">  </v>
      </c>
      <c r="M11" s="1">
        <v>3</v>
      </c>
      <c r="N11" s="2" t="s">
        <v>12</v>
      </c>
      <c r="O11" s="2">
        <f t="shared" si="3"/>
        <v>3</v>
      </c>
    </row>
    <row r="12" spans="1:15" x14ac:dyDescent="0.25">
      <c r="L12" s="12" t="str">
        <f t="shared" si="2"/>
        <v xml:space="preserve">  </v>
      </c>
      <c r="M12" s="1">
        <v>3</v>
      </c>
      <c r="N12" s="2" t="s">
        <v>6</v>
      </c>
      <c r="O12" s="2">
        <f t="shared" si="3"/>
        <v>0</v>
      </c>
    </row>
    <row r="13" spans="1:15" x14ac:dyDescent="0.25">
      <c r="L13" s="12" t="str">
        <f t="shared" si="2"/>
        <v xml:space="preserve">  </v>
      </c>
    </row>
    <row r="14" spans="1:15" x14ac:dyDescent="0.25">
      <c r="L14" s="12" t="str">
        <f t="shared" si="2"/>
        <v xml:space="preserve">  </v>
      </c>
    </row>
    <row r="15" spans="1:15" x14ac:dyDescent="0.25">
      <c r="L15" s="12" t="str">
        <f t="shared" si="2"/>
        <v xml:space="preserve">  </v>
      </c>
    </row>
    <row r="16" spans="1:15" x14ac:dyDescent="0.25">
      <c r="L16" s="12" t="str">
        <f t="shared" si="2"/>
        <v xml:space="preserve">  </v>
      </c>
    </row>
    <row r="17" spans="1:12" x14ac:dyDescent="0.25">
      <c r="L17" s="12" t="str">
        <f t="shared" si="2"/>
        <v xml:space="preserve">  </v>
      </c>
    </row>
    <row r="18" spans="1:12" x14ac:dyDescent="0.25">
      <c r="L18" s="12" t="str">
        <f t="shared" si="2"/>
        <v xml:space="preserve">  </v>
      </c>
    </row>
    <row r="19" spans="1:12" x14ac:dyDescent="0.25">
      <c r="L19" s="11" t="str">
        <f t="shared" si="2"/>
        <v xml:space="preserve">  </v>
      </c>
    </row>
    <row r="20" spans="1:12" x14ac:dyDescent="0.25">
      <c r="L20" s="1" t="str">
        <f t="shared" si="2"/>
        <v xml:space="preserve">  </v>
      </c>
    </row>
    <row r="21" spans="1:12" x14ac:dyDescent="0.25">
      <c r="L21" s="1" t="str">
        <f t="shared" si="2"/>
        <v xml:space="preserve">  </v>
      </c>
    </row>
    <row r="22" spans="1:12" x14ac:dyDescent="0.25">
      <c r="L22" s="1" t="str">
        <f t="shared" si="2"/>
        <v xml:space="preserve">  </v>
      </c>
    </row>
    <row r="23" spans="1:12" x14ac:dyDescent="0.25">
      <c r="L23" s="1" t="str">
        <f t="shared" si="2"/>
        <v xml:space="preserve">  </v>
      </c>
    </row>
    <row r="24" spans="1:12" x14ac:dyDescent="0.25">
      <c r="A24"/>
      <c r="B24"/>
      <c r="C24"/>
      <c r="D24"/>
      <c r="E24"/>
      <c r="F24"/>
      <c r="G24"/>
      <c r="H24"/>
      <c r="I24"/>
      <c r="J24"/>
      <c r="K24"/>
      <c r="L24" s="1" t="str">
        <f t="shared" si="2"/>
        <v xml:space="preserve">  </v>
      </c>
    </row>
    <row r="25" spans="1:12" x14ac:dyDescent="0.25">
      <c r="A25"/>
      <c r="B25"/>
      <c r="C25"/>
      <c r="D25"/>
      <c r="E25"/>
      <c r="F25"/>
      <c r="G25"/>
      <c r="H25"/>
      <c r="I25"/>
      <c r="J25"/>
      <c r="K25"/>
      <c r="L25" s="1" t="str">
        <f t="shared" si="2"/>
        <v xml:space="preserve">  </v>
      </c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 s="1" t="str">
        <f t="shared" si="2"/>
        <v xml:space="preserve">  </v>
      </c>
    </row>
    <row r="27" spans="1:12" x14ac:dyDescent="0.25">
      <c r="A27"/>
      <c r="B27"/>
      <c r="C27"/>
      <c r="D27"/>
      <c r="E27"/>
      <c r="F27"/>
      <c r="G27"/>
      <c r="H27"/>
      <c r="I27"/>
      <c r="J27"/>
      <c r="K27"/>
      <c r="L27" s="1" t="str">
        <f t="shared" si="2"/>
        <v xml:space="preserve">  </v>
      </c>
    </row>
    <row r="28" spans="1:12" x14ac:dyDescent="0.25">
      <c r="A28"/>
      <c r="B28"/>
      <c r="C28"/>
      <c r="D28"/>
      <c r="E28"/>
      <c r="F28"/>
      <c r="G28"/>
      <c r="H28"/>
      <c r="I28"/>
      <c r="J28"/>
      <c r="K28"/>
      <c r="L28" s="1" t="str">
        <f t="shared" si="2"/>
        <v xml:space="preserve">  </v>
      </c>
    </row>
    <row r="29" spans="1:12" x14ac:dyDescent="0.25">
      <c r="A29"/>
      <c r="B29"/>
      <c r="C29"/>
      <c r="D29"/>
      <c r="E29"/>
      <c r="F29"/>
      <c r="G29"/>
      <c r="H29"/>
      <c r="I29"/>
      <c r="J29"/>
      <c r="K29"/>
      <c r="L29" s="1" t="str">
        <f t="shared" si="2"/>
        <v xml:space="preserve">  </v>
      </c>
    </row>
    <row r="30" spans="1:12" x14ac:dyDescent="0.25">
      <c r="A30"/>
      <c r="B30"/>
      <c r="C30"/>
      <c r="D30"/>
      <c r="E30"/>
      <c r="F30"/>
      <c r="G30"/>
      <c r="H30"/>
      <c r="I30"/>
      <c r="J30"/>
      <c r="K30"/>
      <c r="L30" s="1" t="str">
        <f t="shared" si="2"/>
        <v xml:space="preserve">  </v>
      </c>
    </row>
    <row r="31" spans="1:12" x14ac:dyDescent="0.25">
      <c r="A31"/>
      <c r="B31"/>
      <c r="C31"/>
      <c r="D31"/>
      <c r="E31"/>
      <c r="F31"/>
      <c r="G31"/>
      <c r="H31"/>
      <c r="I31"/>
      <c r="J31"/>
      <c r="K31"/>
      <c r="L31" s="1" t="str">
        <f t="shared" si="2"/>
        <v xml:space="preserve">  </v>
      </c>
    </row>
    <row r="32" spans="1:12" x14ac:dyDescent="0.25">
      <c r="L32" s="1" t="str">
        <f t="shared" si="2"/>
        <v xml:space="preserve">  </v>
      </c>
    </row>
    <row r="33" spans="12:12" x14ac:dyDescent="0.25">
      <c r="L33" s="1" t="str">
        <f t="shared" si="2"/>
        <v xml:space="preserve">  </v>
      </c>
    </row>
    <row r="34" spans="12:12" x14ac:dyDescent="0.25">
      <c r="L34" s="1" t="str">
        <f t="shared" si="2"/>
        <v xml:space="preserve">  </v>
      </c>
    </row>
    <row r="35" spans="12:12" x14ac:dyDescent="0.25">
      <c r="L35" s="1" t="str">
        <f t="shared" si="2"/>
        <v xml:space="preserve">  </v>
      </c>
    </row>
    <row r="36" spans="12:12" x14ac:dyDescent="0.25">
      <c r="L36" s="1" t="str">
        <f t="shared" si="2"/>
        <v xml:space="preserve">  </v>
      </c>
    </row>
    <row r="37" spans="12:12" x14ac:dyDescent="0.25">
      <c r="L37" s="1" t="str">
        <f t="shared" si="2"/>
        <v xml:space="preserve">  </v>
      </c>
    </row>
    <row r="38" spans="12:12" x14ac:dyDescent="0.25">
      <c r="L38" s="1" t="str">
        <f t="shared" si="2"/>
        <v xml:space="preserve">  </v>
      </c>
    </row>
    <row r="39" spans="12:12" x14ac:dyDescent="0.25">
      <c r="L39" s="1" t="str">
        <f t="shared" si="2"/>
        <v xml:space="preserve">  </v>
      </c>
    </row>
    <row r="40" spans="12:12" x14ac:dyDescent="0.25">
      <c r="L40" s="2" t="str">
        <f t="shared" si="2"/>
        <v xml:space="preserve">  </v>
      </c>
    </row>
    <row r="41" spans="12:12" x14ac:dyDescent="0.25">
      <c r="L41" s="2" t="str">
        <f t="shared" si="2"/>
        <v xml:space="preserve">  </v>
      </c>
    </row>
    <row r="42" spans="12:12" x14ac:dyDescent="0.25">
      <c r="L42" s="2" t="str">
        <f t="shared" si="2"/>
        <v xml:space="preserve">  </v>
      </c>
    </row>
    <row r="43" spans="12:12" x14ac:dyDescent="0.25">
      <c r="L43" s="2" t="str">
        <f t="shared" si="2"/>
        <v xml:space="preserve">  </v>
      </c>
    </row>
    <row r="44" spans="12:12" x14ac:dyDescent="0.25">
      <c r="L44" s="2" t="str">
        <f t="shared" si="2"/>
        <v xml:space="preserve">  </v>
      </c>
    </row>
    <row r="45" spans="12:12" x14ac:dyDescent="0.25">
      <c r="L45" s="2" t="str">
        <f t="shared" si="2"/>
        <v xml:space="preserve">  </v>
      </c>
    </row>
    <row r="46" spans="12:12" x14ac:dyDescent="0.25">
      <c r="L46" s="2" t="str">
        <f t="shared" si="2"/>
        <v xml:space="preserve">  </v>
      </c>
    </row>
    <row r="47" spans="12:12" x14ac:dyDescent="0.25">
      <c r="L47" s="2" t="str">
        <f t="shared" si="2"/>
        <v xml:space="preserve">  </v>
      </c>
    </row>
    <row r="48" spans="12:12" x14ac:dyDescent="0.25">
      <c r="L48" s="2" t="str">
        <f t="shared" si="2"/>
        <v xml:space="preserve">  </v>
      </c>
    </row>
    <row r="49" spans="12:12" x14ac:dyDescent="0.25">
      <c r="L49" s="2" t="str">
        <f t="shared" si="2"/>
        <v xml:space="preserve">  </v>
      </c>
    </row>
    <row r="50" spans="12:12" x14ac:dyDescent="0.25">
      <c r="L50" s="2" t="str">
        <f t="shared" si="2"/>
        <v xml:space="preserve">  </v>
      </c>
    </row>
    <row r="51" spans="12:12" x14ac:dyDescent="0.25">
      <c r="L51" s="2" t="str">
        <f t="shared" si="2"/>
        <v xml:space="preserve">  </v>
      </c>
    </row>
    <row r="52" spans="12:12" x14ac:dyDescent="0.25">
      <c r="L52" s="2" t="str">
        <f t="shared" si="2"/>
        <v xml:space="preserve">  </v>
      </c>
    </row>
    <row r="53" spans="12:12" x14ac:dyDescent="0.25">
      <c r="L53" s="2" t="str">
        <f t="shared" si="2"/>
        <v xml:space="preserve">  </v>
      </c>
    </row>
  </sheetData>
  <conditionalFormatting sqref="O6:O12">
    <cfRule type="cellIs" dxfId="20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Normal="100" workbookViewId="0">
      <selection activeCell="B6" sqref="B6"/>
    </sheetView>
  </sheetViews>
  <sheetFormatPr defaultRowHeight="15" x14ac:dyDescent="0.25"/>
  <cols>
    <col min="1" max="1" width="5.375" style="2" bestFit="1" customWidth="1"/>
    <col min="2" max="3" width="9.125" style="1"/>
    <col min="4" max="4" width="8" style="1" customWidth="1"/>
    <col min="5" max="5" width="11.125" style="1" customWidth="1"/>
    <col min="6" max="6" width="11.125" style="1" bestFit="1" customWidth="1"/>
    <col min="7" max="9" width="9.125" style="1"/>
    <col min="10" max="11" width="7.375" style="2" bestFit="1" customWidth="1"/>
    <col min="12" max="12" width="11.375" style="2" customWidth="1"/>
  </cols>
  <sheetData>
    <row r="1" spans="1:17" x14ac:dyDescent="0.25">
      <c r="B1" s="1" t="s">
        <v>45</v>
      </c>
      <c r="C1" s="1" t="s">
        <v>45</v>
      </c>
    </row>
    <row r="3" spans="1:17" ht="30" x14ac:dyDescent="0.25">
      <c r="A3" s="2" t="s">
        <v>27</v>
      </c>
      <c r="B3" s="4" t="s">
        <v>26</v>
      </c>
      <c r="C3" s="4" t="s">
        <v>26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23</v>
      </c>
      <c r="I3" s="3" t="s">
        <v>24</v>
      </c>
      <c r="J3" s="4" t="s">
        <v>25</v>
      </c>
      <c r="K3" s="4" t="s">
        <v>25</v>
      </c>
      <c r="L3" s="2" t="s">
        <v>81</v>
      </c>
    </row>
    <row r="4" spans="1:17" x14ac:dyDescent="0.25">
      <c r="B4" s="3"/>
      <c r="C4" s="3"/>
      <c r="D4" s="3"/>
      <c r="E4" s="3"/>
      <c r="F4" s="3"/>
      <c r="G4" s="3"/>
      <c r="H4" s="3"/>
      <c r="I4" s="3"/>
      <c r="J4" s="4">
        <v>1</v>
      </c>
      <c r="K4" s="4">
        <v>2</v>
      </c>
      <c r="L4" s="12"/>
    </row>
    <row r="5" spans="1:17" x14ac:dyDescent="0.25">
      <c r="B5" s="7">
        <v>99</v>
      </c>
      <c r="C5" s="7">
        <v>99</v>
      </c>
      <c r="L5" s="12"/>
    </row>
    <row r="6" spans="1:17" x14ac:dyDescent="0.25">
      <c r="A6" s="5">
        <v>1</v>
      </c>
      <c r="B6" s="1">
        <f>B5-$D6*У!$C$41-G6</f>
        <v>97.36</v>
      </c>
      <c r="C6" s="1">
        <f>C5-$D6*У!$C$41-H6</f>
        <v>97.16</v>
      </c>
      <c r="D6" s="1">
        <v>1</v>
      </c>
      <c r="E6" s="1">
        <v>29</v>
      </c>
      <c r="F6" s="1" t="str">
        <f>INDEX(У!A$2:D$41,$E6,1)</f>
        <v>ТАН-426F</v>
      </c>
      <c r="G6" s="1">
        <f>INDEX(У!B$2:C$41,$E6,1)</f>
        <v>1.5</v>
      </c>
      <c r="H6" s="1">
        <f>INDEX(У!C$2:D$41,$E6,1)</f>
        <v>1.7</v>
      </c>
      <c r="I6" s="1">
        <f>INDEX(У!D$2:E$41,$E6,1)</f>
        <v>26</v>
      </c>
      <c r="J6" s="2">
        <f>B5-I6</f>
        <v>73</v>
      </c>
      <c r="K6" s="2">
        <f>C5-I6</f>
        <v>73</v>
      </c>
      <c r="L6" s="12" t="str">
        <f>CONCATENATE(K6," ",J6," ")</f>
        <v xml:space="preserve">73 73 </v>
      </c>
      <c r="M6" s="1">
        <v>4</v>
      </c>
      <c r="N6" s="2" t="s">
        <v>7</v>
      </c>
      <c r="O6" s="2">
        <f>SUMIFS(M$6:M$24,F$6:F$24,N6)</f>
        <v>0</v>
      </c>
      <c r="Q6" s="12" t="str">
        <f>CONCATENATE(B6,"/ ",C6)</f>
        <v>97,36/ 97,16</v>
      </c>
    </row>
    <row r="7" spans="1:17" x14ac:dyDescent="0.25">
      <c r="A7" s="5">
        <v>2</v>
      </c>
      <c r="B7" s="1">
        <f>B6-$D7*У!$C$41-G7</f>
        <v>95.44</v>
      </c>
      <c r="C7" s="1">
        <f>C6-$D7*У!$C$41-H7</f>
        <v>95.039999999999992</v>
      </c>
      <c r="D7" s="1">
        <v>3</v>
      </c>
      <c r="E7" s="1">
        <v>29</v>
      </c>
      <c r="F7" s="1" t="str">
        <f>INDEX(У!A$2:D$41,$E7,1)</f>
        <v>ТАН-426F</v>
      </c>
      <c r="G7" s="1">
        <f>INDEX(У!B$2:C$41,$E7,1)</f>
        <v>1.5</v>
      </c>
      <c r="H7" s="1">
        <f>INDEX(У!C$2:D$41,$E7,1)</f>
        <v>1.7</v>
      </c>
      <c r="I7" s="1">
        <f>INDEX(У!D$2:E$41,$E7,1)</f>
        <v>26</v>
      </c>
      <c r="J7" s="2">
        <f t="shared" ref="J7:J14" si="0">B6-I7</f>
        <v>71.36</v>
      </c>
      <c r="K7" s="2">
        <f t="shared" ref="K7:K14" si="1">C6-I7</f>
        <v>71.16</v>
      </c>
      <c r="L7" s="12" t="str">
        <f t="shared" ref="L7:L53" si="2">CONCATENATE(K7," ",J7," ")</f>
        <v xml:space="preserve">71,16 71,36 </v>
      </c>
      <c r="M7" s="1">
        <v>4</v>
      </c>
      <c r="N7" s="2" t="s">
        <v>8</v>
      </c>
      <c r="O7" s="2">
        <f t="shared" ref="O7:O12" si="3">SUMIFS(M$6:M$24,F$6:F$24,N7)</f>
        <v>0</v>
      </c>
      <c r="Q7" s="12" t="str">
        <f t="shared" ref="Q7:Q14" si="4">CONCATENATE(B7,"/ ",C7)</f>
        <v>95,44/ 95,04</v>
      </c>
    </row>
    <row r="8" spans="1:17" x14ac:dyDescent="0.25">
      <c r="A8" s="5">
        <v>3</v>
      </c>
      <c r="B8" s="1">
        <f>B7-$D8*У!$C$41-G8</f>
        <v>93.52</v>
      </c>
      <c r="C8" s="1">
        <f>C7-$D8*У!$C$41-H8</f>
        <v>92.919999999999987</v>
      </c>
      <c r="D8" s="1">
        <v>3</v>
      </c>
      <c r="E8" s="1">
        <v>28</v>
      </c>
      <c r="F8" s="1" t="str">
        <f>INDEX(У!A$2:D$41,$E8,1)</f>
        <v>ТАН-424F</v>
      </c>
      <c r="G8" s="1">
        <f>INDEX(У!B$2:C$41,$E8,1)</f>
        <v>1.5</v>
      </c>
      <c r="H8" s="1">
        <f>INDEX(У!C$2:D$41,$E8,1)</f>
        <v>1.7</v>
      </c>
      <c r="I8" s="1">
        <f>INDEX(У!D$2:E$41,$E8,1)</f>
        <v>24</v>
      </c>
      <c r="J8" s="2">
        <f t="shared" si="0"/>
        <v>71.44</v>
      </c>
      <c r="K8" s="2">
        <f t="shared" si="1"/>
        <v>71.039999999999992</v>
      </c>
      <c r="L8" s="12" t="str">
        <f t="shared" si="2"/>
        <v xml:space="preserve">71,04 71,44 </v>
      </c>
      <c r="M8" s="1">
        <v>4</v>
      </c>
      <c r="N8" s="2" t="s">
        <v>9</v>
      </c>
      <c r="O8" s="2">
        <f>SUMIFS(M$6:M$24,F$6:F$24,N8)</f>
        <v>4</v>
      </c>
      <c r="Q8" s="12" t="str">
        <f t="shared" si="4"/>
        <v>93,52/ 92,92</v>
      </c>
    </row>
    <row r="9" spans="1:17" x14ac:dyDescent="0.25">
      <c r="A9" s="5">
        <v>4</v>
      </c>
      <c r="B9" s="1">
        <f>B8-$D9*У!$C$41-G9</f>
        <v>91.6</v>
      </c>
      <c r="C9" s="1">
        <f>C8-$D9*У!$C$41-H9</f>
        <v>90.799999999999983</v>
      </c>
      <c r="D9" s="1">
        <v>3</v>
      </c>
      <c r="E9" s="1">
        <v>28</v>
      </c>
      <c r="F9" s="1" t="str">
        <f>INDEX(У!A$2:D$41,$E9,1)</f>
        <v>ТАН-424F</v>
      </c>
      <c r="G9" s="1">
        <f>INDEX(У!B$2:C$41,$E9,1)</f>
        <v>1.5</v>
      </c>
      <c r="H9" s="1">
        <f>INDEX(У!C$2:D$41,$E9,1)</f>
        <v>1.7</v>
      </c>
      <c r="I9" s="1">
        <f>INDEX(У!D$2:E$41,$E9,1)</f>
        <v>24</v>
      </c>
      <c r="J9" s="2">
        <f t="shared" si="0"/>
        <v>69.52</v>
      </c>
      <c r="K9" s="2">
        <f t="shared" si="1"/>
        <v>68.919999999999987</v>
      </c>
      <c r="L9" s="12" t="str">
        <f t="shared" si="2"/>
        <v xml:space="preserve">68,92 69,52 </v>
      </c>
      <c r="M9" s="1">
        <v>4</v>
      </c>
      <c r="N9" s="2" t="s">
        <v>10</v>
      </c>
      <c r="O9" s="2">
        <f t="shared" si="3"/>
        <v>10</v>
      </c>
      <c r="Q9" s="12" t="str">
        <f t="shared" si="4"/>
        <v>91,6/ 90,8</v>
      </c>
    </row>
    <row r="10" spans="1:17" x14ac:dyDescent="0.25">
      <c r="A10" s="5">
        <v>5</v>
      </c>
      <c r="B10" s="1">
        <f>B9-$D10*У!$C$41-G10</f>
        <v>89.47999999999999</v>
      </c>
      <c r="C10" s="1">
        <f>C9-$D10*У!$C$41-H10</f>
        <v>88.379999999999981</v>
      </c>
      <c r="D10" s="1">
        <v>3</v>
      </c>
      <c r="E10" s="1">
        <v>27</v>
      </c>
      <c r="F10" s="1" t="str">
        <f>INDEX(У!A$2:D$41,$E10,1)</f>
        <v>ТАН-420F</v>
      </c>
      <c r="G10" s="1">
        <f>INDEX(У!B$2:C$41,$E10,1)</f>
        <v>1.7</v>
      </c>
      <c r="H10" s="1">
        <f>INDEX(У!C$2:D$41,$E10,1)</f>
        <v>2</v>
      </c>
      <c r="I10" s="1">
        <f>INDEX(У!D$2:E$41,$E10,1)</f>
        <v>20</v>
      </c>
      <c r="J10" s="2">
        <f t="shared" si="0"/>
        <v>71.599999999999994</v>
      </c>
      <c r="K10" s="2">
        <f t="shared" si="1"/>
        <v>70.799999999999983</v>
      </c>
      <c r="L10" s="12" t="str">
        <f t="shared" si="2"/>
        <v xml:space="preserve">70,8 71,6 </v>
      </c>
      <c r="M10" s="1">
        <v>4</v>
      </c>
      <c r="N10" s="2" t="s">
        <v>11</v>
      </c>
      <c r="O10" s="2">
        <f t="shared" si="3"/>
        <v>10</v>
      </c>
      <c r="Q10" s="12" t="str">
        <f t="shared" si="4"/>
        <v>89,48/ 88,38</v>
      </c>
    </row>
    <row r="11" spans="1:17" x14ac:dyDescent="0.25">
      <c r="A11" s="5">
        <v>6</v>
      </c>
      <c r="B11" s="1">
        <f>B10-$D11*У!$C$41-G11</f>
        <v>87.359999999999985</v>
      </c>
      <c r="C11" s="1">
        <f>C10-$D11*У!$C$41-H11</f>
        <v>85.95999999999998</v>
      </c>
      <c r="D11" s="1">
        <v>3</v>
      </c>
      <c r="E11" s="1">
        <v>27</v>
      </c>
      <c r="F11" s="1" t="str">
        <f>INDEX(У!A$2:D$41,$E11,1)</f>
        <v>ТАН-420F</v>
      </c>
      <c r="G11" s="1">
        <f>INDEX(У!B$2:C$41,$E11,1)</f>
        <v>1.7</v>
      </c>
      <c r="H11" s="1">
        <f>INDEX(У!C$2:D$41,$E11,1)</f>
        <v>2</v>
      </c>
      <c r="I11" s="1">
        <f>INDEX(У!D$2:E$41,$E11,1)</f>
        <v>20</v>
      </c>
      <c r="J11" s="2">
        <f t="shared" si="0"/>
        <v>69.47999999999999</v>
      </c>
      <c r="K11" s="2">
        <f t="shared" si="1"/>
        <v>68.379999999999981</v>
      </c>
      <c r="L11" s="12" t="str">
        <f t="shared" si="2"/>
        <v xml:space="preserve">68,38 69,48 </v>
      </c>
      <c r="M11" s="1">
        <v>4</v>
      </c>
      <c r="N11" s="2" t="s">
        <v>12</v>
      </c>
      <c r="O11" s="2">
        <f t="shared" si="3"/>
        <v>10</v>
      </c>
      <c r="Q11" s="12" t="str">
        <f t="shared" si="4"/>
        <v>87,36/ 85,96</v>
      </c>
    </row>
    <row r="12" spans="1:17" x14ac:dyDescent="0.25">
      <c r="A12" s="5">
        <v>7</v>
      </c>
      <c r="B12" s="1">
        <f>B11-$D12*У!$C$41-G12</f>
        <v>84.439999999999984</v>
      </c>
      <c r="C12" s="1">
        <f>C11-$D12*У!$C$41-H12</f>
        <v>82.539999999999978</v>
      </c>
      <c r="D12" s="1">
        <v>3</v>
      </c>
      <c r="E12" s="1">
        <v>26</v>
      </c>
      <c r="F12" s="1" t="str">
        <f>INDEX(У!A$2:D$41,$E12,1)</f>
        <v>ТАН-416F</v>
      </c>
      <c r="G12" s="1">
        <f>INDEX(У!B$2:C$41,$E12,1)</f>
        <v>2.5</v>
      </c>
      <c r="H12" s="1">
        <f>INDEX(У!C$2:D$41,$E12,1)</f>
        <v>3</v>
      </c>
      <c r="I12" s="1">
        <f>INDEX(У!D$2:E$41,$E12,1)</f>
        <v>16</v>
      </c>
      <c r="J12" s="2">
        <f t="shared" si="0"/>
        <v>71.359999999999985</v>
      </c>
      <c r="K12" s="2">
        <f t="shared" si="1"/>
        <v>69.95999999999998</v>
      </c>
      <c r="L12" s="12" t="str">
        <f t="shared" si="2"/>
        <v xml:space="preserve">69,96 71,36 </v>
      </c>
      <c r="M12" s="1">
        <v>4</v>
      </c>
      <c r="N12" s="2" t="s">
        <v>6</v>
      </c>
      <c r="O12" s="2">
        <f t="shared" si="3"/>
        <v>0</v>
      </c>
      <c r="Q12" s="12" t="str">
        <f t="shared" si="4"/>
        <v>84,44/ 82,54</v>
      </c>
    </row>
    <row r="13" spans="1:17" x14ac:dyDescent="0.25">
      <c r="A13" s="5">
        <v>8</v>
      </c>
      <c r="B13" s="1">
        <f>B12-$D13*У!$C$41-G13</f>
        <v>81.519999999999982</v>
      </c>
      <c r="C13" s="1">
        <f>C12-$D13*У!$C$41-H13</f>
        <v>79.119999999999976</v>
      </c>
      <c r="D13" s="1">
        <v>3</v>
      </c>
      <c r="E13" s="1">
        <v>26</v>
      </c>
      <c r="F13" s="1" t="str">
        <f>INDEX(У!A$2:D$41,$E13,1)</f>
        <v>ТАН-416F</v>
      </c>
      <c r="G13" s="1">
        <f>INDEX(У!B$2:C$41,$E13,1)</f>
        <v>2.5</v>
      </c>
      <c r="H13" s="1">
        <f>INDEX(У!C$2:D$41,$E13,1)</f>
        <v>3</v>
      </c>
      <c r="I13" s="1">
        <f>INDEX(У!D$2:E$41,$E13,1)</f>
        <v>16</v>
      </c>
      <c r="J13" s="2">
        <f t="shared" si="0"/>
        <v>68.439999999999984</v>
      </c>
      <c r="K13" s="2">
        <f t="shared" si="1"/>
        <v>66.539999999999978</v>
      </c>
      <c r="L13" s="12" t="str">
        <f t="shared" si="2"/>
        <v xml:space="preserve">66,54 68,44 </v>
      </c>
      <c r="M13" s="1">
        <v>4</v>
      </c>
      <c r="N13" s="2"/>
      <c r="O13" s="2"/>
      <c r="Q13" s="12" t="str">
        <f t="shared" si="4"/>
        <v>81,52/ 79,12</v>
      </c>
    </row>
    <row r="14" spans="1:17" x14ac:dyDescent="0.25">
      <c r="A14" s="5">
        <v>9</v>
      </c>
      <c r="B14" s="1">
        <f>B13-$D14*У!$C$41-G14</f>
        <v>78.09999999999998</v>
      </c>
      <c r="C14" s="1">
        <f>C13-$D14*У!$C$41-H14</f>
        <v>75.199999999999974</v>
      </c>
      <c r="D14" s="1">
        <v>3</v>
      </c>
      <c r="E14" s="1">
        <v>25</v>
      </c>
      <c r="F14" s="1" t="str">
        <f>INDEX(У!A$2:D$41,$E14,1)</f>
        <v>ТАН-414F</v>
      </c>
      <c r="G14" s="1">
        <f>INDEX(У!B$2:C$41,$E14,1)</f>
        <v>3</v>
      </c>
      <c r="H14" s="1">
        <f>INDEX(У!C$2:D$41,$E14,1)</f>
        <v>3.5</v>
      </c>
      <c r="I14" s="1">
        <f>INDEX(У!D$2:E$41,$E14,1)</f>
        <v>14</v>
      </c>
      <c r="J14" s="2">
        <f t="shared" si="0"/>
        <v>67.519999999999982</v>
      </c>
      <c r="K14" s="2">
        <f t="shared" si="1"/>
        <v>65.119999999999976</v>
      </c>
      <c r="L14" s="12" t="str">
        <f t="shared" si="2"/>
        <v xml:space="preserve">65,12 67,52 </v>
      </c>
      <c r="M14" s="1">
        <v>4</v>
      </c>
      <c r="N14" s="2"/>
      <c r="O14" s="2"/>
      <c r="Q14" s="12" t="str">
        <f t="shared" si="4"/>
        <v>78,1/ 75,2</v>
      </c>
    </row>
    <row r="15" spans="1:17" x14ac:dyDescent="0.25">
      <c r="A15"/>
      <c r="B15"/>
      <c r="C15"/>
      <c r="D15"/>
      <c r="E15"/>
      <c r="F15"/>
      <c r="G15"/>
      <c r="H15"/>
      <c r="I15"/>
      <c r="J15"/>
      <c r="K15"/>
      <c r="L15" s="12" t="str">
        <f t="shared" si="2"/>
        <v xml:space="preserve">  </v>
      </c>
      <c r="M15" s="1"/>
      <c r="N15" s="2"/>
      <c r="O15" s="2"/>
    </row>
    <row r="16" spans="1:17" x14ac:dyDescent="0.25">
      <c r="B16" s="7">
        <v>99</v>
      </c>
      <c r="C16" s="7">
        <v>99</v>
      </c>
      <c r="L16" s="12" t="str">
        <f t="shared" si="2"/>
        <v xml:space="preserve">  </v>
      </c>
      <c r="M16" s="1"/>
      <c r="N16" s="2"/>
      <c r="O16" s="2"/>
    </row>
    <row r="17" spans="1:15" x14ac:dyDescent="0.25">
      <c r="A17" s="5">
        <v>1</v>
      </c>
      <c r="B17" s="1">
        <f>B16-$D17*У!$C$41-G17</f>
        <v>97.36</v>
      </c>
      <c r="C17" s="1">
        <f>C16-$D17*У!$C$41-H17</f>
        <v>97.16</v>
      </c>
      <c r="D17" s="1">
        <v>1</v>
      </c>
      <c r="E17" s="1">
        <v>29</v>
      </c>
      <c r="F17" s="1" t="str">
        <f>INDEX(У!A$2:D$41,$E17,1)</f>
        <v>ТАН-426F</v>
      </c>
      <c r="G17" s="1">
        <f>INDEX(У!B$2:C$41,$E17,1)</f>
        <v>1.5</v>
      </c>
      <c r="H17" s="1">
        <f>INDEX(У!C$2:D$41,$E17,1)</f>
        <v>1.7</v>
      </c>
      <c r="I17" s="1">
        <f>INDEX(У!D$2:E$41,$E17,1)</f>
        <v>26</v>
      </c>
      <c r="J17" s="2">
        <f>B16-I17</f>
        <v>73</v>
      </c>
      <c r="K17" s="2">
        <f>C16-I17</f>
        <v>73</v>
      </c>
      <c r="L17" s="12" t="str">
        <f t="shared" si="2"/>
        <v xml:space="preserve">73 73 </v>
      </c>
      <c r="M17" s="1">
        <v>1</v>
      </c>
      <c r="N17" s="2"/>
      <c r="O17" s="2"/>
    </row>
    <row r="18" spans="1:15" x14ac:dyDescent="0.25">
      <c r="A18" s="5">
        <v>2</v>
      </c>
      <c r="B18" s="1">
        <f>B17-$D18*У!$C$41-G18</f>
        <v>95.44</v>
      </c>
      <c r="C18" s="1">
        <f>C17-$D18*У!$C$41-H18</f>
        <v>95.039999999999992</v>
      </c>
      <c r="D18" s="1">
        <v>3</v>
      </c>
      <c r="E18" s="1">
        <v>29</v>
      </c>
      <c r="F18" s="1" t="str">
        <f>INDEX(У!A$2:D$41,$E18,1)</f>
        <v>ТАН-426F</v>
      </c>
      <c r="G18" s="1">
        <f>INDEX(У!B$2:C$41,$E18,1)</f>
        <v>1.5</v>
      </c>
      <c r="H18" s="1">
        <f>INDEX(У!C$2:D$41,$E18,1)</f>
        <v>1.7</v>
      </c>
      <c r="I18" s="1">
        <f>INDEX(У!D$2:E$41,$E18,1)</f>
        <v>26</v>
      </c>
      <c r="J18" s="2">
        <f t="shared" ref="J18:J24" si="5">B17-I18</f>
        <v>71.36</v>
      </c>
      <c r="K18" s="2">
        <f t="shared" ref="K18:K24" si="6">C17-I18</f>
        <v>71.16</v>
      </c>
      <c r="L18" s="12" t="str">
        <f t="shared" si="2"/>
        <v xml:space="preserve">71,16 71,36 </v>
      </c>
      <c r="M18" s="1">
        <v>1</v>
      </c>
    </row>
    <row r="19" spans="1:15" x14ac:dyDescent="0.25">
      <c r="A19" s="5">
        <v>3</v>
      </c>
      <c r="B19" s="1">
        <f>B18-$D19*У!$C$41-G19</f>
        <v>93.52</v>
      </c>
      <c r="C19" s="1">
        <f>C18-$D19*У!$C$41-H19</f>
        <v>92.919999999999987</v>
      </c>
      <c r="D19" s="1">
        <v>3</v>
      </c>
      <c r="E19" s="1">
        <v>28</v>
      </c>
      <c r="F19" s="1" t="str">
        <f>INDEX(У!A$2:D$41,$E19,1)</f>
        <v>ТАН-424F</v>
      </c>
      <c r="G19" s="1">
        <f>INDEX(У!B$2:C$41,$E19,1)</f>
        <v>1.5</v>
      </c>
      <c r="H19" s="1">
        <f>INDEX(У!C$2:D$41,$E19,1)</f>
        <v>1.7</v>
      </c>
      <c r="I19" s="1">
        <f>INDEX(У!D$2:E$41,$E19,1)</f>
        <v>24</v>
      </c>
      <c r="J19" s="2">
        <f t="shared" si="5"/>
        <v>71.44</v>
      </c>
      <c r="K19" s="2">
        <f t="shared" si="6"/>
        <v>71.039999999999992</v>
      </c>
      <c r="L19" s="11" t="str">
        <f t="shared" si="2"/>
        <v xml:space="preserve">71,04 71,44 </v>
      </c>
      <c r="M19" s="1">
        <v>1</v>
      </c>
    </row>
    <row r="20" spans="1:15" x14ac:dyDescent="0.25">
      <c r="A20" s="5">
        <v>4</v>
      </c>
      <c r="B20" s="1">
        <f>B19-$D20*У!$C$41-G20</f>
        <v>91.6</v>
      </c>
      <c r="C20" s="1">
        <f>C19-$D20*У!$C$41-H20</f>
        <v>90.799999999999983</v>
      </c>
      <c r="D20" s="1">
        <v>3</v>
      </c>
      <c r="E20" s="1">
        <v>28</v>
      </c>
      <c r="F20" s="1" t="str">
        <f>INDEX(У!A$2:D$41,$E20,1)</f>
        <v>ТАН-424F</v>
      </c>
      <c r="G20" s="1">
        <f>INDEX(У!B$2:C$41,$E20,1)</f>
        <v>1.5</v>
      </c>
      <c r="H20" s="1">
        <f>INDEX(У!C$2:D$41,$E20,1)</f>
        <v>1.7</v>
      </c>
      <c r="I20" s="1">
        <f>INDEX(У!D$2:E$41,$E20,1)</f>
        <v>24</v>
      </c>
      <c r="J20" s="2">
        <f t="shared" si="5"/>
        <v>69.52</v>
      </c>
      <c r="K20" s="2">
        <f t="shared" si="6"/>
        <v>68.919999999999987</v>
      </c>
      <c r="L20" s="1" t="str">
        <f t="shared" si="2"/>
        <v xml:space="preserve">68,92 69,52 </v>
      </c>
      <c r="M20" s="1">
        <v>1</v>
      </c>
    </row>
    <row r="21" spans="1:15" x14ac:dyDescent="0.25">
      <c r="A21" s="5">
        <v>5</v>
      </c>
      <c r="B21" s="1">
        <f>B20-$D21*У!$C$41-G21</f>
        <v>89.47999999999999</v>
      </c>
      <c r="C21" s="1">
        <f>C20-$D21*У!$C$41-H21</f>
        <v>88.379999999999981</v>
      </c>
      <c r="D21" s="1">
        <v>3</v>
      </c>
      <c r="E21" s="1">
        <v>27</v>
      </c>
      <c r="F21" s="1" t="str">
        <f>INDEX(У!A$2:D$41,$E21,1)</f>
        <v>ТАН-420F</v>
      </c>
      <c r="G21" s="1">
        <f>INDEX(У!B$2:C$41,$E21,1)</f>
        <v>1.7</v>
      </c>
      <c r="H21" s="1">
        <f>INDEX(У!C$2:D$41,$E21,1)</f>
        <v>2</v>
      </c>
      <c r="I21" s="1">
        <f>INDEX(У!D$2:E$41,$E21,1)</f>
        <v>20</v>
      </c>
      <c r="J21" s="2">
        <f t="shared" si="5"/>
        <v>71.599999999999994</v>
      </c>
      <c r="K21" s="2">
        <f t="shared" si="6"/>
        <v>70.799999999999983</v>
      </c>
      <c r="L21" s="1" t="str">
        <f t="shared" si="2"/>
        <v xml:space="preserve">70,8 71,6 </v>
      </c>
      <c r="M21" s="1">
        <v>1</v>
      </c>
    </row>
    <row r="22" spans="1:15" x14ac:dyDescent="0.25">
      <c r="A22" s="5">
        <v>6</v>
      </c>
      <c r="B22" s="1">
        <f>B21-$D22*У!$C$41-G22</f>
        <v>87.359999999999985</v>
      </c>
      <c r="C22" s="1">
        <f>C21-$D22*У!$C$41-H22</f>
        <v>85.95999999999998</v>
      </c>
      <c r="D22" s="1">
        <v>3</v>
      </c>
      <c r="E22" s="1">
        <v>27</v>
      </c>
      <c r="F22" s="1" t="str">
        <f>INDEX(У!A$2:D$41,$E22,1)</f>
        <v>ТАН-420F</v>
      </c>
      <c r="G22" s="1">
        <f>INDEX(У!B$2:C$41,$E22,1)</f>
        <v>1.7</v>
      </c>
      <c r="H22" s="1">
        <f>INDEX(У!C$2:D$41,$E22,1)</f>
        <v>2</v>
      </c>
      <c r="I22" s="1">
        <f>INDEX(У!D$2:E$41,$E22,1)</f>
        <v>20</v>
      </c>
      <c r="J22" s="2">
        <f t="shared" si="5"/>
        <v>69.47999999999999</v>
      </c>
      <c r="K22" s="2">
        <f t="shared" si="6"/>
        <v>68.379999999999981</v>
      </c>
      <c r="L22" s="1" t="str">
        <f t="shared" si="2"/>
        <v xml:space="preserve">68,38 69,48 </v>
      </c>
      <c r="M22" s="1">
        <v>1</v>
      </c>
    </row>
    <row r="23" spans="1:15" x14ac:dyDescent="0.25">
      <c r="A23" s="5">
        <v>7</v>
      </c>
      <c r="B23" s="1">
        <f>B22-$D23*У!$C$41-G23</f>
        <v>84.439999999999984</v>
      </c>
      <c r="C23" s="1">
        <f>C22-$D23*У!$C$41-H23</f>
        <v>82.539999999999978</v>
      </c>
      <c r="D23" s="1">
        <v>3</v>
      </c>
      <c r="E23" s="1">
        <v>26</v>
      </c>
      <c r="F23" s="1" t="str">
        <f>INDEX(У!A$2:D$41,$E23,1)</f>
        <v>ТАН-416F</v>
      </c>
      <c r="G23" s="1">
        <f>INDEX(У!B$2:C$41,$E23,1)</f>
        <v>2.5</v>
      </c>
      <c r="H23" s="1">
        <f>INDEX(У!C$2:D$41,$E23,1)</f>
        <v>3</v>
      </c>
      <c r="I23" s="1">
        <f>INDEX(У!D$2:E$41,$E23,1)</f>
        <v>16</v>
      </c>
      <c r="J23" s="2">
        <f t="shared" si="5"/>
        <v>71.359999999999985</v>
      </c>
      <c r="K23" s="2">
        <f t="shared" si="6"/>
        <v>69.95999999999998</v>
      </c>
      <c r="L23" s="1" t="str">
        <f t="shared" si="2"/>
        <v xml:space="preserve">69,96 71,36 </v>
      </c>
      <c r="M23" s="1">
        <v>1</v>
      </c>
    </row>
    <row r="24" spans="1:15" x14ac:dyDescent="0.25">
      <c r="A24" s="5">
        <v>8</v>
      </c>
      <c r="B24" s="1">
        <f>B23-$D24*У!$C$41-G24</f>
        <v>81.519999999999982</v>
      </c>
      <c r="C24" s="1">
        <f>C23-$D24*У!$C$41-H24</f>
        <v>79.119999999999976</v>
      </c>
      <c r="D24" s="1">
        <v>3</v>
      </c>
      <c r="E24" s="1">
        <v>26</v>
      </c>
      <c r="F24" s="1" t="str">
        <f>INDEX(У!A$2:D$41,$E24,1)</f>
        <v>ТАН-416F</v>
      </c>
      <c r="G24" s="1">
        <f>INDEX(У!B$2:C$41,$E24,1)</f>
        <v>2.5</v>
      </c>
      <c r="H24" s="1">
        <f>INDEX(У!C$2:D$41,$E24,1)</f>
        <v>3</v>
      </c>
      <c r="I24" s="1">
        <f>INDEX(У!D$2:E$41,$E24,1)</f>
        <v>16</v>
      </c>
      <c r="J24" s="2">
        <f t="shared" si="5"/>
        <v>68.439999999999984</v>
      </c>
      <c r="K24" s="2">
        <f t="shared" si="6"/>
        <v>66.539999999999978</v>
      </c>
      <c r="L24" s="1" t="str">
        <f t="shared" si="2"/>
        <v xml:space="preserve">66,54 68,44 </v>
      </c>
      <c r="M24" s="1">
        <v>1</v>
      </c>
    </row>
    <row r="25" spans="1:15" x14ac:dyDescent="0.25">
      <c r="A25" s="5"/>
      <c r="L25" s="1" t="str">
        <f t="shared" si="2"/>
        <v xml:space="preserve">  </v>
      </c>
      <c r="M25">
        <f>SUM(M6:M24)</f>
        <v>44</v>
      </c>
    </row>
    <row r="26" spans="1:15" x14ac:dyDescent="0.25">
      <c r="L26" s="1" t="str">
        <f t="shared" si="2"/>
        <v xml:space="preserve">  </v>
      </c>
    </row>
    <row r="27" spans="1:15" x14ac:dyDescent="0.25">
      <c r="L27" s="1" t="str">
        <f t="shared" si="2"/>
        <v xml:space="preserve">  </v>
      </c>
    </row>
    <row r="28" spans="1:15" x14ac:dyDescent="0.25">
      <c r="I28" s="2"/>
      <c r="L28" s="1" t="str">
        <f t="shared" si="2"/>
        <v xml:space="preserve">  </v>
      </c>
    </row>
    <row r="29" spans="1:15" x14ac:dyDescent="0.25">
      <c r="B29" s="1" t="s">
        <v>77</v>
      </c>
      <c r="C29" s="1" t="s">
        <v>77</v>
      </c>
      <c r="I29" s="2"/>
      <c r="L29" s="1" t="str">
        <f t="shared" si="2"/>
        <v xml:space="preserve">  </v>
      </c>
    </row>
    <row r="30" spans="1:15" x14ac:dyDescent="0.25">
      <c r="B30" s="1">
        <f>3*5*8+127</f>
        <v>247</v>
      </c>
      <c r="C30" s="1">
        <f>3*5*8+127</f>
        <v>247</v>
      </c>
      <c r="I30" s="2"/>
      <c r="L30" s="1" t="str">
        <f t="shared" si="2"/>
        <v xml:space="preserve">  </v>
      </c>
    </row>
    <row r="31" spans="1:15" x14ac:dyDescent="0.25">
      <c r="I31" s="2"/>
      <c r="L31" s="1" t="str">
        <f t="shared" si="2"/>
        <v xml:space="preserve">  </v>
      </c>
    </row>
    <row r="32" spans="1:15" x14ac:dyDescent="0.25">
      <c r="I32" s="2"/>
      <c r="L32" s="1" t="str">
        <f t="shared" si="2"/>
        <v xml:space="preserve">  </v>
      </c>
    </row>
    <row r="33" spans="9:12" x14ac:dyDescent="0.25">
      <c r="I33" s="2"/>
      <c r="L33" s="1" t="str">
        <f t="shared" si="2"/>
        <v xml:space="preserve">  </v>
      </c>
    </row>
    <row r="34" spans="9:12" x14ac:dyDescent="0.25">
      <c r="I34" s="2"/>
      <c r="L34" s="1" t="str">
        <f t="shared" si="2"/>
        <v xml:space="preserve">  </v>
      </c>
    </row>
    <row r="35" spans="9:12" x14ac:dyDescent="0.25">
      <c r="I35" s="2"/>
      <c r="L35" s="1" t="str">
        <f t="shared" si="2"/>
        <v xml:space="preserve">  </v>
      </c>
    </row>
    <row r="36" spans="9:12" x14ac:dyDescent="0.25">
      <c r="L36" s="1" t="str">
        <f t="shared" si="2"/>
        <v xml:space="preserve">  </v>
      </c>
    </row>
    <row r="37" spans="9:12" x14ac:dyDescent="0.25">
      <c r="L37" s="1" t="str">
        <f t="shared" si="2"/>
        <v xml:space="preserve">  </v>
      </c>
    </row>
    <row r="38" spans="9:12" x14ac:dyDescent="0.25">
      <c r="L38" s="1" t="str">
        <f t="shared" si="2"/>
        <v xml:space="preserve">  </v>
      </c>
    </row>
    <row r="39" spans="9:12" x14ac:dyDescent="0.25">
      <c r="L39" s="1" t="str">
        <f t="shared" si="2"/>
        <v xml:space="preserve">  </v>
      </c>
    </row>
    <row r="40" spans="9:12" x14ac:dyDescent="0.25">
      <c r="L40" s="2" t="str">
        <f t="shared" si="2"/>
        <v xml:space="preserve">  </v>
      </c>
    </row>
    <row r="41" spans="9:12" x14ac:dyDescent="0.25">
      <c r="L41" s="2" t="str">
        <f t="shared" si="2"/>
        <v xml:space="preserve">  </v>
      </c>
    </row>
    <row r="42" spans="9:12" x14ac:dyDescent="0.25">
      <c r="L42" s="2" t="str">
        <f t="shared" si="2"/>
        <v xml:space="preserve">  </v>
      </c>
    </row>
    <row r="43" spans="9:12" x14ac:dyDescent="0.25">
      <c r="L43" s="2" t="str">
        <f t="shared" si="2"/>
        <v xml:space="preserve">  </v>
      </c>
    </row>
    <row r="44" spans="9:12" x14ac:dyDescent="0.25">
      <c r="L44" s="2" t="str">
        <f t="shared" si="2"/>
        <v xml:space="preserve">  </v>
      </c>
    </row>
    <row r="45" spans="9:12" x14ac:dyDescent="0.25">
      <c r="L45" s="2" t="str">
        <f t="shared" si="2"/>
        <v xml:space="preserve">  </v>
      </c>
    </row>
    <row r="46" spans="9:12" x14ac:dyDescent="0.25">
      <c r="L46" s="2" t="str">
        <f t="shared" si="2"/>
        <v xml:space="preserve">  </v>
      </c>
    </row>
    <row r="47" spans="9:12" x14ac:dyDescent="0.25">
      <c r="L47" s="2" t="str">
        <f t="shared" si="2"/>
        <v xml:space="preserve">  </v>
      </c>
    </row>
    <row r="48" spans="9:12" x14ac:dyDescent="0.25">
      <c r="L48" s="2" t="str">
        <f t="shared" si="2"/>
        <v xml:space="preserve">  </v>
      </c>
    </row>
    <row r="49" spans="12:12" x14ac:dyDescent="0.25">
      <c r="L49" s="2" t="str">
        <f t="shared" si="2"/>
        <v xml:space="preserve">  </v>
      </c>
    </row>
    <row r="50" spans="12:12" x14ac:dyDescent="0.25">
      <c r="L50" s="2" t="str">
        <f t="shared" si="2"/>
        <v xml:space="preserve">  </v>
      </c>
    </row>
    <row r="51" spans="12:12" x14ac:dyDescent="0.25">
      <c r="L51" s="2" t="str">
        <f t="shared" si="2"/>
        <v xml:space="preserve">  </v>
      </c>
    </row>
    <row r="52" spans="12:12" x14ac:dyDescent="0.25">
      <c r="L52" s="2" t="str">
        <f t="shared" si="2"/>
        <v xml:space="preserve">  </v>
      </c>
    </row>
    <row r="53" spans="12:12" x14ac:dyDescent="0.25">
      <c r="L53" s="2" t="str">
        <f t="shared" si="2"/>
        <v xml:space="preserve">  </v>
      </c>
    </row>
  </sheetData>
  <conditionalFormatting sqref="O6:O17">
    <cfRule type="cellIs" dxfId="1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Normal="100" workbookViewId="0">
      <selection activeCell="H34" sqref="H34"/>
    </sheetView>
  </sheetViews>
  <sheetFormatPr defaultRowHeight="15" x14ac:dyDescent="0.25"/>
  <cols>
    <col min="1" max="1" width="5.375" style="2" bestFit="1" customWidth="1"/>
    <col min="2" max="2" width="9.125" style="1"/>
    <col min="3" max="3" width="8" style="1" customWidth="1"/>
    <col min="4" max="4" width="11.125" style="1" customWidth="1"/>
    <col min="5" max="5" width="11.125" style="1" bestFit="1" customWidth="1"/>
    <col min="6" max="7" width="9.125" style="1"/>
    <col min="8" max="8" width="9.125" style="2"/>
  </cols>
  <sheetData>
    <row r="1" spans="1:11" x14ac:dyDescent="0.25">
      <c r="B1" s="1" t="s">
        <v>45</v>
      </c>
    </row>
    <row r="3" spans="1:11" ht="30" x14ac:dyDescent="0.25">
      <c r="A3" s="2" t="s">
        <v>27</v>
      </c>
      <c r="B3" s="4" t="s">
        <v>26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24</v>
      </c>
      <c r="H3" s="4" t="s">
        <v>25</v>
      </c>
    </row>
    <row r="4" spans="1:11" x14ac:dyDescent="0.25">
      <c r="B4" s="3"/>
      <c r="C4" s="3"/>
      <c r="D4" s="3"/>
      <c r="E4" s="3"/>
      <c r="F4" s="3"/>
      <c r="G4" s="3"/>
      <c r="H4" s="4"/>
    </row>
    <row r="5" spans="1:11" x14ac:dyDescent="0.25">
      <c r="B5" s="7">
        <v>99</v>
      </c>
    </row>
    <row r="6" spans="1:11" x14ac:dyDescent="0.25">
      <c r="A6" s="5">
        <v>1</v>
      </c>
      <c r="B6" s="1">
        <f>B5-C6*У!$C$41-F6</f>
        <v>97.16</v>
      </c>
      <c r="C6" s="1">
        <v>1</v>
      </c>
      <c r="D6" s="1">
        <v>29</v>
      </c>
      <c r="E6" s="1" t="str">
        <f>INDEX(У!A$2:D$41,$D6,1)</f>
        <v>ТАН-426F</v>
      </c>
      <c r="F6" s="1">
        <f>INDEX(У!C$2:D$41,$D6,1)</f>
        <v>1.7</v>
      </c>
      <c r="G6" s="1">
        <f>INDEX(У!D$2:E$41,$D6,1)</f>
        <v>26</v>
      </c>
      <c r="H6" s="2">
        <f>B5-G6</f>
        <v>73</v>
      </c>
      <c r="I6" s="1">
        <v>7</v>
      </c>
      <c r="J6" s="2" t="s">
        <v>7</v>
      </c>
      <c r="K6" s="2">
        <f t="shared" ref="K6:K12" si="0">SUMIFS(I$6:I$14,E$6:E$14,J6)</f>
        <v>0</v>
      </c>
    </row>
    <row r="7" spans="1:11" x14ac:dyDescent="0.25">
      <c r="A7" s="5">
        <v>2</v>
      </c>
      <c r="B7" s="1">
        <f>B6-C7*У!$C$41-F7</f>
        <v>95.039999999999992</v>
      </c>
      <c r="C7" s="1">
        <v>3</v>
      </c>
      <c r="D7" s="1">
        <v>29</v>
      </c>
      <c r="E7" s="1" t="str">
        <f>INDEX(У!A$2:D$41,$D7,1)</f>
        <v>ТАН-426F</v>
      </c>
      <c r="F7" s="1">
        <f>INDEX(У!C$2:D$41,$D7,1)</f>
        <v>1.7</v>
      </c>
      <c r="G7" s="1">
        <f>INDEX(У!D$2:E$41,$D7,1)</f>
        <v>26</v>
      </c>
      <c r="H7" s="2">
        <f t="shared" ref="H7:H13" si="1">B6-G7</f>
        <v>71.16</v>
      </c>
      <c r="I7" s="1">
        <v>7</v>
      </c>
      <c r="J7" s="2" t="s">
        <v>8</v>
      </c>
      <c r="K7" s="2">
        <f t="shared" si="0"/>
        <v>0</v>
      </c>
    </row>
    <row r="8" spans="1:11" x14ac:dyDescent="0.25">
      <c r="A8" s="5">
        <v>3</v>
      </c>
      <c r="B8" s="1">
        <f>B7-C8*У!$C$41-F8</f>
        <v>92.919999999999987</v>
      </c>
      <c r="C8" s="1">
        <v>3</v>
      </c>
      <c r="D8" s="1">
        <v>28</v>
      </c>
      <c r="E8" s="1" t="str">
        <f>INDEX(У!A$2:D$41,$D8,1)</f>
        <v>ТАН-424F</v>
      </c>
      <c r="F8" s="1">
        <f>INDEX(У!C$2:D$41,$D8,1)</f>
        <v>1.7</v>
      </c>
      <c r="G8" s="1">
        <f>INDEX(У!D$2:E$41,$D8,1)</f>
        <v>24</v>
      </c>
      <c r="H8" s="2">
        <f t="shared" si="1"/>
        <v>71.039999999999992</v>
      </c>
      <c r="I8" s="1">
        <v>7</v>
      </c>
      <c r="J8" s="2" t="s">
        <v>9</v>
      </c>
      <c r="K8" s="2">
        <f t="shared" si="0"/>
        <v>0</v>
      </c>
    </row>
    <row r="9" spans="1:11" x14ac:dyDescent="0.25">
      <c r="A9" s="5">
        <v>4</v>
      </c>
      <c r="B9" s="1">
        <f>B8-C9*У!$C$41-F9</f>
        <v>90.799999999999983</v>
      </c>
      <c r="C9" s="1">
        <v>3</v>
      </c>
      <c r="D9" s="1">
        <v>28</v>
      </c>
      <c r="E9" s="1" t="str">
        <f>INDEX(У!A$2:D$41,$D9,1)</f>
        <v>ТАН-424F</v>
      </c>
      <c r="F9" s="1">
        <f>INDEX(У!C$2:D$41,$D9,1)</f>
        <v>1.7</v>
      </c>
      <c r="G9" s="1">
        <f>INDEX(У!D$2:E$41,$D9,1)</f>
        <v>24</v>
      </c>
      <c r="H9" s="2">
        <f t="shared" si="1"/>
        <v>68.919999999999987</v>
      </c>
      <c r="I9" s="1">
        <v>7</v>
      </c>
      <c r="J9" s="2" t="s">
        <v>10</v>
      </c>
      <c r="K9" s="2">
        <f t="shared" si="0"/>
        <v>14</v>
      </c>
    </row>
    <row r="10" spans="1:11" x14ac:dyDescent="0.25">
      <c r="A10" s="5">
        <v>5</v>
      </c>
      <c r="B10" s="1">
        <f>B9-C10*У!$C$41-F10</f>
        <v>88.379999999999981</v>
      </c>
      <c r="C10" s="1">
        <v>3</v>
      </c>
      <c r="D10" s="1">
        <v>27</v>
      </c>
      <c r="E10" s="1" t="str">
        <f>INDEX(У!A$2:D$41,$D10,1)</f>
        <v>ТАН-420F</v>
      </c>
      <c r="F10" s="1">
        <f>INDEX(У!C$2:D$41,$D10,1)</f>
        <v>2</v>
      </c>
      <c r="G10" s="1">
        <f>INDEX(У!D$2:E$41,$D10,1)</f>
        <v>20</v>
      </c>
      <c r="H10" s="2">
        <f t="shared" si="1"/>
        <v>70.799999999999983</v>
      </c>
      <c r="I10" s="1">
        <v>7</v>
      </c>
      <c r="J10" s="2" t="s">
        <v>11</v>
      </c>
      <c r="K10" s="2">
        <f t="shared" si="0"/>
        <v>14</v>
      </c>
    </row>
    <row r="11" spans="1:11" x14ac:dyDescent="0.25">
      <c r="A11" s="5">
        <v>6</v>
      </c>
      <c r="B11" s="1">
        <f>B10-C11*У!$C$41-F11</f>
        <v>85.95999999999998</v>
      </c>
      <c r="C11" s="1">
        <v>3</v>
      </c>
      <c r="D11" s="1">
        <v>27</v>
      </c>
      <c r="E11" s="1" t="str">
        <f>INDEX(У!A$2:D$41,$D11,1)</f>
        <v>ТАН-420F</v>
      </c>
      <c r="F11" s="1">
        <f>INDEX(У!C$2:D$41,$D11,1)</f>
        <v>2</v>
      </c>
      <c r="G11" s="1">
        <f>INDEX(У!D$2:E$41,$D11,1)</f>
        <v>20</v>
      </c>
      <c r="H11" s="2">
        <f t="shared" si="1"/>
        <v>68.379999999999981</v>
      </c>
      <c r="I11" s="1">
        <v>7</v>
      </c>
      <c r="J11" s="2" t="s">
        <v>12</v>
      </c>
      <c r="K11" s="2">
        <f t="shared" si="0"/>
        <v>14</v>
      </c>
    </row>
    <row r="12" spans="1:11" x14ac:dyDescent="0.25">
      <c r="A12" s="5">
        <v>7</v>
      </c>
      <c r="B12" s="1">
        <f>B11-C12*У!$C$41-F12</f>
        <v>82.539999999999978</v>
      </c>
      <c r="C12" s="1">
        <v>3</v>
      </c>
      <c r="D12" s="1">
        <v>26</v>
      </c>
      <c r="E12" s="1" t="str">
        <f>INDEX(У!A$2:D$41,$D12,1)</f>
        <v>ТАН-416F</v>
      </c>
      <c r="F12" s="1">
        <f>INDEX(У!C$2:D$41,$D12,1)</f>
        <v>3</v>
      </c>
      <c r="G12" s="1">
        <f>INDEX(У!D$2:E$41,$D12,1)</f>
        <v>16</v>
      </c>
      <c r="H12" s="2">
        <f t="shared" si="1"/>
        <v>69.95999999999998</v>
      </c>
      <c r="I12" s="1">
        <v>7</v>
      </c>
      <c r="J12" s="2" t="s">
        <v>6</v>
      </c>
      <c r="K12" s="2">
        <f t="shared" si="0"/>
        <v>0</v>
      </c>
    </row>
    <row r="13" spans="1:11" x14ac:dyDescent="0.25">
      <c r="A13" s="5">
        <v>8</v>
      </c>
      <c r="B13" s="1">
        <f>B12-C13*У!$C$41-F13</f>
        <v>79.119999999999976</v>
      </c>
      <c r="C13" s="1">
        <v>3</v>
      </c>
      <c r="D13" s="1">
        <v>26</v>
      </c>
      <c r="E13" s="1" t="str">
        <f>INDEX(У!A$2:D$41,$D13,1)</f>
        <v>ТАН-416F</v>
      </c>
      <c r="F13" s="1">
        <f>INDEX(У!C$2:D$41,$D13,1)</f>
        <v>3</v>
      </c>
      <c r="G13" s="1">
        <f>INDEX(У!D$2:E$41,$D13,1)</f>
        <v>16</v>
      </c>
      <c r="H13" s="2">
        <f t="shared" si="1"/>
        <v>66.539999999999978</v>
      </c>
      <c r="I13" s="1">
        <v>7</v>
      </c>
      <c r="J13" s="2"/>
      <c r="K13" s="2"/>
    </row>
    <row r="14" spans="1:11" x14ac:dyDescent="0.25">
      <c r="A14"/>
      <c r="B14"/>
      <c r="C14"/>
      <c r="D14"/>
      <c r="E14"/>
      <c r="F14"/>
      <c r="G14"/>
      <c r="H14"/>
      <c r="I14" s="1"/>
      <c r="J14" s="2"/>
      <c r="K14" s="2"/>
    </row>
    <row r="15" spans="1:11" x14ac:dyDescent="0.25">
      <c r="A15" s="5"/>
      <c r="I15" s="2">
        <f>SUM(I6:I14)</f>
        <v>56</v>
      </c>
    </row>
    <row r="18" spans="1:7" x14ac:dyDescent="0.25">
      <c r="G18" s="2"/>
    </row>
    <row r="19" spans="1:7" x14ac:dyDescent="0.25">
      <c r="B19" s="1" t="s">
        <v>77</v>
      </c>
      <c r="G19" s="2"/>
    </row>
    <row r="20" spans="1:7" x14ac:dyDescent="0.25">
      <c r="B20" s="1">
        <f>3*7*7+169</f>
        <v>316</v>
      </c>
      <c r="G20" s="2"/>
    </row>
    <row r="28" spans="1:7" x14ac:dyDescent="0.25">
      <c r="A28"/>
      <c r="B28"/>
      <c r="C28"/>
    </row>
    <row r="31" spans="1:7" x14ac:dyDescent="0.25">
      <c r="A31"/>
      <c r="B31"/>
      <c r="C31"/>
    </row>
    <row r="32" spans="1:7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42" spans="1:3" x14ac:dyDescent="0.25">
      <c r="A42"/>
      <c r="B42"/>
      <c r="C42"/>
    </row>
  </sheetData>
  <conditionalFormatting sqref="K6:K14">
    <cfRule type="cellIs" dxfId="18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zoomScaleNormal="100" workbookViewId="0">
      <selection activeCell="A42" sqref="A42:XFD42"/>
    </sheetView>
  </sheetViews>
  <sheetFormatPr defaultRowHeight="15" x14ac:dyDescent="0.25"/>
  <cols>
    <col min="1" max="1" width="5.375" style="2" bestFit="1" customWidth="1"/>
    <col min="2" max="3" width="9.125" style="1"/>
    <col min="4" max="4" width="8" style="1" customWidth="1"/>
    <col min="5" max="5" width="11.125" style="1" customWidth="1"/>
    <col min="6" max="6" width="11.125" style="1" bestFit="1" customWidth="1"/>
    <col min="7" max="9" width="9.125" style="1"/>
    <col min="10" max="11" width="7.375" style="2" bestFit="1" customWidth="1"/>
    <col min="12" max="12" width="11.375" style="2" customWidth="1"/>
  </cols>
  <sheetData>
    <row r="1" spans="1:17" x14ac:dyDescent="0.25">
      <c r="B1" s="1" t="s">
        <v>45</v>
      </c>
      <c r="C1" s="1" t="s">
        <v>45</v>
      </c>
    </row>
    <row r="3" spans="1:17" ht="30" x14ac:dyDescent="0.25">
      <c r="A3" s="2" t="s">
        <v>27</v>
      </c>
      <c r="B3" s="4" t="s">
        <v>26</v>
      </c>
      <c r="C3" s="4" t="s">
        <v>26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23</v>
      </c>
      <c r="I3" s="3" t="s">
        <v>24</v>
      </c>
      <c r="J3" s="4" t="s">
        <v>25</v>
      </c>
      <c r="K3" s="4" t="s">
        <v>25</v>
      </c>
      <c r="L3" s="2" t="s">
        <v>81</v>
      </c>
    </row>
    <row r="4" spans="1:17" x14ac:dyDescent="0.25">
      <c r="B4" s="3"/>
      <c r="C4" s="3"/>
      <c r="D4" s="3"/>
      <c r="E4" s="3"/>
      <c r="F4" s="3"/>
      <c r="G4" s="3"/>
      <c r="H4" s="3"/>
      <c r="I4" s="3"/>
      <c r="J4" s="4">
        <v>1</v>
      </c>
      <c r="K4" s="4">
        <v>2</v>
      </c>
      <c r="L4" s="12"/>
    </row>
    <row r="5" spans="1:17" x14ac:dyDescent="0.25">
      <c r="B5" s="7">
        <v>99</v>
      </c>
      <c r="C5" s="7">
        <v>99</v>
      </c>
      <c r="L5" s="12"/>
    </row>
    <row r="6" spans="1:17" x14ac:dyDescent="0.25">
      <c r="A6" s="5">
        <v>1</v>
      </c>
      <c r="B6" s="1">
        <f>B5-$D6*У!$C$41-G6</f>
        <v>97.36</v>
      </c>
      <c r="C6" s="1">
        <f>C5-$D6*У!$C$41-H6</f>
        <v>97.16</v>
      </c>
      <c r="D6" s="1">
        <v>1</v>
      </c>
      <c r="E6" s="1">
        <v>29</v>
      </c>
      <c r="F6" s="1" t="str">
        <f>INDEX(У!A$2:D$41,$E6,1)</f>
        <v>ТАН-426F</v>
      </c>
      <c r="G6" s="1">
        <f>INDEX(У!B$2:C$41,$E6,1)</f>
        <v>1.5</v>
      </c>
      <c r="H6" s="1">
        <f>INDEX(У!C$2:D$41,$E6,1)</f>
        <v>1.7</v>
      </c>
      <c r="I6" s="1">
        <f>INDEX(У!D$2:E$41,$E6,1)</f>
        <v>26</v>
      </c>
      <c r="J6" s="2">
        <f>B5-I6</f>
        <v>73</v>
      </c>
      <c r="K6" s="2">
        <f>C5-I6</f>
        <v>73</v>
      </c>
      <c r="L6" s="12" t="str">
        <f>CONCATENATE(K6,"/ ",J6," ")</f>
        <v xml:space="preserve">73/ 73 </v>
      </c>
      <c r="M6" s="1">
        <v>5</v>
      </c>
      <c r="N6" s="2" t="s">
        <v>7</v>
      </c>
      <c r="O6" s="2">
        <f>SUMIFS(M$6:M$11,F$6:F$11,N6)</f>
        <v>0</v>
      </c>
      <c r="Q6" s="12" t="str">
        <f>CONCATENATE(B6,"/ ",C6)</f>
        <v>97,36/ 97,16</v>
      </c>
    </row>
    <row r="7" spans="1:17" x14ac:dyDescent="0.25">
      <c r="A7" s="5">
        <v>2</v>
      </c>
      <c r="B7" s="1">
        <f>B6-$D7*У!$C$41-G7</f>
        <v>95.44</v>
      </c>
      <c r="C7" s="1">
        <f>C6-$D7*У!$C$41-H7</f>
        <v>95.039999999999992</v>
      </c>
      <c r="D7" s="1">
        <v>3</v>
      </c>
      <c r="E7" s="1">
        <v>29</v>
      </c>
      <c r="F7" s="1" t="str">
        <f>INDEX(У!A$2:D$41,$E7,1)</f>
        <v>ТАН-426F</v>
      </c>
      <c r="G7" s="1">
        <f>INDEX(У!B$2:C$41,$E7,1)</f>
        <v>1.5</v>
      </c>
      <c r="H7" s="1">
        <f>INDEX(У!C$2:D$41,$E7,1)</f>
        <v>1.7</v>
      </c>
      <c r="I7" s="1">
        <f>INDEX(У!D$2:E$41,$E7,1)</f>
        <v>26</v>
      </c>
      <c r="J7" s="2">
        <f t="shared" ref="J7:J11" si="0">B6-I7</f>
        <v>71.36</v>
      </c>
      <c r="K7" s="2">
        <f t="shared" ref="K7:K11" si="1">C6-I7</f>
        <v>71.16</v>
      </c>
      <c r="L7" s="12" t="str">
        <f t="shared" ref="L7:L11" si="2">CONCATENATE(K7,"/ ",J7," ")</f>
        <v xml:space="preserve">71,16/ 71,36 </v>
      </c>
      <c r="M7" s="1">
        <v>5</v>
      </c>
      <c r="N7" s="2" t="s">
        <v>8</v>
      </c>
      <c r="O7" s="2">
        <f t="shared" ref="O7:O12" si="3">SUMIFS(M$6:M$11,F$6:F$11,N7)</f>
        <v>0</v>
      </c>
      <c r="Q7" s="12" t="str">
        <f t="shared" ref="Q7:Q14" si="4">CONCATENATE(B7,"/ ",C7)</f>
        <v>95,44/ 95,04</v>
      </c>
    </row>
    <row r="8" spans="1:17" x14ac:dyDescent="0.25">
      <c r="A8" s="5">
        <v>3</v>
      </c>
      <c r="B8" s="1">
        <f>B7-$D8*У!$C$41-G8</f>
        <v>93.52</v>
      </c>
      <c r="C8" s="1">
        <f>C7-$D8*У!$C$41-H8</f>
        <v>92.919999999999987</v>
      </c>
      <c r="D8" s="1">
        <v>3</v>
      </c>
      <c r="E8" s="1">
        <v>28</v>
      </c>
      <c r="F8" s="1" t="str">
        <f>INDEX(У!A$2:D$41,$E8,1)</f>
        <v>ТАН-424F</v>
      </c>
      <c r="G8" s="1">
        <f>INDEX(У!B$2:C$41,$E8,1)</f>
        <v>1.5</v>
      </c>
      <c r="H8" s="1">
        <f>INDEX(У!C$2:D$41,$E8,1)</f>
        <v>1.7</v>
      </c>
      <c r="I8" s="1">
        <f>INDEX(У!D$2:E$41,$E8,1)</f>
        <v>24</v>
      </c>
      <c r="J8" s="2">
        <f t="shared" si="0"/>
        <v>71.44</v>
      </c>
      <c r="K8" s="2">
        <f t="shared" si="1"/>
        <v>71.039999999999992</v>
      </c>
      <c r="L8" s="12" t="str">
        <f t="shared" si="2"/>
        <v xml:space="preserve">71,04/ 71,44 </v>
      </c>
      <c r="M8" s="1">
        <v>5</v>
      </c>
      <c r="N8" s="2" t="s">
        <v>9</v>
      </c>
      <c r="O8" s="2">
        <f t="shared" si="3"/>
        <v>0</v>
      </c>
      <c r="Q8" s="12" t="str">
        <f t="shared" si="4"/>
        <v>93,52/ 92,92</v>
      </c>
    </row>
    <row r="9" spans="1:17" x14ac:dyDescent="0.25">
      <c r="A9" s="5">
        <v>4</v>
      </c>
      <c r="B9" s="1">
        <f>B8-$D9*У!$C$41-G9</f>
        <v>91.6</v>
      </c>
      <c r="C9" s="1">
        <f>C8-$D9*У!$C$41-H9</f>
        <v>90.799999999999983</v>
      </c>
      <c r="D9" s="1">
        <v>3</v>
      </c>
      <c r="E9" s="1">
        <v>28</v>
      </c>
      <c r="F9" s="1" t="str">
        <f>INDEX(У!A$2:D$41,$E9,1)</f>
        <v>ТАН-424F</v>
      </c>
      <c r="G9" s="1">
        <f>INDEX(У!B$2:C$41,$E9,1)</f>
        <v>1.5</v>
      </c>
      <c r="H9" s="1">
        <f>INDEX(У!C$2:D$41,$E9,1)</f>
        <v>1.7</v>
      </c>
      <c r="I9" s="1">
        <f>INDEX(У!D$2:E$41,$E9,1)</f>
        <v>24</v>
      </c>
      <c r="J9" s="2">
        <f t="shared" si="0"/>
        <v>69.52</v>
      </c>
      <c r="K9" s="2">
        <f t="shared" si="1"/>
        <v>68.919999999999987</v>
      </c>
      <c r="L9" s="12" t="str">
        <f t="shared" si="2"/>
        <v xml:space="preserve">68,92/ 69,52 </v>
      </c>
      <c r="M9" s="1">
        <v>5</v>
      </c>
      <c r="N9" s="2" t="s">
        <v>10</v>
      </c>
      <c r="O9" s="2">
        <f t="shared" si="3"/>
        <v>0</v>
      </c>
      <c r="Q9" s="12" t="str">
        <f t="shared" si="4"/>
        <v>91,6/ 90,8</v>
      </c>
    </row>
    <row r="10" spans="1:17" x14ac:dyDescent="0.25">
      <c r="A10" s="5">
        <v>5</v>
      </c>
      <c r="B10" s="1">
        <f>B9-$D10*У!$C$41-G10</f>
        <v>89.47999999999999</v>
      </c>
      <c r="C10" s="1">
        <f>C9-$D10*У!$C$41-H10</f>
        <v>88.379999999999981</v>
      </c>
      <c r="D10" s="1">
        <v>3</v>
      </c>
      <c r="E10" s="1">
        <v>27</v>
      </c>
      <c r="F10" s="1" t="str">
        <f>INDEX(У!A$2:D$41,$E10,1)</f>
        <v>ТАН-420F</v>
      </c>
      <c r="G10" s="1">
        <f>INDEX(У!B$2:C$41,$E10,1)</f>
        <v>1.7</v>
      </c>
      <c r="H10" s="1">
        <f>INDEX(У!C$2:D$41,$E10,1)</f>
        <v>2</v>
      </c>
      <c r="I10" s="1">
        <f>INDEX(У!D$2:E$41,$E10,1)</f>
        <v>20</v>
      </c>
      <c r="J10" s="2">
        <f t="shared" si="0"/>
        <v>71.599999999999994</v>
      </c>
      <c r="K10" s="2">
        <f t="shared" si="1"/>
        <v>70.799999999999983</v>
      </c>
      <c r="L10" s="12" t="str">
        <f t="shared" si="2"/>
        <v xml:space="preserve">70,8/ 71,6 </v>
      </c>
      <c r="M10" s="1">
        <v>5</v>
      </c>
      <c r="N10" s="2" t="s">
        <v>11</v>
      </c>
      <c r="O10" s="2">
        <f t="shared" si="3"/>
        <v>10</v>
      </c>
      <c r="Q10" s="12" t="str">
        <f t="shared" si="4"/>
        <v>89,48/ 88,38</v>
      </c>
    </row>
    <row r="11" spans="1:17" x14ac:dyDescent="0.25">
      <c r="A11" s="5">
        <v>6</v>
      </c>
      <c r="B11" s="1">
        <f>B10-$D11*У!$C$41-G11</f>
        <v>87.359999999999985</v>
      </c>
      <c r="C11" s="1">
        <f>C10-$D11*У!$C$41-H11</f>
        <v>85.95999999999998</v>
      </c>
      <c r="D11" s="1">
        <v>3</v>
      </c>
      <c r="E11" s="1">
        <v>27</v>
      </c>
      <c r="F11" s="1" t="str">
        <f>INDEX(У!A$2:D$41,$E11,1)</f>
        <v>ТАН-420F</v>
      </c>
      <c r="G11" s="1">
        <f>INDEX(У!B$2:C$41,$E11,1)</f>
        <v>1.7</v>
      </c>
      <c r="H11" s="1">
        <f>INDEX(У!C$2:D$41,$E11,1)</f>
        <v>2</v>
      </c>
      <c r="I11" s="1">
        <f>INDEX(У!D$2:E$41,$E11,1)</f>
        <v>20</v>
      </c>
      <c r="J11" s="2">
        <f t="shared" si="0"/>
        <v>69.47999999999999</v>
      </c>
      <c r="K11" s="2">
        <f t="shared" si="1"/>
        <v>68.379999999999981</v>
      </c>
      <c r="L11" s="12" t="str">
        <f t="shared" si="2"/>
        <v xml:space="preserve">68,38/ 69,48 </v>
      </c>
      <c r="M11" s="1">
        <v>5</v>
      </c>
      <c r="N11" s="2" t="s">
        <v>12</v>
      </c>
      <c r="O11" s="2">
        <f t="shared" si="3"/>
        <v>10</v>
      </c>
      <c r="Q11" s="12" t="str">
        <f t="shared" si="4"/>
        <v>87,36/ 85,96</v>
      </c>
    </row>
    <row r="12" spans="1:17" x14ac:dyDescent="0.25">
      <c r="A12" s="5"/>
      <c r="L12" s="12"/>
      <c r="M12" s="1"/>
      <c r="N12" s="2" t="s">
        <v>6</v>
      </c>
      <c r="O12" s="2">
        <f t="shared" si="3"/>
        <v>0</v>
      </c>
      <c r="Q12" s="12" t="str">
        <f t="shared" si="4"/>
        <v xml:space="preserve">/ </v>
      </c>
    </row>
    <row r="13" spans="1:17" x14ac:dyDescent="0.25">
      <c r="A13" s="5"/>
      <c r="L13" s="12"/>
      <c r="M13" s="1"/>
      <c r="N13" s="2"/>
      <c r="O13" s="2"/>
      <c r="Q13" s="12" t="str">
        <f t="shared" si="4"/>
        <v xml:space="preserve">/ </v>
      </c>
    </row>
    <row r="14" spans="1:17" x14ac:dyDescent="0.25">
      <c r="A14" s="5"/>
      <c r="L14" s="12"/>
      <c r="M14" s="1"/>
      <c r="N14" s="2"/>
      <c r="O14" s="2"/>
      <c r="Q14" s="12" t="str">
        <f t="shared" si="4"/>
        <v xml:space="preserve">/ </v>
      </c>
    </row>
    <row r="15" spans="1:17" x14ac:dyDescent="0.25">
      <c r="A15"/>
      <c r="B15"/>
      <c r="C15"/>
      <c r="D15"/>
      <c r="E15"/>
      <c r="F15"/>
      <c r="G15"/>
      <c r="H15"/>
      <c r="I15"/>
      <c r="J15"/>
      <c r="K15"/>
      <c r="L15" s="12" t="str">
        <f t="shared" ref="L15:L51" si="5">CONCATENATE(K15," ",J15," ")</f>
        <v xml:space="preserve">  </v>
      </c>
      <c r="M15" s="1"/>
      <c r="N15" s="2"/>
      <c r="O15" s="2"/>
    </row>
    <row r="16" spans="1:17" x14ac:dyDescent="0.25">
      <c r="A16" s="33"/>
      <c r="B16" s="37">
        <v>99</v>
      </c>
      <c r="C16" s="37">
        <v>99</v>
      </c>
      <c r="D16" s="38"/>
      <c r="E16" s="38"/>
      <c r="F16" s="38"/>
      <c r="G16" s="38"/>
      <c r="H16" s="38"/>
      <c r="I16" s="38"/>
      <c r="J16" s="33"/>
      <c r="K16" s="33"/>
      <c r="L16" s="33" t="str">
        <f t="shared" si="5"/>
        <v xml:space="preserve">  </v>
      </c>
      <c r="M16" s="38"/>
      <c r="N16" s="2"/>
      <c r="O16" s="2"/>
    </row>
    <row r="17" spans="1:15" x14ac:dyDescent="0.25">
      <c r="A17" s="31">
        <v>1</v>
      </c>
      <c r="B17" s="38">
        <f>B16-$D17*У!$C$41-G17</f>
        <v>97.36</v>
      </c>
      <c r="C17" s="38">
        <f>C16-$D17*У!$C$41-H17</f>
        <v>97.16</v>
      </c>
      <c r="D17" s="38">
        <v>1</v>
      </c>
      <c r="E17" s="38">
        <v>29</v>
      </c>
      <c r="F17" s="38" t="str">
        <f>INDEX(У!A$2:D$41,$E17,1)</f>
        <v>ТАН-426F</v>
      </c>
      <c r="G17" s="38">
        <f>INDEX(У!B$2:C$41,$E17,1)</f>
        <v>1.5</v>
      </c>
      <c r="H17" s="38">
        <f>INDEX(У!C$2:D$41,$E17,1)</f>
        <v>1.7</v>
      </c>
      <c r="I17" s="38">
        <f>INDEX(У!D$2:E$41,$E17,1)</f>
        <v>26</v>
      </c>
      <c r="J17" s="33">
        <f>B16-I17</f>
        <v>73</v>
      </c>
      <c r="K17" s="33">
        <f>C16-I17</f>
        <v>73</v>
      </c>
      <c r="L17" s="33" t="str">
        <f t="shared" si="5"/>
        <v xml:space="preserve">73 73 </v>
      </c>
      <c r="M17" s="38">
        <v>1</v>
      </c>
      <c r="N17" s="2"/>
      <c r="O17" s="2"/>
    </row>
    <row r="18" spans="1:15" x14ac:dyDescent="0.25">
      <c r="A18" s="31">
        <v>2</v>
      </c>
      <c r="B18" s="38">
        <f>B17-$D18*У!$C$41-G18</f>
        <v>95.44</v>
      </c>
      <c r="C18" s="38">
        <f>C17-$D18*У!$C$41-H18</f>
        <v>95.039999999999992</v>
      </c>
      <c r="D18" s="38">
        <v>3</v>
      </c>
      <c r="E18" s="38">
        <v>29</v>
      </c>
      <c r="F18" s="38" t="str">
        <f>INDEX(У!A$2:D$41,$E18,1)</f>
        <v>ТАН-426F</v>
      </c>
      <c r="G18" s="38">
        <f>INDEX(У!B$2:C$41,$E18,1)</f>
        <v>1.5</v>
      </c>
      <c r="H18" s="38">
        <f>INDEX(У!C$2:D$41,$E18,1)</f>
        <v>1.7</v>
      </c>
      <c r="I18" s="38">
        <f>INDEX(У!D$2:E$41,$E18,1)</f>
        <v>26</v>
      </c>
      <c r="J18" s="33">
        <f t="shared" ref="J18:J24" si="6">B17-I18</f>
        <v>71.36</v>
      </c>
      <c r="K18" s="33">
        <f t="shared" ref="K18:K24" si="7">C17-I18</f>
        <v>71.16</v>
      </c>
      <c r="L18" s="33" t="str">
        <f t="shared" si="5"/>
        <v xml:space="preserve">71,16 71,36 </v>
      </c>
      <c r="M18" s="38">
        <v>1</v>
      </c>
    </row>
    <row r="19" spans="1:15" x14ac:dyDescent="0.25">
      <c r="A19" s="31">
        <v>3</v>
      </c>
      <c r="B19" s="38">
        <f>B18-$D19*У!$C$41-G19</f>
        <v>93.52</v>
      </c>
      <c r="C19" s="38">
        <f>C18-$D19*У!$C$41-H19</f>
        <v>92.919999999999987</v>
      </c>
      <c r="D19" s="38">
        <v>3</v>
      </c>
      <c r="E19" s="38">
        <v>28</v>
      </c>
      <c r="F19" s="38" t="str">
        <f>INDEX(У!A$2:D$41,$E19,1)</f>
        <v>ТАН-424F</v>
      </c>
      <c r="G19" s="38">
        <f>INDEX(У!B$2:C$41,$E19,1)</f>
        <v>1.5</v>
      </c>
      <c r="H19" s="38">
        <f>INDEX(У!C$2:D$41,$E19,1)</f>
        <v>1.7</v>
      </c>
      <c r="I19" s="38">
        <f>INDEX(У!D$2:E$41,$E19,1)</f>
        <v>24</v>
      </c>
      <c r="J19" s="33">
        <f t="shared" si="6"/>
        <v>71.44</v>
      </c>
      <c r="K19" s="33">
        <f t="shared" si="7"/>
        <v>71.039999999999992</v>
      </c>
      <c r="L19" s="38" t="str">
        <f t="shared" si="5"/>
        <v xml:space="preserve">71,04 71,44 </v>
      </c>
      <c r="M19" s="38">
        <v>1</v>
      </c>
    </row>
    <row r="20" spans="1:15" x14ac:dyDescent="0.25">
      <c r="A20" s="31">
        <v>4</v>
      </c>
      <c r="B20" s="38">
        <f>B19-$D20*У!$C$41-G20</f>
        <v>91.6</v>
      </c>
      <c r="C20" s="38">
        <f>C19-$D20*У!$C$41-H20</f>
        <v>90.799999999999983</v>
      </c>
      <c r="D20" s="38">
        <v>3</v>
      </c>
      <c r="E20" s="38">
        <v>28</v>
      </c>
      <c r="F20" s="38" t="str">
        <f>INDEX(У!A$2:D$41,$E20,1)</f>
        <v>ТАН-424F</v>
      </c>
      <c r="G20" s="38">
        <f>INDEX(У!B$2:C$41,$E20,1)</f>
        <v>1.5</v>
      </c>
      <c r="H20" s="38">
        <f>INDEX(У!C$2:D$41,$E20,1)</f>
        <v>1.7</v>
      </c>
      <c r="I20" s="38">
        <f>INDEX(У!D$2:E$41,$E20,1)</f>
        <v>24</v>
      </c>
      <c r="J20" s="33">
        <f t="shared" si="6"/>
        <v>69.52</v>
      </c>
      <c r="K20" s="33">
        <f t="shared" si="7"/>
        <v>68.919999999999987</v>
      </c>
      <c r="L20" s="38" t="str">
        <f t="shared" si="5"/>
        <v xml:space="preserve">68,92 69,52 </v>
      </c>
      <c r="M20" s="38">
        <v>1</v>
      </c>
    </row>
    <row r="21" spans="1:15" x14ac:dyDescent="0.25">
      <c r="A21" s="31">
        <v>5</v>
      </c>
      <c r="B21" s="38">
        <f>B20-$D21*У!$C$41-G21</f>
        <v>89.47999999999999</v>
      </c>
      <c r="C21" s="38">
        <f>C20-$D21*У!$C$41-H21</f>
        <v>88.379999999999981</v>
      </c>
      <c r="D21" s="38">
        <v>3</v>
      </c>
      <c r="E21" s="38">
        <v>27</v>
      </c>
      <c r="F21" s="38" t="str">
        <f>INDEX(У!A$2:D$41,$E21,1)</f>
        <v>ТАН-420F</v>
      </c>
      <c r="G21" s="38">
        <f>INDEX(У!B$2:C$41,$E21,1)</f>
        <v>1.7</v>
      </c>
      <c r="H21" s="38">
        <f>INDEX(У!C$2:D$41,$E21,1)</f>
        <v>2</v>
      </c>
      <c r="I21" s="38">
        <f>INDEX(У!D$2:E$41,$E21,1)</f>
        <v>20</v>
      </c>
      <c r="J21" s="33">
        <f t="shared" si="6"/>
        <v>71.599999999999994</v>
      </c>
      <c r="K21" s="33">
        <f t="shared" si="7"/>
        <v>70.799999999999983</v>
      </c>
      <c r="L21" s="38" t="str">
        <f t="shared" si="5"/>
        <v xml:space="preserve">70,8 71,6 </v>
      </c>
      <c r="M21" s="38">
        <v>1</v>
      </c>
    </row>
    <row r="22" spans="1:15" x14ac:dyDescent="0.25">
      <c r="A22" s="31">
        <v>6</v>
      </c>
      <c r="B22" s="38">
        <f>B21-$D22*У!$C$41-G22</f>
        <v>87.359999999999985</v>
      </c>
      <c r="C22" s="38">
        <f>C21-$D22*У!$C$41-H22</f>
        <v>85.95999999999998</v>
      </c>
      <c r="D22" s="38">
        <v>3</v>
      </c>
      <c r="E22" s="38">
        <v>27</v>
      </c>
      <c r="F22" s="38" t="str">
        <f>INDEX(У!A$2:D$41,$E22,1)</f>
        <v>ТАН-420F</v>
      </c>
      <c r="G22" s="38">
        <f>INDEX(У!B$2:C$41,$E22,1)</f>
        <v>1.7</v>
      </c>
      <c r="H22" s="38">
        <f>INDEX(У!C$2:D$41,$E22,1)</f>
        <v>2</v>
      </c>
      <c r="I22" s="38">
        <f>INDEX(У!D$2:E$41,$E22,1)</f>
        <v>20</v>
      </c>
      <c r="J22" s="33">
        <f t="shared" si="6"/>
        <v>69.47999999999999</v>
      </c>
      <c r="K22" s="33">
        <f t="shared" si="7"/>
        <v>68.379999999999981</v>
      </c>
      <c r="L22" s="38" t="str">
        <f t="shared" si="5"/>
        <v xml:space="preserve">68,38 69,48 </v>
      </c>
      <c r="M22" s="38">
        <v>1</v>
      </c>
    </row>
    <row r="23" spans="1:15" x14ac:dyDescent="0.25">
      <c r="A23" s="31">
        <v>7</v>
      </c>
      <c r="B23" s="38">
        <f>B22-$D23*У!$C$41-G23</f>
        <v>84.439999999999984</v>
      </c>
      <c r="C23" s="38">
        <f>C22-$D23*У!$C$41-H23</f>
        <v>82.539999999999978</v>
      </c>
      <c r="D23" s="38">
        <v>3</v>
      </c>
      <c r="E23" s="38">
        <v>26</v>
      </c>
      <c r="F23" s="38" t="str">
        <f>INDEX(У!A$2:D$41,$E23,1)</f>
        <v>ТАН-416F</v>
      </c>
      <c r="G23" s="38">
        <f>INDEX(У!B$2:C$41,$E23,1)</f>
        <v>2.5</v>
      </c>
      <c r="H23" s="38">
        <f>INDEX(У!C$2:D$41,$E23,1)</f>
        <v>3</v>
      </c>
      <c r="I23" s="38">
        <f>INDEX(У!D$2:E$41,$E23,1)</f>
        <v>16</v>
      </c>
      <c r="J23" s="33">
        <f t="shared" si="6"/>
        <v>71.359999999999985</v>
      </c>
      <c r="K23" s="33">
        <f t="shared" si="7"/>
        <v>69.95999999999998</v>
      </c>
      <c r="L23" s="38" t="str">
        <f t="shared" si="5"/>
        <v xml:space="preserve">69,96 71,36 </v>
      </c>
      <c r="M23" s="38">
        <v>1</v>
      </c>
    </row>
    <row r="24" spans="1:15" x14ac:dyDescent="0.25">
      <c r="A24" s="31">
        <v>8</v>
      </c>
      <c r="B24" s="38">
        <f>B23-$D24*У!$C$41-G24</f>
        <v>81.519999999999982</v>
      </c>
      <c r="C24" s="38">
        <f>C23-$D24*У!$C$41-H24</f>
        <v>79.119999999999976</v>
      </c>
      <c r="D24" s="38">
        <v>3</v>
      </c>
      <c r="E24" s="38">
        <v>26</v>
      </c>
      <c r="F24" s="38" t="str">
        <f>INDEX(У!A$2:D$41,$E24,1)</f>
        <v>ТАН-416F</v>
      </c>
      <c r="G24" s="38">
        <f>INDEX(У!B$2:C$41,$E24,1)</f>
        <v>2.5</v>
      </c>
      <c r="H24" s="38">
        <f>INDEX(У!C$2:D$41,$E24,1)</f>
        <v>3</v>
      </c>
      <c r="I24" s="38">
        <f>INDEX(У!D$2:E$41,$E24,1)</f>
        <v>16</v>
      </c>
      <c r="J24" s="33">
        <f t="shared" si="6"/>
        <v>68.439999999999984</v>
      </c>
      <c r="K24" s="33">
        <f t="shared" si="7"/>
        <v>66.539999999999978</v>
      </c>
      <c r="L24" s="38" t="str">
        <f t="shared" si="5"/>
        <v xml:space="preserve">66,54 68,44 </v>
      </c>
      <c r="M24" s="38">
        <v>1</v>
      </c>
    </row>
    <row r="25" spans="1:15" x14ac:dyDescent="0.25">
      <c r="A25" s="5"/>
      <c r="L25" s="1" t="str">
        <f t="shared" si="5"/>
        <v xml:space="preserve">  </v>
      </c>
    </row>
    <row r="26" spans="1:15" x14ac:dyDescent="0.25">
      <c r="L26" s="1" t="str">
        <f t="shared" si="5"/>
        <v xml:space="preserve">  </v>
      </c>
    </row>
    <row r="27" spans="1:15" x14ac:dyDescent="0.25">
      <c r="B27" s="7">
        <v>100.4</v>
      </c>
      <c r="C27" s="7">
        <v>100.4</v>
      </c>
      <c r="L27" s="12" t="str">
        <f t="shared" ref="L27" si="8">CONCATENATE(K27," ",J27," ")</f>
        <v xml:space="preserve">  </v>
      </c>
      <c r="M27" s="1"/>
      <c r="N27" s="2"/>
      <c r="O27" s="2"/>
    </row>
    <row r="28" spans="1:15" x14ac:dyDescent="0.25">
      <c r="A28" s="5">
        <v>1</v>
      </c>
      <c r="B28" s="1">
        <f>B27-$D28*У!$C$41-G28</f>
        <v>98.76</v>
      </c>
      <c r="C28" s="1">
        <f>C27-$D28*У!$C$41-H28</f>
        <v>98.56</v>
      </c>
      <c r="D28" s="1">
        <v>1</v>
      </c>
      <c r="E28" s="1">
        <v>29</v>
      </c>
      <c r="F28" s="1" t="str">
        <f>INDEX(У!A$2:D$41,$E28,1)</f>
        <v>ТАН-426F</v>
      </c>
      <c r="G28" s="1">
        <f>INDEX(У!B$2:C$41,$E28,1)</f>
        <v>1.5</v>
      </c>
      <c r="H28" s="1">
        <f>INDEX(У!C$2:D$41,$E28,1)</f>
        <v>1.7</v>
      </c>
      <c r="I28" s="1">
        <f>INDEX(У!D$2:E$41,$E28,1)</f>
        <v>26</v>
      </c>
      <c r="J28" s="2">
        <f>B27-I28</f>
        <v>74.400000000000006</v>
      </c>
      <c r="K28" s="2">
        <f>C27-I28</f>
        <v>74.400000000000006</v>
      </c>
      <c r="L28" s="12" t="str">
        <f>CONCATENATE(K28,"/ ",J28," ")</f>
        <v xml:space="preserve">74,4/ 74,4 </v>
      </c>
      <c r="M28" s="1">
        <v>1</v>
      </c>
      <c r="N28" s="12" t="str">
        <f>CONCATENATE(B28,"/ ",C28," ")</f>
        <v xml:space="preserve">98,76/ 98,56 </v>
      </c>
      <c r="O28" s="2"/>
    </row>
    <row r="29" spans="1:15" x14ac:dyDescent="0.25">
      <c r="A29" s="5">
        <v>2</v>
      </c>
      <c r="B29" s="1">
        <f>B28-$D29*У!$C$41-G29</f>
        <v>96.84</v>
      </c>
      <c r="C29" s="1">
        <f>C28-$D29*У!$C$41-H29</f>
        <v>96.44</v>
      </c>
      <c r="D29" s="1">
        <v>3</v>
      </c>
      <c r="E29" s="1">
        <v>29</v>
      </c>
      <c r="F29" s="1" t="str">
        <f>INDEX(У!A$2:D$41,$E29,1)</f>
        <v>ТАН-426F</v>
      </c>
      <c r="G29" s="1">
        <f>INDEX(У!B$2:C$41,$E29,1)</f>
        <v>1.5</v>
      </c>
      <c r="H29" s="1">
        <f>INDEX(У!C$2:D$41,$E29,1)</f>
        <v>1.7</v>
      </c>
      <c r="I29" s="1">
        <f>INDEX(У!D$2:E$41,$E29,1)</f>
        <v>26</v>
      </c>
      <c r="J29" s="2">
        <f t="shared" ref="J29:J32" si="9">B28-I29</f>
        <v>72.760000000000005</v>
      </c>
      <c r="K29" s="2">
        <f t="shared" ref="K29:K32" si="10">C28-I29</f>
        <v>72.56</v>
      </c>
      <c r="L29" s="12" t="str">
        <f t="shared" ref="L29:L32" si="11">CONCATENATE(K29,"/ ",J29," ")</f>
        <v xml:space="preserve">72,56/ 72,76 </v>
      </c>
      <c r="M29" s="1">
        <v>1</v>
      </c>
      <c r="N29" s="12" t="str">
        <f t="shared" ref="N29:N32" si="12">CONCATENATE(B29,"/ ",C29," ")</f>
        <v xml:space="preserve">96,84/ 96,44 </v>
      </c>
    </row>
    <row r="30" spans="1:15" x14ac:dyDescent="0.25">
      <c r="A30" s="5">
        <v>3</v>
      </c>
      <c r="B30" s="1">
        <f>B29-$D30*У!$C$41-G30</f>
        <v>94.92</v>
      </c>
      <c r="C30" s="1">
        <f>C29-$D30*У!$C$41-H30</f>
        <v>94.32</v>
      </c>
      <c r="D30" s="1">
        <v>3</v>
      </c>
      <c r="E30" s="1">
        <v>28</v>
      </c>
      <c r="F30" s="1" t="str">
        <f>INDEX(У!A$2:D$41,$E30,1)</f>
        <v>ТАН-424F</v>
      </c>
      <c r="G30" s="1">
        <f>INDEX(У!B$2:C$41,$E30,1)</f>
        <v>1.5</v>
      </c>
      <c r="H30" s="1">
        <f>INDEX(У!C$2:D$41,$E30,1)</f>
        <v>1.7</v>
      </c>
      <c r="I30" s="1">
        <f>INDEX(У!D$2:E$41,$E30,1)</f>
        <v>24</v>
      </c>
      <c r="J30" s="2">
        <f t="shared" si="9"/>
        <v>72.84</v>
      </c>
      <c r="K30" s="2">
        <f t="shared" si="10"/>
        <v>72.44</v>
      </c>
      <c r="L30" s="12" t="str">
        <f t="shared" si="11"/>
        <v xml:space="preserve">72,44/ 72,84 </v>
      </c>
      <c r="M30" s="1">
        <v>1</v>
      </c>
      <c r="N30" s="12" t="str">
        <f t="shared" si="12"/>
        <v xml:space="preserve">94,92/ 94,32 </v>
      </c>
    </row>
    <row r="31" spans="1:15" x14ac:dyDescent="0.25">
      <c r="A31" s="5">
        <v>4</v>
      </c>
      <c r="B31" s="1">
        <f>B30-$D31*У!$C$41-G31</f>
        <v>93</v>
      </c>
      <c r="C31" s="1">
        <f>C30-$D31*У!$C$41-H31</f>
        <v>92.199999999999989</v>
      </c>
      <c r="D31" s="1">
        <v>3</v>
      </c>
      <c r="E31" s="1">
        <v>28</v>
      </c>
      <c r="F31" s="1" t="str">
        <f>INDEX(У!A$2:D$41,$E31,1)</f>
        <v>ТАН-424F</v>
      </c>
      <c r="G31" s="1">
        <f>INDEX(У!B$2:C$41,$E31,1)</f>
        <v>1.5</v>
      </c>
      <c r="H31" s="1">
        <f>INDEX(У!C$2:D$41,$E31,1)</f>
        <v>1.7</v>
      </c>
      <c r="I31" s="1">
        <f>INDEX(У!D$2:E$41,$E31,1)</f>
        <v>24</v>
      </c>
      <c r="J31" s="2">
        <f t="shared" si="9"/>
        <v>70.92</v>
      </c>
      <c r="K31" s="2">
        <f t="shared" si="10"/>
        <v>70.319999999999993</v>
      </c>
      <c r="L31" s="12" t="str">
        <f t="shared" si="11"/>
        <v xml:space="preserve">70,32/ 70,92 </v>
      </c>
      <c r="M31" s="1">
        <v>1</v>
      </c>
      <c r="N31" s="12" t="str">
        <f t="shared" si="12"/>
        <v xml:space="preserve">93/ 92,2 </v>
      </c>
    </row>
    <row r="32" spans="1:15" x14ac:dyDescent="0.25">
      <c r="A32" s="5">
        <v>5</v>
      </c>
      <c r="B32" s="1">
        <f>B31-$D32*У!$C$41-G32</f>
        <v>90.88</v>
      </c>
      <c r="C32" s="1">
        <f>C31-$D32*У!$C$41-H32</f>
        <v>89.779999999999987</v>
      </c>
      <c r="D32" s="1">
        <v>3</v>
      </c>
      <c r="E32" s="1">
        <v>27</v>
      </c>
      <c r="F32" s="1" t="str">
        <f>INDEX(У!A$2:D$41,$E32,1)</f>
        <v>ТАН-420F</v>
      </c>
      <c r="G32" s="1">
        <f>INDEX(У!B$2:C$41,$E32,1)</f>
        <v>1.7</v>
      </c>
      <c r="H32" s="1">
        <f>INDEX(У!C$2:D$41,$E32,1)</f>
        <v>2</v>
      </c>
      <c r="I32" s="1">
        <f>INDEX(У!D$2:E$41,$E32,1)</f>
        <v>20</v>
      </c>
      <c r="J32" s="2">
        <f t="shared" si="9"/>
        <v>73</v>
      </c>
      <c r="K32" s="2">
        <f t="shared" si="10"/>
        <v>72.199999999999989</v>
      </c>
      <c r="L32" s="12" t="str">
        <f t="shared" si="11"/>
        <v xml:space="preserve">72,2/ 73 </v>
      </c>
      <c r="M32" s="1">
        <v>1</v>
      </c>
      <c r="N32" s="12" t="str">
        <f t="shared" si="12"/>
        <v xml:space="preserve">90,88/ 89,78 </v>
      </c>
    </row>
    <row r="33" spans="1:14" x14ac:dyDescent="0.25">
      <c r="A33" s="5"/>
      <c r="L33" s="12"/>
      <c r="M33" s="1"/>
      <c r="N33" s="12"/>
    </row>
    <row r="34" spans="1:14" x14ac:dyDescent="0.25">
      <c r="A34" s="5"/>
      <c r="L34" s="12"/>
      <c r="M34" s="1"/>
    </row>
    <row r="35" spans="1:14" x14ac:dyDescent="0.25">
      <c r="L35" s="1" t="str">
        <f t="shared" si="5"/>
        <v xml:space="preserve">  </v>
      </c>
    </row>
    <row r="36" spans="1:14" x14ac:dyDescent="0.25">
      <c r="B36" s="7">
        <v>99.6</v>
      </c>
      <c r="C36" s="7">
        <v>99.6</v>
      </c>
      <c r="L36" s="12" t="str">
        <f t="shared" si="5"/>
        <v xml:space="preserve">  </v>
      </c>
      <c r="M36" s="1"/>
    </row>
    <row r="37" spans="1:14" x14ac:dyDescent="0.25">
      <c r="A37" s="5">
        <v>1</v>
      </c>
      <c r="B37" s="1">
        <f>B36-$D37*У!$C$41-G37</f>
        <v>97.96</v>
      </c>
      <c r="C37" s="1">
        <f>C36-$D37*У!$C$41-H37</f>
        <v>97.759999999999991</v>
      </c>
      <c r="D37" s="1">
        <v>1</v>
      </c>
      <c r="E37" s="1">
        <v>29</v>
      </c>
      <c r="F37" s="1" t="str">
        <f>INDEX(У!A$2:D$41,$E37,1)</f>
        <v>ТАН-426F</v>
      </c>
      <c r="G37" s="1">
        <f>INDEX(У!B$2:C$41,$E37,1)</f>
        <v>1.5</v>
      </c>
      <c r="H37" s="1">
        <f>INDEX(У!C$2:D$41,$E37,1)</f>
        <v>1.7</v>
      </c>
      <c r="I37" s="1">
        <f>INDEX(У!D$2:E$41,$E37,1)</f>
        <v>26</v>
      </c>
      <c r="J37" s="2">
        <f>B36-I37</f>
        <v>73.599999999999994</v>
      </c>
      <c r="K37" s="2">
        <f>C36-I37</f>
        <v>73.599999999999994</v>
      </c>
      <c r="L37" s="12" t="str">
        <f>CONCATENATE(K37,"/ ",J37," ")</f>
        <v xml:space="preserve">73,6/ 73,6 </v>
      </c>
      <c r="M37" s="1">
        <v>1</v>
      </c>
      <c r="N37" s="12" t="str">
        <f>CONCATENATE(B37,"/ ",C37," ")</f>
        <v xml:space="preserve">97,96/ 97,76 </v>
      </c>
    </row>
    <row r="38" spans="1:14" x14ac:dyDescent="0.25">
      <c r="A38" s="5">
        <v>2</v>
      </c>
      <c r="B38" s="1">
        <f>B37-$D38*У!$C$41-G38</f>
        <v>96.039999999999992</v>
      </c>
      <c r="C38" s="1">
        <f>C37-$D38*У!$C$41-H38</f>
        <v>95.639999999999986</v>
      </c>
      <c r="D38" s="1">
        <v>3</v>
      </c>
      <c r="E38" s="1">
        <v>29</v>
      </c>
      <c r="F38" s="1" t="str">
        <f>INDEX(У!A$2:D$41,$E38,1)</f>
        <v>ТАН-426F</v>
      </c>
      <c r="G38" s="1">
        <f>INDEX(У!B$2:C$41,$E38,1)</f>
        <v>1.5</v>
      </c>
      <c r="H38" s="1">
        <f>INDEX(У!C$2:D$41,$E38,1)</f>
        <v>1.7</v>
      </c>
      <c r="I38" s="1">
        <f>INDEX(У!D$2:E$41,$E38,1)</f>
        <v>26</v>
      </c>
      <c r="J38" s="2">
        <f t="shared" ref="J38:J41" si="13">B37-I38</f>
        <v>71.959999999999994</v>
      </c>
      <c r="K38" s="2">
        <f t="shared" ref="K38:K41" si="14">C37-I38</f>
        <v>71.759999999999991</v>
      </c>
      <c r="L38" s="12" t="str">
        <f t="shared" ref="L38:L41" si="15">CONCATENATE(K38,"/ ",J38," ")</f>
        <v xml:space="preserve">71,76/ 71,96 </v>
      </c>
      <c r="M38" s="1">
        <v>1</v>
      </c>
      <c r="N38" s="12" t="str">
        <f t="shared" ref="N38:N41" si="16">CONCATENATE(B38,"/ ",C38," ")</f>
        <v xml:space="preserve">96,04/ 95,64 </v>
      </c>
    </row>
    <row r="39" spans="1:14" x14ac:dyDescent="0.25">
      <c r="A39" s="5">
        <v>3</v>
      </c>
      <c r="B39" s="1">
        <f>B38-$D39*У!$C$41-G39</f>
        <v>94.11999999999999</v>
      </c>
      <c r="C39" s="1">
        <f>C38-$D39*У!$C$41-H39</f>
        <v>93.519999999999982</v>
      </c>
      <c r="D39" s="1">
        <v>3</v>
      </c>
      <c r="E39" s="1">
        <v>28</v>
      </c>
      <c r="F39" s="1" t="str">
        <f>INDEX(У!A$2:D$41,$E39,1)</f>
        <v>ТАН-424F</v>
      </c>
      <c r="G39" s="1">
        <f>INDEX(У!B$2:C$41,$E39,1)</f>
        <v>1.5</v>
      </c>
      <c r="H39" s="1">
        <f>INDEX(У!C$2:D$41,$E39,1)</f>
        <v>1.7</v>
      </c>
      <c r="I39" s="1">
        <f>INDEX(У!D$2:E$41,$E39,1)</f>
        <v>24</v>
      </c>
      <c r="J39" s="2">
        <f t="shared" si="13"/>
        <v>72.039999999999992</v>
      </c>
      <c r="K39" s="2">
        <f t="shared" si="14"/>
        <v>71.639999999999986</v>
      </c>
      <c r="L39" s="12" t="str">
        <f t="shared" si="15"/>
        <v xml:space="preserve">71,64/ 72,04 </v>
      </c>
      <c r="M39" s="1">
        <v>1</v>
      </c>
      <c r="N39" s="12" t="str">
        <f t="shared" si="16"/>
        <v xml:space="preserve">94,12/ 93,52 </v>
      </c>
    </row>
    <row r="40" spans="1:14" x14ac:dyDescent="0.25">
      <c r="A40" s="5">
        <v>4</v>
      </c>
      <c r="B40" s="1">
        <f>B39-$D40*У!$C$41-G40</f>
        <v>92.199999999999989</v>
      </c>
      <c r="C40" s="1">
        <f>C39-$D40*У!$C$41-H40</f>
        <v>91.399999999999977</v>
      </c>
      <c r="D40" s="1">
        <v>3</v>
      </c>
      <c r="E40" s="1">
        <v>28</v>
      </c>
      <c r="F40" s="1" t="str">
        <f>INDEX(У!A$2:D$41,$E40,1)</f>
        <v>ТАН-424F</v>
      </c>
      <c r="G40" s="1">
        <f>INDEX(У!B$2:C$41,$E40,1)</f>
        <v>1.5</v>
      </c>
      <c r="H40" s="1">
        <f>INDEX(У!C$2:D$41,$E40,1)</f>
        <v>1.7</v>
      </c>
      <c r="I40" s="1">
        <f>INDEX(У!D$2:E$41,$E40,1)</f>
        <v>24</v>
      </c>
      <c r="J40" s="2">
        <f t="shared" si="13"/>
        <v>70.11999999999999</v>
      </c>
      <c r="K40" s="2">
        <f t="shared" si="14"/>
        <v>69.519999999999982</v>
      </c>
      <c r="L40" s="12" t="str">
        <f t="shared" si="15"/>
        <v xml:space="preserve">69,52/ 70,12 </v>
      </c>
      <c r="M40" s="1">
        <v>1</v>
      </c>
      <c r="N40" s="12" t="str">
        <f t="shared" si="16"/>
        <v xml:space="preserve">92,2/ 91,4 </v>
      </c>
    </row>
    <row r="41" spans="1:14" x14ac:dyDescent="0.25">
      <c r="A41" s="5">
        <v>5</v>
      </c>
      <c r="B41" s="1">
        <f>B40-$D41*У!$C$41-G41</f>
        <v>90.079999999999984</v>
      </c>
      <c r="C41" s="1">
        <f>C40-$D41*У!$C$41-H41</f>
        <v>88.979999999999976</v>
      </c>
      <c r="D41" s="1">
        <v>3</v>
      </c>
      <c r="E41" s="1">
        <v>27</v>
      </c>
      <c r="F41" s="1" t="str">
        <f>INDEX(У!A$2:D$41,$E41,1)</f>
        <v>ТАН-420F</v>
      </c>
      <c r="G41" s="1">
        <f>INDEX(У!B$2:C$41,$E41,1)</f>
        <v>1.7</v>
      </c>
      <c r="H41" s="1">
        <f>INDEX(У!C$2:D$41,$E41,1)</f>
        <v>2</v>
      </c>
      <c r="I41" s="1">
        <f>INDEX(У!D$2:E$41,$E41,1)</f>
        <v>20</v>
      </c>
      <c r="J41" s="2">
        <f t="shared" si="13"/>
        <v>72.199999999999989</v>
      </c>
      <c r="K41" s="2">
        <f t="shared" si="14"/>
        <v>71.399999999999977</v>
      </c>
      <c r="L41" s="12" t="str">
        <f t="shared" si="15"/>
        <v xml:space="preserve">71,4/ 72,2 </v>
      </c>
      <c r="M41" s="1">
        <v>1</v>
      </c>
      <c r="N41" s="12" t="str">
        <f t="shared" si="16"/>
        <v xml:space="preserve">90,08/ 88,98 </v>
      </c>
    </row>
    <row r="42" spans="1:14" x14ac:dyDescent="0.25">
      <c r="A42" s="5"/>
      <c r="L42" s="12"/>
      <c r="M42" s="1"/>
      <c r="N42" s="12"/>
    </row>
    <row r="43" spans="1:14" x14ac:dyDescent="0.25">
      <c r="A43" s="5"/>
      <c r="L43" s="12"/>
      <c r="M43" s="1"/>
    </row>
    <row r="44" spans="1:14" x14ac:dyDescent="0.25">
      <c r="A44" s="5"/>
      <c r="L44" s="12"/>
      <c r="M44" s="1"/>
    </row>
    <row r="45" spans="1:14" x14ac:dyDescent="0.25">
      <c r="L45" s="2" t="str">
        <f t="shared" si="5"/>
        <v xml:space="preserve">  </v>
      </c>
    </row>
    <row r="46" spans="1:14" x14ac:dyDescent="0.25">
      <c r="L46" s="2" t="str">
        <f t="shared" si="5"/>
        <v xml:space="preserve">  </v>
      </c>
    </row>
    <row r="47" spans="1:14" x14ac:dyDescent="0.25">
      <c r="B47" s="1">
        <f>1/40*15</f>
        <v>0.375</v>
      </c>
      <c r="L47" s="2" t="str">
        <f t="shared" si="5"/>
        <v xml:space="preserve">  </v>
      </c>
    </row>
    <row r="48" spans="1:14" x14ac:dyDescent="0.25">
      <c r="L48" s="2" t="str">
        <f t="shared" si="5"/>
        <v xml:space="preserve">  </v>
      </c>
    </row>
    <row r="49" spans="12:12" x14ac:dyDescent="0.25">
      <c r="L49" s="2" t="str">
        <f t="shared" si="5"/>
        <v xml:space="preserve">  </v>
      </c>
    </row>
    <row r="50" spans="12:12" x14ac:dyDescent="0.25">
      <c r="L50" s="2" t="str">
        <f t="shared" si="5"/>
        <v xml:space="preserve">  </v>
      </c>
    </row>
    <row r="51" spans="12:12" x14ac:dyDescent="0.25">
      <c r="L51" s="2" t="str">
        <f t="shared" si="5"/>
        <v xml:space="preserve">  </v>
      </c>
    </row>
  </sheetData>
  <conditionalFormatting sqref="O6:O17">
    <cfRule type="cellIs" dxfId="17" priority="2" operator="greaterThan">
      <formula>0</formula>
    </cfRule>
  </conditionalFormatting>
  <conditionalFormatting sqref="O27:O28">
    <cfRule type="cellIs" dxfId="1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zoomScaleNormal="100" workbookViewId="0">
      <selection sqref="A1:XFD1048576"/>
    </sheetView>
  </sheetViews>
  <sheetFormatPr defaultRowHeight="15" x14ac:dyDescent="0.25"/>
  <cols>
    <col min="1" max="1" width="5.375" style="2" bestFit="1" customWidth="1"/>
    <col min="2" max="3" width="9.125" style="1"/>
    <col min="4" max="4" width="8" style="1" customWidth="1"/>
    <col min="5" max="5" width="11.125" style="1" customWidth="1"/>
    <col min="6" max="6" width="11.125" style="1" bestFit="1" customWidth="1"/>
    <col min="7" max="9" width="9.125" style="1"/>
    <col min="10" max="11" width="7.375" style="2" bestFit="1" customWidth="1"/>
    <col min="12" max="12" width="11.375" style="2" customWidth="1"/>
  </cols>
  <sheetData>
    <row r="1" spans="1:17" x14ac:dyDescent="0.25">
      <c r="B1" s="1" t="s">
        <v>45</v>
      </c>
      <c r="C1" s="1" t="s">
        <v>45</v>
      </c>
    </row>
    <row r="3" spans="1:17" ht="30" x14ac:dyDescent="0.25">
      <c r="A3" s="2" t="s">
        <v>27</v>
      </c>
      <c r="B3" s="4" t="s">
        <v>26</v>
      </c>
      <c r="C3" s="4" t="s">
        <v>26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23</v>
      </c>
      <c r="I3" s="3" t="s">
        <v>24</v>
      </c>
      <c r="J3" s="4" t="s">
        <v>25</v>
      </c>
      <c r="K3" s="4" t="s">
        <v>25</v>
      </c>
      <c r="L3" s="2" t="s">
        <v>81</v>
      </c>
    </row>
    <row r="4" spans="1:17" x14ac:dyDescent="0.25">
      <c r="B4" s="3"/>
      <c r="C4" s="3"/>
      <c r="D4" s="3"/>
      <c r="E4" s="3"/>
      <c r="F4" s="3"/>
      <c r="G4" s="3"/>
      <c r="H4" s="3"/>
      <c r="I4" s="3"/>
      <c r="J4" s="4">
        <v>1</v>
      </c>
      <c r="K4" s="4">
        <v>2</v>
      </c>
      <c r="L4" s="12"/>
    </row>
    <row r="5" spans="1:17" x14ac:dyDescent="0.25">
      <c r="B5" s="7">
        <v>98</v>
      </c>
      <c r="C5" s="7">
        <v>98</v>
      </c>
      <c r="L5" s="12"/>
    </row>
    <row r="6" spans="1:17" x14ac:dyDescent="0.25">
      <c r="A6" s="40">
        <v>1</v>
      </c>
      <c r="B6" s="41">
        <f>B5-$D6*У!$C$41-G6</f>
        <v>96.36</v>
      </c>
      <c r="C6" s="41">
        <f>C5-$D6*У!$C$41-H6</f>
        <v>96.16</v>
      </c>
      <c r="D6" s="41">
        <v>1</v>
      </c>
      <c r="E6" s="41">
        <v>34</v>
      </c>
      <c r="F6" s="41" t="str">
        <f>INDEX(У!A$2:D$41,$E6,1)</f>
        <v>ТАН-624F</v>
      </c>
      <c r="G6" s="41">
        <f>INDEX(У!B$2:C$41,$E6,1)</f>
        <v>1.5</v>
      </c>
      <c r="H6" s="41">
        <f>INDEX(У!C$2:D$41,$E6,1)</f>
        <v>1.7</v>
      </c>
      <c r="I6" s="41">
        <f>INDEX(У!D$2:E$41,$E6,1)</f>
        <v>24</v>
      </c>
      <c r="J6" s="42">
        <f>B5-I6</f>
        <v>74</v>
      </c>
      <c r="K6" s="42">
        <f>C5-I6</f>
        <v>74</v>
      </c>
      <c r="L6" s="42" t="str">
        <f>CONCATENATE(K6,"/ ",J6," ")</f>
        <v xml:space="preserve">74/ 74 </v>
      </c>
      <c r="M6" s="41">
        <v>1</v>
      </c>
      <c r="N6" s="2" t="s">
        <v>1</v>
      </c>
      <c r="O6" s="2">
        <f>SUMIFS(M$6:M$11,F$6:F$11,N6)</f>
        <v>3</v>
      </c>
      <c r="Q6" s="12" t="str">
        <f>CONCATENATE(B6,"/ ",C6)</f>
        <v>96,36/ 96,16</v>
      </c>
    </row>
    <row r="7" spans="1:17" x14ac:dyDescent="0.25">
      <c r="A7" s="40">
        <v>2</v>
      </c>
      <c r="B7" s="41">
        <f>B6-$D7*У!$C$41-G7</f>
        <v>94.44</v>
      </c>
      <c r="C7" s="41">
        <f>C6-$D7*У!$C$41-H7</f>
        <v>94.039999999999992</v>
      </c>
      <c r="D7" s="41">
        <v>3</v>
      </c>
      <c r="E7" s="41">
        <v>34</v>
      </c>
      <c r="F7" s="41" t="str">
        <f>INDEX(У!A$2:D$41,$E7,1)</f>
        <v>ТАН-624F</v>
      </c>
      <c r="G7" s="41">
        <f>INDEX(У!B$2:C$41,$E7,1)</f>
        <v>1.5</v>
      </c>
      <c r="H7" s="41">
        <f>INDEX(У!C$2:D$41,$E7,1)</f>
        <v>1.7</v>
      </c>
      <c r="I7" s="41">
        <f>INDEX(У!D$2:E$41,$E7,1)</f>
        <v>24</v>
      </c>
      <c r="J7" s="42">
        <f t="shared" ref="J7:J11" si="0">B6-I7</f>
        <v>72.36</v>
      </c>
      <c r="K7" s="42">
        <f t="shared" ref="K7:K11" si="1">C6-I7</f>
        <v>72.16</v>
      </c>
      <c r="L7" s="42" t="str">
        <f t="shared" ref="L7:L11" si="2">CONCATENATE(K7,"/ ",J7," ")</f>
        <v xml:space="preserve">72,16/ 72,36 </v>
      </c>
      <c r="M7" s="41">
        <v>1</v>
      </c>
      <c r="N7" s="2" t="s">
        <v>3</v>
      </c>
      <c r="O7" s="2">
        <f t="shared" ref="O7:O11" si="3">SUMIFS(M$6:M$11,F$6:F$11,N7)</f>
        <v>3</v>
      </c>
      <c r="Q7" s="12" t="str">
        <f t="shared" ref="Q7:Q11" si="4">CONCATENATE(B7,"/ ",C7)</f>
        <v>94,44/ 94,04</v>
      </c>
    </row>
    <row r="8" spans="1:17" x14ac:dyDescent="0.25">
      <c r="A8" s="40">
        <v>3</v>
      </c>
      <c r="B8" s="41">
        <f>B7-$D8*У!$C$41-G8</f>
        <v>92.52</v>
      </c>
      <c r="C8" s="41">
        <f>C7-$D8*У!$C$41-H8</f>
        <v>91.919999999999987</v>
      </c>
      <c r="D8" s="41">
        <v>3</v>
      </c>
      <c r="E8" s="41">
        <v>34</v>
      </c>
      <c r="F8" s="41" t="str">
        <f>INDEX(У!A$2:D$41,$E8,1)</f>
        <v>ТАН-624F</v>
      </c>
      <c r="G8" s="41">
        <f>INDEX(У!B$2:C$41,$E8,1)</f>
        <v>1.5</v>
      </c>
      <c r="H8" s="41">
        <f>INDEX(У!C$2:D$41,$E8,1)</f>
        <v>1.7</v>
      </c>
      <c r="I8" s="41">
        <f>INDEX(У!D$2:E$41,$E8,1)</f>
        <v>24</v>
      </c>
      <c r="J8" s="42">
        <f t="shared" si="0"/>
        <v>70.44</v>
      </c>
      <c r="K8" s="42">
        <f t="shared" si="1"/>
        <v>70.039999999999992</v>
      </c>
      <c r="L8" s="42" t="str">
        <f t="shared" si="2"/>
        <v xml:space="preserve">70,04/ 70,44 </v>
      </c>
      <c r="M8" s="41">
        <v>1</v>
      </c>
      <c r="N8" s="2"/>
      <c r="O8" s="2">
        <f t="shared" si="3"/>
        <v>0</v>
      </c>
      <c r="Q8" s="12" t="str">
        <f t="shared" si="4"/>
        <v>92,52/ 91,92</v>
      </c>
    </row>
    <row r="9" spans="1:17" x14ac:dyDescent="0.25">
      <c r="A9" s="40">
        <v>4</v>
      </c>
      <c r="B9" s="41">
        <f>B8-$D9*У!$C$41-G9</f>
        <v>90.399999999999991</v>
      </c>
      <c r="C9" s="41">
        <f>C8-$D9*У!$C$41-H9</f>
        <v>89.499999999999986</v>
      </c>
      <c r="D9" s="41">
        <v>3</v>
      </c>
      <c r="E9" s="41">
        <v>33</v>
      </c>
      <c r="F9" s="41" t="str">
        <f>INDEX(У!A$2:D$41,$E9,1)</f>
        <v>ТАН-620F</v>
      </c>
      <c r="G9" s="41">
        <f>INDEX(У!B$2:C$41,$E9,1)</f>
        <v>1.7</v>
      </c>
      <c r="H9" s="41">
        <f>INDEX(У!C$2:D$41,$E9,1)</f>
        <v>2</v>
      </c>
      <c r="I9" s="41">
        <f>INDEX(У!D$2:E$41,$E9,1)</f>
        <v>20</v>
      </c>
      <c r="J9" s="42">
        <f t="shared" si="0"/>
        <v>72.52</v>
      </c>
      <c r="K9" s="42">
        <f t="shared" si="1"/>
        <v>71.919999999999987</v>
      </c>
      <c r="L9" s="42" t="str">
        <f t="shared" si="2"/>
        <v xml:space="preserve">71,92/ 72,52 </v>
      </c>
      <c r="M9" s="41">
        <v>1</v>
      </c>
      <c r="N9" s="2"/>
      <c r="O9" s="2">
        <f t="shared" si="3"/>
        <v>0</v>
      </c>
      <c r="Q9" s="12" t="str">
        <f t="shared" si="4"/>
        <v>90,4/ 89,5</v>
      </c>
    </row>
    <row r="10" spans="1:17" x14ac:dyDescent="0.25">
      <c r="A10" s="40">
        <v>5</v>
      </c>
      <c r="B10" s="41">
        <f>B9-$D10*У!$C$41-G10</f>
        <v>88.279999999999987</v>
      </c>
      <c r="C10" s="41">
        <f>C9-$D10*У!$C$41-H10</f>
        <v>87.079999999999984</v>
      </c>
      <c r="D10" s="41">
        <v>3</v>
      </c>
      <c r="E10" s="41">
        <v>33</v>
      </c>
      <c r="F10" s="41" t="str">
        <f>INDEX(У!A$2:D$41,$E10,1)</f>
        <v>ТАН-620F</v>
      </c>
      <c r="G10" s="41">
        <f>INDEX(У!B$2:C$41,$E10,1)</f>
        <v>1.7</v>
      </c>
      <c r="H10" s="41">
        <f>INDEX(У!C$2:D$41,$E10,1)</f>
        <v>2</v>
      </c>
      <c r="I10" s="41">
        <f>INDEX(У!D$2:E$41,$E10,1)</f>
        <v>20</v>
      </c>
      <c r="J10" s="42">
        <f t="shared" si="0"/>
        <v>70.399999999999991</v>
      </c>
      <c r="K10" s="42">
        <f t="shared" si="1"/>
        <v>69.499999999999986</v>
      </c>
      <c r="L10" s="42" t="str">
        <f t="shared" si="2"/>
        <v xml:space="preserve">69,5/ 70,4 </v>
      </c>
      <c r="M10" s="41">
        <v>1</v>
      </c>
      <c r="N10" s="2"/>
      <c r="O10" s="2">
        <f t="shared" si="3"/>
        <v>0</v>
      </c>
      <c r="Q10" s="12" t="str">
        <f t="shared" si="4"/>
        <v>88,28/ 87,08</v>
      </c>
    </row>
    <row r="11" spans="1:17" x14ac:dyDescent="0.25">
      <c r="A11" s="40">
        <v>6</v>
      </c>
      <c r="B11" s="41">
        <f>B10-$D11*У!$C$41-G11</f>
        <v>86.159999999999982</v>
      </c>
      <c r="C11" s="41">
        <f>C10-$D11*У!$C$41-H11</f>
        <v>84.659999999999982</v>
      </c>
      <c r="D11" s="41">
        <v>3</v>
      </c>
      <c r="E11" s="41">
        <v>33</v>
      </c>
      <c r="F11" s="41" t="str">
        <f>INDEX(У!A$2:D$41,$E11,1)</f>
        <v>ТАН-620F</v>
      </c>
      <c r="G11" s="41">
        <f>INDEX(У!B$2:C$41,$E11,1)</f>
        <v>1.7</v>
      </c>
      <c r="H11" s="41">
        <f>INDEX(У!C$2:D$41,$E11,1)</f>
        <v>2</v>
      </c>
      <c r="I11" s="41">
        <f>INDEX(У!D$2:E$41,$E11,1)</f>
        <v>20</v>
      </c>
      <c r="J11" s="42">
        <f t="shared" si="0"/>
        <v>68.279999999999987</v>
      </c>
      <c r="K11" s="42">
        <f t="shared" si="1"/>
        <v>67.079999999999984</v>
      </c>
      <c r="L11" s="42" t="str">
        <f t="shared" si="2"/>
        <v xml:space="preserve">67,08/ 68,28 </v>
      </c>
      <c r="M11" s="41">
        <v>1</v>
      </c>
      <c r="N11" s="2"/>
      <c r="O11" s="2">
        <f t="shared" si="3"/>
        <v>0</v>
      </c>
      <c r="Q11" s="12" t="str">
        <f t="shared" si="4"/>
        <v>86,16/ 84,66</v>
      </c>
    </row>
    <row r="12" spans="1:17" x14ac:dyDescent="0.25">
      <c r="A12" s="5"/>
      <c r="L12" s="12"/>
      <c r="M12" s="1"/>
      <c r="N12" s="2"/>
      <c r="O12" s="2"/>
      <c r="Q12" s="12"/>
    </row>
    <row r="13" spans="1:17" x14ac:dyDescent="0.25">
      <c r="A13" s="5"/>
      <c r="L13" s="12"/>
      <c r="M13" s="1"/>
      <c r="N13" s="2"/>
      <c r="O13" s="2"/>
      <c r="Q13" s="12"/>
    </row>
    <row r="14" spans="1:17" x14ac:dyDescent="0.25">
      <c r="A14" s="5"/>
      <c r="B14" s="39" t="s">
        <v>84</v>
      </c>
      <c r="L14" s="12"/>
      <c r="M14" s="1"/>
      <c r="N14" s="2"/>
      <c r="O14" s="2"/>
      <c r="Q14" s="12"/>
    </row>
    <row r="15" spans="1:17" x14ac:dyDescent="0.25">
      <c r="B15" s="7">
        <v>96</v>
      </c>
      <c r="C15" s="7">
        <v>96</v>
      </c>
      <c r="L15" s="12"/>
    </row>
    <row r="16" spans="1:17" x14ac:dyDescent="0.25">
      <c r="A16" s="5">
        <v>1</v>
      </c>
      <c r="B16" s="1">
        <f>B15-$D16*У!$C$41-G16</f>
        <v>94.36</v>
      </c>
      <c r="C16" s="1">
        <f>C15-$D16*У!$C$41-H16</f>
        <v>94.16</v>
      </c>
      <c r="D16" s="1">
        <v>1</v>
      </c>
      <c r="E16" s="1">
        <v>34</v>
      </c>
      <c r="F16" s="1" t="str">
        <f>INDEX(У!A$2:D$41,$E16,1)</f>
        <v>ТАН-624F</v>
      </c>
      <c r="G16" s="1">
        <f>INDEX(У!B$2:C$41,$E16,1)</f>
        <v>1.5</v>
      </c>
      <c r="H16" s="1">
        <f>INDEX(У!C$2:D$41,$E16,1)</f>
        <v>1.7</v>
      </c>
      <c r="I16" s="1">
        <f>INDEX(У!D$2:E$41,$E16,1)</f>
        <v>24</v>
      </c>
      <c r="J16" s="2">
        <f>B15-I16</f>
        <v>72</v>
      </c>
      <c r="K16" s="2">
        <f>C15-I16</f>
        <v>72</v>
      </c>
      <c r="L16" s="12" t="str">
        <f>CONCATENATE(K16,"/ ",J16," ")</f>
        <v xml:space="preserve">72/ 72 </v>
      </c>
      <c r="M16" s="1">
        <v>1</v>
      </c>
      <c r="N16" s="2" t="s">
        <v>1</v>
      </c>
      <c r="O16" s="2">
        <f>SUMIFS(M$16:M$21,F$16:F$21,N16)</f>
        <v>2</v>
      </c>
      <c r="Q16" s="12" t="str">
        <f>CONCATENATE(B16,"/ ",C16)</f>
        <v>94,36/ 94,16</v>
      </c>
    </row>
    <row r="17" spans="1:17" x14ac:dyDescent="0.25">
      <c r="A17" s="5">
        <v>2</v>
      </c>
      <c r="B17" s="1">
        <f>B16-$D17*У!$C$41-G17</f>
        <v>92.44</v>
      </c>
      <c r="C17" s="1">
        <f>C16-$D17*У!$C$41-H17</f>
        <v>92.039999999999992</v>
      </c>
      <c r="D17" s="1">
        <v>3</v>
      </c>
      <c r="E17" s="1">
        <v>34</v>
      </c>
      <c r="F17" s="1" t="str">
        <f>INDEX(У!A$2:D$41,$E17,1)</f>
        <v>ТАН-624F</v>
      </c>
      <c r="G17" s="1">
        <f>INDEX(У!B$2:C$41,$E17,1)</f>
        <v>1.5</v>
      </c>
      <c r="H17" s="1">
        <f>INDEX(У!C$2:D$41,$E17,1)</f>
        <v>1.7</v>
      </c>
      <c r="I17" s="1">
        <f>INDEX(У!D$2:E$41,$E17,1)</f>
        <v>24</v>
      </c>
      <c r="J17" s="2">
        <f t="shared" ref="J17:J21" si="5">B16-I17</f>
        <v>70.36</v>
      </c>
      <c r="K17" s="2">
        <f t="shared" ref="K17:K21" si="6">C16-I17</f>
        <v>70.16</v>
      </c>
      <c r="L17" s="12" t="str">
        <f t="shared" ref="L17:L21" si="7">CONCATENATE(K17,"/ ",J17," ")</f>
        <v xml:space="preserve">70,16/ 70,36 </v>
      </c>
      <c r="M17" s="1">
        <v>1</v>
      </c>
      <c r="N17" s="2" t="s">
        <v>3</v>
      </c>
      <c r="O17" s="2">
        <f>SUMIFS(M$16:M$21,F$16:F$21,N17)</f>
        <v>2</v>
      </c>
      <c r="Q17" s="12" t="str">
        <f t="shared" ref="Q17:Q21" si="8">CONCATENATE(B17,"/ ",C17)</f>
        <v>92,44/ 92,04</v>
      </c>
    </row>
    <row r="18" spans="1:17" x14ac:dyDescent="0.25">
      <c r="A18" s="5">
        <v>3</v>
      </c>
      <c r="B18" s="41">
        <f>B17-$D18*У!$C$41-G18</f>
        <v>90.32</v>
      </c>
      <c r="C18" s="41">
        <f>C17-$D18*У!$C$41-H18</f>
        <v>89.61999999999999</v>
      </c>
      <c r="D18" s="41">
        <v>3</v>
      </c>
      <c r="E18" s="41">
        <v>33</v>
      </c>
      <c r="F18" s="41" t="str">
        <f>INDEX(У!A$2:D$41,$E18,1)</f>
        <v>ТАН-620F</v>
      </c>
      <c r="G18" s="41">
        <f>INDEX(У!B$2:C$41,$E18,1)</f>
        <v>1.7</v>
      </c>
      <c r="H18" s="41">
        <f>INDEX(У!C$2:D$41,$E18,1)</f>
        <v>2</v>
      </c>
      <c r="I18" s="41">
        <f>INDEX(У!D$2:E$41,$E18,1)</f>
        <v>20</v>
      </c>
      <c r="J18" s="42">
        <f t="shared" si="5"/>
        <v>72.44</v>
      </c>
      <c r="K18" s="42">
        <f t="shared" si="6"/>
        <v>72.039999999999992</v>
      </c>
      <c r="L18" s="42" t="str">
        <f t="shared" si="7"/>
        <v xml:space="preserve">72,04/ 72,44 </v>
      </c>
      <c r="M18" s="41">
        <v>1</v>
      </c>
      <c r="N18" s="2" t="s">
        <v>2</v>
      </c>
      <c r="O18" s="2">
        <f>SUMIFS(M$16:M$21,F$16:F$21,N18)</f>
        <v>2</v>
      </c>
      <c r="Q18" s="12" t="str">
        <f t="shared" si="8"/>
        <v>90,32/ 89,62</v>
      </c>
    </row>
    <row r="19" spans="1:17" x14ac:dyDescent="0.25">
      <c r="A19" s="5">
        <v>4</v>
      </c>
      <c r="B19" s="1">
        <f>B18-$D19*У!$C$41-G19</f>
        <v>88.199999999999989</v>
      </c>
      <c r="C19" s="1">
        <f>C18-$D19*У!$C$41-H19</f>
        <v>87.199999999999989</v>
      </c>
      <c r="D19" s="1">
        <v>3</v>
      </c>
      <c r="E19" s="1">
        <v>33</v>
      </c>
      <c r="F19" s="1" t="str">
        <f>INDEX(У!A$2:D$41,$E19,1)</f>
        <v>ТАН-620F</v>
      </c>
      <c r="G19" s="1">
        <f>INDEX(У!B$2:C$41,$E19,1)</f>
        <v>1.7</v>
      </c>
      <c r="H19" s="1">
        <f>INDEX(У!C$2:D$41,$E19,1)</f>
        <v>2</v>
      </c>
      <c r="I19" s="1">
        <f>INDEX(У!D$2:E$41,$E19,1)</f>
        <v>20</v>
      </c>
      <c r="J19" s="2">
        <f t="shared" si="5"/>
        <v>70.319999999999993</v>
      </c>
      <c r="K19" s="2">
        <f t="shared" si="6"/>
        <v>69.61999999999999</v>
      </c>
      <c r="L19" s="12" t="str">
        <f t="shared" si="7"/>
        <v xml:space="preserve">69,62/ 70,32 </v>
      </c>
      <c r="M19" s="1">
        <v>1</v>
      </c>
      <c r="N19" s="2"/>
      <c r="O19" s="2">
        <f t="shared" ref="O19:O21" si="9">SUMIFS(M$6:M$11,F$6:F$11,N19)</f>
        <v>0</v>
      </c>
      <c r="Q19" s="12" t="str">
        <f t="shared" si="8"/>
        <v>88,2/ 87,2</v>
      </c>
    </row>
    <row r="20" spans="1:17" x14ac:dyDescent="0.25">
      <c r="A20" s="5">
        <v>5</v>
      </c>
      <c r="B20" s="41">
        <f>B19-$D20*У!$C$41-G20</f>
        <v>85.279999999999987</v>
      </c>
      <c r="C20" s="41">
        <f>C19-$D20*У!$C$41-H20</f>
        <v>83.779999999999987</v>
      </c>
      <c r="D20" s="41">
        <v>3</v>
      </c>
      <c r="E20" s="41">
        <v>32</v>
      </c>
      <c r="F20" s="41" t="str">
        <f>INDEX(У!A$2:D$41,$E20,1)</f>
        <v>ТАН-616F</v>
      </c>
      <c r="G20" s="41">
        <f>INDEX(У!B$2:C$41,$E20,1)</f>
        <v>2.5</v>
      </c>
      <c r="H20" s="41">
        <f>INDEX(У!C$2:D$41,$E20,1)</f>
        <v>3</v>
      </c>
      <c r="I20" s="41">
        <f>INDEX(У!D$2:E$41,$E20,1)</f>
        <v>16</v>
      </c>
      <c r="J20" s="42">
        <f t="shared" si="5"/>
        <v>72.199999999999989</v>
      </c>
      <c r="K20" s="42">
        <f t="shared" si="6"/>
        <v>71.199999999999989</v>
      </c>
      <c r="L20" s="42" t="str">
        <f t="shared" si="7"/>
        <v xml:space="preserve">71,2/ 72,2 </v>
      </c>
      <c r="M20" s="41">
        <v>1</v>
      </c>
      <c r="N20" s="2"/>
      <c r="O20" s="2">
        <f t="shared" si="9"/>
        <v>0</v>
      </c>
      <c r="Q20" s="12" t="str">
        <f t="shared" si="8"/>
        <v>85,28/ 83,78</v>
      </c>
    </row>
    <row r="21" spans="1:17" x14ac:dyDescent="0.25">
      <c r="A21" s="5">
        <v>6</v>
      </c>
      <c r="B21" s="1">
        <f>B20-$D21*У!$C$41-G21</f>
        <v>82.359999999999985</v>
      </c>
      <c r="C21" s="1">
        <f>C20-$D21*У!$C$41-H21</f>
        <v>80.359999999999985</v>
      </c>
      <c r="D21" s="1">
        <v>3</v>
      </c>
      <c r="E21" s="1">
        <v>32</v>
      </c>
      <c r="F21" s="1" t="str">
        <f>INDEX(У!A$2:D$41,$E21,1)</f>
        <v>ТАН-616F</v>
      </c>
      <c r="G21" s="1">
        <f>INDEX(У!B$2:C$41,$E21,1)</f>
        <v>2.5</v>
      </c>
      <c r="H21" s="1">
        <f>INDEX(У!C$2:D$41,$E21,1)</f>
        <v>3</v>
      </c>
      <c r="I21" s="1">
        <f>INDEX(У!D$2:E$41,$E21,1)</f>
        <v>16</v>
      </c>
      <c r="J21" s="2">
        <f t="shared" si="5"/>
        <v>69.279999999999987</v>
      </c>
      <c r="K21" s="2">
        <f t="shared" si="6"/>
        <v>67.779999999999987</v>
      </c>
      <c r="L21" s="12" t="str">
        <f t="shared" si="7"/>
        <v xml:space="preserve">67,78/ 69,28 </v>
      </c>
      <c r="M21" s="1">
        <v>1</v>
      </c>
      <c r="N21" s="2"/>
      <c r="O21" s="2">
        <f t="shared" si="9"/>
        <v>0</v>
      </c>
      <c r="Q21" s="12" t="str">
        <f t="shared" si="8"/>
        <v>82,36/ 80,36</v>
      </c>
    </row>
    <row r="23" spans="1:17" x14ac:dyDescent="0.25">
      <c r="A23" s="5"/>
      <c r="B23" s="39" t="s">
        <v>83</v>
      </c>
      <c r="L23" s="12"/>
      <c r="M23" s="1"/>
      <c r="N23" s="2"/>
      <c r="O23" s="2"/>
      <c r="Q23" s="12"/>
    </row>
    <row r="24" spans="1:17" x14ac:dyDescent="0.25">
      <c r="B24" s="7">
        <v>96.5</v>
      </c>
      <c r="C24" s="7">
        <v>96</v>
      </c>
      <c r="L24" s="12"/>
    </row>
    <row r="25" spans="1:17" x14ac:dyDescent="0.25">
      <c r="A25" s="5">
        <v>1</v>
      </c>
      <c r="B25" s="1">
        <f>B24-$D25*У!$C$41-G25</f>
        <v>94.86</v>
      </c>
      <c r="C25" s="1">
        <f>C24-$D25*У!$C$41-H25</f>
        <v>94.16</v>
      </c>
      <c r="D25" s="1">
        <v>1</v>
      </c>
      <c r="E25" s="1">
        <v>34</v>
      </c>
      <c r="F25" s="1" t="str">
        <f>INDEX(У!A$2:D$41,$E25,1)</f>
        <v>ТАН-624F</v>
      </c>
      <c r="G25" s="1">
        <f>INDEX(У!B$2:C$41,$E25,1)</f>
        <v>1.5</v>
      </c>
      <c r="H25" s="1">
        <f>INDEX(У!C$2:D$41,$E25,1)</f>
        <v>1.7</v>
      </c>
      <c r="I25" s="1">
        <f>INDEX(У!D$2:E$41,$E25,1)</f>
        <v>24</v>
      </c>
      <c r="J25" s="2">
        <f>B24-I25</f>
        <v>72.5</v>
      </c>
      <c r="K25" s="2">
        <f>C24-I25</f>
        <v>72</v>
      </c>
      <c r="L25" s="12" t="str">
        <f>CONCATENATE(K25,"/ ",J25," ")</f>
        <v xml:space="preserve">72/ 72,5 </v>
      </c>
      <c r="M25" s="1">
        <v>1</v>
      </c>
      <c r="N25" s="2" t="s">
        <v>1</v>
      </c>
      <c r="O25" s="2">
        <f>SUMIFS(M$16:M$21,F$16:F$21,N25)</f>
        <v>2</v>
      </c>
      <c r="Q25" s="12" t="str">
        <f>CONCATENATE(B25,"/ ",C25)</f>
        <v>94,86/ 94,16</v>
      </c>
    </row>
    <row r="26" spans="1:17" x14ac:dyDescent="0.25">
      <c r="A26" s="5">
        <v>2</v>
      </c>
      <c r="B26" s="1">
        <f>B25-$D26*У!$C$41-G26</f>
        <v>92.94</v>
      </c>
      <c r="C26" s="1">
        <f>C25-$D26*У!$C$41-H26</f>
        <v>92.039999999999992</v>
      </c>
      <c r="D26" s="1">
        <v>3</v>
      </c>
      <c r="E26" s="1">
        <v>34</v>
      </c>
      <c r="F26" s="1" t="str">
        <f>INDEX(У!A$2:D$41,$E26,1)</f>
        <v>ТАН-624F</v>
      </c>
      <c r="G26" s="1">
        <f>INDEX(У!B$2:C$41,$E26,1)</f>
        <v>1.5</v>
      </c>
      <c r="H26" s="1">
        <f>INDEX(У!C$2:D$41,$E26,1)</f>
        <v>1.7</v>
      </c>
      <c r="I26" s="1">
        <f>INDEX(У!D$2:E$41,$E26,1)</f>
        <v>24</v>
      </c>
      <c r="J26" s="2">
        <f t="shared" ref="J26:J30" si="10">B25-I26</f>
        <v>70.86</v>
      </c>
      <c r="K26" s="2">
        <f t="shared" ref="K26:K30" si="11">C25-I26</f>
        <v>70.16</v>
      </c>
      <c r="L26" s="12" t="str">
        <f t="shared" ref="L26:L30" si="12">CONCATENATE(K26,"/ ",J26," ")</f>
        <v xml:space="preserve">70,16/ 70,86 </v>
      </c>
      <c r="M26" s="1">
        <v>1</v>
      </c>
      <c r="N26" s="2" t="s">
        <v>3</v>
      </c>
      <c r="O26" s="2">
        <f>SUMIFS(M$16:M$21,F$16:F$21,N26)</f>
        <v>2</v>
      </c>
      <c r="Q26" s="12" t="str">
        <f t="shared" ref="Q26:Q30" si="13">CONCATENATE(B26,"/ ",C26)</f>
        <v>92,94/ 92,04</v>
      </c>
    </row>
    <row r="27" spans="1:17" x14ac:dyDescent="0.25">
      <c r="A27" s="5">
        <v>3</v>
      </c>
      <c r="B27" s="41">
        <f>B26-$D27*У!$C$41-G27</f>
        <v>90.82</v>
      </c>
      <c r="C27" s="41">
        <f>C26-$D27*У!$C$41-H27</f>
        <v>89.61999999999999</v>
      </c>
      <c r="D27" s="41">
        <v>3</v>
      </c>
      <c r="E27" s="41">
        <v>33</v>
      </c>
      <c r="F27" s="41" t="str">
        <f>INDEX(У!A$2:D$41,$E27,1)</f>
        <v>ТАН-620F</v>
      </c>
      <c r="G27" s="41">
        <f>INDEX(У!B$2:C$41,$E27,1)</f>
        <v>1.7</v>
      </c>
      <c r="H27" s="41">
        <f>INDEX(У!C$2:D$41,$E27,1)</f>
        <v>2</v>
      </c>
      <c r="I27" s="41">
        <f>INDEX(У!D$2:E$41,$E27,1)</f>
        <v>20</v>
      </c>
      <c r="J27" s="42">
        <f t="shared" si="10"/>
        <v>72.94</v>
      </c>
      <c r="K27" s="42">
        <f t="shared" si="11"/>
        <v>72.039999999999992</v>
      </c>
      <c r="L27" s="42" t="str">
        <f t="shared" si="12"/>
        <v xml:space="preserve">72,04/ 72,94 </v>
      </c>
      <c r="M27" s="41">
        <v>1</v>
      </c>
      <c r="N27" s="2" t="s">
        <v>2</v>
      </c>
      <c r="O27" s="2">
        <f>SUMIFS(M$16:M$21,F$16:F$21,N27)</f>
        <v>2</v>
      </c>
      <c r="Q27" s="12" t="str">
        <f t="shared" si="13"/>
        <v>90,82/ 89,62</v>
      </c>
    </row>
    <row r="28" spans="1:17" x14ac:dyDescent="0.25">
      <c r="A28" s="5">
        <v>4</v>
      </c>
      <c r="B28" s="1">
        <f>B27-$D28*У!$C$41-G28</f>
        <v>88.699999999999989</v>
      </c>
      <c r="C28" s="1">
        <f>C27-$D28*У!$C$41-H28</f>
        <v>87.199999999999989</v>
      </c>
      <c r="D28" s="1">
        <v>3</v>
      </c>
      <c r="E28" s="1">
        <v>33</v>
      </c>
      <c r="F28" s="1" t="str">
        <f>INDEX(У!A$2:D$41,$E28,1)</f>
        <v>ТАН-620F</v>
      </c>
      <c r="G28" s="1">
        <f>INDEX(У!B$2:C$41,$E28,1)</f>
        <v>1.7</v>
      </c>
      <c r="H28" s="1">
        <f>INDEX(У!C$2:D$41,$E28,1)</f>
        <v>2</v>
      </c>
      <c r="I28" s="1">
        <f>INDEX(У!D$2:E$41,$E28,1)</f>
        <v>20</v>
      </c>
      <c r="J28" s="2">
        <f t="shared" si="10"/>
        <v>70.819999999999993</v>
      </c>
      <c r="K28" s="2">
        <f t="shared" si="11"/>
        <v>69.61999999999999</v>
      </c>
      <c r="L28" s="12" t="str">
        <f t="shared" si="12"/>
        <v xml:space="preserve">69,62/ 70,82 </v>
      </c>
      <c r="M28" s="1">
        <v>1</v>
      </c>
      <c r="N28" s="2"/>
      <c r="O28" s="2">
        <f t="shared" ref="O28:O30" si="14">SUMIFS(M$6:M$11,F$6:F$11,N28)</f>
        <v>0</v>
      </c>
      <c r="Q28" s="12" t="str">
        <f t="shared" si="13"/>
        <v>88,7/ 87,2</v>
      </c>
    </row>
    <row r="29" spans="1:17" x14ac:dyDescent="0.25">
      <c r="A29" s="5">
        <v>5</v>
      </c>
      <c r="B29" s="41">
        <f>B28-$D29*У!$C$41-G29</f>
        <v>85.779999999999987</v>
      </c>
      <c r="C29" s="41">
        <f>C28-$D29*У!$C$41-H29</f>
        <v>83.779999999999987</v>
      </c>
      <c r="D29" s="41">
        <v>3</v>
      </c>
      <c r="E29" s="41">
        <v>32</v>
      </c>
      <c r="F29" s="41" t="str">
        <f>INDEX(У!A$2:D$41,$E29,1)</f>
        <v>ТАН-616F</v>
      </c>
      <c r="G29" s="41">
        <f>INDEX(У!B$2:C$41,$E29,1)</f>
        <v>2.5</v>
      </c>
      <c r="H29" s="41">
        <f>INDEX(У!C$2:D$41,$E29,1)</f>
        <v>3</v>
      </c>
      <c r="I29" s="41">
        <f>INDEX(У!D$2:E$41,$E29,1)</f>
        <v>16</v>
      </c>
      <c r="J29" s="42">
        <f t="shared" si="10"/>
        <v>72.699999999999989</v>
      </c>
      <c r="K29" s="42">
        <f t="shared" si="11"/>
        <v>71.199999999999989</v>
      </c>
      <c r="L29" s="42" t="str">
        <f t="shared" si="12"/>
        <v xml:space="preserve">71,2/ 72,7 </v>
      </c>
      <c r="M29" s="41">
        <v>1</v>
      </c>
      <c r="N29" s="2"/>
      <c r="O29" s="2">
        <f t="shared" si="14"/>
        <v>0</v>
      </c>
      <c r="Q29" s="12" t="str">
        <f t="shared" si="13"/>
        <v>85,78/ 83,78</v>
      </c>
    </row>
    <row r="30" spans="1:17" x14ac:dyDescent="0.25">
      <c r="A30" s="5">
        <v>6</v>
      </c>
      <c r="B30" s="1">
        <f>B29-$D30*У!$C$41-G30</f>
        <v>82.859999999999985</v>
      </c>
      <c r="C30" s="1">
        <f>C29-$D30*У!$C$41-H30</f>
        <v>80.359999999999985</v>
      </c>
      <c r="D30" s="1">
        <v>3</v>
      </c>
      <c r="E30" s="1">
        <v>32</v>
      </c>
      <c r="F30" s="1" t="str">
        <f>INDEX(У!A$2:D$41,$E30,1)</f>
        <v>ТАН-616F</v>
      </c>
      <c r="G30" s="1">
        <f>INDEX(У!B$2:C$41,$E30,1)</f>
        <v>2.5</v>
      </c>
      <c r="H30" s="1">
        <f>INDEX(У!C$2:D$41,$E30,1)</f>
        <v>3</v>
      </c>
      <c r="I30" s="1">
        <f>INDEX(У!D$2:E$41,$E30,1)</f>
        <v>16</v>
      </c>
      <c r="J30" s="2">
        <f t="shared" si="10"/>
        <v>69.779999999999987</v>
      </c>
      <c r="K30" s="2">
        <f t="shared" si="11"/>
        <v>67.779999999999987</v>
      </c>
      <c r="L30" s="12" t="str">
        <f t="shared" si="12"/>
        <v xml:space="preserve">67,78/ 69,78 </v>
      </c>
      <c r="M30" s="1">
        <v>1</v>
      </c>
      <c r="N30" s="2"/>
      <c r="O30" s="2">
        <f t="shared" si="14"/>
        <v>0</v>
      </c>
      <c r="Q30" s="12" t="str">
        <f t="shared" si="13"/>
        <v>82,86/ 80,36</v>
      </c>
    </row>
    <row r="32" spans="1:17" x14ac:dyDescent="0.25">
      <c r="B32" s="7">
        <v>95.5</v>
      </c>
      <c r="C32" s="7">
        <v>95</v>
      </c>
      <c r="L32" s="12"/>
    </row>
    <row r="33" spans="1:17" x14ac:dyDescent="0.25">
      <c r="A33" s="5">
        <v>1</v>
      </c>
      <c r="B33" s="1">
        <f>B32-$D33*У!$C$41-G33</f>
        <v>93.86</v>
      </c>
      <c r="C33" s="1">
        <f>C32-$D33*У!$C$41-H33</f>
        <v>93.16</v>
      </c>
      <c r="D33" s="1">
        <v>1</v>
      </c>
      <c r="E33" s="1">
        <v>34</v>
      </c>
      <c r="F33" s="1" t="str">
        <f>INDEX(У!A$2:D$41,$E33,1)</f>
        <v>ТАН-624F</v>
      </c>
      <c r="G33" s="1">
        <f>INDEX(У!B$2:C$41,$E33,1)</f>
        <v>1.5</v>
      </c>
      <c r="H33" s="1">
        <f>INDEX(У!C$2:D$41,$E33,1)</f>
        <v>1.7</v>
      </c>
      <c r="I33" s="1">
        <f>INDEX(У!D$2:E$41,$E33,1)</f>
        <v>24</v>
      </c>
      <c r="J33" s="2">
        <f>B32-I33</f>
        <v>71.5</v>
      </c>
      <c r="K33" s="2">
        <f>C32-I33</f>
        <v>71</v>
      </c>
      <c r="L33" s="12" t="str">
        <f>CONCATENATE(K33,"/ ",J33," ")</f>
        <v xml:space="preserve">71/ 71,5 </v>
      </c>
      <c r="M33" s="1">
        <v>1</v>
      </c>
      <c r="N33" s="2" t="s">
        <v>1</v>
      </c>
      <c r="O33" s="2">
        <f>SUMIFS(M$16:M$21,F$16:F$21,N33)</f>
        <v>2</v>
      </c>
      <c r="Q33" s="12" t="str">
        <f>CONCATENATE(B33,"/ ",C33)</f>
        <v>93,86/ 93,16</v>
      </c>
    </row>
    <row r="34" spans="1:17" x14ac:dyDescent="0.25">
      <c r="A34" s="5">
        <v>2</v>
      </c>
      <c r="B34" s="1">
        <f>B33-$D34*У!$C$41-G34</f>
        <v>91.94</v>
      </c>
      <c r="C34" s="1">
        <f>C33-$D34*У!$C$41-H34</f>
        <v>91.039999999999992</v>
      </c>
      <c r="D34" s="1">
        <v>3</v>
      </c>
      <c r="E34" s="1">
        <v>34</v>
      </c>
      <c r="F34" s="1" t="str">
        <f>INDEX(У!A$2:D$41,$E34,1)</f>
        <v>ТАН-624F</v>
      </c>
      <c r="G34" s="1">
        <f>INDEX(У!B$2:C$41,$E34,1)</f>
        <v>1.5</v>
      </c>
      <c r="H34" s="1">
        <f>INDEX(У!C$2:D$41,$E34,1)</f>
        <v>1.7</v>
      </c>
      <c r="I34" s="1">
        <f>INDEX(У!D$2:E$41,$E34,1)</f>
        <v>24</v>
      </c>
      <c r="J34" s="2">
        <f t="shared" ref="J34:J38" si="15">B33-I34</f>
        <v>69.86</v>
      </c>
      <c r="K34" s="2">
        <f t="shared" ref="K34:K38" si="16">C33-I34</f>
        <v>69.16</v>
      </c>
      <c r="L34" s="12" t="str">
        <f t="shared" ref="L34:L38" si="17">CONCATENATE(K34,"/ ",J34," ")</f>
        <v xml:space="preserve">69,16/ 69,86 </v>
      </c>
      <c r="M34" s="1">
        <v>1</v>
      </c>
      <c r="N34" s="2" t="s">
        <v>3</v>
      </c>
      <c r="O34" s="2">
        <f>SUMIFS(M$16:M$21,F$16:F$21,N34)</f>
        <v>2</v>
      </c>
      <c r="Q34" s="12" t="str">
        <f t="shared" ref="Q34:Q38" si="18">CONCATENATE(B34,"/ ",C34)</f>
        <v>91,94/ 91,04</v>
      </c>
    </row>
    <row r="35" spans="1:17" x14ac:dyDescent="0.25">
      <c r="A35" s="5">
        <v>3</v>
      </c>
      <c r="B35" s="41">
        <f>B34-$D35*У!$C$41-G35</f>
        <v>89.82</v>
      </c>
      <c r="C35" s="41">
        <f>C34-$D35*У!$C$41-H35</f>
        <v>88.61999999999999</v>
      </c>
      <c r="D35" s="41">
        <v>3</v>
      </c>
      <c r="E35" s="41">
        <v>33</v>
      </c>
      <c r="F35" s="41" t="str">
        <f>INDEX(У!A$2:D$41,$E35,1)</f>
        <v>ТАН-620F</v>
      </c>
      <c r="G35" s="41">
        <f>INDEX(У!B$2:C$41,$E35,1)</f>
        <v>1.7</v>
      </c>
      <c r="H35" s="41">
        <f>INDEX(У!C$2:D$41,$E35,1)</f>
        <v>2</v>
      </c>
      <c r="I35" s="41">
        <f>INDEX(У!D$2:E$41,$E35,1)</f>
        <v>20</v>
      </c>
      <c r="J35" s="42">
        <f t="shared" si="15"/>
        <v>71.94</v>
      </c>
      <c r="K35" s="42">
        <f t="shared" si="16"/>
        <v>71.039999999999992</v>
      </c>
      <c r="L35" s="42" t="str">
        <f t="shared" si="17"/>
        <v xml:space="preserve">71,04/ 71,94 </v>
      </c>
      <c r="M35" s="41">
        <v>1</v>
      </c>
      <c r="N35" s="2" t="s">
        <v>2</v>
      </c>
      <c r="O35" s="2">
        <f>SUMIFS(M$16:M$21,F$16:F$21,N35)</f>
        <v>2</v>
      </c>
      <c r="Q35" s="12" t="str">
        <f t="shared" si="18"/>
        <v>89,82/ 88,62</v>
      </c>
    </row>
    <row r="36" spans="1:17" x14ac:dyDescent="0.25">
      <c r="A36" s="5">
        <v>4</v>
      </c>
      <c r="B36" s="1">
        <f>B35-$D36*У!$C$41-G36</f>
        <v>87.699999999999989</v>
      </c>
      <c r="C36" s="1">
        <f>C35-$D36*У!$C$41-H36</f>
        <v>86.199999999999989</v>
      </c>
      <c r="D36" s="1">
        <v>3</v>
      </c>
      <c r="E36" s="1">
        <v>33</v>
      </c>
      <c r="F36" s="1" t="str">
        <f>INDEX(У!A$2:D$41,$E36,1)</f>
        <v>ТАН-620F</v>
      </c>
      <c r="G36" s="1">
        <f>INDEX(У!B$2:C$41,$E36,1)</f>
        <v>1.7</v>
      </c>
      <c r="H36" s="1">
        <f>INDEX(У!C$2:D$41,$E36,1)</f>
        <v>2</v>
      </c>
      <c r="I36" s="1">
        <f>INDEX(У!D$2:E$41,$E36,1)</f>
        <v>20</v>
      </c>
      <c r="J36" s="2">
        <f t="shared" si="15"/>
        <v>69.819999999999993</v>
      </c>
      <c r="K36" s="2">
        <f t="shared" si="16"/>
        <v>68.61999999999999</v>
      </c>
      <c r="L36" s="12" t="str">
        <f t="shared" si="17"/>
        <v xml:space="preserve">68,62/ 69,82 </v>
      </c>
      <c r="M36" s="1">
        <v>1</v>
      </c>
      <c r="N36" s="2"/>
      <c r="O36" s="2">
        <f t="shared" ref="O36:O38" si="19">SUMIFS(M$6:M$11,F$6:F$11,N36)</f>
        <v>0</v>
      </c>
      <c r="Q36" s="12" t="str">
        <f t="shared" si="18"/>
        <v>87,7/ 86,2</v>
      </c>
    </row>
    <row r="37" spans="1:17" x14ac:dyDescent="0.25">
      <c r="A37" s="5">
        <v>5</v>
      </c>
      <c r="B37" s="41">
        <f>B36-$D37*У!$C$41-G37</f>
        <v>84.779999999999987</v>
      </c>
      <c r="C37" s="41">
        <f>C36-$D37*У!$C$41-H37</f>
        <v>82.779999999999987</v>
      </c>
      <c r="D37" s="41">
        <v>3</v>
      </c>
      <c r="E37" s="41">
        <v>32</v>
      </c>
      <c r="F37" s="41" t="str">
        <f>INDEX(У!A$2:D$41,$E37,1)</f>
        <v>ТАН-616F</v>
      </c>
      <c r="G37" s="41">
        <f>INDEX(У!B$2:C$41,$E37,1)</f>
        <v>2.5</v>
      </c>
      <c r="H37" s="41">
        <f>INDEX(У!C$2:D$41,$E37,1)</f>
        <v>3</v>
      </c>
      <c r="I37" s="41">
        <f>INDEX(У!D$2:E$41,$E37,1)</f>
        <v>16</v>
      </c>
      <c r="J37" s="42">
        <f t="shared" si="15"/>
        <v>71.699999999999989</v>
      </c>
      <c r="K37" s="42">
        <f t="shared" si="16"/>
        <v>70.199999999999989</v>
      </c>
      <c r="L37" s="42" t="str">
        <f t="shared" si="17"/>
        <v xml:space="preserve">70,2/ 71,7 </v>
      </c>
      <c r="M37" s="41">
        <v>1</v>
      </c>
      <c r="N37" s="2"/>
      <c r="O37" s="2">
        <f t="shared" si="19"/>
        <v>0</v>
      </c>
      <c r="Q37" s="12" t="str">
        <f t="shared" si="18"/>
        <v>84,78/ 82,78</v>
      </c>
    </row>
    <row r="38" spans="1:17" x14ac:dyDescent="0.25">
      <c r="A38" s="5">
        <v>6</v>
      </c>
      <c r="B38" s="1">
        <f>B37-$D38*У!$C$41-G38</f>
        <v>81.859999999999985</v>
      </c>
      <c r="C38" s="1">
        <f>C37-$D38*У!$C$41-H38</f>
        <v>79.359999999999985</v>
      </c>
      <c r="D38" s="1">
        <v>3</v>
      </c>
      <c r="E38" s="1">
        <v>32</v>
      </c>
      <c r="F38" s="1" t="str">
        <f>INDEX(У!A$2:D$41,$E38,1)</f>
        <v>ТАН-616F</v>
      </c>
      <c r="G38" s="1">
        <f>INDEX(У!B$2:C$41,$E38,1)</f>
        <v>2.5</v>
      </c>
      <c r="H38" s="1">
        <f>INDEX(У!C$2:D$41,$E38,1)</f>
        <v>3</v>
      </c>
      <c r="I38" s="1">
        <f>INDEX(У!D$2:E$41,$E38,1)</f>
        <v>16</v>
      </c>
      <c r="J38" s="2">
        <f t="shared" si="15"/>
        <v>68.779999999999987</v>
      </c>
      <c r="K38" s="2">
        <f t="shared" si="16"/>
        <v>66.779999999999987</v>
      </c>
      <c r="L38" s="12" t="str">
        <f t="shared" si="17"/>
        <v xml:space="preserve">66,78/ 68,78 </v>
      </c>
      <c r="M38" s="1">
        <v>1</v>
      </c>
      <c r="N38" s="2"/>
      <c r="O38" s="2">
        <f t="shared" si="19"/>
        <v>0</v>
      </c>
      <c r="Q38" s="12" t="str">
        <f t="shared" si="18"/>
        <v>81,86/ 79,36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7" customFormat="1" x14ac:dyDescent="0.25"/>
    <row r="78" customFormat="1" x14ac:dyDescent="0.25"/>
    <row r="79" customFormat="1" x14ac:dyDescent="0.25"/>
    <row r="81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5" customFormat="1" x14ac:dyDescent="0.25"/>
  </sheetData>
  <conditionalFormatting sqref="O6:O14">
    <cfRule type="cellIs" dxfId="15" priority="8" operator="greaterThan">
      <formula>0</formula>
    </cfRule>
  </conditionalFormatting>
  <conditionalFormatting sqref="O16:O21">
    <cfRule type="cellIs" dxfId="14" priority="6" operator="greaterThan">
      <formula>0</formula>
    </cfRule>
  </conditionalFormatting>
  <conditionalFormatting sqref="O23">
    <cfRule type="cellIs" dxfId="13" priority="3" operator="greaterThan">
      <formula>0</formula>
    </cfRule>
  </conditionalFormatting>
  <conditionalFormatting sqref="O25:O30">
    <cfRule type="cellIs" dxfId="12" priority="2" operator="greaterThan">
      <formula>0</formula>
    </cfRule>
  </conditionalFormatting>
  <conditionalFormatting sqref="O33:O38">
    <cfRule type="cellIs" dxfId="1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zoomScaleNormal="100" workbookViewId="0">
      <pane ySplit="1" topLeftCell="A59" activePane="bottomLeft" state="frozen"/>
      <selection pane="bottomLeft" activeCell="J97" sqref="J97"/>
    </sheetView>
  </sheetViews>
  <sheetFormatPr defaultRowHeight="15" x14ac:dyDescent="0.25"/>
  <cols>
    <col min="1" max="2" width="5.875" style="2" customWidth="1"/>
    <col min="3" max="3" width="12" style="2" customWidth="1"/>
    <col min="4" max="4" width="9.375" style="2" customWidth="1"/>
    <col min="5" max="5" width="7.875" style="18" customWidth="1"/>
    <col min="6" max="6" width="4.625" style="2" customWidth="1"/>
    <col min="7" max="7" width="7.75" style="2" customWidth="1"/>
    <col min="8" max="10" width="9.125" style="2"/>
  </cols>
  <sheetData>
    <row r="1" spans="1:11" ht="39.75" customHeight="1" x14ac:dyDescent="0.25">
      <c r="A1" s="25"/>
      <c r="B1" s="28" t="s">
        <v>57</v>
      </c>
      <c r="C1" s="26" t="s">
        <v>64</v>
      </c>
      <c r="D1" s="26" t="s">
        <v>65</v>
      </c>
      <c r="E1" s="27" t="s">
        <v>58</v>
      </c>
      <c r="F1" s="26" t="s">
        <v>63</v>
      </c>
      <c r="G1" s="29" t="s">
        <v>60</v>
      </c>
      <c r="H1" s="25" t="s">
        <v>56</v>
      </c>
      <c r="I1" s="3"/>
      <c r="J1" s="3" t="s">
        <v>55</v>
      </c>
      <c r="K1" s="3" t="s">
        <v>66</v>
      </c>
    </row>
    <row r="2" spans="1:11" ht="15" customHeight="1" x14ac:dyDescent="0.25">
      <c r="C2" s="3"/>
      <c r="D2" s="3"/>
      <c r="E2" s="20"/>
      <c r="G2" s="3"/>
      <c r="I2" s="3"/>
      <c r="J2" s="2">
        <v>20</v>
      </c>
      <c r="K2" s="1">
        <v>7</v>
      </c>
    </row>
    <row r="3" spans="1:11" ht="15" customHeight="1" x14ac:dyDescent="0.25">
      <c r="A3" s="23" t="s">
        <v>67</v>
      </c>
      <c r="C3" s="3"/>
      <c r="D3" s="3"/>
      <c r="E3" s="20"/>
      <c r="G3" s="3"/>
      <c r="I3" s="3"/>
      <c r="J3" s="3"/>
      <c r="K3" s="1"/>
    </row>
    <row r="4" spans="1:11" x14ac:dyDescent="0.25">
      <c r="A4" s="2">
        <v>18</v>
      </c>
      <c r="B4" s="2">
        <v>7</v>
      </c>
      <c r="C4" s="2">
        <v>0</v>
      </c>
      <c r="D4" s="2">
        <v>0</v>
      </c>
      <c r="E4" s="19">
        <f>(C4+$K$2*D4)/$J$2</f>
        <v>0</v>
      </c>
      <c r="F4" s="2">
        <v>1</v>
      </c>
      <c r="G4" s="22">
        <f t="shared" ref="G4" si="0">F4*3</f>
        <v>3</v>
      </c>
    </row>
    <row r="5" spans="1:11" x14ac:dyDescent="0.25">
      <c r="A5" s="12">
        <v>17</v>
      </c>
      <c r="B5" s="12">
        <v>7</v>
      </c>
      <c r="C5" s="12">
        <f>C4+B4</f>
        <v>7</v>
      </c>
      <c r="D5" s="12">
        <v>0</v>
      </c>
      <c r="E5" s="19">
        <f t="shared" ref="E5:E22" si="1">(C5+$K$2*D5)/$J$2</f>
        <v>0.35</v>
      </c>
      <c r="F5" s="12">
        <v>1</v>
      </c>
      <c r="G5" s="24">
        <f>F5*3</f>
        <v>3</v>
      </c>
    </row>
    <row r="6" spans="1:11" x14ac:dyDescent="0.25">
      <c r="A6" s="12">
        <v>16</v>
      </c>
      <c r="B6" s="12">
        <v>7</v>
      </c>
      <c r="C6" s="12">
        <f>C5+B5</f>
        <v>14</v>
      </c>
      <c r="D6" s="12">
        <v>0</v>
      </c>
      <c r="E6" s="19">
        <f t="shared" si="1"/>
        <v>0.7</v>
      </c>
      <c r="F6" s="12">
        <v>1</v>
      </c>
      <c r="G6" s="24">
        <f t="shared" ref="G6:G20" si="2">F6*3</f>
        <v>3</v>
      </c>
    </row>
    <row r="7" spans="1:11" x14ac:dyDescent="0.25">
      <c r="A7" s="12">
        <v>15</v>
      </c>
      <c r="B7" s="12">
        <v>7</v>
      </c>
      <c r="C7" s="12">
        <f>C6+B6</f>
        <v>21</v>
      </c>
      <c r="D7" s="12">
        <v>0</v>
      </c>
      <c r="E7" s="19">
        <f t="shared" si="1"/>
        <v>1.05</v>
      </c>
      <c r="F7" s="12">
        <v>2</v>
      </c>
      <c r="G7" s="24">
        <f t="shared" si="2"/>
        <v>6</v>
      </c>
    </row>
    <row r="8" spans="1:11" x14ac:dyDescent="0.25">
      <c r="A8" s="12">
        <v>14</v>
      </c>
      <c r="B8" s="12">
        <v>7</v>
      </c>
      <c r="C8" s="12">
        <f>C7+B7</f>
        <v>28</v>
      </c>
      <c r="D8" s="12">
        <v>1</v>
      </c>
      <c r="E8" s="19">
        <f t="shared" si="1"/>
        <v>1.75</v>
      </c>
      <c r="F8" s="17">
        <v>2</v>
      </c>
      <c r="G8" s="21">
        <f t="shared" si="2"/>
        <v>6</v>
      </c>
      <c r="H8" s="17" t="s">
        <v>59</v>
      </c>
    </row>
    <row r="9" spans="1:11" x14ac:dyDescent="0.25">
      <c r="A9" s="12">
        <v>13</v>
      </c>
      <c r="B9" s="12">
        <v>7</v>
      </c>
      <c r="C9" s="12">
        <v>0</v>
      </c>
      <c r="D9" s="12">
        <v>1</v>
      </c>
      <c r="E9" s="19">
        <f t="shared" si="1"/>
        <v>0.35</v>
      </c>
      <c r="F9" s="12">
        <v>1</v>
      </c>
      <c r="G9" s="24">
        <f t="shared" si="2"/>
        <v>3</v>
      </c>
    </row>
    <row r="10" spans="1:11" x14ac:dyDescent="0.25">
      <c r="A10" s="12">
        <v>12</v>
      </c>
      <c r="B10" s="12">
        <v>7</v>
      </c>
      <c r="C10" s="12">
        <f>C9+B9</f>
        <v>7</v>
      </c>
      <c r="D10" s="12">
        <v>1</v>
      </c>
      <c r="E10" s="19">
        <f t="shared" si="1"/>
        <v>0.7</v>
      </c>
      <c r="F10" s="12">
        <v>1</v>
      </c>
      <c r="G10" s="24">
        <f t="shared" si="2"/>
        <v>3</v>
      </c>
    </row>
    <row r="11" spans="1:11" x14ac:dyDescent="0.25">
      <c r="A11" s="12">
        <v>11</v>
      </c>
      <c r="B11" s="12">
        <v>7</v>
      </c>
      <c r="C11" s="12">
        <f>C10+B10</f>
        <v>14</v>
      </c>
      <c r="D11" s="12">
        <v>1</v>
      </c>
      <c r="E11" s="19">
        <f t="shared" si="1"/>
        <v>1.05</v>
      </c>
      <c r="F11" s="12">
        <v>2</v>
      </c>
      <c r="G11" s="24">
        <f t="shared" si="2"/>
        <v>6</v>
      </c>
    </row>
    <row r="12" spans="1:11" x14ac:dyDescent="0.25">
      <c r="A12" s="12">
        <v>10</v>
      </c>
      <c r="B12" s="12">
        <v>7</v>
      </c>
      <c r="C12" s="12">
        <f>C11+B11</f>
        <v>21</v>
      </c>
      <c r="D12" s="12">
        <v>2</v>
      </c>
      <c r="E12" s="19">
        <f t="shared" si="1"/>
        <v>1.75</v>
      </c>
      <c r="F12" s="17">
        <v>2</v>
      </c>
      <c r="G12" s="21">
        <f t="shared" si="2"/>
        <v>6</v>
      </c>
      <c r="H12" s="17" t="s">
        <v>59</v>
      </c>
    </row>
    <row r="13" spans="1:11" x14ac:dyDescent="0.25">
      <c r="A13" s="12">
        <v>9</v>
      </c>
      <c r="B13" s="12">
        <v>8</v>
      </c>
      <c r="C13" s="12">
        <v>0</v>
      </c>
      <c r="D13" s="12">
        <v>2</v>
      </c>
      <c r="E13" s="19">
        <f t="shared" si="1"/>
        <v>0.7</v>
      </c>
      <c r="F13" s="12">
        <v>1</v>
      </c>
      <c r="G13" s="24">
        <f t="shared" si="2"/>
        <v>3</v>
      </c>
    </row>
    <row r="14" spans="1:11" x14ac:dyDescent="0.25">
      <c r="A14" s="12">
        <v>8</v>
      </c>
      <c r="B14" s="12">
        <v>8</v>
      </c>
      <c r="C14" s="12">
        <f>C13+B13</f>
        <v>8</v>
      </c>
      <c r="D14" s="12">
        <v>2</v>
      </c>
      <c r="E14" s="19">
        <f t="shared" si="1"/>
        <v>1.1000000000000001</v>
      </c>
      <c r="F14" s="12">
        <v>2</v>
      </c>
      <c r="G14" s="24">
        <f t="shared" si="2"/>
        <v>6</v>
      </c>
    </row>
    <row r="15" spans="1:11" x14ac:dyDescent="0.25">
      <c r="A15" s="12">
        <v>7</v>
      </c>
      <c r="B15" s="12">
        <v>8</v>
      </c>
      <c r="C15" s="12">
        <f>C14+B14</f>
        <v>16</v>
      </c>
      <c r="D15" s="12">
        <v>2</v>
      </c>
      <c r="E15" s="19">
        <f t="shared" si="1"/>
        <v>1.5</v>
      </c>
      <c r="F15" s="12">
        <v>2</v>
      </c>
      <c r="G15" s="24">
        <f t="shared" si="2"/>
        <v>6</v>
      </c>
    </row>
    <row r="16" spans="1:11" x14ac:dyDescent="0.25">
      <c r="A16" s="12">
        <v>6</v>
      </c>
      <c r="B16" s="12">
        <v>8</v>
      </c>
      <c r="C16" s="12">
        <f>C15+B15</f>
        <v>24</v>
      </c>
      <c r="D16" s="12">
        <v>3</v>
      </c>
      <c r="E16" s="19">
        <f t="shared" si="1"/>
        <v>2.25</v>
      </c>
      <c r="F16" s="17">
        <v>3</v>
      </c>
      <c r="G16" s="21">
        <f t="shared" si="2"/>
        <v>9</v>
      </c>
      <c r="H16" s="17" t="s">
        <v>59</v>
      </c>
    </row>
    <row r="17" spans="1:11" x14ac:dyDescent="0.25">
      <c r="A17" s="12">
        <v>5</v>
      </c>
      <c r="B17" s="12">
        <v>8</v>
      </c>
      <c r="C17" s="12">
        <v>0</v>
      </c>
      <c r="D17" s="12">
        <v>3</v>
      </c>
      <c r="E17" s="19">
        <f t="shared" si="1"/>
        <v>1.05</v>
      </c>
      <c r="F17" s="12">
        <v>2</v>
      </c>
      <c r="G17" s="24">
        <f t="shared" si="2"/>
        <v>6</v>
      </c>
    </row>
    <row r="18" spans="1:11" x14ac:dyDescent="0.25">
      <c r="A18" s="12">
        <v>4</v>
      </c>
      <c r="B18" s="12">
        <v>8</v>
      </c>
      <c r="C18" s="12">
        <f>C17+B17</f>
        <v>8</v>
      </c>
      <c r="D18" s="12">
        <v>3</v>
      </c>
      <c r="E18" s="19">
        <f t="shared" si="1"/>
        <v>1.45</v>
      </c>
      <c r="F18" s="12">
        <v>2</v>
      </c>
      <c r="G18" s="24">
        <f t="shared" si="2"/>
        <v>6</v>
      </c>
    </row>
    <row r="19" spans="1:11" x14ac:dyDescent="0.25">
      <c r="A19" s="12">
        <v>3</v>
      </c>
      <c r="B19" s="12">
        <v>8</v>
      </c>
      <c r="C19" s="12">
        <f>C18+B18</f>
        <v>16</v>
      </c>
      <c r="D19" s="12">
        <v>3</v>
      </c>
      <c r="E19" s="19">
        <f t="shared" si="1"/>
        <v>1.85</v>
      </c>
      <c r="F19" s="12">
        <v>2</v>
      </c>
      <c r="G19" s="24">
        <f t="shared" si="2"/>
        <v>6</v>
      </c>
    </row>
    <row r="20" spans="1:11" x14ac:dyDescent="0.25">
      <c r="A20" s="12">
        <v>2</v>
      </c>
      <c r="B20" s="12">
        <v>8</v>
      </c>
      <c r="C20" s="12">
        <f>C19+B19</f>
        <v>24</v>
      </c>
      <c r="D20" s="12">
        <v>4</v>
      </c>
      <c r="E20" s="19">
        <f t="shared" si="1"/>
        <v>2.6</v>
      </c>
      <c r="F20" s="17">
        <v>3</v>
      </c>
      <c r="G20" s="21">
        <f t="shared" si="2"/>
        <v>9</v>
      </c>
      <c r="H20" s="17" t="s">
        <v>59</v>
      </c>
    </row>
    <row r="21" spans="1:11" x14ac:dyDescent="0.25">
      <c r="A21" s="12">
        <v>1</v>
      </c>
      <c r="B21" s="12">
        <v>0</v>
      </c>
      <c r="C21" s="12">
        <v>0</v>
      </c>
      <c r="D21" s="12">
        <v>4</v>
      </c>
      <c r="E21" s="19">
        <f t="shared" si="1"/>
        <v>1.4</v>
      </c>
      <c r="F21" s="12">
        <v>2</v>
      </c>
      <c r="G21" s="24">
        <f>F21*3</f>
        <v>6</v>
      </c>
    </row>
    <row r="22" spans="1:11" x14ac:dyDescent="0.25">
      <c r="A22" s="2">
        <v>0</v>
      </c>
      <c r="B22" s="2">
        <v>0</v>
      </c>
      <c r="C22" s="2">
        <v>0</v>
      </c>
      <c r="D22" s="2">
        <v>4</v>
      </c>
      <c r="E22" s="19">
        <f t="shared" si="1"/>
        <v>1.4</v>
      </c>
      <c r="F22" s="2">
        <v>2</v>
      </c>
      <c r="G22" s="22">
        <f>F22*3</f>
        <v>6</v>
      </c>
    </row>
    <row r="23" spans="1:11" x14ac:dyDescent="0.25">
      <c r="E23" s="19"/>
      <c r="G23" s="22">
        <f>SUM(G4:G22)</f>
        <v>102</v>
      </c>
    </row>
    <row r="24" spans="1:11" ht="15" customHeight="1" x14ac:dyDescent="0.25">
      <c r="A24" s="23" t="s">
        <v>72</v>
      </c>
      <c r="C24" s="3"/>
      <c r="D24" s="3"/>
      <c r="E24" s="20"/>
      <c r="G24" s="3"/>
      <c r="I24" s="3"/>
      <c r="J24" s="3"/>
      <c r="K24" s="1"/>
    </row>
    <row r="25" spans="1:11" x14ac:dyDescent="0.25">
      <c r="A25" s="2">
        <v>12</v>
      </c>
      <c r="B25" s="2">
        <v>3</v>
      </c>
      <c r="C25" s="2">
        <f t="shared" ref="C25:C33" si="3">C26+B26</f>
        <v>33</v>
      </c>
      <c r="D25" s="2">
        <v>1</v>
      </c>
      <c r="E25" s="19">
        <f t="shared" ref="E25:E35" si="4">(C25+$K$2*D25)/$J$2</f>
        <v>2</v>
      </c>
      <c r="F25" s="2">
        <v>2</v>
      </c>
      <c r="G25" s="2">
        <f t="shared" ref="G25:G35" si="5">F25*3</f>
        <v>6</v>
      </c>
      <c r="H25" s="17" t="s">
        <v>59</v>
      </c>
    </row>
    <row r="26" spans="1:11" x14ac:dyDescent="0.25">
      <c r="A26" s="2">
        <v>11</v>
      </c>
      <c r="B26" s="2">
        <v>3</v>
      </c>
      <c r="C26" s="2">
        <f t="shared" si="3"/>
        <v>30</v>
      </c>
      <c r="D26" s="2">
        <v>0</v>
      </c>
      <c r="E26" s="19">
        <f t="shared" si="4"/>
        <v>1.5</v>
      </c>
      <c r="F26" s="2">
        <v>2</v>
      </c>
      <c r="G26" s="2">
        <f t="shared" si="5"/>
        <v>6</v>
      </c>
    </row>
    <row r="27" spans="1:11" x14ac:dyDescent="0.25">
      <c r="A27" s="2">
        <v>10</v>
      </c>
      <c r="B27" s="2">
        <v>3</v>
      </c>
      <c r="C27" s="2">
        <f t="shared" si="3"/>
        <v>27</v>
      </c>
      <c r="D27" s="2">
        <v>0</v>
      </c>
      <c r="E27" s="19">
        <f t="shared" si="4"/>
        <v>1.35</v>
      </c>
      <c r="F27" s="2">
        <v>2</v>
      </c>
      <c r="G27" s="2">
        <f t="shared" si="5"/>
        <v>6</v>
      </c>
    </row>
    <row r="28" spans="1:11" x14ac:dyDescent="0.25">
      <c r="A28" s="2">
        <v>9</v>
      </c>
      <c r="B28" s="2">
        <v>3</v>
      </c>
      <c r="C28" s="2">
        <f t="shared" si="3"/>
        <v>24</v>
      </c>
      <c r="D28" s="2">
        <v>0</v>
      </c>
      <c r="E28" s="19">
        <f t="shared" si="4"/>
        <v>1.2</v>
      </c>
      <c r="F28" s="2">
        <v>2</v>
      </c>
      <c r="G28" s="2">
        <f t="shared" si="5"/>
        <v>6</v>
      </c>
    </row>
    <row r="29" spans="1:11" x14ac:dyDescent="0.25">
      <c r="A29" s="2">
        <v>8</v>
      </c>
      <c r="B29" s="2">
        <v>3</v>
      </c>
      <c r="C29" s="2">
        <f t="shared" si="3"/>
        <v>21</v>
      </c>
      <c r="D29" s="2">
        <v>0</v>
      </c>
      <c r="E29" s="19">
        <f t="shared" si="4"/>
        <v>1.05</v>
      </c>
      <c r="F29" s="2">
        <v>1</v>
      </c>
      <c r="G29" s="2">
        <f t="shared" si="5"/>
        <v>3</v>
      </c>
    </row>
    <row r="30" spans="1:11" x14ac:dyDescent="0.25">
      <c r="A30" s="2">
        <v>7</v>
      </c>
      <c r="B30" s="2">
        <v>3</v>
      </c>
      <c r="C30" s="2">
        <f t="shared" si="3"/>
        <v>18</v>
      </c>
      <c r="D30" s="2">
        <v>0</v>
      </c>
      <c r="E30" s="19">
        <f t="shared" si="4"/>
        <v>0.9</v>
      </c>
      <c r="F30" s="2">
        <v>1</v>
      </c>
      <c r="G30" s="2">
        <f t="shared" si="5"/>
        <v>3</v>
      </c>
    </row>
    <row r="31" spans="1:11" x14ac:dyDescent="0.25">
      <c r="A31" s="2">
        <v>6</v>
      </c>
      <c r="B31" s="2">
        <v>3</v>
      </c>
      <c r="C31" s="2">
        <f t="shared" si="3"/>
        <v>15</v>
      </c>
      <c r="D31" s="2">
        <v>0</v>
      </c>
      <c r="E31" s="19">
        <f t="shared" si="4"/>
        <v>0.75</v>
      </c>
      <c r="F31" s="2">
        <v>1</v>
      </c>
      <c r="G31" s="2">
        <f t="shared" si="5"/>
        <v>3</v>
      </c>
    </row>
    <row r="32" spans="1:11" x14ac:dyDescent="0.25">
      <c r="A32" s="2">
        <v>5</v>
      </c>
      <c r="B32" s="2">
        <v>3</v>
      </c>
      <c r="C32" s="2">
        <f t="shared" si="3"/>
        <v>12</v>
      </c>
      <c r="D32" s="2">
        <v>0</v>
      </c>
      <c r="E32" s="19">
        <f t="shared" si="4"/>
        <v>0.6</v>
      </c>
      <c r="F32" s="2">
        <v>1</v>
      </c>
      <c r="G32" s="2">
        <f t="shared" si="5"/>
        <v>3</v>
      </c>
    </row>
    <row r="33" spans="1:11" x14ac:dyDescent="0.25">
      <c r="A33" s="2">
        <v>4</v>
      </c>
      <c r="B33" s="2">
        <v>4</v>
      </c>
      <c r="C33" s="2">
        <f t="shared" si="3"/>
        <v>8</v>
      </c>
      <c r="D33" s="2">
        <v>0</v>
      </c>
      <c r="E33" s="19">
        <f t="shared" si="4"/>
        <v>0.4</v>
      </c>
      <c r="F33" s="2">
        <v>1</v>
      </c>
      <c r="G33" s="2">
        <f t="shared" si="5"/>
        <v>3</v>
      </c>
    </row>
    <row r="34" spans="1:11" x14ac:dyDescent="0.25">
      <c r="A34" s="2">
        <v>3</v>
      </c>
      <c r="B34" s="2">
        <v>4</v>
      </c>
      <c r="C34" s="2">
        <f t="shared" ref="C34" si="6">C35+B35</f>
        <v>4</v>
      </c>
      <c r="D34" s="2">
        <v>0</v>
      </c>
      <c r="E34" s="19">
        <f t="shared" si="4"/>
        <v>0.2</v>
      </c>
      <c r="F34" s="2">
        <v>1</v>
      </c>
      <c r="G34" s="2">
        <f t="shared" si="5"/>
        <v>3</v>
      </c>
    </row>
    <row r="35" spans="1:11" x14ac:dyDescent="0.25">
      <c r="A35" s="2">
        <v>2</v>
      </c>
      <c r="B35" s="2">
        <v>4</v>
      </c>
      <c r="C35" s="2">
        <v>0</v>
      </c>
      <c r="D35" s="2">
        <v>0</v>
      </c>
      <c r="E35" s="19">
        <f t="shared" si="4"/>
        <v>0</v>
      </c>
      <c r="F35" s="2">
        <v>1</v>
      </c>
      <c r="G35" s="2">
        <f t="shared" si="5"/>
        <v>3</v>
      </c>
    </row>
    <row r="36" spans="1:11" x14ac:dyDescent="0.25">
      <c r="E36" s="19"/>
    </row>
    <row r="37" spans="1:11" ht="15" customHeight="1" x14ac:dyDescent="0.25">
      <c r="A37" s="23" t="s">
        <v>75</v>
      </c>
      <c r="C37" s="3"/>
      <c r="D37" s="3"/>
      <c r="E37" s="20"/>
      <c r="G37" s="3"/>
      <c r="I37" s="3"/>
      <c r="J37" s="3"/>
      <c r="K37" s="1"/>
    </row>
    <row r="38" spans="1:11" x14ac:dyDescent="0.25">
      <c r="A38" s="2" t="s">
        <v>73</v>
      </c>
      <c r="D38" s="2">
        <v>3</v>
      </c>
      <c r="E38" s="19">
        <f>(C38+$K$2*D38)/$J$2</f>
        <v>1.05</v>
      </c>
      <c r="F38" s="12">
        <v>1</v>
      </c>
      <c r="G38" s="24">
        <f t="shared" ref="G38" si="7">F38*3</f>
        <v>3</v>
      </c>
    </row>
    <row r="39" spans="1:11" x14ac:dyDescent="0.25">
      <c r="A39" s="12">
        <v>17</v>
      </c>
      <c r="B39" s="12">
        <v>7</v>
      </c>
      <c r="C39" s="12">
        <f t="shared" ref="C39:C52" si="8">C40+B40</f>
        <v>35</v>
      </c>
      <c r="D39" s="12">
        <v>3</v>
      </c>
      <c r="E39" s="19">
        <f t="shared" ref="E39:E54" si="9">(C39+$K$2*D39)/$J$2</f>
        <v>2.8</v>
      </c>
      <c r="F39" s="12">
        <v>3</v>
      </c>
      <c r="G39" s="24">
        <f>F39*3</f>
        <v>9</v>
      </c>
      <c r="H39" s="17" t="s">
        <v>59</v>
      </c>
    </row>
    <row r="40" spans="1:11" x14ac:dyDescent="0.25">
      <c r="A40" s="12">
        <v>16</v>
      </c>
      <c r="B40" s="12">
        <v>7</v>
      </c>
      <c r="C40" s="12">
        <f t="shared" si="8"/>
        <v>28</v>
      </c>
      <c r="D40" s="12">
        <v>2</v>
      </c>
      <c r="E40" s="19">
        <f t="shared" si="9"/>
        <v>2.1</v>
      </c>
      <c r="F40" s="12">
        <v>2</v>
      </c>
      <c r="G40" s="24">
        <f t="shared" ref="G40:G54" si="10">F40*3</f>
        <v>6</v>
      </c>
    </row>
    <row r="41" spans="1:11" x14ac:dyDescent="0.25">
      <c r="A41" s="12">
        <v>15</v>
      </c>
      <c r="B41" s="12">
        <v>7</v>
      </c>
      <c r="C41" s="12">
        <f t="shared" si="8"/>
        <v>21</v>
      </c>
      <c r="D41" s="12">
        <v>2</v>
      </c>
      <c r="E41" s="19">
        <f t="shared" si="9"/>
        <v>1.75</v>
      </c>
      <c r="F41" s="12">
        <v>2</v>
      </c>
      <c r="G41" s="24">
        <f t="shared" si="10"/>
        <v>6</v>
      </c>
    </row>
    <row r="42" spans="1:11" x14ac:dyDescent="0.25">
      <c r="A42" s="12">
        <v>14</v>
      </c>
      <c r="B42" s="12">
        <v>7</v>
      </c>
      <c r="C42" s="12">
        <f t="shared" si="8"/>
        <v>14</v>
      </c>
      <c r="D42" s="12">
        <v>2</v>
      </c>
      <c r="E42" s="19">
        <f t="shared" si="9"/>
        <v>1.4</v>
      </c>
      <c r="F42" s="12">
        <v>2</v>
      </c>
      <c r="G42" s="24">
        <f t="shared" si="10"/>
        <v>6</v>
      </c>
    </row>
    <row r="43" spans="1:11" x14ac:dyDescent="0.25">
      <c r="A43" s="12">
        <v>13</v>
      </c>
      <c r="B43" s="12">
        <v>7</v>
      </c>
      <c r="C43" s="12">
        <f t="shared" si="8"/>
        <v>7</v>
      </c>
      <c r="D43" s="12">
        <v>2</v>
      </c>
      <c r="E43" s="19">
        <f t="shared" si="9"/>
        <v>1.05</v>
      </c>
      <c r="F43" s="12">
        <v>1</v>
      </c>
      <c r="G43" s="24">
        <f t="shared" si="10"/>
        <v>3</v>
      </c>
    </row>
    <row r="44" spans="1:11" x14ac:dyDescent="0.25">
      <c r="A44" s="12">
        <v>12</v>
      </c>
      <c r="B44" s="12">
        <v>7</v>
      </c>
      <c r="C44" s="12">
        <v>0</v>
      </c>
      <c r="D44" s="12">
        <v>2</v>
      </c>
      <c r="E44" s="19">
        <f t="shared" si="9"/>
        <v>0.7</v>
      </c>
      <c r="F44" s="12">
        <v>1</v>
      </c>
      <c r="G44" s="24">
        <f t="shared" si="10"/>
        <v>3</v>
      </c>
    </row>
    <row r="45" spans="1:11" x14ac:dyDescent="0.25">
      <c r="A45" s="12">
        <v>11</v>
      </c>
      <c r="B45" s="12">
        <v>7</v>
      </c>
      <c r="C45" s="12">
        <f t="shared" si="8"/>
        <v>39</v>
      </c>
      <c r="D45" s="12">
        <v>2</v>
      </c>
      <c r="E45" s="19">
        <f t="shared" si="9"/>
        <v>2.65</v>
      </c>
      <c r="F45" s="12">
        <v>3</v>
      </c>
      <c r="G45" s="24">
        <f t="shared" si="10"/>
        <v>9</v>
      </c>
      <c r="H45" s="17" t="s">
        <v>59</v>
      </c>
    </row>
    <row r="46" spans="1:11" x14ac:dyDescent="0.25">
      <c r="A46" s="12">
        <v>10</v>
      </c>
      <c r="B46" s="12">
        <v>7</v>
      </c>
      <c r="C46" s="12">
        <f t="shared" si="8"/>
        <v>32</v>
      </c>
      <c r="D46" s="12">
        <v>1</v>
      </c>
      <c r="E46" s="19">
        <f t="shared" si="9"/>
        <v>1.95</v>
      </c>
      <c r="F46" s="12">
        <v>2</v>
      </c>
      <c r="G46" s="24">
        <f t="shared" si="10"/>
        <v>6</v>
      </c>
    </row>
    <row r="47" spans="1:11" x14ac:dyDescent="0.25">
      <c r="A47" s="12">
        <v>9</v>
      </c>
      <c r="B47" s="12">
        <v>8</v>
      </c>
      <c r="C47" s="12">
        <f t="shared" si="8"/>
        <v>24</v>
      </c>
      <c r="D47" s="12">
        <v>1</v>
      </c>
      <c r="E47" s="19">
        <f t="shared" si="9"/>
        <v>1.55</v>
      </c>
      <c r="F47" s="12">
        <v>2</v>
      </c>
      <c r="G47" s="24">
        <f t="shared" si="10"/>
        <v>6</v>
      </c>
    </row>
    <row r="48" spans="1:11" x14ac:dyDescent="0.25">
      <c r="A48" s="12">
        <v>8</v>
      </c>
      <c r="B48" s="12">
        <v>8</v>
      </c>
      <c r="C48" s="12">
        <f t="shared" si="8"/>
        <v>16</v>
      </c>
      <c r="D48" s="12">
        <v>1</v>
      </c>
      <c r="E48" s="19">
        <f t="shared" si="9"/>
        <v>1.1499999999999999</v>
      </c>
      <c r="F48" s="12">
        <v>2</v>
      </c>
      <c r="G48" s="24">
        <f t="shared" si="10"/>
        <v>6</v>
      </c>
    </row>
    <row r="49" spans="1:8" x14ac:dyDescent="0.25">
      <c r="A49" s="12">
        <v>7</v>
      </c>
      <c r="B49" s="12">
        <v>8</v>
      </c>
      <c r="C49" s="12">
        <f t="shared" si="8"/>
        <v>8</v>
      </c>
      <c r="D49" s="12">
        <v>1</v>
      </c>
      <c r="E49" s="19">
        <f t="shared" si="9"/>
        <v>0.75</v>
      </c>
      <c r="F49" s="12">
        <v>1</v>
      </c>
      <c r="G49" s="24">
        <f t="shared" si="10"/>
        <v>3</v>
      </c>
    </row>
    <row r="50" spans="1:8" x14ac:dyDescent="0.25">
      <c r="A50" s="12">
        <v>6</v>
      </c>
      <c r="B50" s="12">
        <v>8</v>
      </c>
      <c r="C50" s="12">
        <v>0</v>
      </c>
      <c r="D50" s="12">
        <v>1</v>
      </c>
      <c r="E50" s="19">
        <f t="shared" si="9"/>
        <v>0.35</v>
      </c>
      <c r="F50" s="12">
        <v>1</v>
      </c>
      <c r="G50" s="24">
        <f t="shared" si="10"/>
        <v>3</v>
      </c>
    </row>
    <row r="51" spans="1:8" x14ac:dyDescent="0.25">
      <c r="A51" s="12">
        <v>5</v>
      </c>
      <c r="B51" s="12">
        <v>8</v>
      </c>
      <c r="C51" s="12">
        <f t="shared" si="8"/>
        <v>24</v>
      </c>
      <c r="D51" s="12">
        <v>1</v>
      </c>
      <c r="E51" s="19">
        <f t="shared" si="9"/>
        <v>1.55</v>
      </c>
      <c r="F51" s="12">
        <v>2</v>
      </c>
      <c r="G51" s="24">
        <f t="shared" si="10"/>
        <v>6</v>
      </c>
      <c r="H51" s="17" t="s">
        <v>59</v>
      </c>
    </row>
    <row r="52" spans="1:8" x14ac:dyDescent="0.25">
      <c r="A52" s="12">
        <v>4</v>
      </c>
      <c r="B52" s="12">
        <v>8</v>
      </c>
      <c r="C52" s="12">
        <f t="shared" si="8"/>
        <v>16</v>
      </c>
      <c r="D52" s="12">
        <v>0</v>
      </c>
      <c r="E52" s="19">
        <f t="shared" si="9"/>
        <v>0.8</v>
      </c>
      <c r="F52" s="12">
        <v>1</v>
      </c>
      <c r="G52" s="24">
        <f t="shared" si="10"/>
        <v>3</v>
      </c>
    </row>
    <row r="53" spans="1:8" x14ac:dyDescent="0.25">
      <c r="A53" s="12">
        <v>3</v>
      </c>
      <c r="B53" s="12">
        <v>8</v>
      </c>
      <c r="C53" s="12">
        <f t="shared" ref="C53" si="11">C54+B54</f>
        <v>8</v>
      </c>
      <c r="D53" s="12">
        <v>0</v>
      </c>
      <c r="E53" s="19">
        <f t="shared" si="9"/>
        <v>0.4</v>
      </c>
      <c r="F53" s="12">
        <v>1</v>
      </c>
      <c r="G53" s="24">
        <f t="shared" si="10"/>
        <v>3</v>
      </c>
    </row>
    <row r="54" spans="1:8" x14ac:dyDescent="0.25">
      <c r="A54" s="12">
        <v>2</v>
      </c>
      <c r="B54" s="12">
        <v>8</v>
      </c>
      <c r="C54" s="12">
        <v>0</v>
      </c>
      <c r="D54" s="12">
        <v>0</v>
      </c>
      <c r="E54" s="19">
        <f t="shared" si="9"/>
        <v>0</v>
      </c>
      <c r="F54" s="12">
        <v>1</v>
      </c>
      <c r="G54" s="24">
        <f t="shared" si="10"/>
        <v>3</v>
      </c>
    </row>
    <row r="55" spans="1:8" x14ac:dyDescent="0.25">
      <c r="F55" s="12"/>
      <c r="G55" s="12"/>
    </row>
    <row r="56" spans="1:8" x14ac:dyDescent="0.25">
      <c r="A56" s="23" t="s">
        <v>70</v>
      </c>
      <c r="F56" s="12"/>
      <c r="G56" s="12"/>
    </row>
    <row r="57" spans="1:8" x14ac:dyDescent="0.25">
      <c r="A57" s="2" t="s">
        <v>62</v>
      </c>
      <c r="B57" s="2">
        <v>0</v>
      </c>
      <c r="C57" s="2">
        <v>0</v>
      </c>
      <c r="D57" s="2">
        <v>1</v>
      </c>
      <c r="E57" s="19">
        <f t="shared" ref="E57:E62" si="12">(C57+$K$2*D57)/$J$2</f>
        <v>0.35</v>
      </c>
      <c r="F57" s="12">
        <v>1</v>
      </c>
      <c r="G57" s="24">
        <f t="shared" ref="G57:G61" si="13">F57*3</f>
        <v>3</v>
      </c>
    </row>
    <row r="58" spans="1:8" x14ac:dyDescent="0.25">
      <c r="A58" s="12">
        <v>5</v>
      </c>
      <c r="B58" s="12">
        <v>4</v>
      </c>
      <c r="C58" s="12">
        <f t="shared" ref="C58:C60" si="14">C59+B59</f>
        <v>16</v>
      </c>
      <c r="D58" s="12">
        <v>1</v>
      </c>
      <c r="E58" s="19">
        <f t="shared" si="12"/>
        <v>1.1499999999999999</v>
      </c>
      <c r="F58" s="12">
        <v>2</v>
      </c>
      <c r="G58" s="24">
        <f t="shared" si="13"/>
        <v>6</v>
      </c>
      <c r="H58" s="17" t="s">
        <v>59</v>
      </c>
    </row>
    <row r="59" spans="1:8" x14ac:dyDescent="0.25">
      <c r="A59" s="12">
        <v>4</v>
      </c>
      <c r="B59" s="12">
        <v>4</v>
      </c>
      <c r="C59" s="12">
        <f t="shared" si="14"/>
        <v>12</v>
      </c>
      <c r="D59" s="12">
        <v>0</v>
      </c>
      <c r="E59" s="19">
        <f t="shared" si="12"/>
        <v>0.6</v>
      </c>
      <c r="F59" s="2">
        <v>1</v>
      </c>
      <c r="G59" s="22">
        <f t="shared" si="13"/>
        <v>3</v>
      </c>
    </row>
    <row r="60" spans="1:8" x14ac:dyDescent="0.25">
      <c r="A60" s="12">
        <v>3</v>
      </c>
      <c r="B60" s="12">
        <v>4</v>
      </c>
      <c r="C60" s="12">
        <f t="shared" si="14"/>
        <v>8</v>
      </c>
      <c r="D60" s="12">
        <v>0</v>
      </c>
      <c r="E60" s="19">
        <f t="shared" si="12"/>
        <v>0.4</v>
      </c>
      <c r="F60" s="2">
        <v>1</v>
      </c>
      <c r="G60" s="22">
        <f t="shared" si="13"/>
        <v>3</v>
      </c>
    </row>
    <row r="61" spans="1:8" x14ac:dyDescent="0.25">
      <c r="A61" s="12">
        <v>2</v>
      </c>
      <c r="B61" s="12">
        <v>4</v>
      </c>
      <c r="C61" s="12">
        <f t="shared" ref="C61" si="15">C62+B62</f>
        <v>4</v>
      </c>
      <c r="D61" s="12">
        <v>0</v>
      </c>
      <c r="E61" s="19">
        <f t="shared" si="12"/>
        <v>0.2</v>
      </c>
      <c r="F61" s="12">
        <v>1</v>
      </c>
      <c r="G61" s="22">
        <f t="shared" si="13"/>
        <v>3</v>
      </c>
    </row>
    <row r="62" spans="1:8" x14ac:dyDescent="0.25">
      <c r="A62" s="12">
        <v>1</v>
      </c>
      <c r="B62" s="12">
        <v>4</v>
      </c>
      <c r="C62" s="12">
        <f>C63+B63</f>
        <v>0</v>
      </c>
      <c r="D62" s="12">
        <v>0</v>
      </c>
      <c r="E62" s="19">
        <f t="shared" si="12"/>
        <v>0</v>
      </c>
      <c r="F62" s="2">
        <v>1</v>
      </c>
      <c r="G62" s="22">
        <f>F62*3</f>
        <v>3</v>
      </c>
    </row>
    <row r="63" spans="1:8" x14ac:dyDescent="0.25">
      <c r="A63" s="12"/>
      <c r="B63" s="12"/>
      <c r="C63" s="12"/>
      <c r="D63" s="12"/>
    </row>
    <row r="64" spans="1:8" x14ac:dyDescent="0.25">
      <c r="A64" s="30" t="s">
        <v>71</v>
      </c>
      <c r="B64" s="12"/>
      <c r="C64" s="12"/>
      <c r="D64" s="12"/>
    </row>
    <row r="65" spans="1:8" x14ac:dyDescent="0.25">
      <c r="A65" s="12">
        <v>10</v>
      </c>
      <c r="B65" s="12">
        <v>6</v>
      </c>
      <c r="C65" s="12">
        <v>0</v>
      </c>
      <c r="D65" s="12">
        <v>0</v>
      </c>
      <c r="E65" s="19">
        <f t="shared" ref="E65:E74" si="16">(C65+$K$2*D65)/$J$2</f>
        <v>0</v>
      </c>
      <c r="F65" s="2">
        <v>1</v>
      </c>
      <c r="G65" s="22">
        <f t="shared" ref="G65:G73" si="17">F65*3</f>
        <v>3</v>
      </c>
    </row>
    <row r="66" spans="1:8" x14ac:dyDescent="0.25">
      <c r="A66" s="12">
        <v>9</v>
      </c>
      <c r="B66" s="12">
        <v>6</v>
      </c>
      <c r="C66" s="12">
        <f t="shared" ref="C66:C69" si="18">C65+B65</f>
        <v>6</v>
      </c>
      <c r="D66" s="12">
        <v>0</v>
      </c>
      <c r="E66" s="19">
        <f t="shared" si="16"/>
        <v>0.3</v>
      </c>
      <c r="F66" s="2">
        <v>1</v>
      </c>
      <c r="G66" s="22">
        <f t="shared" si="17"/>
        <v>3</v>
      </c>
    </row>
    <row r="67" spans="1:8" x14ac:dyDescent="0.25">
      <c r="A67" s="12">
        <v>8</v>
      </c>
      <c r="B67" s="12">
        <v>6</v>
      </c>
      <c r="C67" s="12">
        <f t="shared" si="18"/>
        <v>12</v>
      </c>
      <c r="D67" s="12">
        <v>0</v>
      </c>
      <c r="E67" s="19">
        <f t="shared" si="16"/>
        <v>0.6</v>
      </c>
      <c r="F67" s="2">
        <v>1</v>
      </c>
      <c r="G67" s="22">
        <f t="shared" si="17"/>
        <v>3</v>
      </c>
    </row>
    <row r="68" spans="1:8" x14ac:dyDescent="0.25">
      <c r="A68" s="12">
        <v>7</v>
      </c>
      <c r="B68" s="12">
        <v>6</v>
      </c>
      <c r="C68" s="12">
        <f t="shared" si="18"/>
        <v>18</v>
      </c>
      <c r="D68" s="12">
        <v>0</v>
      </c>
      <c r="E68" s="19">
        <f t="shared" si="16"/>
        <v>0.9</v>
      </c>
      <c r="F68" s="2">
        <v>1</v>
      </c>
      <c r="G68" s="22">
        <f t="shared" si="17"/>
        <v>3</v>
      </c>
    </row>
    <row r="69" spans="1:8" x14ac:dyDescent="0.25">
      <c r="A69" s="12">
        <v>6</v>
      </c>
      <c r="B69" s="12">
        <v>6</v>
      </c>
      <c r="C69" s="12">
        <f t="shared" si="18"/>
        <v>24</v>
      </c>
      <c r="D69" s="12">
        <v>1</v>
      </c>
      <c r="E69" s="19">
        <f t="shared" si="16"/>
        <v>1.55</v>
      </c>
      <c r="F69" s="2">
        <v>2</v>
      </c>
      <c r="G69" s="22">
        <f t="shared" si="17"/>
        <v>6</v>
      </c>
      <c r="H69" s="17" t="s">
        <v>59</v>
      </c>
    </row>
    <row r="70" spans="1:8" x14ac:dyDescent="0.25">
      <c r="A70" s="12">
        <v>5</v>
      </c>
      <c r="B70" s="12">
        <v>6</v>
      </c>
      <c r="C70" s="12">
        <v>0</v>
      </c>
      <c r="D70" s="12">
        <v>1</v>
      </c>
      <c r="E70" s="19">
        <f t="shared" si="16"/>
        <v>0.35</v>
      </c>
      <c r="F70" s="2">
        <v>2</v>
      </c>
      <c r="G70" s="22">
        <f t="shared" si="17"/>
        <v>6</v>
      </c>
    </row>
    <row r="71" spans="1:8" x14ac:dyDescent="0.25">
      <c r="A71" s="12">
        <v>4</v>
      </c>
      <c r="B71" s="12">
        <v>6</v>
      </c>
      <c r="C71" s="12">
        <f t="shared" ref="C71:C73" si="19">C70+B70</f>
        <v>6</v>
      </c>
      <c r="D71" s="12">
        <v>1</v>
      </c>
      <c r="E71" s="19">
        <f t="shared" si="16"/>
        <v>0.65</v>
      </c>
      <c r="F71" s="2">
        <v>1</v>
      </c>
      <c r="G71" s="22">
        <f t="shared" si="17"/>
        <v>3</v>
      </c>
    </row>
    <row r="72" spans="1:8" x14ac:dyDescent="0.25">
      <c r="A72" s="12">
        <v>3</v>
      </c>
      <c r="B72" s="12">
        <v>6</v>
      </c>
      <c r="C72" s="12">
        <f t="shared" si="19"/>
        <v>12</v>
      </c>
      <c r="D72" s="12">
        <v>1</v>
      </c>
      <c r="E72" s="19">
        <f t="shared" si="16"/>
        <v>0.95</v>
      </c>
      <c r="F72" s="2">
        <v>1</v>
      </c>
      <c r="G72" s="22">
        <f t="shared" si="17"/>
        <v>3</v>
      </c>
    </row>
    <row r="73" spans="1:8" x14ac:dyDescent="0.25">
      <c r="A73" s="12">
        <v>2</v>
      </c>
      <c r="B73" s="12">
        <v>6</v>
      </c>
      <c r="C73" s="12">
        <f t="shared" si="19"/>
        <v>18</v>
      </c>
      <c r="D73" s="12">
        <v>1</v>
      </c>
      <c r="E73" s="19">
        <f t="shared" si="16"/>
        <v>1.25</v>
      </c>
      <c r="F73" s="2">
        <v>2</v>
      </c>
      <c r="G73" s="22">
        <f t="shared" si="17"/>
        <v>6</v>
      </c>
    </row>
    <row r="74" spans="1:8" x14ac:dyDescent="0.25">
      <c r="A74" s="12">
        <v>1</v>
      </c>
      <c r="B74" s="12">
        <v>6</v>
      </c>
      <c r="C74" s="12">
        <f>C73+B73</f>
        <v>24</v>
      </c>
      <c r="D74" s="12">
        <v>2</v>
      </c>
      <c r="E74" s="19">
        <f t="shared" si="16"/>
        <v>1.9</v>
      </c>
      <c r="F74" s="2">
        <v>2</v>
      </c>
      <c r="G74" s="22">
        <f>F74*3</f>
        <v>6</v>
      </c>
      <c r="H74" s="17" t="s">
        <v>59</v>
      </c>
    </row>
    <row r="75" spans="1:8" x14ac:dyDescent="0.25">
      <c r="A75" s="12"/>
      <c r="B75" s="12"/>
      <c r="C75" s="12"/>
      <c r="D75" s="12"/>
    </row>
    <row r="76" spans="1:8" x14ac:dyDescent="0.25">
      <c r="A76" s="30" t="s">
        <v>78</v>
      </c>
      <c r="B76" s="12"/>
      <c r="C76" s="12"/>
      <c r="D76" s="12"/>
    </row>
    <row r="77" spans="1:8" x14ac:dyDescent="0.25">
      <c r="A77" s="12">
        <v>10</v>
      </c>
      <c r="B77" s="12">
        <v>6</v>
      </c>
      <c r="C77" s="12">
        <f t="shared" ref="C77:C79" si="20">C78+B78</f>
        <v>24</v>
      </c>
      <c r="D77" s="12">
        <v>2</v>
      </c>
      <c r="E77" s="19">
        <f t="shared" ref="E77:E86" si="21">(C77+$K$2*D77)/$J$2</f>
        <v>1.9</v>
      </c>
      <c r="F77" s="2">
        <v>2</v>
      </c>
      <c r="G77" s="22">
        <f t="shared" ref="G77:G85" si="22">F77*3</f>
        <v>6</v>
      </c>
      <c r="H77" s="17" t="s">
        <v>59</v>
      </c>
    </row>
    <row r="78" spans="1:8" x14ac:dyDescent="0.25">
      <c r="A78" s="12">
        <v>9</v>
      </c>
      <c r="B78" s="12">
        <v>6</v>
      </c>
      <c r="C78" s="12">
        <f t="shared" si="20"/>
        <v>18</v>
      </c>
      <c r="D78" s="12">
        <v>1</v>
      </c>
      <c r="E78" s="19">
        <f t="shared" si="21"/>
        <v>1.25</v>
      </c>
      <c r="F78" s="2">
        <v>2</v>
      </c>
      <c r="G78" s="22">
        <f t="shared" si="22"/>
        <v>6</v>
      </c>
    </row>
    <row r="79" spans="1:8" x14ac:dyDescent="0.25">
      <c r="A79" s="12">
        <v>8</v>
      </c>
      <c r="B79" s="12">
        <v>6</v>
      </c>
      <c r="C79" s="12">
        <f t="shared" si="20"/>
        <v>12</v>
      </c>
      <c r="D79" s="12">
        <v>1</v>
      </c>
      <c r="E79" s="19">
        <f t="shared" si="21"/>
        <v>0.95</v>
      </c>
      <c r="F79" s="2">
        <v>1</v>
      </c>
      <c r="G79" s="22">
        <f t="shared" si="22"/>
        <v>3</v>
      </c>
    </row>
    <row r="80" spans="1:8" x14ac:dyDescent="0.25">
      <c r="A80" s="12">
        <v>7</v>
      </c>
      <c r="B80" s="12">
        <v>6</v>
      </c>
      <c r="C80" s="12">
        <f>C81+B81</f>
        <v>6</v>
      </c>
      <c r="D80" s="12">
        <v>1</v>
      </c>
      <c r="E80" s="19">
        <f t="shared" si="21"/>
        <v>0.65</v>
      </c>
      <c r="F80" s="2">
        <v>1</v>
      </c>
      <c r="G80" s="22">
        <f t="shared" si="22"/>
        <v>3</v>
      </c>
    </row>
    <row r="81" spans="1:11" x14ac:dyDescent="0.25">
      <c r="A81" s="12">
        <v>6</v>
      </c>
      <c r="B81" s="12">
        <v>6</v>
      </c>
      <c r="C81" s="12">
        <v>0</v>
      </c>
      <c r="D81" s="12">
        <v>1</v>
      </c>
      <c r="E81" s="19">
        <f t="shared" si="21"/>
        <v>0.35</v>
      </c>
      <c r="F81" s="2">
        <v>1</v>
      </c>
      <c r="G81" s="22">
        <f t="shared" si="22"/>
        <v>3</v>
      </c>
    </row>
    <row r="82" spans="1:11" x14ac:dyDescent="0.25">
      <c r="A82" s="12">
        <v>5</v>
      </c>
      <c r="B82" s="12">
        <v>6</v>
      </c>
      <c r="C82" s="12">
        <f t="shared" ref="C82:C84" si="23">C83+B83</f>
        <v>24</v>
      </c>
      <c r="D82" s="12">
        <v>1</v>
      </c>
      <c r="E82" s="19">
        <f t="shared" si="21"/>
        <v>1.55</v>
      </c>
      <c r="F82" s="2">
        <v>2</v>
      </c>
      <c r="G82" s="22">
        <f t="shared" si="22"/>
        <v>6</v>
      </c>
      <c r="H82" s="17" t="s">
        <v>59</v>
      </c>
    </row>
    <row r="83" spans="1:11" x14ac:dyDescent="0.25">
      <c r="A83" s="12">
        <v>4</v>
      </c>
      <c r="B83" s="12">
        <v>6</v>
      </c>
      <c r="C83" s="12">
        <f t="shared" si="23"/>
        <v>18</v>
      </c>
      <c r="D83" s="12">
        <v>0</v>
      </c>
      <c r="E83" s="19">
        <f t="shared" si="21"/>
        <v>0.9</v>
      </c>
      <c r="F83" s="2">
        <v>1</v>
      </c>
      <c r="G83" s="22">
        <f t="shared" si="22"/>
        <v>3</v>
      </c>
    </row>
    <row r="84" spans="1:11" x14ac:dyDescent="0.25">
      <c r="A84" s="12">
        <v>3</v>
      </c>
      <c r="B84" s="12">
        <v>6</v>
      </c>
      <c r="C84" s="12">
        <f t="shared" si="23"/>
        <v>12</v>
      </c>
      <c r="D84" s="12">
        <v>0</v>
      </c>
      <c r="E84" s="19">
        <f t="shared" si="21"/>
        <v>0.6</v>
      </c>
      <c r="F84" s="2">
        <v>1</v>
      </c>
      <c r="G84" s="22">
        <f t="shared" si="22"/>
        <v>3</v>
      </c>
    </row>
    <row r="85" spans="1:11" x14ac:dyDescent="0.25">
      <c r="A85" s="12">
        <v>2</v>
      </c>
      <c r="B85" s="12">
        <v>6</v>
      </c>
      <c r="C85" s="12">
        <f>C86+B86</f>
        <v>6</v>
      </c>
      <c r="D85" s="12">
        <v>0</v>
      </c>
      <c r="E85" s="19">
        <f t="shared" si="21"/>
        <v>0.3</v>
      </c>
      <c r="F85" s="2">
        <v>1</v>
      </c>
      <c r="G85" s="22">
        <f t="shared" si="22"/>
        <v>3</v>
      </c>
    </row>
    <row r="86" spans="1:11" x14ac:dyDescent="0.25">
      <c r="A86" s="12">
        <v>1</v>
      </c>
      <c r="B86" s="12">
        <v>6</v>
      </c>
      <c r="C86" s="12">
        <v>0</v>
      </c>
      <c r="D86" s="12">
        <v>0</v>
      </c>
      <c r="E86" s="19">
        <f t="shared" si="21"/>
        <v>0</v>
      </c>
      <c r="F86" s="2">
        <v>1</v>
      </c>
      <c r="G86" s="22">
        <f>F86*3</f>
        <v>3</v>
      </c>
    </row>
    <row r="87" spans="1:11" x14ac:dyDescent="0.25">
      <c r="A87" s="12"/>
      <c r="B87" s="12"/>
      <c r="C87" s="12"/>
      <c r="D87" s="12"/>
      <c r="E87" s="19"/>
      <c r="G87" s="22"/>
    </row>
    <row r="88" spans="1:11" ht="15" customHeight="1" x14ac:dyDescent="0.25">
      <c r="A88" s="23" t="s">
        <v>74</v>
      </c>
      <c r="C88" s="3"/>
      <c r="D88" s="3"/>
      <c r="E88" s="20"/>
      <c r="G88" s="3"/>
      <c r="I88" s="3"/>
      <c r="J88" s="3"/>
      <c r="K88" s="1"/>
    </row>
    <row r="89" spans="1:11" x14ac:dyDescent="0.25">
      <c r="A89" s="2" t="s">
        <v>62</v>
      </c>
      <c r="D89" s="2">
        <v>2</v>
      </c>
      <c r="E89" s="19">
        <f t="shared" ref="E89:E99" si="24">(C89+$K$2*D89)/$J$2</f>
        <v>0.7</v>
      </c>
      <c r="F89" s="2">
        <v>1</v>
      </c>
      <c r="G89" s="2">
        <f t="shared" ref="G89:G99" si="25">F89*3</f>
        <v>3</v>
      </c>
      <c r="H89" s="17" t="s">
        <v>59</v>
      </c>
    </row>
    <row r="90" spans="1:11" x14ac:dyDescent="0.25">
      <c r="A90" s="2">
        <v>11</v>
      </c>
      <c r="B90" s="2">
        <v>6</v>
      </c>
      <c r="C90" s="2">
        <f t="shared" ref="C90:C98" si="26">C91+B91</f>
        <v>30</v>
      </c>
      <c r="D90" s="2">
        <v>2</v>
      </c>
      <c r="E90" s="19">
        <f t="shared" si="24"/>
        <v>2.2000000000000002</v>
      </c>
      <c r="F90" s="2">
        <v>3</v>
      </c>
      <c r="G90" s="2">
        <f t="shared" si="25"/>
        <v>9</v>
      </c>
    </row>
    <row r="91" spans="1:11" x14ac:dyDescent="0.25">
      <c r="A91" s="2">
        <v>10</v>
      </c>
      <c r="B91" s="2">
        <v>6</v>
      </c>
      <c r="C91" s="2">
        <f t="shared" si="26"/>
        <v>24</v>
      </c>
      <c r="D91" s="2">
        <v>1</v>
      </c>
      <c r="E91" s="19">
        <f t="shared" si="24"/>
        <v>1.55</v>
      </c>
      <c r="F91" s="2">
        <v>2</v>
      </c>
      <c r="G91" s="2">
        <f t="shared" si="25"/>
        <v>6</v>
      </c>
    </row>
    <row r="92" spans="1:11" x14ac:dyDescent="0.25">
      <c r="A92" s="2">
        <v>9</v>
      </c>
      <c r="B92" s="2">
        <v>6</v>
      </c>
      <c r="C92" s="2">
        <f t="shared" si="26"/>
        <v>18</v>
      </c>
      <c r="D92" s="2">
        <v>1</v>
      </c>
      <c r="E92" s="19">
        <f t="shared" si="24"/>
        <v>1.25</v>
      </c>
      <c r="F92" s="2">
        <v>2</v>
      </c>
      <c r="G92" s="2">
        <f t="shared" si="25"/>
        <v>6</v>
      </c>
    </row>
    <row r="93" spans="1:11" x14ac:dyDescent="0.25">
      <c r="A93" s="2">
        <v>8</v>
      </c>
      <c r="B93" s="2">
        <v>6</v>
      </c>
      <c r="C93" s="2">
        <f t="shared" si="26"/>
        <v>12</v>
      </c>
      <c r="D93" s="2">
        <v>1</v>
      </c>
      <c r="E93" s="19">
        <f t="shared" si="24"/>
        <v>0.95</v>
      </c>
      <c r="F93" s="2">
        <v>1</v>
      </c>
      <c r="G93" s="2">
        <f t="shared" si="25"/>
        <v>3</v>
      </c>
    </row>
    <row r="94" spans="1:11" x14ac:dyDescent="0.25">
      <c r="A94" s="2">
        <v>7</v>
      </c>
      <c r="B94" s="2">
        <v>6</v>
      </c>
      <c r="C94" s="2">
        <f t="shared" si="26"/>
        <v>6</v>
      </c>
      <c r="D94" s="2">
        <v>1</v>
      </c>
      <c r="E94" s="19">
        <f t="shared" si="24"/>
        <v>0.65</v>
      </c>
      <c r="F94" s="2">
        <v>1</v>
      </c>
      <c r="G94" s="2">
        <f t="shared" si="25"/>
        <v>3</v>
      </c>
    </row>
    <row r="95" spans="1:11" x14ac:dyDescent="0.25">
      <c r="A95" s="2">
        <v>6</v>
      </c>
      <c r="B95" s="2">
        <v>6</v>
      </c>
      <c r="C95" s="2">
        <v>0</v>
      </c>
      <c r="D95" s="2">
        <v>1</v>
      </c>
      <c r="E95" s="19">
        <f t="shared" si="24"/>
        <v>0.35</v>
      </c>
      <c r="F95" s="2">
        <v>1</v>
      </c>
      <c r="G95" s="2">
        <f t="shared" si="25"/>
        <v>3</v>
      </c>
    </row>
    <row r="96" spans="1:11" x14ac:dyDescent="0.25">
      <c r="A96" s="2">
        <v>5</v>
      </c>
      <c r="B96" s="2">
        <v>6</v>
      </c>
      <c r="C96" s="2">
        <f t="shared" si="26"/>
        <v>18</v>
      </c>
      <c r="D96" s="2">
        <v>1</v>
      </c>
      <c r="E96" s="19">
        <f t="shared" si="24"/>
        <v>1.25</v>
      </c>
      <c r="F96" s="2">
        <v>2</v>
      </c>
      <c r="G96" s="2">
        <f t="shared" si="25"/>
        <v>6</v>
      </c>
    </row>
    <row r="97" spans="1:8" x14ac:dyDescent="0.25">
      <c r="A97" s="2">
        <v>4</v>
      </c>
      <c r="B97" s="2">
        <v>6</v>
      </c>
      <c r="C97" s="2">
        <f t="shared" si="26"/>
        <v>12</v>
      </c>
      <c r="D97" s="2">
        <v>0</v>
      </c>
      <c r="E97" s="19">
        <f t="shared" si="24"/>
        <v>0.6</v>
      </c>
      <c r="F97" s="2">
        <v>1</v>
      </c>
      <c r="G97" s="2">
        <f t="shared" si="25"/>
        <v>3</v>
      </c>
    </row>
    <row r="98" spans="1:8" x14ac:dyDescent="0.25">
      <c r="A98" s="2">
        <v>3</v>
      </c>
      <c r="B98" s="2">
        <v>6</v>
      </c>
      <c r="C98" s="2">
        <f t="shared" si="26"/>
        <v>6</v>
      </c>
      <c r="D98" s="2">
        <v>0</v>
      </c>
      <c r="E98" s="19">
        <f t="shared" si="24"/>
        <v>0.3</v>
      </c>
      <c r="F98" s="2">
        <v>1</v>
      </c>
      <c r="G98" s="2">
        <f t="shared" si="25"/>
        <v>3</v>
      </c>
    </row>
    <row r="99" spans="1:8" x14ac:dyDescent="0.25">
      <c r="A99" s="2">
        <v>2</v>
      </c>
      <c r="B99" s="2">
        <v>6</v>
      </c>
      <c r="C99" s="2">
        <v>0</v>
      </c>
      <c r="D99" s="2">
        <v>0</v>
      </c>
      <c r="E99" s="19">
        <f t="shared" si="24"/>
        <v>0</v>
      </c>
      <c r="F99" s="2">
        <v>1</v>
      </c>
      <c r="G99" s="2">
        <f t="shared" si="25"/>
        <v>3</v>
      </c>
    </row>
    <row r="100" spans="1:8" x14ac:dyDescent="0.25">
      <c r="A100" s="12"/>
      <c r="B100" s="12"/>
      <c r="C100" s="12"/>
      <c r="D100" s="12"/>
    </row>
    <row r="101" spans="1:8" x14ac:dyDescent="0.25">
      <c r="A101" s="30" t="s">
        <v>68</v>
      </c>
      <c r="B101" s="12"/>
      <c r="C101" s="12"/>
      <c r="D101" s="12"/>
    </row>
    <row r="102" spans="1:8" x14ac:dyDescent="0.25">
      <c r="A102" s="12" t="s">
        <v>62</v>
      </c>
      <c r="B102" s="12"/>
      <c r="C102" s="12"/>
      <c r="D102" s="12">
        <v>2</v>
      </c>
      <c r="E102" s="19">
        <f t="shared" ref="E102:E111" si="27">(C102+$K$2*D102)/$J$2</f>
        <v>0.7</v>
      </c>
      <c r="F102" s="2">
        <v>1</v>
      </c>
      <c r="G102" s="22">
        <f t="shared" ref="G102:G110" si="28">F102*3</f>
        <v>3</v>
      </c>
    </row>
    <row r="103" spans="1:8" x14ac:dyDescent="0.25">
      <c r="A103" s="12">
        <v>9</v>
      </c>
      <c r="B103" s="12">
        <v>4</v>
      </c>
      <c r="C103" s="12">
        <f>C104+B104</f>
        <v>16</v>
      </c>
      <c r="D103" s="12">
        <v>2</v>
      </c>
      <c r="E103" s="19">
        <f t="shared" si="27"/>
        <v>1.5</v>
      </c>
      <c r="F103" s="17">
        <v>2</v>
      </c>
      <c r="G103" s="21">
        <f t="shared" si="28"/>
        <v>6</v>
      </c>
      <c r="H103" s="17" t="s">
        <v>59</v>
      </c>
    </row>
    <row r="104" spans="1:8" x14ac:dyDescent="0.25">
      <c r="A104" s="12">
        <v>8</v>
      </c>
      <c r="B104" s="12">
        <v>4</v>
      </c>
      <c r="C104" s="12">
        <f>C105+B105</f>
        <v>12</v>
      </c>
      <c r="D104" s="12">
        <v>1</v>
      </c>
      <c r="E104" s="19">
        <f t="shared" si="27"/>
        <v>0.95</v>
      </c>
      <c r="F104" s="2">
        <v>1</v>
      </c>
      <c r="G104" s="22">
        <f t="shared" si="28"/>
        <v>3</v>
      </c>
    </row>
    <row r="105" spans="1:8" x14ac:dyDescent="0.25">
      <c r="A105" s="12">
        <v>7</v>
      </c>
      <c r="B105" s="12">
        <v>4</v>
      </c>
      <c r="C105" s="12">
        <f>C106+B106</f>
        <v>8</v>
      </c>
      <c r="D105" s="12">
        <v>1</v>
      </c>
      <c r="E105" s="19">
        <f t="shared" si="27"/>
        <v>0.75</v>
      </c>
      <c r="F105" s="2">
        <v>1</v>
      </c>
      <c r="G105" s="22">
        <f t="shared" si="28"/>
        <v>3</v>
      </c>
    </row>
    <row r="106" spans="1:8" x14ac:dyDescent="0.25">
      <c r="A106" s="12">
        <v>6</v>
      </c>
      <c r="B106" s="12">
        <v>4</v>
      </c>
      <c r="C106" s="12">
        <f>C107+B107</f>
        <v>4</v>
      </c>
      <c r="D106" s="12">
        <v>1</v>
      </c>
      <c r="E106" s="19">
        <f t="shared" si="27"/>
        <v>0.55000000000000004</v>
      </c>
      <c r="F106" s="2">
        <v>1</v>
      </c>
      <c r="G106" s="22">
        <f t="shared" si="28"/>
        <v>3</v>
      </c>
    </row>
    <row r="107" spans="1:8" x14ac:dyDescent="0.25">
      <c r="A107" s="12">
        <v>5</v>
      </c>
      <c r="B107" s="12">
        <v>4</v>
      </c>
      <c r="C107" s="12">
        <v>0</v>
      </c>
      <c r="D107" s="12">
        <v>1</v>
      </c>
      <c r="E107" s="19">
        <f t="shared" si="27"/>
        <v>0.35</v>
      </c>
      <c r="F107" s="12">
        <v>1</v>
      </c>
      <c r="G107" s="24">
        <f t="shared" si="28"/>
        <v>3</v>
      </c>
    </row>
    <row r="108" spans="1:8" x14ac:dyDescent="0.25">
      <c r="A108" s="12">
        <v>4</v>
      </c>
      <c r="B108" s="12">
        <v>4</v>
      </c>
      <c r="C108" s="12">
        <f>C109+B109</f>
        <v>12</v>
      </c>
      <c r="D108" s="12">
        <v>1</v>
      </c>
      <c r="E108" s="19">
        <f t="shared" si="27"/>
        <v>0.95</v>
      </c>
      <c r="F108" s="17">
        <v>1</v>
      </c>
      <c r="G108" s="21">
        <f t="shared" si="28"/>
        <v>3</v>
      </c>
      <c r="H108" s="17" t="s">
        <v>59</v>
      </c>
    </row>
    <row r="109" spans="1:8" x14ac:dyDescent="0.25">
      <c r="A109" s="12">
        <v>3</v>
      </c>
      <c r="B109" s="12">
        <v>4</v>
      </c>
      <c r="C109" s="12">
        <f>C110+B110</f>
        <v>8</v>
      </c>
      <c r="D109" s="12">
        <v>0</v>
      </c>
      <c r="E109" s="19">
        <f t="shared" si="27"/>
        <v>0.4</v>
      </c>
      <c r="F109" s="2">
        <v>1</v>
      </c>
      <c r="G109" s="22">
        <f t="shared" si="28"/>
        <v>3</v>
      </c>
    </row>
    <row r="110" spans="1:8" x14ac:dyDescent="0.25">
      <c r="A110" s="12">
        <v>2</v>
      </c>
      <c r="B110" s="12">
        <v>4</v>
      </c>
      <c r="C110" s="12">
        <f>C111+B111</f>
        <v>4</v>
      </c>
      <c r="D110" s="12">
        <v>0</v>
      </c>
      <c r="E110" s="19">
        <f t="shared" si="27"/>
        <v>0.2</v>
      </c>
      <c r="F110" s="2">
        <v>1</v>
      </c>
      <c r="G110" s="22">
        <f t="shared" si="28"/>
        <v>3</v>
      </c>
    </row>
    <row r="111" spans="1:8" x14ac:dyDescent="0.25">
      <c r="A111" s="12">
        <v>1</v>
      </c>
      <c r="B111" s="12">
        <v>4</v>
      </c>
      <c r="C111" s="12">
        <v>0</v>
      </c>
      <c r="D111" s="12">
        <v>0</v>
      </c>
      <c r="E111" s="19">
        <f t="shared" si="27"/>
        <v>0</v>
      </c>
      <c r="F111" s="2">
        <v>1</v>
      </c>
      <c r="G111" s="22">
        <f>F111*3</f>
        <v>3</v>
      </c>
    </row>
    <row r="112" spans="1:8" x14ac:dyDescent="0.25">
      <c r="A112" s="12"/>
      <c r="B112" s="12"/>
      <c r="C112" s="12"/>
      <c r="D112" s="12"/>
    </row>
    <row r="113" spans="1:8" x14ac:dyDescent="0.25">
      <c r="A113" s="30" t="s">
        <v>61</v>
      </c>
      <c r="B113" s="12"/>
      <c r="C113" s="12"/>
      <c r="D113" s="12"/>
    </row>
    <row r="114" spans="1:8" x14ac:dyDescent="0.25">
      <c r="A114" s="12">
        <v>5</v>
      </c>
      <c r="B114" s="12">
        <v>4</v>
      </c>
      <c r="C114" s="12">
        <v>0</v>
      </c>
      <c r="D114" s="12">
        <v>1</v>
      </c>
      <c r="E114" s="19">
        <f t="shared" ref="E114:E118" si="29">(C114+$K$2*D114)/$J$2</f>
        <v>0.35</v>
      </c>
      <c r="F114" s="12">
        <v>2</v>
      </c>
      <c r="G114" s="24">
        <v>3</v>
      </c>
    </row>
    <row r="115" spans="1:8" x14ac:dyDescent="0.25">
      <c r="A115" s="12">
        <v>4</v>
      </c>
      <c r="B115" s="12">
        <v>4</v>
      </c>
      <c r="C115" s="12">
        <f>C114+B115</f>
        <v>4</v>
      </c>
      <c r="D115" s="12">
        <v>1</v>
      </c>
      <c r="E115" s="19">
        <f t="shared" si="29"/>
        <v>0.55000000000000004</v>
      </c>
      <c r="F115" s="2">
        <v>2</v>
      </c>
      <c r="G115" s="22">
        <v>3</v>
      </c>
    </row>
    <row r="116" spans="1:8" x14ac:dyDescent="0.25">
      <c r="A116" s="12">
        <v>3</v>
      </c>
      <c r="B116" s="12">
        <v>4</v>
      </c>
      <c r="C116" s="12">
        <f t="shared" ref="C116:C117" si="30">C115+B116</f>
        <v>8</v>
      </c>
      <c r="D116" s="12">
        <v>1</v>
      </c>
      <c r="E116" s="19">
        <f t="shared" si="29"/>
        <v>0.75</v>
      </c>
      <c r="F116" s="2">
        <v>1</v>
      </c>
      <c r="G116" s="22">
        <v>3</v>
      </c>
    </row>
    <row r="117" spans="1:8" x14ac:dyDescent="0.25">
      <c r="A117" s="12">
        <v>2</v>
      </c>
      <c r="B117" s="12">
        <v>4</v>
      </c>
      <c r="C117" s="12">
        <f t="shared" si="30"/>
        <v>12</v>
      </c>
      <c r="D117" s="12">
        <v>1</v>
      </c>
      <c r="E117" s="19">
        <f t="shared" si="29"/>
        <v>0.95</v>
      </c>
      <c r="F117" s="17">
        <v>1</v>
      </c>
      <c r="G117" s="21">
        <v>3</v>
      </c>
      <c r="H117" s="17" t="s">
        <v>59</v>
      </c>
    </row>
    <row r="118" spans="1:8" x14ac:dyDescent="0.25">
      <c r="A118" s="12">
        <v>1</v>
      </c>
      <c r="B118" s="12">
        <v>4</v>
      </c>
      <c r="C118" s="12">
        <f>B118</f>
        <v>4</v>
      </c>
      <c r="D118" s="12"/>
      <c r="E118" s="19">
        <f t="shared" si="29"/>
        <v>0.2</v>
      </c>
      <c r="F118" s="2">
        <v>1</v>
      </c>
      <c r="G118" s="22">
        <f>F118*3</f>
        <v>3</v>
      </c>
    </row>
    <row r="119" spans="1:8" x14ac:dyDescent="0.25">
      <c r="A119" s="12"/>
      <c r="B119" s="12"/>
      <c r="C119" s="12"/>
      <c r="D119" s="12"/>
    </row>
    <row r="120" spans="1:8" x14ac:dyDescent="0.25">
      <c r="A120" s="30" t="s">
        <v>69</v>
      </c>
      <c r="B120" s="12"/>
      <c r="C120" s="12"/>
      <c r="D120" s="12"/>
    </row>
    <row r="121" spans="1:8" x14ac:dyDescent="0.25">
      <c r="A121" s="12" t="s">
        <v>62</v>
      </c>
      <c r="B121" s="12"/>
      <c r="C121" s="12"/>
      <c r="D121" s="12">
        <v>2</v>
      </c>
      <c r="E121" s="19">
        <f t="shared" ref="E121:E129" si="31">(C121+$K$2*D121)/$J$2</f>
        <v>0.7</v>
      </c>
      <c r="F121" s="2">
        <v>1</v>
      </c>
      <c r="G121" s="22">
        <f>F121*3</f>
        <v>3</v>
      </c>
    </row>
    <row r="122" spans="1:8" x14ac:dyDescent="0.25">
      <c r="A122" s="12">
        <v>9</v>
      </c>
      <c r="B122" s="12">
        <v>4</v>
      </c>
      <c r="C122" s="12">
        <f>C123+B123</f>
        <v>12</v>
      </c>
      <c r="D122" s="12">
        <v>2</v>
      </c>
      <c r="E122" s="19">
        <f t="shared" si="31"/>
        <v>1.3</v>
      </c>
      <c r="F122" s="2">
        <v>2</v>
      </c>
      <c r="G122" s="22">
        <f t="shared" ref="G122:G129" si="32">F122*3</f>
        <v>6</v>
      </c>
      <c r="H122" s="17" t="s">
        <v>59</v>
      </c>
    </row>
    <row r="123" spans="1:8" x14ac:dyDescent="0.25">
      <c r="A123" s="12">
        <v>8</v>
      </c>
      <c r="B123" s="12">
        <v>4</v>
      </c>
      <c r="C123" s="12">
        <f>C124+B124</f>
        <v>8</v>
      </c>
      <c r="D123" s="12">
        <v>1</v>
      </c>
      <c r="E123" s="19">
        <f t="shared" si="31"/>
        <v>0.75</v>
      </c>
      <c r="F123" s="2">
        <v>1</v>
      </c>
      <c r="G123" s="22">
        <f t="shared" si="32"/>
        <v>3</v>
      </c>
    </row>
    <row r="124" spans="1:8" x14ac:dyDescent="0.25">
      <c r="A124" s="12">
        <v>7</v>
      </c>
      <c r="B124" s="12">
        <v>4</v>
      </c>
      <c r="C124" s="12">
        <f>C125+B125</f>
        <v>4</v>
      </c>
      <c r="D124" s="12">
        <v>1</v>
      </c>
      <c r="E124" s="19">
        <f t="shared" si="31"/>
        <v>0.55000000000000004</v>
      </c>
      <c r="F124" s="2">
        <v>1</v>
      </c>
      <c r="G124" s="22">
        <f t="shared" si="32"/>
        <v>3</v>
      </c>
    </row>
    <row r="125" spans="1:8" x14ac:dyDescent="0.25">
      <c r="A125" s="12">
        <v>6</v>
      </c>
      <c r="B125" s="12">
        <v>4</v>
      </c>
      <c r="C125" s="12">
        <v>0</v>
      </c>
      <c r="D125" s="12">
        <v>1</v>
      </c>
      <c r="E125" s="19">
        <f t="shared" si="31"/>
        <v>0.35</v>
      </c>
      <c r="F125" s="2">
        <v>1</v>
      </c>
      <c r="G125" s="22">
        <f t="shared" si="32"/>
        <v>3</v>
      </c>
    </row>
    <row r="126" spans="1:8" x14ac:dyDescent="0.25">
      <c r="A126" s="12">
        <v>5</v>
      </c>
      <c r="B126" s="12">
        <v>4</v>
      </c>
      <c r="C126" s="12">
        <f>C127+B127</f>
        <v>12</v>
      </c>
      <c r="D126" s="12">
        <v>1</v>
      </c>
      <c r="E126" s="19">
        <f t="shared" si="31"/>
        <v>0.95</v>
      </c>
      <c r="F126" s="2">
        <v>1</v>
      </c>
      <c r="G126" s="22">
        <f t="shared" si="32"/>
        <v>3</v>
      </c>
      <c r="H126" s="17" t="s">
        <v>59</v>
      </c>
    </row>
    <row r="127" spans="1:8" x14ac:dyDescent="0.25">
      <c r="A127" s="12">
        <v>4</v>
      </c>
      <c r="B127" s="12">
        <v>4</v>
      </c>
      <c r="C127" s="12">
        <f>C128+B128</f>
        <v>8</v>
      </c>
      <c r="D127" s="12">
        <v>0</v>
      </c>
      <c r="E127" s="19">
        <f t="shared" si="31"/>
        <v>0.4</v>
      </c>
      <c r="F127" s="2">
        <v>1</v>
      </c>
      <c r="G127" s="22">
        <f t="shared" si="32"/>
        <v>3</v>
      </c>
    </row>
    <row r="128" spans="1:8" x14ac:dyDescent="0.25">
      <c r="A128" s="12">
        <v>3</v>
      </c>
      <c r="B128" s="12">
        <v>4</v>
      </c>
      <c r="C128" s="12">
        <f>C129+B129</f>
        <v>4</v>
      </c>
      <c r="D128" s="12">
        <v>0</v>
      </c>
      <c r="E128" s="19">
        <f t="shared" si="31"/>
        <v>0.2</v>
      </c>
      <c r="F128" s="2">
        <v>1</v>
      </c>
      <c r="G128" s="22">
        <f t="shared" si="32"/>
        <v>3</v>
      </c>
    </row>
    <row r="129" spans="1:7" x14ac:dyDescent="0.25">
      <c r="A129" s="12">
        <v>2</v>
      </c>
      <c r="B129" s="12">
        <v>4</v>
      </c>
      <c r="C129" s="12">
        <v>0</v>
      </c>
      <c r="D129" s="12">
        <v>0</v>
      </c>
      <c r="E129" s="19">
        <f t="shared" si="31"/>
        <v>0</v>
      </c>
      <c r="F129" s="2">
        <v>1</v>
      </c>
      <c r="G129" s="22">
        <f t="shared" si="32"/>
        <v>3</v>
      </c>
    </row>
    <row r="130" spans="1:7" x14ac:dyDescent="0.25">
      <c r="A130" s="12"/>
      <c r="B130" s="12"/>
      <c r="C130" s="12"/>
      <c r="D130" s="12"/>
      <c r="E130" s="19"/>
      <c r="F130" s="12"/>
      <c r="G130" s="24"/>
    </row>
    <row r="131" spans="1:7" x14ac:dyDescent="0.25">
      <c r="A131" s="12"/>
      <c r="B131" s="12"/>
      <c r="C131" s="12"/>
      <c r="D131" s="12"/>
    </row>
    <row r="132" spans="1:7" x14ac:dyDescent="0.25">
      <c r="A132" s="12"/>
      <c r="B132" s="12"/>
      <c r="C132" s="12"/>
      <c r="D132" s="12"/>
    </row>
    <row r="133" spans="1:7" x14ac:dyDescent="0.25">
      <c r="A133" s="12"/>
      <c r="B133" s="12"/>
      <c r="C133" s="12"/>
      <c r="D133" s="12"/>
    </row>
    <row r="134" spans="1:7" x14ac:dyDescent="0.25">
      <c r="A134" s="12"/>
      <c r="B134" s="12"/>
      <c r="C134" s="12"/>
      <c r="D134" s="12"/>
    </row>
    <row r="135" spans="1:7" x14ac:dyDescent="0.25">
      <c r="A135" s="12"/>
      <c r="B135" s="12"/>
      <c r="C135" s="12"/>
      <c r="D135" s="12"/>
    </row>
    <row r="136" spans="1:7" x14ac:dyDescent="0.25">
      <c r="A136" s="12"/>
      <c r="B136" s="12"/>
      <c r="C136" s="12"/>
      <c r="D136" s="12"/>
    </row>
    <row r="137" spans="1:7" x14ac:dyDescent="0.25">
      <c r="A137" s="12"/>
      <c r="B137" s="12"/>
      <c r="C137" s="12"/>
      <c r="D137" s="12"/>
    </row>
    <row r="138" spans="1:7" x14ac:dyDescent="0.25">
      <c r="A138" s="12"/>
      <c r="B138" s="12"/>
      <c r="C138" s="12"/>
      <c r="D138" s="12"/>
    </row>
    <row r="139" spans="1:7" x14ac:dyDescent="0.25">
      <c r="A139" s="12"/>
      <c r="B139" s="12"/>
      <c r="C139" s="12"/>
      <c r="D139" s="12"/>
    </row>
    <row r="140" spans="1:7" x14ac:dyDescent="0.25">
      <c r="A140" s="12"/>
      <c r="B140" s="12"/>
      <c r="C140" s="12"/>
      <c r="D140" s="12"/>
    </row>
    <row r="141" spans="1:7" x14ac:dyDescent="0.25">
      <c r="A141" s="12"/>
      <c r="B141" s="12"/>
      <c r="C141" s="12"/>
      <c r="D141" s="12"/>
    </row>
    <row r="142" spans="1:7" x14ac:dyDescent="0.25">
      <c r="A142" s="12"/>
      <c r="B142" s="12"/>
      <c r="C142" s="12"/>
      <c r="D142" s="12"/>
    </row>
  </sheetData>
  <conditionalFormatting sqref="E100:E101">
    <cfRule type="colorScale" priority="71">
      <colorScale>
        <cfvo type="min"/>
        <cfvo type="max"/>
        <color rgb="FFFCFCFF"/>
        <color rgb="FFF8696B"/>
      </colorScale>
    </cfRule>
  </conditionalFormatting>
  <conditionalFormatting sqref="E113">
    <cfRule type="colorScale" priority="68">
      <colorScale>
        <cfvo type="min"/>
        <cfvo type="max"/>
        <color rgb="FFFCFCFF"/>
        <color rgb="FFF8696B"/>
      </colorScale>
    </cfRule>
  </conditionalFormatting>
  <conditionalFormatting sqref="E114:E118">
    <cfRule type="colorScale" priority="44">
      <colorScale>
        <cfvo type="min"/>
        <cfvo type="max"/>
        <color rgb="FFFCFCFF"/>
        <color rgb="FFF8696B"/>
      </colorScale>
    </cfRule>
  </conditionalFormatting>
  <conditionalFormatting sqref="E114:E118">
    <cfRule type="colorScale" priority="43">
      <colorScale>
        <cfvo type="min"/>
        <cfvo type="max"/>
        <color rgb="FFFCFCFF"/>
        <color rgb="FFF8696B"/>
      </colorScale>
    </cfRule>
  </conditionalFormatting>
  <conditionalFormatting sqref="E100:E101">
    <cfRule type="colorScale" priority="73">
      <colorScale>
        <cfvo type="min"/>
        <cfvo type="max"/>
        <color rgb="FFFCFCFF"/>
        <color rgb="FFF8696B"/>
      </colorScale>
    </cfRule>
  </conditionalFormatting>
  <conditionalFormatting sqref="E102:E111">
    <cfRule type="colorScale" priority="27">
      <colorScale>
        <cfvo type="min"/>
        <cfvo type="max"/>
        <color rgb="FFFCFCFF"/>
        <color rgb="FFF8696B"/>
      </colorScale>
    </cfRule>
  </conditionalFormatting>
  <conditionalFormatting sqref="E102:E111">
    <cfRule type="colorScale" priority="26">
      <colorScale>
        <cfvo type="min"/>
        <cfvo type="max"/>
        <color rgb="FFFCFCFF"/>
        <color rgb="FFF8696B"/>
      </colorScale>
    </cfRule>
  </conditionalFormatting>
  <conditionalFormatting sqref="E120">
    <cfRule type="colorScale" priority="25">
      <colorScale>
        <cfvo type="min"/>
        <cfvo type="max"/>
        <color rgb="FFFCFCFF"/>
        <color rgb="FFF8696B"/>
      </colorScale>
    </cfRule>
  </conditionalFormatting>
  <conditionalFormatting sqref="E120">
    <cfRule type="colorScale" priority="24">
      <colorScale>
        <cfvo type="min"/>
        <cfvo type="max"/>
        <color rgb="FFFCFCFF"/>
        <color rgb="FFF8696B"/>
      </colorScale>
    </cfRule>
  </conditionalFormatting>
  <conditionalFormatting sqref="E130">
    <cfRule type="colorScale" priority="23">
      <colorScale>
        <cfvo type="min"/>
        <cfvo type="max"/>
        <color rgb="FFFCFCFF"/>
        <color rgb="FFF8696B"/>
      </colorScale>
    </cfRule>
  </conditionalFormatting>
  <conditionalFormatting sqref="E130">
    <cfRule type="colorScale" priority="22">
      <colorScale>
        <cfvo type="min"/>
        <cfvo type="max"/>
        <color rgb="FFFCFCFF"/>
        <color rgb="FFF8696B"/>
      </colorScale>
    </cfRule>
  </conditionalFormatting>
  <conditionalFormatting sqref="E121:E129">
    <cfRule type="colorScale" priority="74">
      <colorScale>
        <cfvo type="min"/>
        <cfvo type="max"/>
        <color rgb="FFFCFCFF"/>
        <color rgb="FFF8696B"/>
      </colorScale>
    </cfRule>
  </conditionalFormatting>
  <conditionalFormatting sqref="E56">
    <cfRule type="colorScale" priority="19">
      <colorScale>
        <cfvo type="min"/>
        <cfvo type="max"/>
        <color rgb="FFFCFCFF"/>
        <color rgb="FFF8696B"/>
      </colorScale>
    </cfRule>
  </conditionalFormatting>
  <conditionalFormatting sqref="E57:E6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57:E62">
    <cfRule type="colorScale" priority="16">
      <colorScale>
        <cfvo type="min"/>
        <cfvo type="max"/>
        <color rgb="FFFCFCFF"/>
        <color rgb="FFF8696B"/>
      </colorScale>
    </cfRule>
  </conditionalFormatting>
  <conditionalFormatting sqref="E64">
    <cfRule type="colorScale" priority="13">
      <colorScale>
        <cfvo type="min"/>
        <cfvo type="max"/>
        <color rgb="FFFCFCFF"/>
        <color rgb="FFF8696B"/>
      </colorScale>
    </cfRule>
  </conditionalFormatting>
  <conditionalFormatting sqref="E64">
    <cfRule type="colorScale" priority="14">
      <colorScale>
        <cfvo type="min"/>
        <cfvo type="max"/>
        <color rgb="FFFCFCFF"/>
        <color rgb="FFF8696B"/>
      </colorScale>
    </cfRule>
  </conditionalFormatting>
  <conditionalFormatting sqref="E4:E24">
    <cfRule type="colorScale" priority="76">
      <colorScale>
        <cfvo type="min"/>
        <cfvo type="max"/>
        <color rgb="FFFCFCFF"/>
        <color rgb="FFF8696B"/>
      </colorScale>
    </cfRule>
  </conditionalFormatting>
  <conditionalFormatting sqref="E88">
    <cfRule type="colorScale" priority="7">
      <colorScale>
        <cfvo type="min"/>
        <cfvo type="max"/>
        <color rgb="FFFCFCFF"/>
        <color rgb="FFF8696B"/>
      </colorScale>
    </cfRule>
  </conditionalFormatting>
  <conditionalFormatting sqref="E89:E99">
    <cfRule type="colorScale" priority="5">
      <colorScale>
        <cfvo type="min"/>
        <cfvo type="max"/>
        <color rgb="FFFCFCFF"/>
        <color rgb="FFF8696B"/>
      </colorScale>
    </cfRule>
  </conditionalFormatting>
  <conditionalFormatting sqref="E65:E74 E87">
    <cfRule type="colorScale" priority="80">
      <colorScale>
        <cfvo type="min"/>
        <cfvo type="max"/>
        <color rgb="FFFCFCFF"/>
        <color rgb="FFF8696B"/>
      </colorScale>
    </cfRule>
  </conditionalFormatting>
  <conditionalFormatting sqref="E25:E36">
    <cfRule type="colorScale" priority="81">
      <colorScale>
        <cfvo type="min"/>
        <cfvo type="max"/>
        <color rgb="FFFCFCFF"/>
        <color rgb="FFF8696B"/>
      </colorScale>
    </cfRule>
  </conditionalFormatting>
  <conditionalFormatting sqref="E38:E54">
    <cfRule type="colorScale" priority="83">
      <colorScale>
        <cfvo type="min"/>
        <cfvo type="max"/>
        <color rgb="FFFCFCFF"/>
        <color rgb="FFF8696B"/>
      </colorScale>
    </cfRule>
  </conditionalFormatting>
  <conditionalFormatting sqref="E76">
    <cfRule type="colorScale" priority="1">
      <colorScale>
        <cfvo type="min"/>
        <cfvo type="max"/>
        <color rgb="FFFCFCFF"/>
        <color rgb="FFF8696B"/>
      </colorScale>
    </cfRule>
  </conditionalFormatting>
  <conditionalFormatting sqref="E76">
    <cfRule type="colorScale" priority="2">
      <colorScale>
        <cfvo type="min"/>
        <cfvo type="max"/>
        <color rgb="FFFCFCFF"/>
        <color rgb="FFF8696B"/>
      </colorScale>
    </cfRule>
  </conditionalFormatting>
  <conditionalFormatting sqref="E77:E86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>
      <selection sqref="A1:XFD1048576"/>
    </sheetView>
  </sheetViews>
  <sheetFormatPr defaultRowHeight="15" x14ac:dyDescent="0.25"/>
  <cols>
    <col min="1" max="1" width="5.375" style="2" bestFit="1" customWidth="1"/>
    <col min="2" max="2" width="9.125" style="1"/>
    <col min="3" max="3" width="8" style="1" customWidth="1"/>
    <col min="4" max="4" width="11.125" style="1" customWidth="1"/>
    <col min="5" max="5" width="11.125" style="1" bestFit="1" customWidth="1"/>
    <col min="6" max="7" width="9.125" style="1"/>
    <col min="8" max="8" width="9.125" style="2"/>
  </cols>
  <sheetData>
    <row r="1" spans="1:8" x14ac:dyDescent="0.25">
      <c r="B1" s="1" t="s">
        <v>45</v>
      </c>
    </row>
    <row r="3" spans="1:8" ht="30" x14ac:dyDescent="0.25">
      <c r="A3" s="2" t="s">
        <v>27</v>
      </c>
      <c r="B3" s="4" t="s">
        <v>26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24</v>
      </c>
      <c r="H3" s="4" t="s">
        <v>25</v>
      </c>
    </row>
    <row r="4" spans="1:8" x14ac:dyDescent="0.25">
      <c r="B4" s="3"/>
      <c r="C4" s="3"/>
      <c r="D4" s="3"/>
      <c r="E4" s="3"/>
      <c r="F4" s="3"/>
      <c r="G4" s="3"/>
      <c r="H4" s="4"/>
    </row>
    <row r="5" spans="1:8" x14ac:dyDescent="0.25">
      <c r="B5" s="7">
        <v>100</v>
      </c>
    </row>
    <row r="6" spans="1:8" x14ac:dyDescent="0.25">
      <c r="A6" s="5">
        <v>1</v>
      </c>
      <c r="B6" s="1">
        <f>B5-C6*У!$C$41-F6</f>
        <v>98.3</v>
      </c>
      <c r="C6" s="1">
        <v>0</v>
      </c>
      <c r="D6" s="1">
        <v>29</v>
      </c>
      <c r="E6" s="1" t="str">
        <f>INDEX(У!A$2:D$41,$D6,1)</f>
        <v>ТАН-426F</v>
      </c>
      <c r="F6" s="1">
        <f>INDEX(У!C$2:D$41,$D6,1)</f>
        <v>1.7</v>
      </c>
      <c r="G6" s="1">
        <f>INDEX(У!D$2:E$41,$D6,1)</f>
        <v>26</v>
      </c>
      <c r="H6" s="2">
        <f>B5-G6</f>
        <v>74</v>
      </c>
    </row>
    <row r="7" spans="1:8" x14ac:dyDescent="0.25">
      <c r="A7" s="5">
        <v>2</v>
      </c>
      <c r="B7" s="1">
        <f>B6-C7*У!$C$41-F7</f>
        <v>96.179999999999993</v>
      </c>
      <c r="C7" s="1">
        <v>3</v>
      </c>
      <c r="D7" s="1">
        <v>29</v>
      </c>
      <c r="E7" s="1" t="str">
        <f>INDEX(У!A$2:D$41,$D7,1)</f>
        <v>ТАН-426F</v>
      </c>
      <c r="F7" s="1">
        <f>INDEX(У!C$2:D$41,$D7,1)</f>
        <v>1.7</v>
      </c>
      <c r="G7" s="1">
        <f>INDEX(У!D$2:E$41,$D7,1)</f>
        <v>26</v>
      </c>
      <c r="H7" s="2">
        <f t="shared" ref="H7:H13" si="0">B6-G7</f>
        <v>72.3</v>
      </c>
    </row>
    <row r="8" spans="1:8" x14ac:dyDescent="0.25">
      <c r="A8" s="5">
        <v>3</v>
      </c>
      <c r="B8" s="1">
        <f>B7-C8*У!$C$41-F8</f>
        <v>94.059999999999988</v>
      </c>
      <c r="C8" s="1">
        <v>3</v>
      </c>
      <c r="D8" s="1">
        <v>29</v>
      </c>
      <c r="E8" s="1" t="str">
        <f>INDEX(У!A$2:D$41,$D8,1)</f>
        <v>ТАН-426F</v>
      </c>
      <c r="F8" s="1">
        <f>INDEX(У!C$2:D$41,$D8,1)</f>
        <v>1.7</v>
      </c>
      <c r="G8" s="1">
        <f>INDEX(У!D$2:E$41,$D8,1)</f>
        <v>26</v>
      </c>
      <c r="H8" s="2">
        <f t="shared" si="0"/>
        <v>70.179999999999993</v>
      </c>
    </row>
    <row r="9" spans="1:8" x14ac:dyDescent="0.25">
      <c r="A9" s="5">
        <v>4</v>
      </c>
      <c r="B9" s="1">
        <f>B8-C9*У!$C$41-F9</f>
        <v>91.939999999999984</v>
      </c>
      <c r="C9" s="1">
        <v>3</v>
      </c>
      <c r="D9" s="1">
        <v>28</v>
      </c>
      <c r="E9" s="1" t="str">
        <f>INDEX(У!A$2:D$41,$D9,1)</f>
        <v>ТАН-424F</v>
      </c>
      <c r="F9" s="1">
        <f>INDEX(У!C$2:D$41,$D9,1)</f>
        <v>1.7</v>
      </c>
      <c r="G9" s="1">
        <f>INDEX(У!D$2:E$41,$D9,1)</f>
        <v>24</v>
      </c>
      <c r="H9" s="2">
        <f t="shared" si="0"/>
        <v>70.059999999999988</v>
      </c>
    </row>
    <row r="10" spans="1:8" x14ac:dyDescent="0.25">
      <c r="A10" s="5">
        <v>5</v>
      </c>
      <c r="B10" s="1">
        <f>B9-C10*У!$C$41-F10</f>
        <v>89.519999999999982</v>
      </c>
      <c r="C10" s="1">
        <v>3</v>
      </c>
      <c r="D10" s="1">
        <v>27</v>
      </c>
      <c r="E10" s="1" t="str">
        <f>INDEX(У!A$2:D$41,$D10,1)</f>
        <v>ТАН-420F</v>
      </c>
      <c r="F10" s="1">
        <f>INDEX(У!C$2:D$41,$D10,1)</f>
        <v>2</v>
      </c>
      <c r="G10" s="1">
        <f>INDEX(У!D$2:E$41,$D10,1)</f>
        <v>20</v>
      </c>
      <c r="H10" s="2">
        <f t="shared" si="0"/>
        <v>71.939999999999984</v>
      </c>
    </row>
    <row r="11" spans="1:8" x14ac:dyDescent="0.25">
      <c r="A11" s="5">
        <v>6</v>
      </c>
      <c r="B11" s="1">
        <f>B10-C11*У!$C$41-F11</f>
        <v>87.09999999999998</v>
      </c>
      <c r="C11" s="1">
        <v>3</v>
      </c>
      <c r="D11" s="1">
        <v>27</v>
      </c>
      <c r="E11" s="1" t="str">
        <f>INDEX(У!A$2:D$41,$D11,1)</f>
        <v>ТАН-420F</v>
      </c>
      <c r="F11" s="1">
        <f>INDEX(У!C$2:D$41,$D11,1)</f>
        <v>2</v>
      </c>
      <c r="G11" s="1">
        <f>INDEX(У!D$2:E$41,$D11,1)</f>
        <v>20</v>
      </c>
      <c r="H11" s="2">
        <f t="shared" si="0"/>
        <v>69.519999999999982</v>
      </c>
    </row>
    <row r="12" spans="1:8" x14ac:dyDescent="0.25">
      <c r="A12" s="5">
        <v>7</v>
      </c>
      <c r="B12" s="1">
        <f>B11-C12*У!$C$41-F12</f>
        <v>83.679999999999978</v>
      </c>
      <c r="C12" s="1">
        <v>3</v>
      </c>
      <c r="D12" s="1">
        <v>26</v>
      </c>
      <c r="E12" s="1" t="str">
        <f>INDEX(У!A$2:D$41,$D12,1)</f>
        <v>ТАН-416F</v>
      </c>
      <c r="F12" s="1">
        <f>INDEX(У!C$2:D$41,$D12,1)</f>
        <v>3</v>
      </c>
      <c r="G12" s="1">
        <f>INDEX(У!D$2:E$41,$D12,1)</f>
        <v>16</v>
      </c>
      <c r="H12" s="2">
        <f t="shared" si="0"/>
        <v>71.09999999999998</v>
      </c>
    </row>
    <row r="13" spans="1:8" x14ac:dyDescent="0.25">
      <c r="A13" s="5">
        <v>8</v>
      </c>
      <c r="B13" s="1">
        <f>B12-C13*У!$C$41-F13</f>
        <v>80.259999999999977</v>
      </c>
      <c r="C13" s="1">
        <v>3</v>
      </c>
      <c r="D13" s="1">
        <v>26</v>
      </c>
      <c r="E13" s="1" t="str">
        <f>INDEX(У!A$2:D$41,$D13,1)</f>
        <v>ТАН-416F</v>
      </c>
      <c r="F13" s="1">
        <f>INDEX(У!C$2:D$41,$D13,1)</f>
        <v>3</v>
      </c>
      <c r="G13" s="1">
        <f>INDEX(У!D$2:E$41,$D13,1)</f>
        <v>16</v>
      </c>
      <c r="H13" s="2">
        <f t="shared" si="0"/>
        <v>67.679999999999978</v>
      </c>
    </row>
    <row r="14" spans="1:8" x14ac:dyDescent="0.25">
      <c r="A14" s="5"/>
    </row>
    <row r="15" spans="1:8" x14ac:dyDescent="0.25">
      <c r="B15" s="7">
        <v>102</v>
      </c>
    </row>
    <row r="16" spans="1:8" x14ac:dyDescent="0.25">
      <c r="A16" s="5">
        <v>1</v>
      </c>
      <c r="B16" s="1">
        <f>B15-C16*У!$C$41-F16</f>
        <v>100.3</v>
      </c>
      <c r="C16" s="1">
        <v>0</v>
      </c>
      <c r="D16" s="1">
        <v>29</v>
      </c>
      <c r="E16" s="1" t="str">
        <f>INDEX(У!A$2:D$41,$D16,1)</f>
        <v>ТАН-426F</v>
      </c>
      <c r="F16" s="1">
        <f>INDEX(У!C$2:D$41,$D16,1)</f>
        <v>1.7</v>
      </c>
      <c r="G16" s="1">
        <f>INDEX(У!D$2:E$41,$D16,1)</f>
        <v>26</v>
      </c>
      <c r="H16" s="2">
        <f>B15-G16</f>
        <v>76</v>
      </c>
    </row>
    <row r="17" spans="1:8" x14ac:dyDescent="0.25">
      <c r="A17" s="5">
        <v>2</v>
      </c>
      <c r="B17" s="1">
        <f>B16-C17*У!$C$41-F17</f>
        <v>98.179999999999993</v>
      </c>
      <c r="C17" s="1">
        <v>3</v>
      </c>
      <c r="D17" s="1">
        <v>29</v>
      </c>
      <c r="E17" s="1" t="str">
        <f>INDEX(У!A$2:D$41,$D17,1)</f>
        <v>ТАН-426F</v>
      </c>
      <c r="F17" s="1">
        <f>INDEX(У!C$2:D$41,$D17,1)</f>
        <v>1.7</v>
      </c>
      <c r="G17" s="1">
        <f>INDEX(У!D$2:E$41,$D17,1)</f>
        <v>26</v>
      </c>
      <c r="H17" s="2">
        <f t="shared" ref="H17:H23" si="1">B16-G17</f>
        <v>74.3</v>
      </c>
    </row>
    <row r="18" spans="1:8" x14ac:dyDescent="0.25">
      <c r="A18" s="5">
        <v>3</v>
      </c>
      <c r="B18" s="1">
        <f>B17-C18*У!$C$41-F18</f>
        <v>96.059999999999988</v>
      </c>
      <c r="C18" s="1">
        <v>3</v>
      </c>
      <c r="D18" s="1">
        <v>29</v>
      </c>
      <c r="E18" s="1" t="str">
        <f>INDEX(У!A$2:D$41,$D18,1)</f>
        <v>ТАН-426F</v>
      </c>
      <c r="F18" s="1">
        <f>INDEX(У!C$2:D$41,$D18,1)</f>
        <v>1.7</v>
      </c>
      <c r="G18" s="1">
        <f>INDEX(У!D$2:E$41,$D18,1)</f>
        <v>26</v>
      </c>
      <c r="H18" s="2">
        <f t="shared" si="1"/>
        <v>72.179999999999993</v>
      </c>
    </row>
    <row r="19" spans="1:8" x14ac:dyDescent="0.25">
      <c r="A19" s="5">
        <v>4</v>
      </c>
      <c r="B19" s="1">
        <f>B18-C19*У!$C$41-F19</f>
        <v>93.939999999999984</v>
      </c>
      <c r="C19" s="1">
        <v>3</v>
      </c>
      <c r="D19" s="1">
        <v>29</v>
      </c>
      <c r="E19" s="1" t="str">
        <f>INDEX(У!A$2:D$41,$D19,1)</f>
        <v>ТАН-426F</v>
      </c>
      <c r="F19" s="1">
        <f>INDEX(У!C$2:D$41,$D19,1)</f>
        <v>1.7</v>
      </c>
      <c r="G19" s="1">
        <f>INDEX(У!D$2:E$41,$D19,1)</f>
        <v>26</v>
      </c>
      <c r="H19" s="2">
        <f t="shared" si="1"/>
        <v>70.059999999999988</v>
      </c>
    </row>
    <row r="20" spans="1:8" x14ac:dyDescent="0.25">
      <c r="A20" s="5">
        <v>5</v>
      </c>
      <c r="B20" s="1">
        <f>B19-C20*У!$C$41-F20</f>
        <v>91.819999999999979</v>
      </c>
      <c r="C20" s="1">
        <v>3</v>
      </c>
      <c r="D20" s="1">
        <v>28</v>
      </c>
      <c r="E20" s="1" t="str">
        <f>INDEX(У!A$2:D$41,$D20,1)</f>
        <v>ТАН-424F</v>
      </c>
      <c r="F20" s="1">
        <f>INDEX(У!C$2:D$41,$D20,1)</f>
        <v>1.7</v>
      </c>
      <c r="G20" s="1">
        <f>INDEX(У!D$2:E$41,$D20,1)</f>
        <v>24</v>
      </c>
      <c r="H20" s="2">
        <f t="shared" si="1"/>
        <v>69.939999999999984</v>
      </c>
    </row>
    <row r="21" spans="1:8" x14ac:dyDescent="0.25">
      <c r="A21" s="5">
        <v>6</v>
      </c>
      <c r="B21" s="1">
        <f>B20-C21*У!$C$41-F21</f>
        <v>89.399999999999977</v>
      </c>
      <c r="C21" s="1">
        <v>3</v>
      </c>
      <c r="D21" s="1">
        <v>27</v>
      </c>
      <c r="E21" s="1" t="str">
        <f>INDEX(У!A$2:D$41,$D21,1)</f>
        <v>ТАН-420F</v>
      </c>
      <c r="F21" s="1">
        <f>INDEX(У!C$2:D$41,$D21,1)</f>
        <v>2</v>
      </c>
      <c r="G21" s="1">
        <f>INDEX(У!D$2:E$41,$D21,1)</f>
        <v>20</v>
      </c>
      <c r="H21" s="2">
        <f t="shared" si="1"/>
        <v>71.819999999999979</v>
      </c>
    </row>
    <row r="22" spans="1:8" x14ac:dyDescent="0.25">
      <c r="A22" s="5">
        <v>7</v>
      </c>
      <c r="B22" s="1">
        <f>B21-C22*У!$C$41-F22</f>
        <v>86.979999999999976</v>
      </c>
      <c r="C22" s="1">
        <v>3</v>
      </c>
      <c r="D22" s="1">
        <v>27</v>
      </c>
      <c r="E22" s="1" t="str">
        <f>INDEX(У!A$2:D$41,$D22,1)</f>
        <v>ТАН-420F</v>
      </c>
      <c r="F22" s="1">
        <f>INDEX(У!C$2:D$41,$D22,1)</f>
        <v>2</v>
      </c>
      <c r="G22" s="1">
        <f>INDEX(У!D$2:E$41,$D22,1)</f>
        <v>20</v>
      </c>
      <c r="H22" s="2">
        <f t="shared" si="1"/>
        <v>69.399999999999977</v>
      </c>
    </row>
    <row r="23" spans="1:8" x14ac:dyDescent="0.25">
      <c r="A23" s="5">
        <v>8</v>
      </c>
      <c r="B23" s="1">
        <f>B22-C23*У!$C$41-F23</f>
        <v>83.559999999999974</v>
      </c>
      <c r="C23" s="1">
        <v>3</v>
      </c>
      <c r="D23" s="1">
        <v>26</v>
      </c>
      <c r="E23" s="1" t="str">
        <f>INDEX(У!A$2:D$41,$D23,1)</f>
        <v>ТАН-416F</v>
      </c>
      <c r="F23" s="1">
        <f>INDEX(У!C$2:D$41,$D23,1)</f>
        <v>3</v>
      </c>
      <c r="G23" s="1">
        <f>INDEX(У!D$2:E$41,$D23,1)</f>
        <v>16</v>
      </c>
      <c r="H23" s="2">
        <f t="shared" si="1"/>
        <v>70.979999999999976</v>
      </c>
    </row>
    <row r="24" spans="1:8" x14ac:dyDescent="0.25">
      <c r="A24"/>
      <c r="B24"/>
      <c r="C24"/>
      <c r="D24"/>
      <c r="E24"/>
      <c r="F24"/>
      <c r="G24"/>
      <c r="H24"/>
    </row>
    <row r="25" spans="1:8" x14ac:dyDescent="0.25">
      <c r="A25" s="5"/>
      <c r="B25" s="7">
        <v>97</v>
      </c>
    </row>
    <row r="26" spans="1:8" x14ac:dyDescent="0.25">
      <c r="A26" s="5">
        <v>1</v>
      </c>
      <c r="B26" s="1">
        <f>B25-C26*У!$C$41-F26</f>
        <v>95.3</v>
      </c>
      <c r="C26" s="1">
        <v>0</v>
      </c>
      <c r="D26" s="1">
        <v>29</v>
      </c>
      <c r="E26" s="1" t="str">
        <f>INDEX(У!A$2:D$41,$D26,1)</f>
        <v>ТАН-426F</v>
      </c>
      <c r="F26" s="1">
        <f>INDEX(У!C$2:D$41,$D26,1)</f>
        <v>1.7</v>
      </c>
      <c r="G26" s="1">
        <f>INDEX(У!D$2:E$41,$D26,1)</f>
        <v>26</v>
      </c>
      <c r="H26" s="2">
        <f>B25-G26</f>
        <v>71</v>
      </c>
    </row>
    <row r="27" spans="1:8" x14ac:dyDescent="0.25">
      <c r="A27" s="5">
        <v>2</v>
      </c>
      <c r="B27" s="1">
        <f>B26-C27*У!$C$41-F27</f>
        <v>93.179999999999993</v>
      </c>
      <c r="C27" s="1">
        <v>3</v>
      </c>
      <c r="D27" s="1">
        <v>28</v>
      </c>
      <c r="E27" s="1" t="str">
        <f>INDEX(У!A$2:D$41,$D27,1)</f>
        <v>ТАН-424F</v>
      </c>
      <c r="F27" s="1">
        <f>INDEX(У!C$2:D$41,$D27,1)</f>
        <v>1.7</v>
      </c>
      <c r="G27" s="1">
        <f>INDEX(У!D$2:E$41,$D27,1)</f>
        <v>24</v>
      </c>
      <c r="H27" s="2">
        <f t="shared" ref="H27:H33" si="2">B26-G27</f>
        <v>71.3</v>
      </c>
    </row>
    <row r="28" spans="1:8" x14ac:dyDescent="0.25">
      <c r="A28" s="5">
        <v>3</v>
      </c>
      <c r="B28" s="1">
        <f>B27-C28*У!$C$41-F28</f>
        <v>90.759999999999991</v>
      </c>
      <c r="C28" s="1">
        <v>3</v>
      </c>
      <c r="D28" s="1">
        <v>27</v>
      </c>
      <c r="E28" s="1" t="str">
        <f>INDEX(У!A$2:D$41,$D28,1)</f>
        <v>ТАН-420F</v>
      </c>
      <c r="F28" s="1">
        <f>INDEX(У!C$2:D$41,$D28,1)</f>
        <v>2</v>
      </c>
      <c r="G28" s="1">
        <f>INDEX(У!D$2:E$41,$D28,1)</f>
        <v>20</v>
      </c>
      <c r="H28" s="2">
        <f t="shared" si="2"/>
        <v>73.179999999999993</v>
      </c>
    </row>
    <row r="29" spans="1:8" x14ac:dyDescent="0.25">
      <c r="A29" s="5">
        <v>4</v>
      </c>
      <c r="B29" s="1">
        <f>B28-C29*У!$C$41-F29</f>
        <v>88.339999999999989</v>
      </c>
      <c r="C29" s="1">
        <v>3</v>
      </c>
      <c r="D29" s="1">
        <v>27</v>
      </c>
      <c r="E29" s="1" t="str">
        <f>INDEX(У!A$2:D$41,$D29,1)</f>
        <v>ТАН-420F</v>
      </c>
      <c r="F29" s="1">
        <f>INDEX(У!C$2:D$41,$D29,1)</f>
        <v>2</v>
      </c>
      <c r="G29" s="1">
        <f>INDEX(У!D$2:E$41,$D29,1)</f>
        <v>20</v>
      </c>
      <c r="H29" s="2">
        <f t="shared" si="2"/>
        <v>70.759999999999991</v>
      </c>
    </row>
    <row r="30" spans="1:8" x14ac:dyDescent="0.25">
      <c r="A30" s="5">
        <v>5</v>
      </c>
      <c r="B30" s="1">
        <f>B29-C30*У!$C$41-F30</f>
        <v>84.919999999999987</v>
      </c>
      <c r="C30" s="1">
        <v>3</v>
      </c>
      <c r="D30" s="1">
        <v>26</v>
      </c>
      <c r="E30" s="1" t="str">
        <f>INDEX(У!A$2:D$41,$D30,1)</f>
        <v>ТАН-416F</v>
      </c>
      <c r="F30" s="1">
        <f>INDEX(У!C$2:D$41,$D30,1)</f>
        <v>3</v>
      </c>
      <c r="G30" s="1">
        <f>INDEX(У!D$2:E$41,$D30,1)</f>
        <v>16</v>
      </c>
      <c r="H30" s="2">
        <f t="shared" si="2"/>
        <v>72.339999999999989</v>
      </c>
    </row>
    <row r="31" spans="1:8" x14ac:dyDescent="0.25">
      <c r="A31" s="5">
        <v>6</v>
      </c>
      <c r="B31" s="1">
        <f>B30-C31*У!$C$41-F31</f>
        <v>81.499999999999986</v>
      </c>
      <c r="C31" s="1">
        <v>3</v>
      </c>
      <c r="D31" s="1">
        <v>26</v>
      </c>
      <c r="E31" s="1" t="str">
        <f>INDEX(У!A$2:D$41,$D31,1)</f>
        <v>ТАН-416F</v>
      </c>
      <c r="F31" s="1">
        <f>INDEX(У!C$2:D$41,$D31,1)</f>
        <v>3</v>
      </c>
      <c r="G31" s="1">
        <f>INDEX(У!D$2:E$41,$D31,1)</f>
        <v>16</v>
      </c>
      <c r="H31" s="2">
        <f t="shared" si="2"/>
        <v>68.919999999999987</v>
      </c>
    </row>
    <row r="32" spans="1:8" x14ac:dyDescent="0.25">
      <c r="A32" s="5">
        <v>7</v>
      </c>
      <c r="B32" s="1">
        <f>B31-C32*У!$C$41-F32</f>
        <v>76.579999999999984</v>
      </c>
      <c r="C32" s="1">
        <v>3</v>
      </c>
      <c r="D32" s="1">
        <v>24</v>
      </c>
      <c r="E32" s="1" t="str">
        <f>INDEX(У!A$2:D$41,$D32,1)</f>
        <v>ТАН-412F</v>
      </c>
      <c r="F32" s="1">
        <f>INDEX(У!C$2:D$41,$D32,1)</f>
        <v>4.5</v>
      </c>
      <c r="G32" s="1">
        <f>INDEX(У!D$2:E$41,$D32,1)</f>
        <v>12</v>
      </c>
      <c r="H32" s="2">
        <f t="shared" si="2"/>
        <v>69.499999999999986</v>
      </c>
    </row>
    <row r="33" spans="1:8" x14ac:dyDescent="0.25">
      <c r="A33" s="5">
        <v>8</v>
      </c>
      <c r="B33" s="1">
        <f>B32-C33*У!$C$41-F33</f>
        <v>71.159999999999982</v>
      </c>
      <c r="C33" s="1">
        <v>3</v>
      </c>
      <c r="D33" s="1">
        <v>23</v>
      </c>
      <c r="E33" s="1" t="str">
        <f>INDEX(У!A$2:D$41,$D33,1)</f>
        <v>ТАН-410F</v>
      </c>
      <c r="F33" s="1">
        <f>INDEX(У!C$2:D$41,$D33,1)</f>
        <v>5</v>
      </c>
      <c r="G33" s="1">
        <f>INDEX(У!D$2:E$41,$D33,1)</f>
        <v>10</v>
      </c>
      <c r="H33" s="2">
        <f t="shared" si="2"/>
        <v>66.579999999999984</v>
      </c>
    </row>
    <row r="34" spans="1:8" x14ac:dyDescent="0.25">
      <c r="A34" s="5"/>
    </row>
    <row r="35" spans="1:8" x14ac:dyDescent="0.25">
      <c r="B35" s="7">
        <v>100</v>
      </c>
    </row>
    <row r="36" spans="1:8" x14ac:dyDescent="0.25">
      <c r="A36" s="5">
        <v>1</v>
      </c>
      <c r="B36" s="1">
        <f>B35-C36*У!$C$41-F36</f>
        <v>98.3</v>
      </c>
      <c r="C36" s="1">
        <v>0</v>
      </c>
      <c r="D36" s="1">
        <v>29</v>
      </c>
      <c r="E36" s="1" t="str">
        <f>INDEX(У!A$2:D$41,$D36,1)</f>
        <v>ТАН-426F</v>
      </c>
      <c r="F36" s="1">
        <f>INDEX(У!C$2:D$41,$D36,1)</f>
        <v>1.7</v>
      </c>
      <c r="G36" s="1">
        <f>INDEX(У!D$2:E$41,$D36,1)</f>
        <v>26</v>
      </c>
      <c r="H36" s="2">
        <f>B35-G36</f>
        <v>74</v>
      </c>
    </row>
    <row r="37" spans="1:8" x14ac:dyDescent="0.25">
      <c r="A37" s="5">
        <v>2</v>
      </c>
      <c r="B37" s="1">
        <f>B36-C37*У!$C$41-F37</f>
        <v>96.179999999999993</v>
      </c>
      <c r="C37" s="1">
        <v>3</v>
      </c>
      <c r="D37" s="1">
        <v>29</v>
      </c>
      <c r="E37" s="1" t="str">
        <f>INDEX(У!A$2:D$41,$D37,1)</f>
        <v>ТАН-426F</v>
      </c>
      <c r="F37" s="1">
        <f>INDEX(У!C$2:D$41,$D37,1)</f>
        <v>1.7</v>
      </c>
      <c r="G37" s="1">
        <f>INDEX(У!D$2:E$41,$D37,1)</f>
        <v>26</v>
      </c>
      <c r="H37" s="2">
        <f t="shared" ref="H37:H43" si="3">B36-G37</f>
        <v>72.3</v>
      </c>
    </row>
    <row r="38" spans="1:8" x14ac:dyDescent="0.25">
      <c r="A38" s="5">
        <v>3</v>
      </c>
      <c r="B38" s="1">
        <f>B37-C38*У!$C$41-F38</f>
        <v>94.059999999999988</v>
      </c>
      <c r="C38" s="1">
        <v>3</v>
      </c>
      <c r="D38" s="1">
        <v>29</v>
      </c>
      <c r="E38" s="1" t="str">
        <f>INDEX(У!A$2:D$41,$D38,1)</f>
        <v>ТАН-426F</v>
      </c>
      <c r="F38" s="1">
        <f>INDEX(У!C$2:D$41,$D38,1)</f>
        <v>1.7</v>
      </c>
      <c r="G38" s="1">
        <f>INDEX(У!D$2:E$41,$D38,1)</f>
        <v>26</v>
      </c>
      <c r="H38" s="2">
        <f t="shared" si="3"/>
        <v>70.179999999999993</v>
      </c>
    </row>
    <row r="39" spans="1:8" x14ac:dyDescent="0.25">
      <c r="A39" s="5">
        <v>4</v>
      </c>
      <c r="B39" s="1">
        <f>B38-C39*У!$C$41-F39</f>
        <v>91.939999999999984</v>
      </c>
      <c r="C39" s="1">
        <v>3</v>
      </c>
      <c r="D39" s="1">
        <v>28</v>
      </c>
      <c r="E39" s="1" t="str">
        <f>INDEX(У!A$2:D$41,$D39,1)</f>
        <v>ТАН-424F</v>
      </c>
      <c r="F39" s="1">
        <f>INDEX(У!C$2:D$41,$D39,1)</f>
        <v>1.7</v>
      </c>
      <c r="G39" s="1">
        <f>INDEX(У!D$2:E$41,$D39,1)</f>
        <v>24</v>
      </c>
      <c r="H39" s="2">
        <f t="shared" si="3"/>
        <v>70.059999999999988</v>
      </c>
    </row>
    <row r="40" spans="1:8" x14ac:dyDescent="0.25">
      <c r="A40" s="5">
        <v>5</v>
      </c>
      <c r="B40" s="1">
        <f>B39-C40*У!$C$41-F40</f>
        <v>89.519999999999982</v>
      </c>
      <c r="C40" s="1">
        <v>3</v>
      </c>
      <c r="D40" s="1">
        <v>27</v>
      </c>
      <c r="E40" s="1" t="str">
        <f>INDEX(У!A$2:D$41,$D40,1)</f>
        <v>ТАН-420F</v>
      </c>
      <c r="F40" s="1">
        <f>INDEX(У!C$2:D$41,$D40,1)</f>
        <v>2</v>
      </c>
      <c r="G40" s="1">
        <f>INDEX(У!D$2:E$41,$D40,1)</f>
        <v>20</v>
      </c>
      <c r="H40" s="2">
        <f t="shared" si="3"/>
        <v>71.939999999999984</v>
      </c>
    </row>
    <row r="41" spans="1:8" x14ac:dyDescent="0.25">
      <c r="A41" s="5">
        <v>6</v>
      </c>
      <c r="B41" s="1">
        <f>B40-C41*У!$C$41-F41</f>
        <v>87.09999999999998</v>
      </c>
      <c r="C41" s="1">
        <v>3</v>
      </c>
      <c r="D41" s="1">
        <v>27</v>
      </c>
      <c r="E41" s="1" t="str">
        <f>INDEX(У!A$2:D$41,$D41,1)</f>
        <v>ТАН-420F</v>
      </c>
      <c r="F41" s="1">
        <f>INDEX(У!C$2:D$41,$D41,1)</f>
        <v>2</v>
      </c>
      <c r="G41" s="1">
        <f>INDEX(У!D$2:E$41,$D41,1)</f>
        <v>20</v>
      </c>
      <c r="H41" s="2">
        <f t="shared" si="3"/>
        <v>69.519999999999982</v>
      </c>
    </row>
    <row r="42" spans="1:8" x14ac:dyDescent="0.25">
      <c r="A42" s="5">
        <v>7</v>
      </c>
      <c r="B42" s="1">
        <f>B41-C42*У!$C$41-F42</f>
        <v>83.679999999999978</v>
      </c>
      <c r="C42" s="1">
        <v>3</v>
      </c>
      <c r="D42" s="1">
        <v>26</v>
      </c>
      <c r="E42" s="1" t="str">
        <f>INDEX(У!A$2:D$41,$D42,1)</f>
        <v>ТАН-416F</v>
      </c>
      <c r="F42" s="1">
        <f>INDEX(У!C$2:D$41,$D42,1)</f>
        <v>3</v>
      </c>
      <c r="G42" s="1">
        <f>INDEX(У!D$2:E$41,$D42,1)</f>
        <v>16</v>
      </c>
      <c r="H42" s="2">
        <f t="shared" si="3"/>
        <v>71.09999999999998</v>
      </c>
    </row>
    <row r="43" spans="1:8" x14ac:dyDescent="0.25">
      <c r="A43" s="5">
        <v>8</v>
      </c>
      <c r="B43" s="1">
        <f>B42-C43*У!$C$41-F43</f>
        <v>79.759999999999977</v>
      </c>
      <c r="C43" s="1">
        <v>3</v>
      </c>
      <c r="D43" s="1">
        <v>25</v>
      </c>
      <c r="E43" s="1" t="str">
        <f>INDEX(У!A$2:D$41,$D43,1)</f>
        <v>ТАН-414F</v>
      </c>
      <c r="F43" s="1">
        <f>INDEX(У!C$2:D$41,$D43,1)</f>
        <v>3.5</v>
      </c>
      <c r="G43" s="1">
        <f>INDEX(У!D$2:E$41,$D43,1)</f>
        <v>14</v>
      </c>
      <c r="H43" s="2">
        <f t="shared" si="3"/>
        <v>69.679999999999978</v>
      </c>
    </row>
    <row r="45" spans="1:8" x14ac:dyDescent="0.25">
      <c r="B45" s="7">
        <v>108</v>
      </c>
    </row>
    <row r="46" spans="1:8" x14ac:dyDescent="0.25">
      <c r="A46" s="5">
        <v>1</v>
      </c>
      <c r="B46" s="1">
        <f>B45-C46*У!$C$41-F46</f>
        <v>106.3</v>
      </c>
      <c r="C46" s="1">
        <v>0</v>
      </c>
      <c r="D46" s="1">
        <v>29</v>
      </c>
      <c r="E46" s="1" t="str">
        <f>INDEX(У!A$2:D$41,$D46,1)</f>
        <v>ТАН-426F</v>
      </c>
      <c r="F46" s="1">
        <f>INDEX(У!C$2:D$41,$D46,1)</f>
        <v>1.7</v>
      </c>
      <c r="G46" s="1">
        <f>INDEX(У!D$2:E$41,$D46,1)</f>
        <v>26</v>
      </c>
      <c r="H46" s="2">
        <f>B45-G46</f>
        <v>82</v>
      </c>
    </row>
    <row r="47" spans="1:8" x14ac:dyDescent="0.25">
      <c r="A47" s="5">
        <v>2</v>
      </c>
      <c r="B47" s="1">
        <f>B46-C47*У!$C$41-F47</f>
        <v>104.17999999999999</v>
      </c>
      <c r="C47" s="1">
        <v>3</v>
      </c>
      <c r="D47" s="1">
        <v>29</v>
      </c>
      <c r="E47" s="1" t="str">
        <f>INDEX(У!A$2:D$41,$D47,1)</f>
        <v>ТАН-426F</v>
      </c>
      <c r="F47" s="1">
        <f>INDEX(У!C$2:D$41,$D47,1)</f>
        <v>1.7</v>
      </c>
      <c r="G47" s="1">
        <f>INDEX(У!D$2:E$41,$D47,1)</f>
        <v>26</v>
      </c>
      <c r="H47" s="2">
        <f t="shared" ref="H47:H53" si="4">B46-G47</f>
        <v>80.3</v>
      </c>
    </row>
    <row r="48" spans="1:8" x14ac:dyDescent="0.25">
      <c r="A48" s="5">
        <v>3</v>
      </c>
      <c r="B48" s="1">
        <f>B47-C48*У!$C$41-F48</f>
        <v>102.05999999999999</v>
      </c>
      <c r="C48" s="1">
        <v>3</v>
      </c>
      <c r="D48" s="1">
        <v>29</v>
      </c>
      <c r="E48" s="1" t="str">
        <f>INDEX(У!A$2:D$41,$D48,1)</f>
        <v>ТАН-426F</v>
      </c>
      <c r="F48" s="1">
        <f>INDEX(У!C$2:D$41,$D48,1)</f>
        <v>1.7</v>
      </c>
      <c r="G48" s="1">
        <f>INDEX(У!D$2:E$41,$D48,1)</f>
        <v>26</v>
      </c>
      <c r="H48" s="2">
        <f t="shared" si="4"/>
        <v>78.179999999999993</v>
      </c>
    </row>
    <row r="49" spans="1:8" x14ac:dyDescent="0.25">
      <c r="A49" s="5">
        <v>4</v>
      </c>
      <c r="B49" s="1">
        <f>B48-C49*У!$C$41-F49</f>
        <v>99.939999999999984</v>
      </c>
      <c r="C49" s="1">
        <v>3</v>
      </c>
      <c r="D49" s="1">
        <v>29</v>
      </c>
      <c r="E49" s="1" t="str">
        <f>INDEX(У!A$2:D$41,$D49,1)</f>
        <v>ТАН-426F</v>
      </c>
      <c r="F49" s="1">
        <f>INDEX(У!C$2:D$41,$D49,1)</f>
        <v>1.7</v>
      </c>
      <c r="G49" s="1">
        <f>INDEX(У!D$2:E$41,$D49,1)</f>
        <v>26</v>
      </c>
      <c r="H49" s="2">
        <f t="shared" si="4"/>
        <v>76.059999999999988</v>
      </c>
    </row>
    <row r="50" spans="1:8" x14ac:dyDescent="0.25">
      <c r="A50" s="5">
        <v>5</v>
      </c>
      <c r="B50" s="1">
        <f>B49-C50*У!$C$41-F50</f>
        <v>97.819999999999979</v>
      </c>
      <c r="C50" s="1">
        <v>3</v>
      </c>
      <c r="D50" s="1">
        <v>29</v>
      </c>
      <c r="E50" s="1" t="str">
        <f>INDEX(У!A$2:D$41,$D50,1)</f>
        <v>ТАН-426F</v>
      </c>
      <c r="F50" s="1">
        <f>INDEX(У!C$2:D$41,$D50,1)</f>
        <v>1.7</v>
      </c>
      <c r="G50" s="1">
        <f>INDEX(У!D$2:E$41,$D50,1)</f>
        <v>26</v>
      </c>
      <c r="H50" s="2">
        <f t="shared" si="4"/>
        <v>73.939999999999984</v>
      </c>
    </row>
    <row r="51" spans="1:8" x14ac:dyDescent="0.25">
      <c r="A51" s="5">
        <v>6</v>
      </c>
      <c r="B51" s="1">
        <f>B50-C51*У!$C$41-F51</f>
        <v>95.699999999999974</v>
      </c>
      <c r="C51" s="1">
        <v>3</v>
      </c>
      <c r="D51" s="1">
        <v>29</v>
      </c>
      <c r="E51" s="1" t="str">
        <f>INDEX(У!A$2:D$41,$D51,1)</f>
        <v>ТАН-426F</v>
      </c>
      <c r="F51" s="1">
        <f>INDEX(У!C$2:D$41,$D51,1)</f>
        <v>1.7</v>
      </c>
      <c r="G51" s="1">
        <f>INDEX(У!D$2:E$41,$D51,1)</f>
        <v>26</v>
      </c>
      <c r="H51" s="2">
        <f t="shared" si="4"/>
        <v>71.819999999999979</v>
      </c>
    </row>
    <row r="52" spans="1:8" x14ac:dyDescent="0.25">
      <c r="A52" s="5">
        <v>7</v>
      </c>
      <c r="B52" s="1">
        <f>B51-C52*У!$C$41-F52</f>
        <v>93.57999999999997</v>
      </c>
      <c r="C52" s="1">
        <v>3</v>
      </c>
      <c r="D52" s="1">
        <v>29</v>
      </c>
      <c r="E52" s="1" t="str">
        <f>INDEX(У!A$2:D$41,$D52,1)</f>
        <v>ТАН-426F</v>
      </c>
      <c r="F52" s="1">
        <f>INDEX(У!C$2:D$41,$D52,1)</f>
        <v>1.7</v>
      </c>
      <c r="G52" s="1">
        <f>INDEX(У!D$2:E$41,$D52,1)</f>
        <v>26</v>
      </c>
      <c r="H52" s="2">
        <f t="shared" si="4"/>
        <v>69.699999999999974</v>
      </c>
    </row>
    <row r="53" spans="1:8" x14ac:dyDescent="0.25">
      <c r="A53" s="5">
        <v>8</v>
      </c>
      <c r="B53" s="1">
        <f>B52-C53*У!$C$41-F53</f>
        <v>91.459999999999965</v>
      </c>
      <c r="C53" s="1">
        <v>3</v>
      </c>
      <c r="D53" s="1">
        <v>28</v>
      </c>
      <c r="E53" s="1" t="str">
        <f>INDEX(У!A$2:D$41,$D53,1)</f>
        <v>ТАН-424F</v>
      </c>
      <c r="F53" s="1">
        <f>INDEX(У!C$2:D$41,$D53,1)</f>
        <v>1.7</v>
      </c>
      <c r="G53" s="1">
        <f>INDEX(У!D$2:E$41,$D53,1)</f>
        <v>24</v>
      </c>
      <c r="H53" s="2">
        <f t="shared" si="4"/>
        <v>69.57999999999997</v>
      </c>
    </row>
    <row r="54" spans="1:8" x14ac:dyDescent="0.25">
      <c r="A54" s="5"/>
    </row>
    <row r="55" spans="1:8" x14ac:dyDescent="0.25">
      <c r="B55" s="7">
        <v>100</v>
      </c>
    </row>
    <row r="56" spans="1:8" x14ac:dyDescent="0.25">
      <c r="A56" s="5">
        <v>1</v>
      </c>
      <c r="B56" s="1">
        <f>B55-C56*У!$C$41-F56</f>
        <v>98.3</v>
      </c>
      <c r="C56" s="1">
        <v>0</v>
      </c>
      <c r="D56" s="1">
        <v>29</v>
      </c>
      <c r="E56" s="1" t="str">
        <f>INDEX(У!A$2:D$41,$D56,1)</f>
        <v>ТАН-426F</v>
      </c>
      <c r="F56" s="1">
        <f>INDEX(У!C$2:D$41,$D56,1)</f>
        <v>1.7</v>
      </c>
      <c r="G56" s="1">
        <f>INDEX(У!D$2:E$41,$D56,1)</f>
        <v>26</v>
      </c>
      <c r="H56" s="2">
        <f>B55-G56</f>
        <v>74</v>
      </c>
    </row>
    <row r="57" spans="1:8" x14ac:dyDescent="0.25">
      <c r="A57" s="5">
        <v>2</v>
      </c>
      <c r="B57" s="1">
        <f>B56-C57*У!$C$41-F57</f>
        <v>96.179999999999993</v>
      </c>
      <c r="C57" s="1">
        <v>3</v>
      </c>
      <c r="D57" s="1">
        <v>29</v>
      </c>
      <c r="E57" s="1" t="str">
        <f>INDEX(У!A$2:D$41,$D57,1)</f>
        <v>ТАН-426F</v>
      </c>
      <c r="F57" s="1">
        <f>INDEX(У!C$2:D$41,$D57,1)</f>
        <v>1.7</v>
      </c>
      <c r="G57" s="1">
        <f>INDEX(У!D$2:E$41,$D57,1)</f>
        <v>26</v>
      </c>
      <c r="H57" s="2">
        <f t="shared" ref="H57:H63" si="5">B56-G57</f>
        <v>72.3</v>
      </c>
    </row>
    <row r="58" spans="1:8" x14ac:dyDescent="0.25">
      <c r="A58" s="5">
        <v>3</v>
      </c>
      <c r="B58" s="1">
        <f>B57-C58*У!$C$41-F58</f>
        <v>94.059999999999988</v>
      </c>
      <c r="C58" s="1">
        <v>3</v>
      </c>
      <c r="D58" s="1">
        <v>29</v>
      </c>
      <c r="E58" s="1" t="str">
        <f>INDEX(У!A$2:D$41,$D58,1)</f>
        <v>ТАН-426F</v>
      </c>
      <c r="F58" s="1">
        <f>INDEX(У!C$2:D$41,$D58,1)</f>
        <v>1.7</v>
      </c>
      <c r="G58" s="1">
        <f>INDEX(У!D$2:E$41,$D58,1)</f>
        <v>26</v>
      </c>
      <c r="H58" s="2">
        <f t="shared" si="5"/>
        <v>70.179999999999993</v>
      </c>
    </row>
    <row r="59" spans="1:8" x14ac:dyDescent="0.25">
      <c r="A59" s="5">
        <v>4</v>
      </c>
      <c r="B59" s="1">
        <f>B58-C59*У!$C$41-F59</f>
        <v>91.939999999999984</v>
      </c>
      <c r="C59" s="1">
        <v>3</v>
      </c>
      <c r="D59" s="1">
        <v>28</v>
      </c>
      <c r="E59" s="1" t="str">
        <f>INDEX(У!A$2:D$41,$D59,1)</f>
        <v>ТАН-424F</v>
      </c>
      <c r="F59" s="1">
        <f>INDEX(У!C$2:D$41,$D59,1)</f>
        <v>1.7</v>
      </c>
      <c r="G59" s="1">
        <f>INDEX(У!D$2:E$41,$D59,1)</f>
        <v>24</v>
      </c>
      <c r="H59" s="2">
        <f t="shared" si="5"/>
        <v>70.059999999999988</v>
      </c>
    </row>
    <row r="60" spans="1:8" x14ac:dyDescent="0.25">
      <c r="A60" s="5">
        <v>5</v>
      </c>
      <c r="B60" s="1">
        <f>B59-C60*У!$C$41-F60</f>
        <v>89.519999999999982</v>
      </c>
      <c r="C60" s="1">
        <v>3</v>
      </c>
      <c r="D60" s="1">
        <v>27</v>
      </c>
      <c r="E60" s="1" t="str">
        <f>INDEX(У!A$2:D$41,$D60,1)</f>
        <v>ТАН-420F</v>
      </c>
      <c r="F60" s="1">
        <f>INDEX(У!C$2:D$41,$D60,1)</f>
        <v>2</v>
      </c>
      <c r="G60" s="1">
        <f>INDEX(У!D$2:E$41,$D60,1)</f>
        <v>20</v>
      </c>
      <c r="H60" s="2">
        <f t="shared" si="5"/>
        <v>71.939999999999984</v>
      </c>
    </row>
    <row r="61" spans="1:8" x14ac:dyDescent="0.25">
      <c r="A61" s="5">
        <v>6</v>
      </c>
      <c r="B61" s="1">
        <f>B60-C61*У!$C$41-F61</f>
        <v>87.09999999999998</v>
      </c>
      <c r="C61" s="1">
        <v>3</v>
      </c>
      <c r="D61" s="1">
        <v>27</v>
      </c>
      <c r="E61" s="1" t="str">
        <f>INDEX(У!A$2:D$41,$D61,1)</f>
        <v>ТАН-420F</v>
      </c>
      <c r="F61" s="1">
        <f>INDEX(У!C$2:D$41,$D61,1)</f>
        <v>2</v>
      </c>
      <c r="G61" s="1">
        <f>INDEX(У!D$2:E$41,$D61,1)</f>
        <v>20</v>
      </c>
      <c r="H61" s="2">
        <f t="shared" si="5"/>
        <v>69.519999999999982</v>
      </c>
    </row>
    <row r="62" spans="1:8" x14ac:dyDescent="0.25">
      <c r="A62" s="5">
        <v>7</v>
      </c>
      <c r="B62" s="1">
        <f>B61-C62*У!$C$41-F62</f>
        <v>83.679999999999978</v>
      </c>
      <c r="C62" s="1">
        <v>3</v>
      </c>
      <c r="D62" s="1">
        <v>26</v>
      </c>
      <c r="E62" s="1" t="str">
        <f>INDEX(У!A$2:D$41,$D62,1)</f>
        <v>ТАН-416F</v>
      </c>
      <c r="F62" s="1">
        <f>INDEX(У!C$2:D$41,$D62,1)</f>
        <v>3</v>
      </c>
      <c r="G62" s="1">
        <f>INDEX(У!D$2:E$41,$D62,1)</f>
        <v>16</v>
      </c>
      <c r="H62" s="2">
        <f t="shared" si="5"/>
        <v>71.09999999999998</v>
      </c>
    </row>
    <row r="63" spans="1:8" x14ac:dyDescent="0.25">
      <c r="A63" s="5">
        <v>8</v>
      </c>
      <c r="B63" s="1">
        <f>B62-C63*У!$C$41-F63</f>
        <v>79.759999999999977</v>
      </c>
      <c r="C63" s="1">
        <v>3</v>
      </c>
      <c r="D63" s="1">
        <v>25</v>
      </c>
      <c r="E63" s="1" t="str">
        <f>INDEX(У!A$2:D$41,$D63,1)</f>
        <v>ТАН-414F</v>
      </c>
      <c r="F63" s="1">
        <f>INDEX(У!C$2:D$41,$D63,1)</f>
        <v>3.5</v>
      </c>
      <c r="G63" s="1">
        <f>INDEX(У!D$2:E$41,$D63,1)</f>
        <v>14</v>
      </c>
      <c r="H63" s="2">
        <f t="shared" si="5"/>
        <v>69.679999999999978</v>
      </c>
    </row>
    <row r="65" spans="1:8" x14ac:dyDescent="0.25">
      <c r="B65" s="7">
        <v>108</v>
      </c>
    </row>
    <row r="66" spans="1:8" x14ac:dyDescent="0.25">
      <c r="A66" s="5">
        <v>1</v>
      </c>
      <c r="B66" s="1">
        <f>B65-C66*У!$C$41-F66</f>
        <v>106.3</v>
      </c>
      <c r="C66" s="1">
        <v>0</v>
      </c>
      <c r="D66" s="1">
        <v>21</v>
      </c>
      <c r="E66" s="1" t="str">
        <f>INDEX(У!A$2:D$41,$D66,1)</f>
        <v>ТАН-324F</v>
      </c>
      <c r="F66" s="1">
        <f>INDEX(У!C$2:D$41,$D66,1)</f>
        <v>1.7</v>
      </c>
      <c r="G66" s="1">
        <f>INDEX(У!D$2:E$41,$D66,1)</f>
        <v>24</v>
      </c>
      <c r="H66" s="2">
        <f>B65-G66</f>
        <v>84</v>
      </c>
    </row>
    <row r="67" spans="1:8" x14ac:dyDescent="0.25">
      <c r="A67" s="5">
        <v>2</v>
      </c>
      <c r="B67" s="1">
        <f>B66-C67*У!$C$41-F67</f>
        <v>104.17999999999999</v>
      </c>
      <c r="C67" s="1">
        <v>3</v>
      </c>
      <c r="D67" s="1">
        <v>21</v>
      </c>
      <c r="E67" s="1" t="str">
        <f>INDEX(У!A$2:D$41,$D67,1)</f>
        <v>ТАН-324F</v>
      </c>
      <c r="F67" s="1">
        <f>INDEX(У!C$2:D$41,$D67,1)</f>
        <v>1.7</v>
      </c>
      <c r="G67" s="1">
        <f>INDEX(У!D$2:E$41,$D67,1)</f>
        <v>24</v>
      </c>
      <c r="H67" s="2">
        <f t="shared" ref="H67:H73" si="6">B66-G67</f>
        <v>82.3</v>
      </c>
    </row>
    <row r="68" spans="1:8" x14ac:dyDescent="0.25">
      <c r="A68" s="5">
        <v>3</v>
      </c>
      <c r="B68" s="1">
        <f>B67-C68*У!$C$41-F68</f>
        <v>102.05999999999999</v>
      </c>
      <c r="C68" s="1">
        <v>3</v>
      </c>
      <c r="D68" s="1">
        <v>21</v>
      </c>
      <c r="E68" s="1" t="str">
        <f>INDEX(У!A$2:D$41,$D68,1)</f>
        <v>ТАН-324F</v>
      </c>
      <c r="F68" s="1">
        <f>INDEX(У!C$2:D$41,$D68,1)</f>
        <v>1.7</v>
      </c>
      <c r="G68" s="1">
        <f>INDEX(У!D$2:E$41,$D68,1)</f>
        <v>24</v>
      </c>
      <c r="H68" s="2">
        <f t="shared" si="6"/>
        <v>80.179999999999993</v>
      </c>
    </row>
    <row r="69" spans="1:8" x14ac:dyDescent="0.25">
      <c r="A69" s="5">
        <v>4</v>
      </c>
      <c r="B69" s="1">
        <f>B68-C69*У!$C$41-F69</f>
        <v>99.939999999999984</v>
      </c>
      <c r="C69" s="1">
        <v>3</v>
      </c>
      <c r="D69" s="1">
        <v>21</v>
      </c>
      <c r="E69" s="1" t="str">
        <f>INDEX(У!A$2:D$41,$D69,1)</f>
        <v>ТАН-324F</v>
      </c>
      <c r="F69" s="1">
        <f>INDEX(У!C$2:D$41,$D69,1)</f>
        <v>1.7</v>
      </c>
      <c r="G69" s="1">
        <f>INDEX(У!D$2:E$41,$D69,1)</f>
        <v>24</v>
      </c>
      <c r="H69" s="2">
        <f t="shared" si="6"/>
        <v>78.059999999999988</v>
      </c>
    </row>
    <row r="70" spans="1:8" x14ac:dyDescent="0.25">
      <c r="A70" s="5">
        <v>5</v>
      </c>
      <c r="B70" s="1">
        <f>B69-C70*У!$C$41-F70</f>
        <v>97.819999999999979</v>
      </c>
      <c r="C70" s="1">
        <v>3</v>
      </c>
      <c r="D70" s="1">
        <v>21</v>
      </c>
      <c r="E70" s="1" t="str">
        <f>INDEX(У!A$2:D$41,$D70,1)</f>
        <v>ТАН-324F</v>
      </c>
      <c r="F70" s="1">
        <f>INDEX(У!C$2:D$41,$D70,1)</f>
        <v>1.7</v>
      </c>
      <c r="G70" s="1">
        <f>INDEX(У!D$2:E$41,$D70,1)</f>
        <v>24</v>
      </c>
      <c r="H70" s="2">
        <f t="shared" si="6"/>
        <v>75.939999999999984</v>
      </c>
    </row>
    <row r="71" spans="1:8" x14ac:dyDescent="0.25">
      <c r="A71" s="5">
        <v>6</v>
      </c>
      <c r="B71" s="1">
        <f>B70-C71*У!$C$41-F71</f>
        <v>95.699999999999974</v>
      </c>
      <c r="C71" s="1">
        <v>3</v>
      </c>
      <c r="D71" s="1">
        <v>21</v>
      </c>
      <c r="E71" s="1" t="str">
        <f>INDEX(У!A$2:D$41,$D71,1)</f>
        <v>ТАН-324F</v>
      </c>
      <c r="F71" s="1">
        <f>INDEX(У!C$2:D$41,$D71,1)</f>
        <v>1.7</v>
      </c>
      <c r="G71" s="1">
        <f>INDEX(У!D$2:E$41,$D71,1)</f>
        <v>24</v>
      </c>
      <c r="H71" s="2">
        <f t="shared" si="6"/>
        <v>73.819999999999979</v>
      </c>
    </row>
    <row r="72" spans="1:8" x14ac:dyDescent="0.25">
      <c r="A72" s="5">
        <v>7</v>
      </c>
      <c r="B72" s="1">
        <f>B71-C72*У!$C$41-F72</f>
        <v>93.57999999999997</v>
      </c>
      <c r="C72" s="1">
        <v>3</v>
      </c>
      <c r="D72" s="1">
        <v>21</v>
      </c>
      <c r="E72" s="1" t="str">
        <f>INDEX(У!A$2:D$41,$D72,1)</f>
        <v>ТАН-324F</v>
      </c>
      <c r="F72" s="1">
        <f>INDEX(У!C$2:D$41,$D72,1)</f>
        <v>1.7</v>
      </c>
      <c r="G72" s="1">
        <f>INDEX(У!D$2:E$41,$D72,1)</f>
        <v>24</v>
      </c>
      <c r="H72" s="2">
        <f t="shared" si="6"/>
        <v>71.699999999999974</v>
      </c>
    </row>
    <row r="73" spans="1:8" x14ac:dyDescent="0.25">
      <c r="A73" s="5">
        <v>8</v>
      </c>
      <c r="B73" s="1">
        <f>B72-C73*У!$C$41-F73</f>
        <v>91.459999999999965</v>
      </c>
      <c r="C73" s="1">
        <v>3</v>
      </c>
      <c r="D73" s="1">
        <v>21</v>
      </c>
      <c r="E73" s="1" t="str">
        <f>INDEX(У!A$2:D$41,$D73,1)</f>
        <v>ТАН-324F</v>
      </c>
      <c r="F73" s="1">
        <f>INDEX(У!C$2:D$41,$D73,1)</f>
        <v>1.7</v>
      </c>
      <c r="G73" s="1">
        <f>INDEX(У!D$2:E$41,$D73,1)</f>
        <v>24</v>
      </c>
      <c r="H73" s="2">
        <f t="shared" si="6"/>
        <v>69.57999999999997</v>
      </c>
    </row>
    <row r="77" spans="1:8" x14ac:dyDescent="0.25">
      <c r="D77" s="1">
        <f>(60+70)*4</f>
        <v>520</v>
      </c>
      <c r="F77" s="1">
        <f>7*7*3</f>
        <v>147</v>
      </c>
    </row>
    <row r="78" spans="1:8" x14ac:dyDescent="0.25">
      <c r="D78" s="1">
        <f>(31+19)*3</f>
        <v>150</v>
      </c>
    </row>
    <row r="79" spans="1:8" x14ac:dyDescent="0.25">
      <c r="D79" s="1">
        <f>SUM(D77:D78)</f>
        <v>670</v>
      </c>
    </row>
    <row r="81" spans="4:8" customFormat="1" x14ac:dyDescent="0.25">
      <c r="D81" s="1">
        <f>(3*9)*3*7</f>
        <v>567</v>
      </c>
      <c r="E81" s="1"/>
      <c r="F81" s="1"/>
      <c r="G81" s="1"/>
      <c r="H81" s="2"/>
    </row>
    <row r="84" spans="4:8" customFormat="1" x14ac:dyDescent="0.25">
      <c r="D84" s="1"/>
      <c r="E84" s="1">
        <v>1</v>
      </c>
      <c r="F84" s="1">
        <v>22</v>
      </c>
      <c r="G84" s="1">
        <f>F84-E84+1</f>
        <v>22</v>
      </c>
      <c r="H84" s="2">
        <v>22</v>
      </c>
    </row>
    <row r="85" spans="4:8" customFormat="1" x14ac:dyDescent="0.25">
      <c r="D85" s="1"/>
      <c r="E85" s="1">
        <v>24</v>
      </c>
      <c r="F85" s="1">
        <v>53</v>
      </c>
      <c r="G85" s="1">
        <f t="shared" ref="G85:G90" si="7">F85-E85+1</f>
        <v>30</v>
      </c>
      <c r="H85" s="2">
        <v>30</v>
      </c>
    </row>
    <row r="86" spans="4:8" customFormat="1" x14ac:dyDescent="0.25">
      <c r="D86" s="1"/>
      <c r="E86" s="1">
        <v>54</v>
      </c>
      <c r="F86" s="1">
        <v>85</v>
      </c>
      <c r="G86" s="1">
        <f t="shared" si="7"/>
        <v>32</v>
      </c>
      <c r="H86" s="2">
        <v>30</v>
      </c>
    </row>
    <row r="87" spans="4:8" customFormat="1" x14ac:dyDescent="0.25">
      <c r="D87" s="1">
        <f>90*7</f>
        <v>630</v>
      </c>
      <c r="E87" s="1">
        <v>86</v>
      </c>
      <c r="F87" s="1">
        <v>116</v>
      </c>
      <c r="G87" s="1">
        <f t="shared" si="7"/>
        <v>31</v>
      </c>
      <c r="H87" s="2">
        <v>31</v>
      </c>
    </row>
    <row r="88" spans="4:8" customFormat="1" x14ac:dyDescent="0.25">
      <c r="D88" s="1"/>
      <c r="E88" s="1">
        <v>118</v>
      </c>
      <c r="F88" s="1">
        <v>149</v>
      </c>
      <c r="G88" s="1">
        <f t="shared" si="7"/>
        <v>32</v>
      </c>
      <c r="H88" s="2">
        <v>30</v>
      </c>
    </row>
    <row r="89" spans="4:8" customFormat="1" x14ac:dyDescent="0.25">
      <c r="D89" s="1"/>
      <c r="E89" s="1">
        <v>151</v>
      </c>
      <c r="F89" s="1">
        <v>180</v>
      </c>
      <c r="G89" s="1">
        <f t="shared" si="7"/>
        <v>30</v>
      </c>
      <c r="H89" s="2">
        <v>30</v>
      </c>
    </row>
    <row r="90" spans="4:8" customFormat="1" x14ac:dyDescent="0.25">
      <c r="D90" s="1"/>
      <c r="E90" s="1">
        <v>181</v>
      </c>
      <c r="F90" s="1">
        <v>212</v>
      </c>
      <c r="G90" s="1">
        <f t="shared" si="7"/>
        <v>32</v>
      </c>
      <c r="H90" s="2">
        <v>30</v>
      </c>
    </row>
    <row r="91" spans="4:8" customFormat="1" x14ac:dyDescent="0.25">
      <c r="D91" s="1"/>
      <c r="E91" s="1"/>
      <c r="F91" s="1"/>
      <c r="G91" s="1">
        <f>SUM(G84:G90)</f>
        <v>209</v>
      </c>
      <c r="H91" s="2">
        <f>SUM(H84:H90)</f>
        <v>203</v>
      </c>
    </row>
    <row r="95" spans="4:8" customFormat="1" x14ac:dyDescent="0.25">
      <c r="D95" s="1"/>
      <c r="E95" s="1">
        <f>203/7</f>
        <v>29</v>
      </c>
      <c r="F95" s="1"/>
      <c r="G95" s="1"/>
      <c r="H95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selection activeCell="N6" sqref="N6:O10"/>
    </sheetView>
  </sheetViews>
  <sheetFormatPr defaultRowHeight="15" x14ac:dyDescent="0.25"/>
  <cols>
    <col min="1" max="1" width="5.375" style="2" bestFit="1" customWidth="1"/>
    <col min="2" max="3" width="9.125" style="1"/>
    <col min="4" max="4" width="8" style="1" customWidth="1"/>
    <col min="5" max="5" width="11.125" style="1" customWidth="1"/>
    <col min="6" max="6" width="11.125" style="1" bestFit="1" customWidth="1"/>
    <col min="7" max="9" width="9.125" style="1"/>
    <col min="10" max="11" width="7.375" style="2" bestFit="1" customWidth="1"/>
    <col min="12" max="12" width="11.375" style="2" customWidth="1"/>
    <col min="14" max="14" width="19.75" customWidth="1"/>
    <col min="17" max="17" width="17.625" style="47" customWidth="1"/>
  </cols>
  <sheetData>
    <row r="1" spans="1:17" x14ac:dyDescent="0.25">
      <c r="B1" s="1" t="s">
        <v>45</v>
      </c>
      <c r="C1" s="1" t="s">
        <v>45</v>
      </c>
    </row>
    <row r="3" spans="1:17" ht="30" x14ac:dyDescent="0.25">
      <c r="A3" s="2" t="s">
        <v>27</v>
      </c>
      <c r="B3" s="4" t="s">
        <v>26</v>
      </c>
      <c r="C3" s="4" t="s">
        <v>26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23</v>
      </c>
      <c r="I3" s="3" t="s">
        <v>24</v>
      </c>
      <c r="J3" s="4" t="s">
        <v>25</v>
      </c>
      <c r="K3" s="4" t="s">
        <v>25</v>
      </c>
      <c r="L3" s="2" t="s">
        <v>81</v>
      </c>
    </row>
    <row r="4" spans="1:17" x14ac:dyDescent="0.25">
      <c r="B4" s="3"/>
      <c r="C4" s="3"/>
      <c r="D4" s="3"/>
      <c r="E4" s="3"/>
      <c r="F4" s="3"/>
      <c r="G4" s="3"/>
      <c r="H4" s="3"/>
      <c r="I4" s="3"/>
      <c r="J4" s="4">
        <v>1</v>
      </c>
      <c r="K4" s="4">
        <v>2</v>
      </c>
      <c r="L4" s="12"/>
    </row>
    <row r="5" spans="1:17" x14ac:dyDescent="0.25">
      <c r="B5" s="44">
        <f>100-У!B$41*17</f>
        <v>98.98</v>
      </c>
      <c r="C5" s="44">
        <f>100-У!C$41*17</f>
        <v>97.62</v>
      </c>
      <c r="L5" s="12"/>
      <c r="Q5" s="19" t="str">
        <f>CONCATENATE(B5,"/ ",C5)</f>
        <v>98,98/ 97,62</v>
      </c>
    </row>
    <row r="6" spans="1:17" s="13" customFormat="1" x14ac:dyDescent="0.25">
      <c r="A6" s="10">
        <v>1</v>
      </c>
      <c r="B6" s="45">
        <f>B5-$D6*У!$C$41-G6</f>
        <v>97.34</v>
      </c>
      <c r="C6" s="45">
        <f>C5-$D6*У!$C$41-H6</f>
        <v>95.78</v>
      </c>
      <c r="D6" s="11">
        <v>1</v>
      </c>
      <c r="E6" s="11">
        <v>28</v>
      </c>
      <c r="F6" s="11" t="str">
        <f>INDEX(У!A$2:D$41,$E6,1)</f>
        <v>ТАН-424F</v>
      </c>
      <c r="G6" s="11">
        <f>INDEX(У!B$2:C$41,$E6,1)</f>
        <v>1.5</v>
      </c>
      <c r="H6" s="11">
        <f>INDEX(У!C$2:D$41,$E6,1)</f>
        <v>1.7</v>
      </c>
      <c r="I6" s="11">
        <f>INDEX(У!D$2:E$41,$E6,1)</f>
        <v>24</v>
      </c>
      <c r="J6" s="19">
        <f>B5-I6</f>
        <v>74.98</v>
      </c>
      <c r="K6" s="19">
        <f>C5-I6</f>
        <v>73.62</v>
      </c>
      <c r="L6" s="12" t="str">
        <f>CONCATENATE(J6,"/ ",K6," ")</f>
        <v xml:space="preserve">74,98/ 73,62 </v>
      </c>
      <c r="M6" s="11">
        <v>1</v>
      </c>
      <c r="N6" s="2" t="s">
        <v>85</v>
      </c>
      <c r="O6" s="12">
        <f>SUMIFS(M$6:M$25,F$6:F$25,N6)</f>
        <v>0</v>
      </c>
      <c r="Q6" s="19" t="str">
        <f>CONCATENATE(B6,"/ ",C6)</f>
        <v>97,34/ 95,78</v>
      </c>
    </row>
    <row r="7" spans="1:17" s="13" customFormat="1" x14ac:dyDescent="0.25">
      <c r="A7" s="10">
        <v>2</v>
      </c>
      <c r="B7" s="45">
        <f>B6-$D7*У!$C$41-G7</f>
        <v>95.42</v>
      </c>
      <c r="C7" s="45">
        <f>C6-$D7*У!$C$41-H7</f>
        <v>93.66</v>
      </c>
      <c r="D7" s="11">
        <v>3</v>
      </c>
      <c r="E7" s="11">
        <v>28</v>
      </c>
      <c r="F7" s="11" t="str">
        <f>INDEX(У!A$2:D$41,$E7,1)</f>
        <v>ТАН-424F</v>
      </c>
      <c r="G7" s="11">
        <f>INDEX(У!B$2:C$41,$E7,1)</f>
        <v>1.5</v>
      </c>
      <c r="H7" s="11">
        <f>INDEX(У!C$2:D$41,$E7,1)</f>
        <v>1.7</v>
      </c>
      <c r="I7" s="11">
        <f>INDEX(У!D$2:E$41,$E7,1)</f>
        <v>24</v>
      </c>
      <c r="J7" s="19">
        <f t="shared" ref="J7:J11" si="0">B6-I7</f>
        <v>73.34</v>
      </c>
      <c r="K7" s="19">
        <f t="shared" ref="K7:K11" si="1">C6-I7</f>
        <v>71.78</v>
      </c>
      <c r="L7" s="12" t="str">
        <f t="shared" ref="L7:L11" si="2">CONCATENATE(J7,"/ ",K7," ")</f>
        <v xml:space="preserve">73,34/ 71,78 </v>
      </c>
      <c r="M7" s="11">
        <v>1</v>
      </c>
      <c r="N7" s="12" t="s">
        <v>12</v>
      </c>
      <c r="O7" s="12">
        <f>SUMIFS(M$6:M$25,F$6:F$25,N7)</f>
        <v>6</v>
      </c>
      <c r="Q7" s="19" t="str">
        <f>CONCATENATE(B7,"/ ",C7)</f>
        <v>95,42/ 93,66</v>
      </c>
    </row>
    <row r="8" spans="1:17" s="13" customFormat="1" x14ac:dyDescent="0.25">
      <c r="A8" s="10">
        <v>3</v>
      </c>
      <c r="B8" s="45">
        <f>B7-$D8*У!$C$41-G8</f>
        <v>93.5</v>
      </c>
      <c r="C8" s="45">
        <f>C7-$D8*У!$C$41-H8</f>
        <v>91.539999999999992</v>
      </c>
      <c r="D8" s="11">
        <v>3</v>
      </c>
      <c r="E8" s="11">
        <v>28</v>
      </c>
      <c r="F8" s="11" t="str">
        <f>INDEX(У!A$2:D$41,$E8,1)</f>
        <v>ТАН-424F</v>
      </c>
      <c r="G8" s="11">
        <f>INDEX(У!B$2:C$41,$E8,1)</f>
        <v>1.5</v>
      </c>
      <c r="H8" s="11">
        <f>INDEX(У!C$2:D$41,$E8,1)</f>
        <v>1.7</v>
      </c>
      <c r="I8" s="11">
        <f>INDEX(У!D$2:E$41,$E8,1)</f>
        <v>24</v>
      </c>
      <c r="J8" s="19">
        <f t="shared" si="0"/>
        <v>71.42</v>
      </c>
      <c r="K8" s="19">
        <f t="shared" si="1"/>
        <v>69.66</v>
      </c>
      <c r="L8" s="12" t="str">
        <f t="shared" si="2"/>
        <v xml:space="preserve">71,42/ 69,66 </v>
      </c>
      <c r="M8" s="11">
        <v>1</v>
      </c>
      <c r="N8" s="12" t="s">
        <v>11</v>
      </c>
      <c r="O8" s="12">
        <f t="shared" ref="O8:O11" si="3">SUMIFS(M$6:M$25,F$6:F$25,N8)</f>
        <v>5</v>
      </c>
      <c r="Q8" s="19" t="str">
        <f t="shared" ref="Q8:Q10" si="4">CONCATENATE(B8,"/ ",C8)</f>
        <v>93,5/ 91,54</v>
      </c>
    </row>
    <row r="9" spans="1:17" s="13" customFormat="1" x14ac:dyDescent="0.25">
      <c r="A9" s="10">
        <v>4</v>
      </c>
      <c r="B9" s="45">
        <f>B8-$D9*У!$C$41-G9</f>
        <v>91.38</v>
      </c>
      <c r="C9" s="45">
        <f>C8-$D9*У!$C$41-H9</f>
        <v>89.11999999999999</v>
      </c>
      <c r="D9" s="11">
        <v>3</v>
      </c>
      <c r="E9" s="11">
        <v>27</v>
      </c>
      <c r="F9" s="11" t="str">
        <f>INDEX(У!A$2:D$41,$E9,1)</f>
        <v>ТАН-420F</v>
      </c>
      <c r="G9" s="11">
        <f>INDEX(У!B$2:C$41,$E9,1)</f>
        <v>1.7</v>
      </c>
      <c r="H9" s="11">
        <f>INDEX(У!C$2:D$41,$E9,1)</f>
        <v>2</v>
      </c>
      <c r="I9" s="11">
        <f>INDEX(У!D$2:E$41,$E9,1)</f>
        <v>20</v>
      </c>
      <c r="J9" s="19">
        <f t="shared" si="0"/>
        <v>73.5</v>
      </c>
      <c r="K9" s="19">
        <f t="shared" si="1"/>
        <v>71.539999999999992</v>
      </c>
      <c r="L9" s="12" t="str">
        <f t="shared" si="2"/>
        <v xml:space="preserve">73,5/ 71,54 </v>
      </c>
      <c r="M9" s="11">
        <v>1</v>
      </c>
      <c r="N9" s="12" t="s">
        <v>10</v>
      </c>
      <c r="O9" s="12">
        <f t="shared" si="3"/>
        <v>4</v>
      </c>
      <c r="Q9" s="19" t="str">
        <f t="shared" si="4"/>
        <v>91,38/ 89,12</v>
      </c>
    </row>
    <row r="10" spans="1:17" s="13" customFormat="1" x14ac:dyDescent="0.25">
      <c r="A10" s="10">
        <v>5</v>
      </c>
      <c r="B10" s="45">
        <f>B9-$D10*У!$C$41-G10</f>
        <v>89.259999999999991</v>
      </c>
      <c r="C10" s="45">
        <f>C9-$D10*У!$C$41-H10</f>
        <v>86.699999999999989</v>
      </c>
      <c r="D10" s="11">
        <v>3</v>
      </c>
      <c r="E10" s="11">
        <v>27</v>
      </c>
      <c r="F10" s="11" t="str">
        <f>INDEX(У!A$2:D$41,$E10,1)</f>
        <v>ТАН-420F</v>
      </c>
      <c r="G10" s="11">
        <f>INDEX(У!B$2:C$41,$E10,1)</f>
        <v>1.7</v>
      </c>
      <c r="H10" s="11">
        <f>INDEX(У!C$2:D$41,$E10,1)</f>
        <v>2</v>
      </c>
      <c r="I10" s="11">
        <f>INDEX(У!D$2:E$41,$E10,1)</f>
        <v>20</v>
      </c>
      <c r="J10" s="19">
        <f t="shared" si="0"/>
        <v>71.38</v>
      </c>
      <c r="K10" s="19">
        <f t="shared" si="1"/>
        <v>69.11999999999999</v>
      </c>
      <c r="L10" s="12" t="str">
        <f t="shared" si="2"/>
        <v xml:space="preserve">71,38/ 69,12 </v>
      </c>
      <c r="M10" s="11">
        <v>1</v>
      </c>
      <c r="N10" s="12" t="s">
        <v>9</v>
      </c>
      <c r="O10" s="12">
        <f t="shared" si="3"/>
        <v>1</v>
      </c>
      <c r="Q10" s="19" t="str">
        <f t="shared" si="4"/>
        <v>89,26/ 86,7</v>
      </c>
    </row>
    <row r="11" spans="1:17" s="13" customFormat="1" x14ac:dyDescent="0.25">
      <c r="A11" s="10">
        <v>6</v>
      </c>
      <c r="B11" s="45">
        <f>B10-$D11*У!$C$41-G11</f>
        <v>86.339999999999989</v>
      </c>
      <c r="C11" s="45">
        <f>C10-$D11*У!$C$41-H11</f>
        <v>83.279999999999987</v>
      </c>
      <c r="D11" s="11">
        <v>3</v>
      </c>
      <c r="E11" s="11">
        <v>26</v>
      </c>
      <c r="F11" s="11" t="str">
        <f>INDEX(У!A$2:D$41,$E11,1)</f>
        <v>ТАН-416F</v>
      </c>
      <c r="G11" s="11">
        <f>INDEX(У!B$2:C$41,$E11,1)</f>
        <v>2.5</v>
      </c>
      <c r="H11" s="11">
        <f>INDEX(У!C$2:D$41,$E11,1)</f>
        <v>3</v>
      </c>
      <c r="I11" s="11">
        <f>INDEX(У!D$2:E$41,$E11,1)</f>
        <v>16</v>
      </c>
      <c r="J11" s="19">
        <f t="shared" si="0"/>
        <v>73.259999999999991</v>
      </c>
      <c r="K11" s="19">
        <f t="shared" si="1"/>
        <v>70.699999999999989</v>
      </c>
      <c r="L11" s="12" t="str">
        <f t="shared" si="2"/>
        <v xml:space="preserve">73,26/ 70,7 </v>
      </c>
      <c r="M11" s="11">
        <v>1</v>
      </c>
      <c r="N11" s="12"/>
      <c r="O11" s="12">
        <f t="shared" si="3"/>
        <v>0</v>
      </c>
      <c r="Q11" s="19"/>
    </row>
    <row r="12" spans="1:17" x14ac:dyDescent="0.25">
      <c r="A12" s="5"/>
      <c r="B12" s="46"/>
      <c r="C12" s="46"/>
      <c r="J12" s="18"/>
      <c r="K12" s="18"/>
      <c r="L12" s="12"/>
      <c r="M12" s="1"/>
      <c r="N12" s="2"/>
      <c r="O12" s="2"/>
      <c r="Q12" s="19"/>
    </row>
    <row r="13" spans="1:17" x14ac:dyDescent="0.25">
      <c r="B13" s="44">
        <f>100-У!B$41*36</f>
        <v>97.84</v>
      </c>
      <c r="C13" s="44">
        <f>100-У!C$41*36</f>
        <v>94.96</v>
      </c>
      <c r="J13" s="18"/>
      <c r="K13" s="18"/>
      <c r="L13" s="12"/>
      <c r="Q13" s="19" t="str">
        <f>CONCATENATE(B13,"/ ",C13)</f>
        <v>97,84/ 94,96</v>
      </c>
    </row>
    <row r="14" spans="1:17" x14ac:dyDescent="0.25">
      <c r="A14" s="5">
        <v>1</v>
      </c>
      <c r="B14" s="46">
        <f>B13-$D14*У!$C$41-G14</f>
        <v>96.2</v>
      </c>
      <c r="C14" s="46">
        <f>C13-$D14*У!$C$41-H14</f>
        <v>93.11999999999999</v>
      </c>
      <c r="D14" s="1">
        <v>1</v>
      </c>
      <c r="E14" s="11">
        <v>28</v>
      </c>
      <c r="F14" s="1" t="str">
        <f>INDEX(У!A$2:D$41,$E14,1)</f>
        <v>ТАН-424F</v>
      </c>
      <c r="G14" s="1">
        <f>INDEX(У!B$2:C$41,$E14,1)</f>
        <v>1.5</v>
      </c>
      <c r="H14" s="1">
        <f>INDEX(У!C$2:D$41,$E14,1)</f>
        <v>1.7</v>
      </c>
      <c r="I14" s="1">
        <f>INDEX(У!D$2:E$41,$E14,1)</f>
        <v>24</v>
      </c>
      <c r="J14" s="18">
        <f>B13-I14</f>
        <v>73.84</v>
      </c>
      <c r="K14" s="18">
        <f>C13-I14</f>
        <v>70.959999999999994</v>
      </c>
      <c r="L14" s="12" t="str">
        <f>CONCATENATE(J14,"/ ",K14," ")</f>
        <v xml:space="preserve">73,84/ 70,96 </v>
      </c>
      <c r="M14" s="1">
        <v>1</v>
      </c>
      <c r="N14" s="2"/>
      <c r="O14" s="2"/>
      <c r="Q14" s="19" t="str">
        <f>CONCATENATE(B14,"/ ",C14)</f>
        <v>96,2/ 93,12</v>
      </c>
    </row>
    <row r="15" spans="1:17" s="13" customFormat="1" x14ac:dyDescent="0.25">
      <c r="A15" s="10">
        <v>2</v>
      </c>
      <c r="B15" s="45">
        <f>B14-$D15*У!$C$41-G15</f>
        <v>94.28</v>
      </c>
      <c r="C15" s="45">
        <f>C14-$D15*У!$C$41-H15</f>
        <v>90.999999999999986</v>
      </c>
      <c r="D15" s="11">
        <v>3</v>
      </c>
      <c r="E15" s="11">
        <v>28</v>
      </c>
      <c r="F15" s="11" t="str">
        <f>INDEX(У!A$2:D$41,$E15,1)</f>
        <v>ТАН-424F</v>
      </c>
      <c r="G15" s="11">
        <f>INDEX(У!B$2:C$41,$E15,1)</f>
        <v>1.5</v>
      </c>
      <c r="H15" s="11">
        <f>INDEX(У!C$2:D$41,$E15,1)</f>
        <v>1.7</v>
      </c>
      <c r="I15" s="11">
        <f>INDEX(У!D$2:E$41,$E15,1)</f>
        <v>24</v>
      </c>
      <c r="J15" s="19">
        <f t="shared" ref="J15:J18" si="5">B14-I15</f>
        <v>72.2</v>
      </c>
      <c r="K15" s="19">
        <f t="shared" ref="K15:K18" si="6">C14-I15</f>
        <v>69.11999999999999</v>
      </c>
      <c r="L15" s="12" t="str">
        <f t="shared" ref="L15:L18" si="7">CONCATENATE(J15,"/ ",K15," ")</f>
        <v xml:space="preserve">72,2/ 69,12 </v>
      </c>
      <c r="M15" s="11">
        <v>1</v>
      </c>
      <c r="N15" s="12"/>
      <c r="O15" s="12"/>
      <c r="Q15" s="19" t="str">
        <f t="shared" ref="Q15:Q17" si="8">CONCATENATE(B15,"/ ",C15)</f>
        <v>94,28/ 91</v>
      </c>
    </row>
    <row r="16" spans="1:17" s="13" customFormat="1" x14ac:dyDescent="0.25">
      <c r="A16" s="10">
        <v>3</v>
      </c>
      <c r="B16" s="45">
        <f>B15-$D16*У!$C$41-G16</f>
        <v>92.16</v>
      </c>
      <c r="C16" s="45">
        <f>C15-$D16*У!$C$41-H16</f>
        <v>88.579999999999984</v>
      </c>
      <c r="D16" s="11">
        <v>3</v>
      </c>
      <c r="E16" s="11">
        <v>27</v>
      </c>
      <c r="F16" s="11" t="str">
        <f>INDEX(У!A$2:D$41,$E16,1)</f>
        <v>ТАН-420F</v>
      </c>
      <c r="G16" s="11">
        <f>INDEX(У!B$2:C$41,$E16,1)</f>
        <v>1.7</v>
      </c>
      <c r="H16" s="11">
        <f>INDEX(У!C$2:D$41,$E16,1)</f>
        <v>2</v>
      </c>
      <c r="I16" s="11">
        <f>INDEX(У!D$2:E$41,$E16,1)</f>
        <v>20</v>
      </c>
      <c r="J16" s="19">
        <f t="shared" si="5"/>
        <v>74.28</v>
      </c>
      <c r="K16" s="19">
        <f t="shared" si="6"/>
        <v>70.999999999999986</v>
      </c>
      <c r="L16" s="12" t="str">
        <f t="shared" si="7"/>
        <v xml:space="preserve">74,28/ 71 </v>
      </c>
      <c r="M16" s="11">
        <v>1</v>
      </c>
      <c r="N16" s="12"/>
      <c r="O16" s="12"/>
      <c r="Q16" s="19" t="str">
        <f t="shared" si="8"/>
        <v>92,16/ 88,58</v>
      </c>
    </row>
    <row r="17" spans="1:17" s="13" customFormat="1" x14ac:dyDescent="0.25">
      <c r="A17" s="10">
        <v>4</v>
      </c>
      <c r="B17" s="45">
        <f>B16-$D17*У!$C$41-G17</f>
        <v>89.24</v>
      </c>
      <c r="C17" s="45">
        <f>C16-$D17*У!$C$41-H17</f>
        <v>85.159999999999982</v>
      </c>
      <c r="D17" s="11">
        <v>3</v>
      </c>
      <c r="E17" s="11">
        <v>26</v>
      </c>
      <c r="F17" s="11" t="str">
        <f>INDEX(У!A$2:D$41,$E17,1)</f>
        <v>ТАН-416F</v>
      </c>
      <c r="G17" s="11">
        <f>INDEX(У!B$2:C$41,$E17,1)</f>
        <v>2.5</v>
      </c>
      <c r="H17" s="11">
        <f>INDEX(У!C$2:D$41,$E17,1)</f>
        <v>3</v>
      </c>
      <c r="I17" s="11">
        <f>INDEX(У!D$2:E$41,$E17,1)</f>
        <v>16</v>
      </c>
      <c r="J17" s="19">
        <f t="shared" si="5"/>
        <v>76.16</v>
      </c>
      <c r="K17" s="19">
        <f t="shared" si="6"/>
        <v>72.579999999999984</v>
      </c>
      <c r="L17" s="12" t="str">
        <f t="shared" si="7"/>
        <v xml:space="preserve">76,16/ 72,58 </v>
      </c>
      <c r="M17" s="11">
        <v>1</v>
      </c>
      <c r="N17" s="12"/>
      <c r="O17" s="12"/>
      <c r="Q17" s="19" t="str">
        <f t="shared" si="8"/>
        <v>89,24/ 85,16</v>
      </c>
    </row>
    <row r="18" spans="1:17" s="13" customFormat="1" x14ac:dyDescent="0.25">
      <c r="A18" s="10">
        <v>5</v>
      </c>
      <c r="B18" s="45">
        <f>B17-$D18*У!$C$41-G18</f>
        <v>86.32</v>
      </c>
      <c r="C18" s="45">
        <f>C17-$D18*У!$C$41-H18</f>
        <v>81.739999999999981</v>
      </c>
      <c r="D18" s="11">
        <v>3</v>
      </c>
      <c r="E18" s="11">
        <v>26</v>
      </c>
      <c r="F18" s="11" t="str">
        <f>INDEX(У!A$2:D$41,$E18,1)</f>
        <v>ТАН-416F</v>
      </c>
      <c r="G18" s="11">
        <f>INDEX(У!B$2:C$41,$E18,1)</f>
        <v>2.5</v>
      </c>
      <c r="H18" s="11">
        <f>INDEX(У!C$2:D$41,$E18,1)</f>
        <v>3</v>
      </c>
      <c r="I18" s="11">
        <f>INDEX(У!D$2:E$41,$E18,1)</f>
        <v>16</v>
      </c>
      <c r="J18" s="19">
        <f t="shared" si="5"/>
        <v>73.239999999999995</v>
      </c>
      <c r="K18" s="19">
        <f t="shared" si="6"/>
        <v>69.159999999999982</v>
      </c>
      <c r="L18" s="12" t="str">
        <f t="shared" si="7"/>
        <v xml:space="preserve">73,24/ 69,16 </v>
      </c>
      <c r="M18" s="11">
        <v>1</v>
      </c>
      <c r="N18" s="12"/>
      <c r="O18" s="12"/>
      <c r="Q18" s="19"/>
    </row>
    <row r="19" spans="1:17" x14ac:dyDescent="0.25">
      <c r="B19" s="46"/>
      <c r="C19" s="46"/>
      <c r="J19" s="18"/>
      <c r="K19" s="18"/>
    </row>
    <row r="20" spans="1:17" x14ac:dyDescent="0.25">
      <c r="B20" s="44">
        <f>100-У!B$41*53</f>
        <v>96.82</v>
      </c>
      <c r="C20" s="44">
        <f>100-У!C$41*53</f>
        <v>92.58</v>
      </c>
      <c r="J20" s="18"/>
      <c r="K20" s="18"/>
      <c r="L20" s="12"/>
      <c r="Q20" s="19" t="str">
        <f>CONCATENATE(B20,"/ ",C20)</f>
        <v>96,82/ 92,58</v>
      </c>
    </row>
    <row r="21" spans="1:17" x14ac:dyDescent="0.25">
      <c r="A21" s="5">
        <v>1</v>
      </c>
      <c r="B21" s="46">
        <f>B20-$D21*У!$C$41-G21</f>
        <v>95.179999999999993</v>
      </c>
      <c r="C21" s="46">
        <f>C20-$D21*У!$C$41-H21</f>
        <v>90.74</v>
      </c>
      <c r="D21" s="1">
        <v>1</v>
      </c>
      <c r="E21" s="11">
        <v>28</v>
      </c>
      <c r="F21" s="1" t="str">
        <f>INDEX(У!A$2:D$41,$E21,1)</f>
        <v>ТАН-424F</v>
      </c>
      <c r="G21" s="1">
        <f>INDEX(У!B$2:C$41,$E21,1)</f>
        <v>1.5</v>
      </c>
      <c r="H21" s="1">
        <f>INDEX(У!C$2:D$41,$E21,1)</f>
        <v>1.7</v>
      </c>
      <c r="I21" s="1">
        <f>INDEX(У!D$2:E$41,$E21,1)</f>
        <v>24</v>
      </c>
      <c r="J21" s="18">
        <f>B20-I21</f>
        <v>72.819999999999993</v>
      </c>
      <c r="K21" s="18">
        <f>C20-I21</f>
        <v>68.58</v>
      </c>
      <c r="L21" s="12" t="str">
        <f>CONCATENATE(J21,"/ ",K21," ")</f>
        <v xml:space="preserve">72,82/ 68,58 </v>
      </c>
      <c r="M21" s="1">
        <v>1</v>
      </c>
      <c r="N21" s="2"/>
      <c r="O21" s="2"/>
      <c r="Q21" s="19" t="str">
        <f>CONCATENATE(B21,"/ ",C21)</f>
        <v>95,18/ 90,74</v>
      </c>
    </row>
    <row r="22" spans="1:17" s="13" customFormat="1" x14ac:dyDescent="0.25">
      <c r="A22" s="10">
        <v>2</v>
      </c>
      <c r="B22" s="45">
        <f>B21-$D22*У!$C$41-G22</f>
        <v>93.059999999999988</v>
      </c>
      <c r="C22" s="45">
        <f>C21-$D22*У!$C$41-H22</f>
        <v>88.32</v>
      </c>
      <c r="D22" s="11">
        <v>3</v>
      </c>
      <c r="E22" s="11">
        <v>27</v>
      </c>
      <c r="F22" s="11" t="str">
        <f>INDEX(У!A$2:D$41,$E22,1)</f>
        <v>ТАН-420F</v>
      </c>
      <c r="G22" s="11">
        <f>INDEX(У!B$2:C$41,$E22,1)</f>
        <v>1.7</v>
      </c>
      <c r="H22" s="11">
        <f>INDEX(У!C$2:D$41,$E22,1)</f>
        <v>2</v>
      </c>
      <c r="I22" s="11">
        <f>INDEX(У!D$2:E$41,$E22,1)</f>
        <v>20</v>
      </c>
      <c r="J22" s="19">
        <f t="shared" ref="J22:J25" si="9">B21-I22</f>
        <v>75.179999999999993</v>
      </c>
      <c r="K22" s="19">
        <f t="shared" ref="K22:K25" si="10">C21-I22</f>
        <v>70.739999999999995</v>
      </c>
      <c r="L22" s="12" t="str">
        <f t="shared" ref="L22:L25" si="11">CONCATENATE(J22,"/ ",K22," ")</f>
        <v xml:space="preserve">75,18/ 70,74 </v>
      </c>
      <c r="M22" s="11">
        <v>1</v>
      </c>
      <c r="N22" s="12"/>
      <c r="O22" s="12"/>
      <c r="Q22" s="19" t="str">
        <f t="shared" ref="Q22:Q24" si="12">CONCATENATE(B22,"/ ",C22)</f>
        <v>93,06/ 88,32</v>
      </c>
    </row>
    <row r="23" spans="1:17" s="13" customFormat="1" x14ac:dyDescent="0.25">
      <c r="A23" s="10">
        <v>3</v>
      </c>
      <c r="B23" s="45">
        <f>B22-$D23*У!$C$41-G23</f>
        <v>90.939999999999984</v>
      </c>
      <c r="C23" s="45">
        <f>C22-$D23*У!$C$41-H23</f>
        <v>85.899999999999991</v>
      </c>
      <c r="D23" s="11">
        <v>3</v>
      </c>
      <c r="E23" s="11">
        <v>27</v>
      </c>
      <c r="F23" s="11" t="str">
        <f>INDEX(У!A$2:D$41,$E23,1)</f>
        <v>ТАН-420F</v>
      </c>
      <c r="G23" s="11">
        <f>INDEX(У!B$2:C$41,$E23,1)</f>
        <v>1.7</v>
      </c>
      <c r="H23" s="11">
        <f>INDEX(У!C$2:D$41,$E23,1)</f>
        <v>2</v>
      </c>
      <c r="I23" s="11">
        <f>INDEX(У!D$2:E$41,$E23,1)</f>
        <v>20</v>
      </c>
      <c r="J23" s="19">
        <f t="shared" si="9"/>
        <v>73.059999999999988</v>
      </c>
      <c r="K23" s="19">
        <f t="shared" si="10"/>
        <v>68.319999999999993</v>
      </c>
      <c r="L23" s="12" t="str">
        <f t="shared" si="11"/>
        <v xml:space="preserve">73,06/ 68,32 </v>
      </c>
      <c r="M23" s="11">
        <v>1</v>
      </c>
      <c r="N23" s="12"/>
      <c r="O23" s="12"/>
      <c r="Q23" s="19" t="str">
        <f t="shared" si="12"/>
        <v>90,94/ 85,9</v>
      </c>
    </row>
    <row r="24" spans="1:17" s="13" customFormat="1" x14ac:dyDescent="0.25">
      <c r="A24" s="10">
        <v>4</v>
      </c>
      <c r="B24" s="45">
        <f>B23-$D24*У!$C$41-G24</f>
        <v>88.019999999999982</v>
      </c>
      <c r="C24" s="45">
        <f>C23-$D24*У!$C$41-H24</f>
        <v>82.47999999999999</v>
      </c>
      <c r="D24" s="11">
        <v>3</v>
      </c>
      <c r="E24" s="11">
        <v>26</v>
      </c>
      <c r="F24" s="11" t="str">
        <f>INDEX(У!A$2:D$41,$E24,1)</f>
        <v>ТАН-416F</v>
      </c>
      <c r="G24" s="11">
        <f>INDEX(У!B$2:C$41,$E24,1)</f>
        <v>2.5</v>
      </c>
      <c r="H24" s="11">
        <f>INDEX(У!C$2:D$41,$E24,1)</f>
        <v>3</v>
      </c>
      <c r="I24" s="11">
        <f>INDEX(У!D$2:E$41,$E24,1)</f>
        <v>16</v>
      </c>
      <c r="J24" s="19">
        <f t="shared" si="9"/>
        <v>74.939999999999984</v>
      </c>
      <c r="K24" s="19">
        <f t="shared" si="10"/>
        <v>69.899999999999991</v>
      </c>
      <c r="L24" s="12" t="str">
        <f t="shared" si="11"/>
        <v xml:space="preserve">74,94/ 69,9 </v>
      </c>
      <c r="M24" s="11">
        <v>1</v>
      </c>
      <c r="N24" s="12"/>
      <c r="O24" s="12"/>
      <c r="Q24" s="19" t="str">
        <f t="shared" si="12"/>
        <v>88,02/ 82,48</v>
      </c>
    </row>
    <row r="25" spans="1:17" s="13" customFormat="1" x14ac:dyDescent="0.25">
      <c r="A25" s="10">
        <v>5</v>
      </c>
      <c r="B25" s="45">
        <f>B24-$D25*У!$C$41-G25</f>
        <v>84.59999999999998</v>
      </c>
      <c r="C25" s="45">
        <f>C24-$D25*У!$C$41-H25</f>
        <v>78.559999999999988</v>
      </c>
      <c r="D25" s="11">
        <v>3</v>
      </c>
      <c r="E25" s="11">
        <v>25</v>
      </c>
      <c r="F25" s="11" t="str">
        <f>INDEX(У!A$2:D$41,$E25,1)</f>
        <v>ТАН-414F</v>
      </c>
      <c r="G25" s="11">
        <f>INDEX(У!B$2:C$41,$E25,1)</f>
        <v>3</v>
      </c>
      <c r="H25" s="11">
        <f>INDEX(У!C$2:D$41,$E25,1)</f>
        <v>3.5</v>
      </c>
      <c r="I25" s="11">
        <f>INDEX(У!D$2:E$41,$E25,1)</f>
        <v>14</v>
      </c>
      <c r="J25" s="19">
        <f t="shared" si="9"/>
        <v>74.019999999999982</v>
      </c>
      <c r="K25" s="19">
        <f t="shared" si="10"/>
        <v>68.47999999999999</v>
      </c>
      <c r="L25" s="12" t="str">
        <f t="shared" si="11"/>
        <v xml:space="preserve">74,02/ 68,48 </v>
      </c>
      <c r="M25" s="11">
        <v>1</v>
      </c>
      <c r="N25" s="12"/>
      <c r="O25" s="12"/>
      <c r="Q25" s="19"/>
    </row>
    <row r="30" spans="1:17" x14ac:dyDescent="0.25">
      <c r="B30" s="43">
        <f>100-У!B$41*17</f>
        <v>98.98</v>
      </c>
      <c r="C30" s="43">
        <f>100-У!C$41*17</f>
        <v>97.62</v>
      </c>
      <c r="L30" s="12"/>
    </row>
    <row r="31" spans="1:17" s="13" customFormat="1" x14ac:dyDescent="0.25">
      <c r="A31" s="10">
        <v>1</v>
      </c>
      <c r="B31" s="11">
        <f>B30-$D31*У!$C$41-G31</f>
        <v>97.34</v>
      </c>
      <c r="C31" s="11">
        <f>C30-$D31*У!$C$41-H31</f>
        <v>95.78</v>
      </c>
      <c r="D31" s="11">
        <v>1</v>
      </c>
      <c r="E31" s="11">
        <v>28</v>
      </c>
      <c r="F31" s="11" t="str">
        <f>INDEX(У!A$2:D$41,$E31,1)</f>
        <v>ТАН-424F</v>
      </c>
      <c r="G31" s="11">
        <f>INDEX(У!B$2:C$41,$E31,1)</f>
        <v>1.5</v>
      </c>
      <c r="H31" s="11">
        <f>INDEX(У!C$2:D$41,$E31,1)</f>
        <v>1.7</v>
      </c>
      <c r="I31" s="11">
        <f>INDEX(У!D$2:E$41,$E31,1)</f>
        <v>24</v>
      </c>
      <c r="J31" s="12">
        <f>B30-I31</f>
        <v>74.98</v>
      </c>
      <c r="K31" s="12">
        <f>C30-I31</f>
        <v>73.62</v>
      </c>
      <c r="L31" s="12" t="str">
        <f>CONCATENATE(J31,"/ ",K31," ")</f>
        <v xml:space="preserve">74,98/ 73,62 </v>
      </c>
      <c r="M31" s="11">
        <v>1</v>
      </c>
      <c r="N31" s="2" t="s">
        <v>85</v>
      </c>
      <c r="O31" s="12">
        <f>SUMIFS(M$6:M$25,F$6:F$25,N31)</f>
        <v>0</v>
      </c>
      <c r="Q31" s="19" t="str">
        <f>CONCATENATE(B31,"/ ",C31)</f>
        <v>97,34/ 95,78</v>
      </c>
    </row>
    <row r="32" spans="1:17" s="13" customFormat="1" x14ac:dyDescent="0.25">
      <c r="A32" s="10">
        <v>2</v>
      </c>
      <c r="B32" s="11">
        <f>B31-$D32*У!$C$41-G32</f>
        <v>95.42</v>
      </c>
      <c r="C32" s="11">
        <f>C31-$D32*У!$C$41-H32</f>
        <v>93.66</v>
      </c>
      <c r="D32" s="11">
        <v>3</v>
      </c>
      <c r="E32" s="11">
        <v>28</v>
      </c>
      <c r="F32" s="11" t="str">
        <f>INDEX(У!A$2:D$41,$E32,1)</f>
        <v>ТАН-424F</v>
      </c>
      <c r="G32" s="11">
        <f>INDEX(У!B$2:C$41,$E32,1)</f>
        <v>1.5</v>
      </c>
      <c r="H32" s="11">
        <f>INDEX(У!C$2:D$41,$E32,1)</f>
        <v>1.7</v>
      </c>
      <c r="I32" s="11">
        <f>INDEX(У!D$2:E$41,$E32,1)</f>
        <v>24</v>
      </c>
      <c r="J32" s="12">
        <f t="shared" ref="J32:J36" si="13">B31-I32</f>
        <v>73.34</v>
      </c>
      <c r="K32" s="12">
        <f t="shared" ref="K32:K36" si="14">C31-I32</f>
        <v>71.78</v>
      </c>
      <c r="L32" s="12" t="str">
        <f t="shared" ref="L32:L38" si="15">CONCATENATE(J32,"/ ",K32," ")</f>
        <v xml:space="preserve">73,34/ 71,78 </v>
      </c>
      <c r="M32" s="11">
        <v>1</v>
      </c>
      <c r="N32" s="12" t="s">
        <v>12</v>
      </c>
      <c r="O32" s="12">
        <f>SUMIFS(M$6:M$25,F$6:F$25,N32)</f>
        <v>6</v>
      </c>
      <c r="Q32" s="19" t="str">
        <f t="shared" ref="Q32:Q36" si="16">CONCATENATE(B32,"/ ",C32)</f>
        <v>95,42/ 93,66</v>
      </c>
    </row>
    <row r="33" spans="1:17" s="13" customFormat="1" x14ac:dyDescent="0.25">
      <c r="A33" s="10">
        <v>3</v>
      </c>
      <c r="B33" s="11">
        <f>B32-$D33*У!$C$41-G33</f>
        <v>93.5</v>
      </c>
      <c r="C33" s="11">
        <f>C32-$D33*У!$C$41-H33</f>
        <v>91.539999999999992</v>
      </c>
      <c r="D33" s="11">
        <v>3</v>
      </c>
      <c r="E33" s="11">
        <v>28</v>
      </c>
      <c r="F33" s="11" t="str">
        <f>INDEX(У!A$2:D$41,$E33,1)</f>
        <v>ТАН-424F</v>
      </c>
      <c r="G33" s="11">
        <f>INDEX(У!B$2:C$41,$E33,1)</f>
        <v>1.5</v>
      </c>
      <c r="H33" s="11">
        <f>INDEX(У!C$2:D$41,$E33,1)</f>
        <v>1.7</v>
      </c>
      <c r="I33" s="11">
        <f>INDEX(У!D$2:E$41,$E33,1)</f>
        <v>24</v>
      </c>
      <c r="J33" s="12">
        <f t="shared" si="13"/>
        <v>71.42</v>
      </c>
      <c r="K33" s="12">
        <f t="shared" si="14"/>
        <v>69.66</v>
      </c>
      <c r="L33" s="12" t="str">
        <f t="shared" si="15"/>
        <v xml:space="preserve">71,42/ 69,66 </v>
      </c>
      <c r="M33" s="11">
        <v>1</v>
      </c>
      <c r="N33" s="12" t="s">
        <v>11</v>
      </c>
      <c r="O33" s="12">
        <f t="shared" ref="O33:O36" si="17">SUMIFS(M$6:M$25,F$6:F$25,N33)</f>
        <v>5</v>
      </c>
      <c r="Q33" s="19" t="str">
        <f t="shared" si="16"/>
        <v>93,5/ 91,54</v>
      </c>
    </row>
    <row r="34" spans="1:17" s="13" customFormat="1" x14ac:dyDescent="0.25">
      <c r="A34" s="10">
        <v>4</v>
      </c>
      <c r="B34" s="11">
        <f>B33-$D34*У!$C$41-G34</f>
        <v>91.38</v>
      </c>
      <c r="C34" s="11">
        <f>C33-$D34*У!$C$41-H34</f>
        <v>89.11999999999999</v>
      </c>
      <c r="D34" s="11">
        <v>3</v>
      </c>
      <c r="E34" s="11">
        <v>27</v>
      </c>
      <c r="F34" s="11" t="str">
        <f>INDEX(У!A$2:D$41,$E34,1)</f>
        <v>ТАН-420F</v>
      </c>
      <c r="G34" s="11">
        <f>INDEX(У!B$2:C$41,$E34,1)</f>
        <v>1.7</v>
      </c>
      <c r="H34" s="11">
        <f>INDEX(У!C$2:D$41,$E34,1)</f>
        <v>2</v>
      </c>
      <c r="I34" s="11">
        <f>INDEX(У!D$2:E$41,$E34,1)</f>
        <v>20</v>
      </c>
      <c r="J34" s="12">
        <f t="shared" si="13"/>
        <v>73.5</v>
      </c>
      <c r="K34" s="12">
        <f t="shared" si="14"/>
        <v>71.539999999999992</v>
      </c>
      <c r="L34" s="12" t="str">
        <f t="shared" si="15"/>
        <v xml:space="preserve">73,5/ 71,54 </v>
      </c>
      <c r="M34" s="11">
        <v>1</v>
      </c>
      <c r="N34" s="12" t="s">
        <v>10</v>
      </c>
      <c r="O34" s="12">
        <f t="shared" si="17"/>
        <v>4</v>
      </c>
      <c r="Q34" s="19" t="str">
        <f t="shared" si="16"/>
        <v>91,38/ 89,12</v>
      </c>
    </row>
    <row r="35" spans="1:17" s="13" customFormat="1" x14ac:dyDescent="0.25">
      <c r="A35" s="10">
        <v>5</v>
      </c>
      <c r="B35" s="11">
        <f>B34-$D35*У!$C$41-G35</f>
        <v>89.259999999999991</v>
      </c>
      <c r="C35" s="11">
        <f>C34-$D35*У!$C$41-H35</f>
        <v>86.699999999999989</v>
      </c>
      <c r="D35" s="11">
        <v>3</v>
      </c>
      <c r="E35" s="11">
        <v>27</v>
      </c>
      <c r="F35" s="11" t="str">
        <f>INDEX(У!A$2:D$41,$E35,1)</f>
        <v>ТАН-420F</v>
      </c>
      <c r="G35" s="11">
        <f>INDEX(У!B$2:C$41,$E35,1)</f>
        <v>1.7</v>
      </c>
      <c r="H35" s="11">
        <f>INDEX(У!C$2:D$41,$E35,1)</f>
        <v>2</v>
      </c>
      <c r="I35" s="11">
        <f>INDEX(У!D$2:E$41,$E35,1)</f>
        <v>20</v>
      </c>
      <c r="J35" s="12">
        <f t="shared" si="13"/>
        <v>71.38</v>
      </c>
      <c r="K35" s="12">
        <f t="shared" si="14"/>
        <v>69.11999999999999</v>
      </c>
      <c r="L35" s="12" t="str">
        <f t="shared" si="15"/>
        <v xml:space="preserve">71,38/ 69,12 </v>
      </c>
      <c r="M35" s="11">
        <v>1</v>
      </c>
      <c r="N35" s="12" t="s">
        <v>9</v>
      </c>
      <c r="O35" s="12">
        <f t="shared" si="17"/>
        <v>1</v>
      </c>
      <c r="Q35" s="19" t="str">
        <f t="shared" si="16"/>
        <v>89,26/ 86,7</v>
      </c>
    </row>
    <row r="36" spans="1:17" s="13" customFormat="1" x14ac:dyDescent="0.25">
      <c r="A36" s="10">
        <v>6</v>
      </c>
      <c r="B36" s="11">
        <f>B35-$D36*У!$C$41-G36</f>
        <v>86.339999999999989</v>
      </c>
      <c r="C36" s="11">
        <f>C35-$D36*У!$C$41-H36</f>
        <v>83.279999999999987</v>
      </c>
      <c r="D36" s="11">
        <v>3</v>
      </c>
      <c r="E36" s="11">
        <v>26</v>
      </c>
      <c r="F36" s="11" t="str">
        <f>INDEX(У!A$2:D$41,$E36,1)</f>
        <v>ТАН-416F</v>
      </c>
      <c r="G36" s="11">
        <f>INDEX(У!B$2:C$41,$E36,1)</f>
        <v>2.5</v>
      </c>
      <c r="H36" s="11">
        <f>INDEX(У!C$2:D$41,$E36,1)</f>
        <v>3</v>
      </c>
      <c r="I36" s="11">
        <f>INDEX(У!D$2:E$41,$E36,1)</f>
        <v>16</v>
      </c>
      <c r="J36" s="12">
        <f t="shared" si="13"/>
        <v>73.259999999999991</v>
      </c>
      <c r="K36" s="12">
        <f t="shared" si="14"/>
        <v>70.699999999999989</v>
      </c>
      <c r="L36" s="12" t="str">
        <f t="shared" si="15"/>
        <v xml:space="preserve">73,26/ 70,7 </v>
      </c>
      <c r="M36" s="11">
        <v>1</v>
      </c>
      <c r="N36" s="12"/>
      <c r="O36" s="12">
        <f t="shared" si="17"/>
        <v>0</v>
      </c>
      <c r="Q36" s="19" t="str">
        <f t="shared" si="16"/>
        <v>86,34/ 83,28</v>
      </c>
    </row>
    <row r="37" spans="1:17" s="13" customFormat="1" x14ac:dyDescent="0.25">
      <c r="A37" s="10">
        <v>7</v>
      </c>
      <c r="B37" s="11">
        <f>B36-$D37*У!$C$41-G37</f>
        <v>82.919999999999987</v>
      </c>
      <c r="C37" s="11">
        <f>C36-$D37*У!$C$41-H37</f>
        <v>79.359999999999985</v>
      </c>
      <c r="D37" s="11">
        <v>3</v>
      </c>
      <c r="E37" s="11">
        <v>25</v>
      </c>
      <c r="F37" s="11" t="str">
        <f>INDEX(У!A$2:D$41,$E37,1)</f>
        <v>ТАН-414F</v>
      </c>
      <c r="G37" s="11">
        <f>INDEX(У!B$2:C$41,$E37,1)</f>
        <v>3</v>
      </c>
      <c r="H37" s="11">
        <f>INDEX(У!C$2:D$41,$E37,1)</f>
        <v>3.5</v>
      </c>
      <c r="I37" s="11">
        <f>INDEX(У!D$2:E$41,$E37,1)</f>
        <v>14</v>
      </c>
      <c r="J37" s="12">
        <f t="shared" ref="J37:J38" si="18">B36-I37</f>
        <v>72.339999999999989</v>
      </c>
      <c r="K37" s="12">
        <f t="shared" ref="K37:K38" si="19">C36-I37</f>
        <v>69.279999999999987</v>
      </c>
      <c r="L37" s="12" t="str">
        <f t="shared" si="15"/>
        <v xml:space="preserve">72,34/ 69,28 </v>
      </c>
      <c r="M37" s="11">
        <v>1</v>
      </c>
      <c r="N37" s="12"/>
      <c r="O37" s="12">
        <f t="shared" ref="O37:O38" si="20">SUMIFS(M$6:M$25,F$6:F$25,N37)</f>
        <v>0</v>
      </c>
      <c r="Q37" s="19" t="str">
        <f t="shared" ref="Q37:Q38" si="21">CONCATENATE(B37,"/ ",C37)</f>
        <v>82,92/ 79,36</v>
      </c>
    </row>
    <row r="38" spans="1:17" s="13" customFormat="1" x14ac:dyDescent="0.25">
      <c r="A38" s="10">
        <v>8</v>
      </c>
      <c r="B38" s="11">
        <f>B37-$D38*У!$C$41-G38</f>
        <v>78.499999999999986</v>
      </c>
      <c r="C38" s="11">
        <f>C37-$D38*У!$C$41-H38</f>
        <v>73.939999999999984</v>
      </c>
      <c r="D38" s="11">
        <v>3</v>
      </c>
      <c r="E38" s="11">
        <v>23</v>
      </c>
      <c r="F38" s="11" t="str">
        <f>INDEX(У!A$2:D$41,$E38,1)</f>
        <v>ТАН-410F</v>
      </c>
      <c r="G38" s="11">
        <f>INDEX(У!B$2:C$41,$E38,1)</f>
        <v>4</v>
      </c>
      <c r="H38" s="11">
        <f>INDEX(У!C$2:D$41,$E38,1)</f>
        <v>5</v>
      </c>
      <c r="I38" s="11">
        <f>INDEX(У!D$2:E$41,$E38,1)</f>
        <v>10</v>
      </c>
      <c r="J38" s="12">
        <f t="shared" si="18"/>
        <v>72.919999999999987</v>
      </c>
      <c r="K38" s="12">
        <f t="shared" si="19"/>
        <v>69.359999999999985</v>
      </c>
      <c r="L38" s="12" t="str">
        <f t="shared" si="15"/>
        <v xml:space="preserve">72,92/ 69,36 </v>
      </c>
      <c r="M38" s="11">
        <v>1</v>
      </c>
      <c r="N38" s="12"/>
      <c r="O38" s="12">
        <f t="shared" si="20"/>
        <v>0</v>
      </c>
      <c r="Q38" s="19" t="str">
        <f t="shared" si="21"/>
        <v>78,5/ 73,94</v>
      </c>
    </row>
    <row r="40" spans="1:17" x14ac:dyDescent="0.25">
      <c r="B40" s="43">
        <f>103-У!B$41*43</f>
        <v>100.42</v>
      </c>
      <c r="C40" s="43">
        <f>103-У!C$41*43</f>
        <v>96.98</v>
      </c>
      <c r="L40" s="12"/>
    </row>
    <row r="41" spans="1:17" x14ac:dyDescent="0.25">
      <c r="A41" s="5">
        <v>1</v>
      </c>
      <c r="B41" s="1">
        <f>B40-$D41*У!$C$41-G41</f>
        <v>98.78</v>
      </c>
      <c r="C41" s="1">
        <f>C40-$D41*У!$C$41-H41</f>
        <v>95.14</v>
      </c>
      <c r="D41" s="1">
        <v>1</v>
      </c>
      <c r="E41" s="11">
        <v>29</v>
      </c>
      <c r="F41" s="1" t="str">
        <f>INDEX(У!A$2:D$41,$E41,1)</f>
        <v>ТАН-426F</v>
      </c>
      <c r="G41" s="1">
        <f>INDEX(У!B$2:C$41,$E41,1)</f>
        <v>1.5</v>
      </c>
      <c r="H41" s="1">
        <f>INDEX(У!C$2:D$41,$E41,1)</f>
        <v>1.7</v>
      </c>
      <c r="I41" s="1">
        <f>INDEX(У!D$2:E$41,$E41,1)</f>
        <v>26</v>
      </c>
      <c r="J41" s="2">
        <f>B40-I41</f>
        <v>74.42</v>
      </c>
      <c r="K41" s="2">
        <f>C40-I41</f>
        <v>70.98</v>
      </c>
      <c r="L41" s="12" t="str">
        <f>CONCATENATE(J41,"/ ",K41," ")</f>
        <v xml:space="preserve">74,42/ 70,98 </v>
      </c>
      <c r="M41" s="1">
        <v>1</v>
      </c>
      <c r="N41" s="2"/>
      <c r="O41" s="2"/>
      <c r="Q41" s="19" t="str">
        <f>CONCATENATE(B41,"/ ",C41)</f>
        <v>98,78/ 95,14</v>
      </c>
    </row>
    <row r="42" spans="1:17" s="13" customFormat="1" x14ac:dyDescent="0.25">
      <c r="A42" s="10">
        <v>2</v>
      </c>
      <c r="B42" s="11">
        <f>B41-$D42*У!$C$41-G42</f>
        <v>96.86</v>
      </c>
      <c r="C42" s="11">
        <f>C41-$D42*У!$C$41-H42</f>
        <v>93.02</v>
      </c>
      <c r="D42" s="11">
        <v>3</v>
      </c>
      <c r="E42" s="11">
        <v>29</v>
      </c>
      <c r="F42" s="11" t="str">
        <f>INDEX(У!A$2:D$41,$E42,1)</f>
        <v>ТАН-426F</v>
      </c>
      <c r="G42" s="11">
        <f>INDEX(У!B$2:C$41,$E42,1)</f>
        <v>1.5</v>
      </c>
      <c r="H42" s="11">
        <f>INDEX(У!C$2:D$41,$E42,1)</f>
        <v>1.7</v>
      </c>
      <c r="I42" s="11">
        <f>INDEX(У!D$2:E$41,$E42,1)</f>
        <v>26</v>
      </c>
      <c r="J42" s="12">
        <f t="shared" ref="J42:J45" si="22">B41-I42</f>
        <v>72.78</v>
      </c>
      <c r="K42" s="12">
        <f t="shared" ref="K42:K45" si="23">C41-I42</f>
        <v>69.14</v>
      </c>
      <c r="L42" s="12" t="str">
        <f t="shared" ref="L42:L48" si="24">CONCATENATE(J42,"/ ",K42," ")</f>
        <v xml:space="preserve">72,78/ 69,14 </v>
      </c>
      <c r="M42" s="11">
        <v>1</v>
      </c>
      <c r="N42" s="12"/>
      <c r="O42" s="12"/>
      <c r="Q42" s="19" t="str">
        <f t="shared" ref="Q42:Q45" si="25">CONCATENATE(B42,"/ ",C42)</f>
        <v>96,86/ 93,02</v>
      </c>
    </row>
    <row r="43" spans="1:17" s="13" customFormat="1" x14ac:dyDescent="0.25">
      <c r="A43" s="10">
        <v>3</v>
      </c>
      <c r="B43" s="11">
        <f>B42-$D43*У!$C$41-G43</f>
        <v>94.94</v>
      </c>
      <c r="C43" s="11">
        <f>C42-$D43*У!$C$41-H43</f>
        <v>90.899999999999991</v>
      </c>
      <c r="D43" s="11">
        <v>3</v>
      </c>
      <c r="E43" s="11">
        <v>28</v>
      </c>
      <c r="F43" s="11" t="str">
        <f>INDEX(У!A$2:D$41,$E43,1)</f>
        <v>ТАН-424F</v>
      </c>
      <c r="G43" s="11">
        <f>INDEX(У!B$2:C$41,$E43,1)</f>
        <v>1.5</v>
      </c>
      <c r="H43" s="11">
        <f>INDEX(У!C$2:D$41,$E43,1)</f>
        <v>1.7</v>
      </c>
      <c r="I43" s="11">
        <f>INDEX(У!D$2:E$41,$E43,1)</f>
        <v>24</v>
      </c>
      <c r="J43" s="12">
        <f t="shared" si="22"/>
        <v>72.86</v>
      </c>
      <c r="K43" s="12">
        <f t="shared" si="23"/>
        <v>69.02</v>
      </c>
      <c r="L43" s="12" t="str">
        <f t="shared" si="24"/>
        <v xml:space="preserve">72,86/ 69,02 </v>
      </c>
      <c r="M43" s="11">
        <v>1</v>
      </c>
      <c r="N43" s="12"/>
      <c r="O43" s="12"/>
      <c r="Q43" s="19" t="str">
        <f t="shared" si="25"/>
        <v>94,94/ 90,9</v>
      </c>
    </row>
    <row r="44" spans="1:17" s="13" customFormat="1" x14ac:dyDescent="0.25">
      <c r="A44" s="10">
        <v>4</v>
      </c>
      <c r="B44" s="11">
        <f>B43-$D44*У!$C$41-G44</f>
        <v>93.02</v>
      </c>
      <c r="C44" s="11">
        <f>C43-$D44*У!$C$41-H44</f>
        <v>88.779999999999987</v>
      </c>
      <c r="D44" s="11">
        <v>3</v>
      </c>
      <c r="E44" s="11">
        <v>28</v>
      </c>
      <c r="F44" s="11" t="str">
        <f>INDEX(У!A$2:D$41,$E44,1)</f>
        <v>ТАН-424F</v>
      </c>
      <c r="G44" s="11">
        <f>INDEX(У!B$2:C$41,$E44,1)</f>
        <v>1.5</v>
      </c>
      <c r="H44" s="11">
        <f>INDEX(У!C$2:D$41,$E44,1)</f>
        <v>1.7</v>
      </c>
      <c r="I44" s="11">
        <f>INDEX(У!D$2:E$41,$E44,1)</f>
        <v>24</v>
      </c>
      <c r="J44" s="12">
        <f t="shared" si="22"/>
        <v>70.94</v>
      </c>
      <c r="K44" s="12">
        <f t="shared" si="23"/>
        <v>66.899999999999991</v>
      </c>
      <c r="L44" s="12" t="str">
        <f t="shared" si="24"/>
        <v xml:space="preserve">70,94/ 66,9 </v>
      </c>
      <c r="M44" s="11">
        <v>1</v>
      </c>
      <c r="N44" s="12"/>
      <c r="O44" s="12"/>
      <c r="Q44" s="19" t="str">
        <f t="shared" si="25"/>
        <v>93,02/ 88,78</v>
      </c>
    </row>
    <row r="45" spans="1:17" s="13" customFormat="1" x14ac:dyDescent="0.25">
      <c r="A45" s="10">
        <v>5</v>
      </c>
      <c r="B45" s="11">
        <f>B44-$D45*У!$C$41-G45</f>
        <v>88.6</v>
      </c>
      <c r="C45" s="11">
        <f>C44-$D45*У!$C$41-H45</f>
        <v>83.359999999999985</v>
      </c>
      <c r="D45" s="11">
        <v>3</v>
      </c>
      <c r="E45" s="11">
        <v>23</v>
      </c>
      <c r="F45" s="11" t="str">
        <f>INDEX(У!A$2:D$41,$E45,1)</f>
        <v>ТАН-410F</v>
      </c>
      <c r="G45" s="11">
        <f>INDEX(У!B$2:C$41,$E45,1)</f>
        <v>4</v>
      </c>
      <c r="H45" s="11">
        <f>INDEX(У!C$2:D$41,$E45,1)</f>
        <v>5</v>
      </c>
      <c r="I45" s="11">
        <f>INDEX(У!D$2:E$41,$E45,1)</f>
        <v>10</v>
      </c>
      <c r="J45" s="12">
        <f t="shared" si="22"/>
        <v>83.02</v>
      </c>
      <c r="K45" s="12">
        <f t="shared" si="23"/>
        <v>78.779999999999987</v>
      </c>
      <c r="L45" s="12" t="str">
        <f t="shared" si="24"/>
        <v xml:space="preserve">83,02/ 78,78 </v>
      </c>
      <c r="M45" s="11">
        <v>1</v>
      </c>
      <c r="N45" s="12"/>
      <c r="O45" s="12"/>
      <c r="Q45" s="19" t="str">
        <f t="shared" si="25"/>
        <v>88,6/ 83,36</v>
      </c>
    </row>
    <row r="46" spans="1:17" s="13" customFormat="1" x14ac:dyDescent="0.25">
      <c r="A46" s="10">
        <v>6</v>
      </c>
      <c r="B46" s="11">
        <f>B45-$D46*У!$C$41-G46</f>
        <v>85.179999999999993</v>
      </c>
      <c r="C46" s="11">
        <f>C45-$D46*У!$C$41-H46</f>
        <v>79.439999999999984</v>
      </c>
      <c r="D46" s="11">
        <v>3</v>
      </c>
      <c r="E46" s="11">
        <v>25</v>
      </c>
      <c r="F46" s="11" t="str">
        <f>INDEX(У!A$2:D$41,$E46,1)</f>
        <v>ТАН-414F</v>
      </c>
      <c r="G46" s="11">
        <f>INDEX(У!B$2:C$41,$E46,1)</f>
        <v>3</v>
      </c>
      <c r="H46" s="11">
        <f>INDEX(У!C$2:D$41,$E46,1)</f>
        <v>3.5</v>
      </c>
      <c r="I46" s="11">
        <f>INDEX(У!D$2:E$41,$E46,1)</f>
        <v>14</v>
      </c>
      <c r="J46" s="12">
        <f t="shared" ref="J46:J48" si="26">B45-I46</f>
        <v>74.599999999999994</v>
      </c>
      <c r="K46" s="12">
        <f t="shared" ref="K46:K48" si="27">C45-I46</f>
        <v>69.359999999999985</v>
      </c>
      <c r="L46" s="12" t="str">
        <f t="shared" si="24"/>
        <v xml:space="preserve">74,6/ 69,36 </v>
      </c>
      <c r="M46" s="11">
        <v>1</v>
      </c>
      <c r="N46" s="12"/>
      <c r="O46" s="12"/>
      <c r="Q46" s="19" t="str">
        <f t="shared" ref="Q46:Q48" si="28">CONCATENATE(B46,"/ ",C46)</f>
        <v>85,18/ 79,44</v>
      </c>
    </row>
    <row r="47" spans="1:17" s="13" customFormat="1" x14ac:dyDescent="0.25">
      <c r="A47" s="10">
        <v>7</v>
      </c>
      <c r="B47" s="11">
        <f>B46-$D47*У!$C$41-G47</f>
        <v>80.759999999999991</v>
      </c>
      <c r="C47" s="11">
        <f>C46-$D47*У!$C$41-H47</f>
        <v>74.019999999999982</v>
      </c>
      <c r="D47" s="11">
        <v>3</v>
      </c>
      <c r="E47" s="11">
        <v>23</v>
      </c>
      <c r="F47" s="11" t="str">
        <f>INDEX(У!A$2:D$41,$E47,1)</f>
        <v>ТАН-410F</v>
      </c>
      <c r="G47" s="11">
        <f>INDEX(У!B$2:C$41,$E47,1)</f>
        <v>4</v>
      </c>
      <c r="H47" s="11">
        <f>INDEX(У!C$2:D$41,$E47,1)</f>
        <v>5</v>
      </c>
      <c r="I47" s="11">
        <f>INDEX(У!D$2:E$41,$E47,1)</f>
        <v>10</v>
      </c>
      <c r="J47" s="12">
        <f t="shared" si="26"/>
        <v>75.179999999999993</v>
      </c>
      <c r="K47" s="12">
        <f t="shared" si="27"/>
        <v>69.439999999999984</v>
      </c>
      <c r="L47" s="12" t="str">
        <f t="shared" si="24"/>
        <v xml:space="preserve">75,18/ 69,44 </v>
      </c>
      <c r="M47" s="11">
        <v>1</v>
      </c>
      <c r="N47" s="12"/>
      <c r="O47" s="12"/>
      <c r="Q47" s="19" t="str">
        <f t="shared" si="28"/>
        <v>80,76/ 74,02</v>
      </c>
    </row>
    <row r="48" spans="1:17" s="13" customFormat="1" x14ac:dyDescent="0.25">
      <c r="A48" s="10">
        <v>8</v>
      </c>
      <c r="B48" s="11">
        <f>B47-$D48*У!$C$41-G48</f>
        <v>77.339999999999989</v>
      </c>
      <c r="C48" s="11">
        <f>C47-$D48*У!$C$41-H48</f>
        <v>70.09999999999998</v>
      </c>
      <c r="D48" s="11">
        <v>3</v>
      </c>
      <c r="E48" s="11">
        <v>25</v>
      </c>
      <c r="F48" s="11" t="str">
        <f>INDEX(У!A$2:D$41,$E48,1)</f>
        <v>ТАН-414F</v>
      </c>
      <c r="G48" s="11">
        <f>INDEX(У!B$2:C$41,$E48,1)</f>
        <v>3</v>
      </c>
      <c r="H48" s="11">
        <f>INDEX(У!C$2:D$41,$E48,1)</f>
        <v>3.5</v>
      </c>
      <c r="I48" s="11">
        <f>INDEX(У!D$2:E$41,$E48,1)</f>
        <v>14</v>
      </c>
      <c r="J48" s="12">
        <f t="shared" si="26"/>
        <v>66.759999999999991</v>
      </c>
      <c r="K48" s="12">
        <f t="shared" si="27"/>
        <v>60.019999999999982</v>
      </c>
      <c r="L48" s="12" t="str">
        <f t="shared" si="24"/>
        <v xml:space="preserve">66,76/ 60,02 </v>
      </c>
      <c r="M48" s="11">
        <v>1</v>
      </c>
      <c r="N48" s="12"/>
      <c r="O48" s="12"/>
      <c r="Q48" s="19" t="str">
        <f t="shared" si="28"/>
        <v>77,34/ 70,1</v>
      </c>
    </row>
    <row r="49" spans="1:12" x14ac:dyDescent="0.25">
      <c r="A49"/>
      <c r="B49"/>
      <c r="C49"/>
      <c r="D49"/>
      <c r="E49"/>
      <c r="F49"/>
    </row>
    <row r="50" spans="1:12" x14ac:dyDescent="0.25">
      <c r="A50"/>
      <c r="B50"/>
      <c r="C50"/>
      <c r="D50"/>
      <c r="E50"/>
      <c r="F50"/>
    </row>
    <row r="51" spans="1:12" x14ac:dyDescent="0.25">
      <c r="A51"/>
      <c r="B51"/>
      <c r="C51"/>
      <c r="D51"/>
      <c r="E51"/>
      <c r="F51"/>
    </row>
    <row r="52" spans="1:12" x14ac:dyDescent="0.25">
      <c r="A52"/>
      <c r="B52"/>
      <c r="C52"/>
      <c r="D52"/>
      <c r="E52"/>
      <c r="F52"/>
    </row>
    <row r="53" spans="1:12" x14ac:dyDescent="0.25">
      <c r="A53"/>
      <c r="B53"/>
      <c r="C53"/>
      <c r="D53"/>
      <c r="E53"/>
      <c r="F53"/>
    </row>
    <row r="57" spans="1:12" x14ac:dyDescent="0.25">
      <c r="A57"/>
      <c r="B57"/>
      <c r="C57"/>
      <c r="D57"/>
      <c r="E57"/>
      <c r="F57"/>
    </row>
    <row r="58" spans="1:12" x14ac:dyDescent="0.25">
      <c r="A58"/>
      <c r="B58"/>
      <c r="C58"/>
      <c r="D58"/>
      <c r="E58"/>
      <c r="F58"/>
    </row>
    <row r="59" spans="1:12" x14ac:dyDescent="0.25">
      <c r="A59"/>
      <c r="B59"/>
      <c r="C59"/>
      <c r="D59"/>
      <c r="E59"/>
      <c r="F59"/>
    </row>
    <row r="61" spans="1:12" x14ac:dyDescent="0.25">
      <c r="A61"/>
      <c r="B61"/>
      <c r="C61"/>
      <c r="D61"/>
      <c r="E61"/>
      <c r="F61"/>
      <c r="G61"/>
      <c r="H61"/>
      <c r="I61"/>
      <c r="J61"/>
      <c r="K61"/>
      <c r="L61"/>
    </row>
    <row r="64" spans="1:12" x14ac:dyDescent="0.25">
      <c r="A64"/>
      <c r="B64"/>
      <c r="C64"/>
      <c r="D64"/>
      <c r="E64"/>
      <c r="F64"/>
      <c r="G64"/>
      <c r="H64"/>
      <c r="I64"/>
      <c r="J64"/>
      <c r="K64"/>
      <c r="L64"/>
    </row>
    <row r="65" spans="1:12" x14ac:dyDescent="0.25">
      <c r="A65"/>
      <c r="B65"/>
      <c r="C65"/>
      <c r="D65"/>
      <c r="E65"/>
      <c r="F65"/>
      <c r="G65"/>
      <c r="H65"/>
      <c r="I65"/>
      <c r="J65"/>
      <c r="K65"/>
      <c r="L65"/>
    </row>
    <row r="66" spans="1:12" x14ac:dyDescent="0.25">
      <c r="A66"/>
      <c r="B66"/>
      <c r="C66"/>
      <c r="D66"/>
      <c r="E66"/>
      <c r="F66"/>
      <c r="G66"/>
      <c r="H66"/>
      <c r="I66"/>
      <c r="J66"/>
      <c r="K66"/>
      <c r="L66"/>
    </row>
    <row r="67" spans="1:12" x14ac:dyDescent="0.25">
      <c r="A67"/>
      <c r="B67"/>
      <c r="C67"/>
      <c r="D67"/>
      <c r="E67"/>
      <c r="F67"/>
      <c r="G67"/>
      <c r="H67"/>
      <c r="I67"/>
      <c r="J67"/>
      <c r="K67"/>
      <c r="L67"/>
    </row>
    <row r="68" spans="1:12" x14ac:dyDescent="0.25">
      <c r="A68"/>
      <c r="B68"/>
      <c r="C68"/>
      <c r="D68"/>
      <c r="E68"/>
      <c r="F68"/>
      <c r="G68"/>
      <c r="H68"/>
      <c r="I68"/>
      <c r="J68"/>
      <c r="K68"/>
      <c r="L68"/>
    </row>
    <row r="69" spans="1:12" x14ac:dyDescent="0.25">
      <c r="A69"/>
      <c r="B69"/>
      <c r="C69"/>
      <c r="D69"/>
      <c r="E69"/>
      <c r="F69"/>
      <c r="G69"/>
      <c r="H69"/>
      <c r="I69"/>
      <c r="J69"/>
      <c r="K69"/>
      <c r="L69"/>
    </row>
    <row r="70" spans="1:12" x14ac:dyDescent="0.25">
      <c r="A70"/>
      <c r="B70"/>
      <c r="C70"/>
      <c r="D70"/>
      <c r="E70"/>
      <c r="F70"/>
      <c r="G70"/>
      <c r="H70"/>
      <c r="I70"/>
      <c r="J70"/>
      <c r="K70"/>
      <c r="L70"/>
    </row>
    <row r="71" spans="1:12" x14ac:dyDescent="0.25">
      <c r="A71"/>
      <c r="B71"/>
      <c r="C71"/>
      <c r="D71"/>
      <c r="E71"/>
      <c r="F71"/>
      <c r="G71"/>
      <c r="H71"/>
      <c r="I71"/>
      <c r="J71"/>
      <c r="K71"/>
      <c r="L71"/>
    </row>
    <row r="75" spans="1:12" x14ac:dyDescent="0.25">
      <c r="A75"/>
      <c r="B75"/>
      <c r="C75"/>
      <c r="D75"/>
      <c r="E75"/>
      <c r="F75"/>
      <c r="G75"/>
      <c r="H75"/>
      <c r="I75"/>
      <c r="J75"/>
      <c r="K75"/>
      <c r="L75"/>
    </row>
  </sheetData>
  <conditionalFormatting sqref="O6:O12">
    <cfRule type="cellIs" dxfId="10" priority="12" operator="greaterThan">
      <formula>0</formula>
    </cfRule>
  </conditionalFormatting>
  <conditionalFormatting sqref="O14:O18">
    <cfRule type="cellIs" dxfId="9" priority="11" operator="greaterThan">
      <formula>0</formula>
    </cfRule>
  </conditionalFormatting>
  <conditionalFormatting sqref="O21:O25">
    <cfRule type="cellIs" dxfId="8" priority="9" operator="greaterThan">
      <formula>0</formula>
    </cfRule>
  </conditionalFormatting>
  <conditionalFormatting sqref="O31:O36">
    <cfRule type="cellIs" dxfId="7" priority="7" operator="greaterThan">
      <formula>0</formula>
    </cfRule>
  </conditionalFormatting>
  <conditionalFormatting sqref="O37">
    <cfRule type="cellIs" dxfId="6" priority="4" operator="greaterThan">
      <formula>0</formula>
    </cfRule>
  </conditionalFormatting>
  <conditionalFormatting sqref="O41:O45">
    <cfRule type="cellIs" dxfId="5" priority="5" operator="greaterThan">
      <formula>0</formula>
    </cfRule>
  </conditionalFormatting>
  <conditionalFormatting sqref="O38">
    <cfRule type="cellIs" dxfId="4" priority="3" operator="greaterThan">
      <formula>0</formula>
    </cfRule>
  </conditionalFormatting>
  <conditionalFormatting sqref="O46:O47">
    <cfRule type="cellIs" dxfId="3" priority="2" operator="greaterThan">
      <formula>0</formula>
    </cfRule>
  </conditionalFormatting>
  <conditionalFormatting sqref="O48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M14" sqref="M14"/>
    </sheetView>
  </sheetViews>
  <sheetFormatPr defaultRowHeight="15" x14ac:dyDescent="0.25"/>
  <cols>
    <col min="6" max="6" width="10" customWidth="1"/>
    <col min="12" max="12" width="14.25" customWidth="1"/>
    <col min="14" max="14" width="10.875" customWidth="1"/>
    <col min="17" max="17" width="15.75" customWidth="1"/>
  </cols>
  <sheetData>
    <row r="1" spans="1:17" ht="45" x14ac:dyDescent="0.25">
      <c r="A1" s="2" t="s">
        <v>27</v>
      </c>
      <c r="B1" s="4" t="s">
        <v>26</v>
      </c>
      <c r="C1" s="4" t="s">
        <v>26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23</v>
      </c>
      <c r="I1" s="3" t="s">
        <v>24</v>
      </c>
      <c r="J1" s="4" t="s">
        <v>25</v>
      </c>
      <c r="K1" s="4" t="s">
        <v>25</v>
      </c>
      <c r="L1" s="2" t="s">
        <v>81</v>
      </c>
      <c r="Q1" s="47"/>
    </row>
    <row r="2" spans="1:17" x14ac:dyDescent="0.25">
      <c r="A2" s="2"/>
      <c r="B2" s="4"/>
      <c r="C2" s="4"/>
      <c r="D2" s="3"/>
      <c r="E2" s="3"/>
      <c r="F2" s="3"/>
      <c r="G2" s="3"/>
      <c r="H2" s="3"/>
      <c r="I2" s="3"/>
      <c r="J2" s="4"/>
      <c r="K2" s="4"/>
      <c r="L2" s="2"/>
      <c r="Q2" s="47"/>
    </row>
    <row r="3" spans="1:17" x14ac:dyDescent="0.25">
      <c r="A3" s="2"/>
      <c r="B3" s="4"/>
      <c r="C3" s="4"/>
      <c r="D3" s="3"/>
      <c r="E3" s="3"/>
      <c r="F3" s="3"/>
      <c r="G3" s="3"/>
      <c r="H3" s="3"/>
      <c r="I3" s="3"/>
      <c r="J3" s="4"/>
      <c r="K3" s="4"/>
      <c r="L3" s="2"/>
      <c r="Q3" s="47"/>
    </row>
    <row r="4" spans="1:17" x14ac:dyDescent="0.25">
      <c r="A4" s="2"/>
      <c r="B4" s="3"/>
      <c r="C4" s="3"/>
      <c r="D4" s="3"/>
      <c r="E4" s="3"/>
      <c r="F4" s="3"/>
      <c r="G4" s="3"/>
      <c r="H4" s="3"/>
      <c r="I4" s="3"/>
      <c r="J4" s="4">
        <v>1</v>
      </c>
      <c r="K4" s="4">
        <v>2</v>
      </c>
      <c r="L4" s="12"/>
      <c r="Q4" s="47"/>
    </row>
    <row r="5" spans="1:17" x14ac:dyDescent="0.25">
      <c r="A5" s="2"/>
      <c r="B5" s="43">
        <f>98-У!B$41*50</f>
        <v>95</v>
      </c>
      <c r="C5" s="43">
        <f>102-У!C$41*50</f>
        <v>95</v>
      </c>
      <c r="D5" s="1"/>
      <c r="E5" s="1"/>
      <c r="F5" s="1"/>
      <c r="G5" s="1"/>
      <c r="H5" s="1"/>
      <c r="I5" s="1"/>
      <c r="J5" s="2"/>
      <c r="K5" s="2"/>
      <c r="L5" s="12"/>
      <c r="Q5" s="47"/>
    </row>
    <row r="6" spans="1:17" x14ac:dyDescent="0.25">
      <c r="A6" s="5">
        <v>1</v>
      </c>
      <c r="B6" s="1">
        <f>B5-$D6*У!$C$41-G6</f>
        <v>93.36</v>
      </c>
      <c r="C6" s="1">
        <f>C5-$D6*У!$C$41-H6</f>
        <v>93.16</v>
      </c>
      <c r="D6" s="1">
        <v>1</v>
      </c>
      <c r="E6" s="11">
        <v>28</v>
      </c>
      <c r="F6" s="1" t="str">
        <f>INDEX(У!A$2:D$41,$E6,1)</f>
        <v>ТАН-424F</v>
      </c>
      <c r="G6" s="1">
        <f>INDEX(У!B$2:C$41,$E6,1)</f>
        <v>1.5</v>
      </c>
      <c r="H6" s="1">
        <f>INDEX(У!C$2:D$41,$E6,1)</f>
        <v>1.7</v>
      </c>
      <c r="I6" s="1">
        <f>INDEX(У!D$2:E$41,$E6,1)</f>
        <v>24</v>
      </c>
      <c r="J6" s="2">
        <f>B5-I6</f>
        <v>71</v>
      </c>
      <c r="K6" s="2">
        <f>C5-I6</f>
        <v>71</v>
      </c>
      <c r="L6" s="12" t="str">
        <f>CONCATENATE(J6,"/ ",K6," ")</f>
        <v xml:space="preserve">71/ 71 </v>
      </c>
      <c r="M6" s="1">
        <v>1</v>
      </c>
      <c r="N6" s="2" t="s">
        <v>85</v>
      </c>
      <c r="O6" s="12">
        <f>SUMIFS(M$6:M$27,F$6:F$27,N6)</f>
        <v>0</v>
      </c>
      <c r="Q6" s="19" t="str">
        <f>CONCATENATE(B6,"/ ",C6)</f>
        <v>93,36/ 93,16</v>
      </c>
    </row>
    <row r="7" spans="1:17" s="13" customFormat="1" x14ac:dyDescent="0.25">
      <c r="A7" s="10">
        <v>2</v>
      </c>
      <c r="B7" s="11">
        <f>B6-$D7*У!$C$41-G7</f>
        <v>91.44</v>
      </c>
      <c r="C7" s="11">
        <f>C6-$D7*У!$C$41-H7</f>
        <v>91.039999999999992</v>
      </c>
      <c r="D7" s="11">
        <v>3</v>
      </c>
      <c r="E7" s="11">
        <v>28</v>
      </c>
      <c r="F7" s="11" t="str">
        <f>INDEX(У!A$2:D$41,$E7,1)</f>
        <v>ТАН-424F</v>
      </c>
      <c r="G7" s="11">
        <f>INDEX(У!B$2:C$41,$E7,1)</f>
        <v>1.5</v>
      </c>
      <c r="H7" s="11">
        <f>INDEX(У!C$2:D$41,$E7,1)</f>
        <v>1.7</v>
      </c>
      <c r="I7" s="11">
        <f>INDEX(У!D$2:E$41,$E7,1)</f>
        <v>24</v>
      </c>
      <c r="J7" s="12">
        <f t="shared" ref="J7:J12" si="0">B6-I7</f>
        <v>69.36</v>
      </c>
      <c r="K7" s="12">
        <f t="shared" ref="K7:K12" si="1">C6-I7</f>
        <v>69.16</v>
      </c>
      <c r="L7" s="12" t="str">
        <f t="shared" ref="L7:L12" si="2">CONCATENATE(J7,"/ ",K7," ")</f>
        <v xml:space="preserve">69,36/ 69,16 </v>
      </c>
      <c r="M7" s="11">
        <v>1</v>
      </c>
      <c r="N7" s="12" t="s">
        <v>12</v>
      </c>
      <c r="O7" s="12">
        <f t="shared" ref="O7:O12" si="3">SUMIFS(M$6:M$27,F$6:F$27,N7)</f>
        <v>2</v>
      </c>
      <c r="Q7" s="19" t="str">
        <f t="shared" ref="Q7:Q11" si="4">CONCATENATE(B7,"/ ",C7)</f>
        <v>91,44/ 91,04</v>
      </c>
    </row>
    <row r="8" spans="1:17" s="13" customFormat="1" x14ac:dyDescent="0.25">
      <c r="A8" s="10">
        <v>3</v>
      </c>
      <c r="B8" s="11">
        <f>B7-$D8*У!$C$41-G8</f>
        <v>89.32</v>
      </c>
      <c r="C8" s="11">
        <f>C7-$D8*У!$C$41-H8</f>
        <v>88.61999999999999</v>
      </c>
      <c r="D8" s="11">
        <v>3</v>
      </c>
      <c r="E8" s="11">
        <v>27</v>
      </c>
      <c r="F8" s="11" t="str">
        <f>INDEX(У!A$2:D$41,$E8,1)</f>
        <v>ТАН-420F</v>
      </c>
      <c r="G8" s="11">
        <f>INDEX(У!B$2:C$41,$E8,1)</f>
        <v>1.7</v>
      </c>
      <c r="H8" s="11">
        <f>INDEX(У!C$2:D$41,$E8,1)</f>
        <v>2</v>
      </c>
      <c r="I8" s="11">
        <f>INDEX(У!D$2:E$41,$E8,1)</f>
        <v>20</v>
      </c>
      <c r="J8" s="12">
        <f t="shared" si="0"/>
        <v>71.44</v>
      </c>
      <c r="K8" s="12">
        <f t="shared" si="1"/>
        <v>71.039999999999992</v>
      </c>
      <c r="L8" s="12" t="str">
        <f t="shared" si="2"/>
        <v xml:space="preserve">71,44/ 71,04 </v>
      </c>
      <c r="M8" s="11">
        <v>1</v>
      </c>
      <c r="N8" s="12" t="s">
        <v>11</v>
      </c>
      <c r="O8" s="12">
        <f t="shared" si="3"/>
        <v>2</v>
      </c>
      <c r="Q8" s="19" t="str">
        <f t="shared" si="4"/>
        <v>89,32/ 88,62</v>
      </c>
    </row>
    <row r="9" spans="1:17" s="13" customFormat="1" x14ac:dyDescent="0.25">
      <c r="A9" s="10">
        <v>4</v>
      </c>
      <c r="B9" s="11">
        <f>B8-$D9*У!$C$41-G9</f>
        <v>87.199999999999989</v>
      </c>
      <c r="C9" s="11">
        <f>C8-$D9*У!$C$41-H9</f>
        <v>86.199999999999989</v>
      </c>
      <c r="D9" s="11">
        <v>3</v>
      </c>
      <c r="E9" s="11">
        <v>27</v>
      </c>
      <c r="F9" s="11" t="str">
        <f>INDEX(У!A$2:D$41,$E9,1)</f>
        <v>ТАН-420F</v>
      </c>
      <c r="G9" s="11">
        <f>INDEX(У!B$2:C$41,$E9,1)</f>
        <v>1.7</v>
      </c>
      <c r="H9" s="11">
        <f>INDEX(У!C$2:D$41,$E9,1)</f>
        <v>2</v>
      </c>
      <c r="I9" s="11">
        <f>INDEX(У!D$2:E$41,$E9,1)</f>
        <v>20</v>
      </c>
      <c r="J9" s="12">
        <f t="shared" si="0"/>
        <v>69.319999999999993</v>
      </c>
      <c r="K9" s="12">
        <f t="shared" si="1"/>
        <v>68.61999999999999</v>
      </c>
      <c r="L9" s="12" t="str">
        <f t="shared" si="2"/>
        <v xml:space="preserve">69,32/ 68,62 </v>
      </c>
      <c r="M9" s="11">
        <v>1</v>
      </c>
      <c r="N9" s="12" t="s">
        <v>10</v>
      </c>
      <c r="O9" s="12">
        <f t="shared" si="3"/>
        <v>1</v>
      </c>
      <c r="Q9" s="19" t="str">
        <f t="shared" si="4"/>
        <v>87,2/ 86,2</v>
      </c>
    </row>
    <row r="10" spans="1:17" s="13" customFormat="1" x14ac:dyDescent="0.25">
      <c r="A10" s="10">
        <v>5</v>
      </c>
      <c r="B10" s="11">
        <f>B9-$D10*У!$C$41-G10</f>
        <v>84.279999999999987</v>
      </c>
      <c r="C10" s="11">
        <f>C9-$D10*У!$C$41-H10</f>
        <v>82.779999999999987</v>
      </c>
      <c r="D10" s="11">
        <v>3</v>
      </c>
      <c r="E10" s="11">
        <v>26</v>
      </c>
      <c r="F10" s="11" t="str">
        <f>INDEX(У!A$2:D$41,$E10,1)</f>
        <v>ТАН-416F</v>
      </c>
      <c r="G10" s="11">
        <f>INDEX(У!B$2:C$41,$E10,1)</f>
        <v>2.5</v>
      </c>
      <c r="H10" s="11">
        <f>INDEX(У!C$2:D$41,$E10,1)</f>
        <v>3</v>
      </c>
      <c r="I10" s="11">
        <f>INDEX(У!D$2:E$41,$E10,1)</f>
        <v>16</v>
      </c>
      <c r="J10" s="12">
        <f t="shared" si="0"/>
        <v>71.199999999999989</v>
      </c>
      <c r="K10" s="12">
        <f t="shared" si="1"/>
        <v>70.199999999999989</v>
      </c>
      <c r="L10" s="12" t="str">
        <f t="shared" si="2"/>
        <v xml:space="preserve">71,2/ 70,2 </v>
      </c>
      <c r="M10" s="11">
        <v>1</v>
      </c>
      <c r="N10" s="12" t="s">
        <v>9</v>
      </c>
      <c r="O10" s="12">
        <f t="shared" si="3"/>
        <v>0</v>
      </c>
      <c r="Q10" s="19" t="str">
        <f t="shared" si="4"/>
        <v>84,28/ 82,78</v>
      </c>
    </row>
    <row r="11" spans="1:17" s="13" customFormat="1" x14ac:dyDescent="0.25">
      <c r="A11" s="10">
        <v>6</v>
      </c>
      <c r="B11" s="11">
        <f>B10-$D11*У!$C$41-G11</f>
        <v>79.859999999999985</v>
      </c>
      <c r="C11" s="11">
        <f>C10-$D11*У!$C$41-H11</f>
        <v>77.859999999999985</v>
      </c>
      <c r="D11" s="11">
        <v>3</v>
      </c>
      <c r="E11" s="11">
        <v>24</v>
      </c>
      <c r="F11" s="11" t="str">
        <f>INDEX(У!A$2:D$41,$E11,1)</f>
        <v>ТАН-412F</v>
      </c>
      <c r="G11" s="11">
        <f>INDEX(У!B$2:C$41,$E11,1)</f>
        <v>4</v>
      </c>
      <c r="H11" s="11">
        <f>INDEX(У!C$2:D$41,$E11,1)</f>
        <v>4.5</v>
      </c>
      <c r="I11" s="11">
        <f>INDEX(У!D$2:E$41,$E11,1)</f>
        <v>12</v>
      </c>
      <c r="J11" s="12">
        <f t="shared" si="0"/>
        <v>72.279999999999987</v>
      </c>
      <c r="K11" s="12">
        <f t="shared" si="1"/>
        <v>70.779999999999987</v>
      </c>
      <c r="L11" s="12" t="str">
        <f t="shared" si="2"/>
        <v xml:space="preserve">72,28/ 70,78 </v>
      </c>
      <c r="M11" s="11">
        <v>1</v>
      </c>
      <c r="N11" s="12" t="s">
        <v>8</v>
      </c>
      <c r="O11" s="12">
        <f t="shared" si="3"/>
        <v>1</v>
      </c>
      <c r="Q11" s="19" t="str">
        <f t="shared" si="4"/>
        <v>79,86/ 77,86</v>
      </c>
    </row>
    <row r="12" spans="1:17" s="13" customFormat="1" x14ac:dyDescent="0.25">
      <c r="A12" s="10">
        <v>7</v>
      </c>
      <c r="B12" s="11">
        <f>B11-$D12*У!$C$41-G12</f>
        <v>75.439999999999984</v>
      </c>
      <c r="C12" s="11">
        <f>C11-$D12*У!$C$41-H12</f>
        <v>72.439999999999984</v>
      </c>
      <c r="D12" s="11">
        <v>3</v>
      </c>
      <c r="E12" s="11">
        <v>23</v>
      </c>
      <c r="F12" s="11" t="str">
        <f>INDEX(У!A$2:D$41,$E12,1)</f>
        <v>ТАН-410F</v>
      </c>
      <c r="G12" s="11">
        <f>INDEX(У!B$2:C$41,$E12,1)</f>
        <v>4</v>
      </c>
      <c r="H12" s="11">
        <f>INDEX(У!C$2:D$41,$E12,1)</f>
        <v>5</v>
      </c>
      <c r="I12" s="11">
        <f>INDEX(У!D$2:E$41,$E12,1)</f>
        <v>10</v>
      </c>
      <c r="J12" s="12">
        <f t="shared" si="0"/>
        <v>69.859999999999985</v>
      </c>
      <c r="K12" s="12">
        <f t="shared" si="1"/>
        <v>67.859999999999985</v>
      </c>
      <c r="L12" s="12" t="str">
        <f t="shared" si="2"/>
        <v xml:space="preserve">69,86/ 67,86 </v>
      </c>
      <c r="M12" s="11">
        <v>1</v>
      </c>
      <c r="N12" s="12" t="s">
        <v>7</v>
      </c>
      <c r="O12" s="12">
        <f t="shared" si="3"/>
        <v>1</v>
      </c>
      <c r="Q12" s="19"/>
    </row>
  </sheetData>
  <conditionalFormatting sqref="O6:O12">
    <cfRule type="cellIs" dxfId="1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B5" sqref="B5"/>
    </sheetView>
  </sheetViews>
  <sheetFormatPr defaultRowHeight="15" x14ac:dyDescent="0.25"/>
  <cols>
    <col min="1" max="1" width="5.375" style="2" bestFit="1" customWidth="1"/>
    <col min="2" max="3" width="9" style="1"/>
    <col min="4" max="4" width="8" style="1" customWidth="1"/>
    <col min="5" max="5" width="11.125" style="1" customWidth="1"/>
    <col min="6" max="6" width="11.125" style="1" bestFit="1" customWidth="1"/>
    <col min="7" max="9" width="9" style="1"/>
    <col min="10" max="11" width="7.375" style="2" bestFit="1" customWidth="1"/>
    <col min="12" max="12" width="11.375" style="2" customWidth="1"/>
    <col min="14" max="14" width="19.75" customWidth="1"/>
    <col min="17" max="17" width="17.625" style="47" customWidth="1"/>
  </cols>
  <sheetData>
    <row r="1" spans="1:17" x14ac:dyDescent="0.25">
      <c r="B1" s="1" t="s">
        <v>45</v>
      </c>
      <c r="C1" s="1" t="s">
        <v>45</v>
      </c>
    </row>
    <row r="3" spans="1:17" ht="30" x14ac:dyDescent="0.25">
      <c r="A3" s="2" t="s">
        <v>27</v>
      </c>
      <c r="B3" s="4" t="s">
        <v>86</v>
      </c>
      <c r="C3" s="4" t="s">
        <v>87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23</v>
      </c>
      <c r="I3" s="3" t="s">
        <v>24</v>
      </c>
      <c r="J3" s="4" t="s">
        <v>25</v>
      </c>
      <c r="K3" s="4" t="s">
        <v>25</v>
      </c>
      <c r="L3" s="2" t="s">
        <v>81</v>
      </c>
    </row>
    <row r="4" spans="1:17" x14ac:dyDescent="0.25">
      <c r="B4" s="3"/>
      <c r="C4" s="3"/>
      <c r="D4" s="3"/>
      <c r="E4" s="3"/>
      <c r="F4" s="3"/>
      <c r="G4" s="3"/>
      <c r="H4" s="3"/>
      <c r="I4" s="3"/>
      <c r="J4" s="4">
        <v>1</v>
      </c>
      <c r="K4" s="4">
        <v>2</v>
      </c>
      <c r="L4" s="12"/>
    </row>
    <row r="5" spans="1:17" x14ac:dyDescent="0.25">
      <c r="B5" s="44">
        <f>102-У!B$41*17</f>
        <v>100.98</v>
      </c>
      <c r="C5" s="44">
        <f>102-У!C$41*17</f>
        <v>99.62</v>
      </c>
      <c r="L5" s="12"/>
      <c r="Q5" s="19" t="str">
        <f>CONCATENATE(B5,"/ ",C5)</f>
        <v>100,98/ 99,62</v>
      </c>
    </row>
    <row r="6" spans="1:17" s="13" customFormat="1" x14ac:dyDescent="0.25">
      <c r="A6" s="10">
        <v>1</v>
      </c>
      <c r="B6" s="45">
        <f>B5-$D6*У!$C$41-G6</f>
        <v>99.34</v>
      </c>
      <c r="C6" s="45">
        <f>C5-$D6*У!$C$41-H6</f>
        <v>97.78</v>
      </c>
      <c r="D6" s="11">
        <v>1</v>
      </c>
      <c r="E6" s="11">
        <v>29</v>
      </c>
      <c r="F6" s="11" t="str">
        <f>INDEX(У!A$2:D$41,$E6,1)</f>
        <v>ТАН-426F</v>
      </c>
      <c r="G6" s="11">
        <f>INDEX(У!B$2:C$41,$E6,1)</f>
        <v>1.5</v>
      </c>
      <c r="H6" s="11">
        <f>INDEX(У!C$2:D$41,$E6,1)</f>
        <v>1.7</v>
      </c>
      <c r="I6" s="11">
        <f>INDEX(У!D$2:E$41,$E6,1)</f>
        <v>26</v>
      </c>
      <c r="J6" s="19">
        <f>B5-I6</f>
        <v>74.98</v>
      </c>
      <c r="K6" s="19">
        <f>C5-I6</f>
        <v>73.62</v>
      </c>
      <c r="L6" s="12" t="str">
        <f>CONCATENATE(J6,"/ ",K6," ")</f>
        <v xml:space="preserve">74,98/ 73,62 </v>
      </c>
      <c r="M6" s="11">
        <v>4</v>
      </c>
      <c r="N6" s="2" t="s">
        <v>85</v>
      </c>
      <c r="O6" s="12">
        <f>SUMIFS(M$6:M$16,F$6:F$16,N6)</f>
        <v>4</v>
      </c>
      <c r="Q6" s="19" t="str">
        <f>CONCATENATE(B6,"/ ",C6)</f>
        <v>99,34/ 97,78</v>
      </c>
    </row>
    <row r="7" spans="1:17" s="13" customFormat="1" x14ac:dyDescent="0.25">
      <c r="A7" s="10">
        <v>2</v>
      </c>
      <c r="B7" s="45">
        <f>B6-$D7*У!$C$41-G7</f>
        <v>97.42</v>
      </c>
      <c r="C7" s="45">
        <f>C6-$D7*У!$C$41-H7</f>
        <v>95.66</v>
      </c>
      <c r="D7" s="11">
        <v>3</v>
      </c>
      <c r="E7" s="11">
        <v>28</v>
      </c>
      <c r="F7" s="11" t="str">
        <f>INDEX(У!A$2:D$41,$E7,1)</f>
        <v>ТАН-424F</v>
      </c>
      <c r="G7" s="11">
        <f>INDEX(У!B$2:C$41,$E7,1)</f>
        <v>1.5</v>
      </c>
      <c r="H7" s="11">
        <f>INDEX(У!C$2:D$41,$E7,1)</f>
        <v>1.7</v>
      </c>
      <c r="I7" s="11">
        <f>INDEX(У!D$2:E$41,$E7,1)</f>
        <v>24</v>
      </c>
      <c r="J7" s="19">
        <f t="shared" ref="J7:J11" si="0">B6-I7</f>
        <v>75.34</v>
      </c>
      <c r="K7" s="19">
        <f t="shared" ref="K7:K11" si="1">C6-I7</f>
        <v>73.78</v>
      </c>
      <c r="L7" s="12" t="str">
        <f t="shared" ref="L7:L11" si="2">CONCATENATE(J7,"/ ",K7," ")</f>
        <v xml:space="preserve">75,34/ 73,78 </v>
      </c>
      <c r="M7" s="11">
        <v>4</v>
      </c>
      <c r="N7" s="12" t="s">
        <v>12</v>
      </c>
      <c r="O7" s="12">
        <f>SUMIFS(M$6:M$16,F$6:F$16,N7)</f>
        <v>8</v>
      </c>
      <c r="Q7" s="19" t="str">
        <f>CONCATENATE(B7,"/ ",C7)</f>
        <v>97,42/ 95,66</v>
      </c>
    </row>
    <row r="8" spans="1:17" s="13" customFormat="1" x14ac:dyDescent="0.25">
      <c r="A8" s="10">
        <v>3</v>
      </c>
      <c r="B8" s="45">
        <f>B7-$D8*У!$C$41-G8</f>
        <v>95.5</v>
      </c>
      <c r="C8" s="45">
        <f>C7-$D8*У!$C$41-H8</f>
        <v>93.539999999999992</v>
      </c>
      <c r="D8" s="11">
        <v>3</v>
      </c>
      <c r="E8" s="11">
        <v>28</v>
      </c>
      <c r="F8" s="11" t="str">
        <f>INDEX(У!A$2:D$41,$E8,1)</f>
        <v>ТАН-424F</v>
      </c>
      <c r="G8" s="11">
        <f>INDEX(У!B$2:C$41,$E8,1)</f>
        <v>1.5</v>
      </c>
      <c r="H8" s="11">
        <f>INDEX(У!C$2:D$41,$E8,1)</f>
        <v>1.7</v>
      </c>
      <c r="I8" s="11">
        <f>INDEX(У!D$2:E$41,$E8,1)</f>
        <v>24</v>
      </c>
      <c r="J8" s="19">
        <f t="shared" si="0"/>
        <v>73.42</v>
      </c>
      <c r="K8" s="19">
        <f t="shared" si="1"/>
        <v>71.66</v>
      </c>
      <c r="L8" s="12" t="str">
        <f t="shared" si="2"/>
        <v xml:space="preserve">73,42/ 71,66 </v>
      </c>
      <c r="M8" s="11">
        <v>4</v>
      </c>
      <c r="N8" s="12" t="s">
        <v>11</v>
      </c>
      <c r="O8" s="12">
        <f>SUMIFS(M$6:M$16,F$6:F$16,N8)</f>
        <v>8</v>
      </c>
      <c r="Q8" s="19" t="str">
        <f t="shared" ref="Q8:Q12" si="3">CONCATENATE(B8,"/ ",C8)</f>
        <v>95,5/ 93,54</v>
      </c>
    </row>
    <row r="9" spans="1:17" s="13" customFormat="1" x14ac:dyDescent="0.25">
      <c r="A9" s="10">
        <v>4</v>
      </c>
      <c r="B9" s="45">
        <f>B8-$D9*У!$C$41-G9</f>
        <v>93.38</v>
      </c>
      <c r="C9" s="45">
        <f>C8-$D9*У!$C$41-H9</f>
        <v>91.11999999999999</v>
      </c>
      <c r="D9" s="11">
        <v>3</v>
      </c>
      <c r="E9" s="11">
        <v>27</v>
      </c>
      <c r="F9" s="11" t="str">
        <f>INDEX(У!A$2:D$41,$E9,1)</f>
        <v>ТАН-420F</v>
      </c>
      <c r="G9" s="11">
        <f>INDEX(У!B$2:C$41,$E9,1)</f>
        <v>1.7</v>
      </c>
      <c r="H9" s="11">
        <f>INDEX(У!C$2:D$41,$E9,1)</f>
        <v>2</v>
      </c>
      <c r="I9" s="11">
        <f>INDEX(У!D$2:E$41,$E9,1)</f>
        <v>20</v>
      </c>
      <c r="J9" s="19">
        <f t="shared" si="0"/>
        <v>75.5</v>
      </c>
      <c r="K9" s="19">
        <f t="shared" si="1"/>
        <v>73.539999999999992</v>
      </c>
      <c r="L9" s="12" t="str">
        <f t="shared" si="2"/>
        <v xml:space="preserve">75,5/ 73,54 </v>
      </c>
      <c r="M9" s="11">
        <v>4</v>
      </c>
      <c r="N9" s="12" t="s">
        <v>10</v>
      </c>
      <c r="O9" s="12">
        <f>SUMIFS(M$6:M$16,F$6:F$16,N9)</f>
        <v>4</v>
      </c>
      <c r="Q9" s="19" t="str">
        <f t="shared" si="3"/>
        <v>93,38/ 91,12</v>
      </c>
    </row>
    <row r="10" spans="1:17" s="13" customFormat="1" x14ac:dyDescent="0.25">
      <c r="A10" s="10">
        <v>5</v>
      </c>
      <c r="B10" s="45">
        <f>B9-$D10*У!$C$41-G10</f>
        <v>91.259999999999991</v>
      </c>
      <c r="C10" s="45">
        <f>C9-$D10*У!$C$41-H10</f>
        <v>88.699999999999989</v>
      </c>
      <c r="D10" s="11">
        <v>3</v>
      </c>
      <c r="E10" s="11">
        <v>27</v>
      </c>
      <c r="F10" s="11" t="str">
        <f>INDEX(У!A$2:D$41,$E10,1)</f>
        <v>ТАН-420F</v>
      </c>
      <c r="G10" s="11">
        <f>INDEX(У!B$2:C$41,$E10,1)</f>
        <v>1.7</v>
      </c>
      <c r="H10" s="11">
        <f>INDEX(У!C$2:D$41,$E10,1)</f>
        <v>2</v>
      </c>
      <c r="I10" s="11">
        <f>INDEX(У!D$2:E$41,$E10,1)</f>
        <v>20</v>
      </c>
      <c r="J10" s="19">
        <f t="shared" si="0"/>
        <v>73.38</v>
      </c>
      <c r="K10" s="19">
        <f t="shared" si="1"/>
        <v>71.11999999999999</v>
      </c>
      <c r="L10" s="12" t="str">
        <f t="shared" si="2"/>
        <v xml:space="preserve">73,38/ 71,12 </v>
      </c>
      <c r="M10" s="11">
        <v>4</v>
      </c>
      <c r="N10" s="12" t="s">
        <v>9</v>
      </c>
      <c r="O10" s="12">
        <f>SUMIFS(M$6:M$16,F$6:F$16,N10)</f>
        <v>4</v>
      </c>
      <c r="Q10" s="19" t="str">
        <f t="shared" si="3"/>
        <v>91,26/ 88,7</v>
      </c>
    </row>
    <row r="11" spans="1:17" s="13" customFormat="1" x14ac:dyDescent="0.25">
      <c r="A11" s="10">
        <v>6</v>
      </c>
      <c r="B11" s="45">
        <f>B10-$D11*У!$C$41-G11</f>
        <v>88.339999999999989</v>
      </c>
      <c r="C11" s="45">
        <f>C10-$D11*У!$C$41-H11</f>
        <v>85.279999999999987</v>
      </c>
      <c r="D11" s="11">
        <v>3</v>
      </c>
      <c r="E11" s="11">
        <v>26</v>
      </c>
      <c r="F11" s="11" t="str">
        <f>INDEX(У!A$2:D$41,$E11,1)</f>
        <v>ТАН-416F</v>
      </c>
      <c r="G11" s="11">
        <f>INDEX(У!B$2:C$41,$E11,1)</f>
        <v>2.5</v>
      </c>
      <c r="H11" s="11">
        <f>INDEX(У!C$2:D$41,$E11,1)</f>
        <v>3</v>
      </c>
      <c r="I11" s="11">
        <f>INDEX(У!D$2:E$41,$E11,1)</f>
        <v>16</v>
      </c>
      <c r="J11" s="19">
        <f t="shared" si="0"/>
        <v>75.259999999999991</v>
      </c>
      <c r="K11" s="19">
        <f t="shared" si="1"/>
        <v>72.699999999999989</v>
      </c>
      <c r="L11" s="12" t="str">
        <f t="shared" si="2"/>
        <v xml:space="preserve">75,26/ 72,7 </v>
      </c>
      <c r="M11" s="11">
        <v>4</v>
      </c>
      <c r="N11" s="12" t="s">
        <v>8</v>
      </c>
      <c r="O11" s="12">
        <f>SUMIFS(M$6:M$16,F$6:F$16,N11)</f>
        <v>4</v>
      </c>
      <c r="Q11" s="19" t="str">
        <f t="shared" si="3"/>
        <v>88,34/ 85,28</v>
      </c>
    </row>
    <row r="12" spans="1:17" s="13" customFormat="1" x14ac:dyDescent="0.25">
      <c r="A12" s="10">
        <v>7</v>
      </c>
      <c r="B12" s="45">
        <f>B11-$D12*У!$C$41-G12</f>
        <v>84.919999999999987</v>
      </c>
      <c r="C12" s="45">
        <f>C11-$D12*У!$C$41-H12</f>
        <v>81.359999999999985</v>
      </c>
      <c r="D12" s="11">
        <v>3</v>
      </c>
      <c r="E12" s="11">
        <v>25</v>
      </c>
      <c r="F12" s="11" t="str">
        <f>INDEX(У!A$2:D$41,$E12,1)</f>
        <v>ТАН-414F</v>
      </c>
      <c r="G12" s="11">
        <f>INDEX(У!B$2:C$41,$E12,1)</f>
        <v>3</v>
      </c>
      <c r="H12" s="11">
        <f>INDEX(У!C$2:D$41,$E12,1)</f>
        <v>3.5</v>
      </c>
      <c r="I12" s="11">
        <f>INDEX(У!D$2:E$41,$E12,1)</f>
        <v>14</v>
      </c>
      <c r="J12" s="19">
        <f t="shared" ref="J12:J13" si="4">B11-I12</f>
        <v>74.339999999999989</v>
      </c>
      <c r="K12" s="19">
        <f t="shared" ref="K12:K13" si="5">C11-I12</f>
        <v>71.279999999999987</v>
      </c>
      <c r="L12" s="12" t="str">
        <f t="shared" ref="L12:L13" si="6">CONCATENATE(J12,"/ ",K12," ")</f>
        <v xml:space="preserve">74,34/ 71,28 </v>
      </c>
      <c r="M12" s="11">
        <v>4</v>
      </c>
      <c r="N12" s="12"/>
      <c r="O12" s="12"/>
      <c r="Q12" s="19" t="str">
        <f t="shared" si="3"/>
        <v>84,92/ 81,36</v>
      </c>
    </row>
    <row r="13" spans="1:17" s="13" customFormat="1" x14ac:dyDescent="0.25">
      <c r="A13" s="10">
        <v>8</v>
      </c>
      <c r="B13" s="45">
        <f>B12-$D13*У!$C$41-G13</f>
        <v>80.499999999999986</v>
      </c>
      <c r="C13" s="45">
        <f>C12-$D13*У!$C$41-H13</f>
        <v>76.439999999999984</v>
      </c>
      <c r="D13" s="11">
        <v>3</v>
      </c>
      <c r="E13" s="11">
        <v>24</v>
      </c>
      <c r="F13" s="11" t="str">
        <f>INDEX(У!A$2:D$41,$E13,1)</f>
        <v>ТАН-412F</v>
      </c>
      <c r="G13" s="11">
        <f>INDEX(У!B$2:C$41,$E13,1)</f>
        <v>4</v>
      </c>
      <c r="H13" s="11">
        <f>INDEX(У!C$2:D$41,$E13,1)</f>
        <v>4.5</v>
      </c>
      <c r="I13" s="11">
        <f>INDEX(У!D$2:E$41,$E13,1)</f>
        <v>12</v>
      </c>
      <c r="J13" s="19">
        <f t="shared" si="4"/>
        <v>72.919999999999987</v>
      </c>
      <c r="K13" s="19">
        <f t="shared" si="5"/>
        <v>69.359999999999985</v>
      </c>
      <c r="L13" s="12" t="str">
        <f t="shared" si="6"/>
        <v xml:space="preserve">72,92/ 69,36 </v>
      </c>
      <c r="M13" s="11">
        <v>4</v>
      </c>
      <c r="N13" s="12"/>
      <c r="O13" s="12"/>
      <c r="Q13" s="19"/>
    </row>
    <row r="14" spans="1:17" s="13" customFormat="1" x14ac:dyDescent="0.25">
      <c r="A14" s="10"/>
      <c r="B14" s="45"/>
      <c r="C14" s="45"/>
      <c r="D14" s="11"/>
      <c r="E14" s="11"/>
      <c r="F14" s="11"/>
      <c r="G14" s="11"/>
      <c r="H14" s="11"/>
      <c r="I14" s="11"/>
      <c r="J14" s="19"/>
      <c r="K14" s="19"/>
      <c r="L14" s="12"/>
      <c r="M14" s="11"/>
      <c r="N14" s="12"/>
      <c r="O14" s="12"/>
      <c r="Q14" s="19"/>
    </row>
    <row r="15" spans="1:17" s="13" customFormat="1" x14ac:dyDescent="0.25">
      <c r="A15" s="10"/>
      <c r="B15" s="45"/>
      <c r="C15" s="45"/>
      <c r="D15" s="11"/>
      <c r="E15" s="11"/>
      <c r="F15" s="11"/>
      <c r="G15" s="11"/>
      <c r="H15" s="11"/>
      <c r="I15" s="11"/>
      <c r="J15" s="19"/>
      <c r="K15" s="19"/>
      <c r="L15" s="12"/>
      <c r="M15" s="11"/>
      <c r="N15" s="12"/>
      <c r="O15" s="12"/>
      <c r="Q15" s="19"/>
    </row>
    <row r="16" spans="1:17" x14ac:dyDescent="0.25">
      <c r="A16" s="5"/>
      <c r="B16" s="46"/>
      <c r="C16" s="46"/>
      <c r="J16" s="18"/>
      <c r="K16" s="18"/>
      <c r="L16" s="12"/>
      <c r="M16" s="1"/>
      <c r="N16" s="2"/>
      <c r="O16" s="2"/>
      <c r="Q16" s="19"/>
    </row>
    <row r="17" spans="1:12" x14ac:dyDescent="0.25">
      <c r="A17"/>
      <c r="B17"/>
      <c r="C17"/>
      <c r="D17"/>
      <c r="E17"/>
      <c r="F17"/>
    </row>
    <row r="18" spans="1:12" x14ac:dyDescent="0.25">
      <c r="A18"/>
      <c r="B18"/>
      <c r="C18"/>
      <c r="D18"/>
      <c r="E18"/>
      <c r="F18"/>
    </row>
    <row r="19" spans="1:12" x14ac:dyDescent="0.25">
      <c r="A19"/>
      <c r="B19"/>
      <c r="C19"/>
      <c r="D19"/>
      <c r="E19"/>
      <c r="F19"/>
    </row>
    <row r="20" spans="1:12" x14ac:dyDescent="0.25">
      <c r="A20"/>
      <c r="B20"/>
      <c r="C20"/>
      <c r="D20"/>
      <c r="E20"/>
      <c r="F20"/>
    </row>
    <row r="21" spans="1:12" x14ac:dyDescent="0.25">
      <c r="A21"/>
      <c r="B21"/>
      <c r="C21"/>
      <c r="D21"/>
      <c r="E21"/>
      <c r="F21"/>
    </row>
    <row r="25" spans="1:12" x14ac:dyDescent="0.25">
      <c r="A25"/>
      <c r="B25"/>
      <c r="C25"/>
      <c r="D25"/>
      <c r="E25"/>
      <c r="F25"/>
    </row>
    <row r="26" spans="1:12" x14ac:dyDescent="0.25">
      <c r="A26"/>
      <c r="B26"/>
      <c r="C26"/>
      <c r="D26"/>
      <c r="E26"/>
      <c r="F26"/>
    </row>
    <row r="27" spans="1:12" x14ac:dyDescent="0.25">
      <c r="A27"/>
      <c r="B27"/>
      <c r="C27"/>
      <c r="D27"/>
      <c r="E27"/>
      <c r="F27"/>
    </row>
    <row r="29" spans="1:12" x14ac:dyDescent="0.25">
      <c r="A29"/>
      <c r="B29"/>
      <c r="C29"/>
      <c r="D29"/>
      <c r="E29"/>
      <c r="F29"/>
      <c r="G29"/>
      <c r="H29"/>
      <c r="I29"/>
      <c r="J29"/>
      <c r="K29"/>
      <c r="L29"/>
    </row>
    <row r="32" spans="1:12" x14ac:dyDescent="0.25">
      <c r="A32"/>
      <c r="B32"/>
      <c r="C32"/>
      <c r="D32"/>
      <c r="E32"/>
      <c r="F32"/>
      <c r="G32"/>
      <c r="H32"/>
      <c r="I32"/>
      <c r="J32"/>
      <c r="K32"/>
      <c r="L32"/>
    </row>
    <row r="33" spans="1:12" x14ac:dyDescent="0.25">
      <c r="A33"/>
      <c r="B33"/>
      <c r="C33"/>
      <c r="D33"/>
      <c r="E33"/>
      <c r="F33"/>
      <c r="G33"/>
      <c r="H33"/>
      <c r="I33"/>
      <c r="J33"/>
      <c r="K33"/>
      <c r="L33"/>
    </row>
    <row r="34" spans="1:12" x14ac:dyDescent="0.25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25">
      <c r="A35"/>
      <c r="B35"/>
      <c r="C35"/>
      <c r="D35"/>
      <c r="E35"/>
      <c r="F35"/>
      <c r="G35"/>
      <c r="H35"/>
      <c r="I35"/>
      <c r="J35"/>
      <c r="K35"/>
      <c r="L35"/>
    </row>
    <row r="36" spans="1:12" x14ac:dyDescent="0.25">
      <c r="A36"/>
      <c r="B36"/>
      <c r="C36"/>
      <c r="D36"/>
      <c r="E36"/>
      <c r="F36"/>
      <c r="G36"/>
      <c r="H36"/>
      <c r="I36"/>
      <c r="J36"/>
      <c r="K36"/>
      <c r="L36"/>
    </row>
    <row r="37" spans="1:12" x14ac:dyDescent="0.25">
      <c r="A37"/>
      <c r="B37"/>
      <c r="C37"/>
      <c r="D37"/>
      <c r="E37"/>
      <c r="F37"/>
      <c r="G37"/>
      <c r="H37"/>
      <c r="I37"/>
      <c r="J37"/>
      <c r="K37"/>
      <c r="L37"/>
    </row>
    <row r="38" spans="1:12" x14ac:dyDescent="0.25">
      <c r="A38"/>
      <c r="B38"/>
      <c r="C38"/>
      <c r="D38"/>
      <c r="E38"/>
      <c r="F38"/>
      <c r="G38"/>
      <c r="H38"/>
      <c r="I38"/>
      <c r="J38"/>
      <c r="K38"/>
      <c r="L38"/>
    </row>
    <row r="39" spans="1:12" x14ac:dyDescent="0.25">
      <c r="A39"/>
      <c r="B39"/>
      <c r="C39"/>
      <c r="D39"/>
      <c r="E39"/>
      <c r="F39"/>
      <c r="G39"/>
      <c r="H39"/>
      <c r="I39"/>
      <c r="J39"/>
      <c r="K39"/>
      <c r="L39"/>
    </row>
    <row r="43" spans="1:12" x14ac:dyDescent="0.25">
      <c r="A43"/>
      <c r="B43"/>
      <c r="C43"/>
      <c r="D43"/>
      <c r="E43"/>
      <c r="F43"/>
      <c r="G43"/>
      <c r="H43"/>
      <c r="I43"/>
      <c r="J43"/>
      <c r="K43"/>
      <c r="L43"/>
    </row>
  </sheetData>
  <conditionalFormatting sqref="O6:O16">
    <cfRule type="cellIs" dxfId="0" priority="9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zoomScale="145" zoomScaleNormal="145" workbookViewId="0">
      <selection activeCell="L1" sqref="L1:L1048576"/>
    </sheetView>
  </sheetViews>
  <sheetFormatPr defaultRowHeight="15" x14ac:dyDescent="0.25"/>
  <cols>
    <col min="1" max="1" width="5.375" style="2" bestFit="1" customWidth="1"/>
    <col min="2" max="3" width="9.75" style="1" customWidth="1"/>
    <col min="4" max="4" width="8" style="1" customWidth="1"/>
    <col min="5" max="5" width="11.125" style="1" customWidth="1"/>
    <col min="6" max="6" width="11.125" style="1" bestFit="1" customWidth="1"/>
    <col min="7" max="9" width="9.125" style="1"/>
    <col min="10" max="10" width="7.375" style="1" bestFit="1" customWidth="1"/>
    <col min="11" max="11" width="7.375" style="2" bestFit="1" customWidth="1"/>
    <col min="12" max="12" width="11.375" style="2" customWidth="1"/>
    <col min="13" max="13" width="9.125" style="2"/>
    <col min="14" max="14" width="10.25" style="2" customWidth="1"/>
    <col min="15" max="15" width="9.125" style="2"/>
  </cols>
  <sheetData>
    <row r="1" spans="1:15" x14ac:dyDescent="0.25">
      <c r="B1" s="1" t="s">
        <v>45</v>
      </c>
      <c r="C1" s="1" t="s">
        <v>45</v>
      </c>
    </row>
    <row r="3" spans="1:15" ht="30" x14ac:dyDescent="0.25">
      <c r="A3" s="2" t="s">
        <v>27</v>
      </c>
      <c r="B3" s="4" t="s">
        <v>26</v>
      </c>
      <c r="C3" s="4" t="s">
        <v>26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23</v>
      </c>
      <c r="I3" s="3" t="s">
        <v>24</v>
      </c>
      <c r="J3" s="4" t="s">
        <v>25</v>
      </c>
      <c r="K3" s="4" t="s">
        <v>25</v>
      </c>
      <c r="L3" s="2" t="s">
        <v>81</v>
      </c>
    </row>
    <row r="4" spans="1:15" x14ac:dyDescent="0.25">
      <c r="B4" s="4">
        <v>1</v>
      </c>
      <c r="C4" s="4">
        <v>2</v>
      </c>
      <c r="D4" s="3"/>
      <c r="E4" s="3"/>
      <c r="F4" s="3"/>
      <c r="G4" s="3"/>
      <c r="H4" s="3"/>
      <c r="I4" s="3"/>
      <c r="J4" s="4">
        <v>1</v>
      </c>
      <c r="K4" s="4">
        <v>2</v>
      </c>
    </row>
    <row r="5" spans="1:15" x14ac:dyDescent="0.25">
      <c r="B5" s="6">
        <v>97</v>
      </c>
      <c r="C5" s="6">
        <v>97</v>
      </c>
    </row>
    <row r="6" spans="1:15" x14ac:dyDescent="0.25">
      <c r="A6" s="31">
        <v>2</v>
      </c>
      <c r="B6" s="1">
        <f>B5-$D6*У!$C$41-G6</f>
        <v>95.36</v>
      </c>
      <c r="C6" s="1">
        <f>C5-$D6*У!$C$41-H6</f>
        <v>95.16</v>
      </c>
      <c r="D6" s="1">
        <v>1</v>
      </c>
      <c r="E6" s="1">
        <v>34</v>
      </c>
      <c r="F6" s="35" t="str">
        <f>INDEX(У!A$2:D$41,$E6,1)</f>
        <v>ТАН-624F</v>
      </c>
      <c r="G6" s="1">
        <f>INDEX(У!B$2:C$41,$E6,1)</f>
        <v>1.5</v>
      </c>
      <c r="H6" s="1">
        <f>INDEX(У!C$2:D$41,$E6,1)</f>
        <v>1.7</v>
      </c>
      <c r="I6" s="1">
        <f>INDEX(У!D$2:E$41,$E6,1)</f>
        <v>24</v>
      </c>
      <c r="J6" s="2">
        <f>B5-I6</f>
        <v>73</v>
      </c>
      <c r="K6" s="2">
        <f>C5-I6</f>
        <v>73</v>
      </c>
      <c r="L6" s="36" t="str">
        <f>CONCATENATE(K6," ",J6," ")</f>
        <v xml:space="preserve">73 73 </v>
      </c>
      <c r="M6" s="2">
        <v>1</v>
      </c>
      <c r="N6" s="2" t="s">
        <v>7</v>
      </c>
      <c r="O6" s="2">
        <f t="shared" ref="O6:O17" si="0">SUMIFS(M$6:M$49,F$6:F$49,N6)</f>
        <v>0</v>
      </c>
    </row>
    <row r="7" spans="1:15" x14ac:dyDescent="0.25">
      <c r="A7" s="31">
        <v>3</v>
      </c>
      <c r="B7" s="1">
        <f>B6-$D7*У!$C$41-G7</f>
        <v>93.44</v>
      </c>
      <c r="C7" s="1">
        <f>C6-$D7*У!$C$41-H7</f>
        <v>93.039999999999992</v>
      </c>
      <c r="D7" s="1">
        <v>3</v>
      </c>
      <c r="E7" s="1">
        <v>34</v>
      </c>
      <c r="F7" s="35" t="str">
        <f>INDEX(У!A$2:D$41,$E7,1)</f>
        <v>ТАН-624F</v>
      </c>
      <c r="G7" s="1">
        <f>INDEX(У!B$2:C$41,$E7,1)</f>
        <v>1.5</v>
      </c>
      <c r="H7" s="1">
        <f>INDEX(У!C$2:D$41,$E7,1)</f>
        <v>1.7</v>
      </c>
      <c r="I7" s="1">
        <f>INDEX(У!D$2:E$41,$E7,1)</f>
        <v>24</v>
      </c>
      <c r="J7" s="2">
        <f t="shared" ref="J7:J11" si="1">B6-I7</f>
        <v>71.36</v>
      </c>
      <c r="K7" s="2">
        <f t="shared" ref="K7:K11" si="2">C6-I7</f>
        <v>71.16</v>
      </c>
      <c r="L7" s="36" t="str">
        <f t="shared" ref="L7:L53" si="3">CONCATENATE(K7," ",J7," ")</f>
        <v xml:space="preserve">71,16 71,36 </v>
      </c>
      <c r="M7" s="2">
        <v>1</v>
      </c>
      <c r="N7" s="2" t="s">
        <v>8</v>
      </c>
      <c r="O7" s="2">
        <f t="shared" si="0"/>
        <v>0</v>
      </c>
    </row>
    <row r="8" spans="1:15" x14ac:dyDescent="0.25">
      <c r="A8" s="31">
        <v>4</v>
      </c>
      <c r="B8" s="1">
        <f>B7-$D8*У!$C$41-G8</f>
        <v>91.52</v>
      </c>
      <c r="C8" s="1">
        <f>C7-$D8*У!$C$41-H8</f>
        <v>90.919999999999987</v>
      </c>
      <c r="D8" s="1">
        <v>3</v>
      </c>
      <c r="E8" s="1">
        <v>34</v>
      </c>
      <c r="F8" s="35" t="str">
        <f>INDEX(У!A$2:D$41,$E8,1)</f>
        <v>ТАН-624F</v>
      </c>
      <c r="G8" s="1">
        <f>INDEX(У!B$2:C$41,$E8,1)</f>
        <v>1.5</v>
      </c>
      <c r="H8" s="1">
        <f>INDEX(У!C$2:D$41,$E8,1)</f>
        <v>1.7</v>
      </c>
      <c r="I8" s="1">
        <f>INDEX(У!D$2:E$41,$E8,1)</f>
        <v>24</v>
      </c>
      <c r="J8" s="2">
        <f t="shared" si="1"/>
        <v>69.44</v>
      </c>
      <c r="K8" s="2">
        <f t="shared" si="2"/>
        <v>69.039999999999992</v>
      </c>
      <c r="L8" s="36" t="str">
        <f t="shared" si="3"/>
        <v xml:space="preserve">69,04 69,44 </v>
      </c>
      <c r="M8" s="2">
        <v>1</v>
      </c>
      <c r="N8" s="2" t="s">
        <v>9</v>
      </c>
      <c r="O8" s="2">
        <f t="shared" si="0"/>
        <v>3</v>
      </c>
    </row>
    <row r="9" spans="1:15" x14ac:dyDescent="0.25">
      <c r="A9" s="31">
        <v>5</v>
      </c>
      <c r="B9" s="1">
        <f>B8-$D9*У!$C$41-G9</f>
        <v>89.399999999999991</v>
      </c>
      <c r="C9" s="1">
        <f>C8-$D9*У!$C$41-H9</f>
        <v>88.499999999999986</v>
      </c>
      <c r="D9" s="1">
        <v>3</v>
      </c>
      <c r="E9" s="1">
        <v>33</v>
      </c>
      <c r="F9" s="35" t="str">
        <f>INDEX(У!A$2:D$41,$E9,1)</f>
        <v>ТАН-620F</v>
      </c>
      <c r="G9" s="1">
        <f>INDEX(У!B$2:C$41,$E9,1)</f>
        <v>1.7</v>
      </c>
      <c r="H9" s="1">
        <f>INDEX(У!C$2:D$41,$E9,1)</f>
        <v>2</v>
      </c>
      <c r="I9" s="1">
        <f>INDEX(У!D$2:E$41,$E9,1)</f>
        <v>20</v>
      </c>
      <c r="J9" s="2">
        <f t="shared" si="1"/>
        <v>71.52</v>
      </c>
      <c r="K9" s="2">
        <f t="shared" si="2"/>
        <v>70.919999999999987</v>
      </c>
      <c r="L9" s="36" t="str">
        <f t="shared" si="3"/>
        <v xml:space="preserve">70,92 71,52 </v>
      </c>
      <c r="M9" s="2">
        <v>1</v>
      </c>
      <c r="N9" s="2" t="s">
        <v>10</v>
      </c>
      <c r="O9" s="2">
        <f t="shared" si="0"/>
        <v>6</v>
      </c>
    </row>
    <row r="10" spans="1:15" x14ac:dyDescent="0.25">
      <c r="A10" s="31">
        <v>6</v>
      </c>
      <c r="B10" s="1">
        <f>B9-$D10*У!$C$41-G10</f>
        <v>87.279999999999987</v>
      </c>
      <c r="C10" s="1">
        <f>C9-$D10*У!$C$41-H10</f>
        <v>86.079999999999984</v>
      </c>
      <c r="D10" s="1">
        <v>3</v>
      </c>
      <c r="E10" s="1">
        <v>33</v>
      </c>
      <c r="F10" s="35" t="str">
        <f>INDEX(У!A$2:D$41,$E10,1)</f>
        <v>ТАН-620F</v>
      </c>
      <c r="G10" s="1">
        <f>INDEX(У!B$2:C$41,$E10,1)</f>
        <v>1.7</v>
      </c>
      <c r="H10" s="1">
        <f>INDEX(У!C$2:D$41,$E10,1)</f>
        <v>2</v>
      </c>
      <c r="I10" s="1">
        <f>INDEX(У!D$2:E$41,$E10,1)</f>
        <v>20</v>
      </c>
      <c r="J10" s="2">
        <f t="shared" si="1"/>
        <v>69.399999999999991</v>
      </c>
      <c r="K10" s="2">
        <f t="shared" si="2"/>
        <v>68.499999999999986</v>
      </c>
      <c r="L10" s="36" t="str">
        <f t="shared" si="3"/>
        <v xml:space="preserve">68,5 69,4 </v>
      </c>
      <c r="M10" s="2">
        <v>1</v>
      </c>
      <c r="N10" s="2" t="s">
        <v>11</v>
      </c>
      <c r="O10" s="2">
        <f t="shared" si="0"/>
        <v>9</v>
      </c>
    </row>
    <row r="11" spans="1:15" x14ac:dyDescent="0.25">
      <c r="A11" s="31">
        <v>7</v>
      </c>
      <c r="B11" s="1">
        <f>B10-$D11*У!$C$41-G11</f>
        <v>84.359999999999985</v>
      </c>
      <c r="C11" s="1">
        <f>C10-$D11*У!$C$41-H11</f>
        <v>82.659999999999982</v>
      </c>
      <c r="D11" s="1">
        <v>3</v>
      </c>
      <c r="E11" s="1">
        <v>32</v>
      </c>
      <c r="F11" s="35" t="str">
        <f>INDEX(У!A$2:D$41,$E11,1)</f>
        <v>ТАН-616F</v>
      </c>
      <c r="G11" s="1">
        <f>INDEX(У!B$2:C$41,$E11,1)</f>
        <v>2.5</v>
      </c>
      <c r="H11" s="1">
        <f>INDEX(У!C$2:D$41,$E11,1)</f>
        <v>3</v>
      </c>
      <c r="I11" s="1">
        <f>INDEX(У!D$2:E$41,$E11,1)</f>
        <v>16</v>
      </c>
      <c r="J11" s="2">
        <f t="shared" si="1"/>
        <v>71.279999999999987</v>
      </c>
      <c r="K11" s="2">
        <f t="shared" si="2"/>
        <v>70.079999999999984</v>
      </c>
      <c r="L11" s="36" t="str">
        <f t="shared" si="3"/>
        <v xml:space="preserve">70,08 71,28 </v>
      </c>
      <c r="M11" s="2">
        <v>1</v>
      </c>
      <c r="N11" s="2" t="s">
        <v>12</v>
      </c>
      <c r="O11" s="2">
        <f t="shared" si="0"/>
        <v>3</v>
      </c>
    </row>
    <row r="12" spans="1:15" x14ac:dyDescent="0.25">
      <c r="A12" s="32"/>
      <c r="B12"/>
      <c r="C12"/>
      <c r="D12"/>
      <c r="E12"/>
      <c r="F12"/>
      <c r="G12"/>
      <c r="H12"/>
      <c r="I12"/>
      <c r="J12"/>
      <c r="K12"/>
      <c r="L12" s="2" t="str">
        <f t="shared" si="3"/>
        <v xml:space="preserve">  </v>
      </c>
      <c r="M12" s="2">
        <v>1</v>
      </c>
      <c r="N12" s="2" t="s">
        <v>6</v>
      </c>
      <c r="O12" s="2">
        <f t="shared" si="0"/>
        <v>0</v>
      </c>
    </row>
    <row r="13" spans="1:15" x14ac:dyDescent="0.25">
      <c r="A13" s="33"/>
      <c r="B13" s="6">
        <v>95</v>
      </c>
      <c r="C13" s="6">
        <v>95</v>
      </c>
      <c r="L13" s="2" t="str">
        <f t="shared" si="3"/>
        <v xml:space="preserve">  </v>
      </c>
      <c r="M13" s="2">
        <v>1</v>
      </c>
      <c r="O13" s="2">
        <f t="shared" si="0"/>
        <v>0</v>
      </c>
    </row>
    <row r="14" spans="1:15" x14ac:dyDescent="0.25">
      <c r="A14" s="31">
        <v>8</v>
      </c>
      <c r="B14" s="1">
        <f>B13-$D14*У!$C$41-G14</f>
        <v>93.36</v>
      </c>
      <c r="C14" s="1">
        <f>C13-$D14*У!$C$41-H14</f>
        <v>93.16</v>
      </c>
      <c r="D14" s="1">
        <v>1</v>
      </c>
      <c r="E14" s="1">
        <v>34</v>
      </c>
      <c r="F14" s="34" t="str">
        <f>INDEX(У!A$2:D$41,$E14,1)</f>
        <v>ТАН-624F</v>
      </c>
      <c r="G14" s="1">
        <f>INDEX(У!B$2:C$41,$E14,1)</f>
        <v>1.5</v>
      </c>
      <c r="H14" s="1">
        <f>INDEX(У!C$2:D$41,$E14,1)</f>
        <v>1.7</v>
      </c>
      <c r="I14" s="1">
        <f>INDEX(У!D$2:E$41,$E14,1)</f>
        <v>24</v>
      </c>
      <c r="J14" s="2">
        <f>B13-I14</f>
        <v>71</v>
      </c>
      <c r="K14" s="2">
        <f>C13-I14</f>
        <v>71</v>
      </c>
      <c r="L14" s="36" t="str">
        <f t="shared" si="3"/>
        <v xml:space="preserve">71 71 </v>
      </c>
      <c r="M14" s="2">
        <v>1</v>
      </c>
      <c r="N14" s="2" t="s">
        <v>0</v>
      </c>
      <c r="O14" s="2">
        <f t="shared" si="0"/>
        <v>0</v>
      </c>
    </row>
    <row r="15" spans="1:15" x14ac:dyDescent="0.25">
      <c r="A15" s="31">
        <v>9</v>
      </c>
      <c r="B15" s="1">
        <f>B14-$D15*У!$C$41-G15</f>
        <v>91.44</v>
      </c>
      <c r="C15" s="1">
        <f>C14-$D15*У!$C$41-H15</f>
        <v>91.039999999999992</v>
      </c>
      <c r="D15" s="1">
        <v>3</v>
      </c>
      <c r="E15" s="1">
        <v>34</v>
      </c>
      <c r="F15" s="34" t="str">
        <f>INDEX(У!A$2:D$41,$E15,1)</f>
        <v>ТАН-624F</v>
      </c>
      <c r="G15" s="1">
        <f>INDEX(У!B$2:C$41,$E15,1)</f>
        <v>1.5</v>
      </c>
      <c r="H15" s="1">
        <f>INDEX(У!C$2:D$41,$E15,1)</f>
        <v>1.7</v>
      </c>
      <c r="I15" s="1">
        <f>INDEX(У!D$2:E$41,$E15,1)</f>
        <v>24</v>
      </c>
      <c r="J15" s="2">
        <f t="shared" ref="J15:J19" si="4">B14-I15</f>
        <v>69.36</v>
      </c>
      <c r="K15" s="2">
        <f t="shared" ref="K15:K17" si="5">C14-I15</f>
        <v>69.16</v>
      </c>
      <c r="L15" s="36" t="str">
        <f t="shared" si="3"/>
        <v xml:space="preserve">69,16 69,36 </v>
      </c>
      <c r="M15" s="2">
        <v>1</v>
      </c>
      <c r="N15" s="2" t="s">
        <v>2</v>
      </c>
      <c r="O15" s="2">
        <f t="shared" si="0"/>
        <v>2</v>
      </c>
    </row>
    <row r="16" spans="1:15" x14ac:dyDescent="0.25">
      <c r="A16" s="31">
        <v>10</v>
      </c>
      <c r="B16" s="1">
        <f>B15-$D16*У!$C$41-G16</f>
        <v>89.52</v>
      </c>
      <c r="C16" s="1">
        <f>C15-$D16*У!$C$41-H16</f>
        <v>88.919999999999987</v>
      </c>
      <c r="D16" s="1">
        <v>3</v>
      </c>
      <c r="E16" s="1">
        <v>34</v>
      </c>
      <c r="F16" s="34" t="str">
        <f>INDEX(У!A$2:D$41,$E16,1)</f>
        <v>ТАН-624F</v>
      </c>
      <c r="G16" s="1">
        <f>INDEX(У!B$2:C$41,$E16,1)</f>
        <v>1.5</v>
      </c>
      <c r="H16" s="1">
        <f>INDEX(У!C$2:D$41,$E16,1)</f>
        <v>1.7</v>
      </c>
      <c r="I16" s="1">
        <f>INDEX(У!D$2:E$41,$E16,1)</f>
        <v>24</v>
      </c>
      <c r="J16" s="2">
        <f t="shared" si="4"/>
        <v>67.44</v>
      </c>
      <c r="K16" s="2">
        <f t="shared" si="5"/>
        <v>67.039999999999992</v>
      </c>
      <c r="L16" s="36" t="str">
        <f t="shared" si="3"/>
        <v xml:space="preserve">67,04 67,44 </v>
      </c>
      <c r="M16" s="2">
        <v>1</v>
      </c>
      <c r="N16" s="2" t="s">
        <v>3</v>
      </c>
      <c r="O16" s="2">
        <f t="shared" si="0"/>
        <v>4</v>
      </c>
    </row>
    <row r="17" spans="1:15" x14ac:dyDescent="0.25">
      <c r="A17" s="31">
        <v>11</v>
      </c>
      <c r="B17" s="1">
        <f>B16-$D17*У!$C$41-G17</f>
        <v>87.399999999999991</v>
      </c>
      <c r="C17" s="1">
        <f>C16-$D17*У!$C$41-H17</f>
        <v>86.499999999999986</v>
      </c>
      <c r="D17" s="1">
        <v>3</v>
      </c>
      <c r="E17" s="1">
        <v>33</v>
      </c>
      <c r="F17" s="34" t="str">
        <f>INDEX(У!A$2:D$41,$E17,1)</f>
        <v>ТАН-620F</v>
      </c>
      <c r="G17" s="1">
        <f>INDEX(У!B$2:C$41,$E17,1)</f>
        <v>1.7</v>
      </c>
      <c r="H17" s="1">
        <f>INDEX(У!C$2:D$41,$E17,1)</f>
        <v>2</v>
      </c>
      <c r="I17" s="1">
        <f>INDEX(У!D$2:E$41,$E17,1)</f>
        <v>20</v>
      </c>
      <c r="J17" s="2">
        <f t="shared" si="4"/>
        <v>69.52</v>
      </c>
      <c r="K17" s="2">
        <f t="shared" si="5"/>
        <v>68.919999999999987</v>
      </c>
      <c r="L17" s="36" t="str">
        <f t="shared" si="3"/>
        <v xml:space="preserve">68,92 69,52 </v>
      </c>
      <c r="M17" s="2">
        <v>1</v>
      </c>
      <c r="N17" s="2" t="s">
        <v>1</v>
      </c>
      <c r="O17" s="2">
        <f t="shared" si="0"/>
        <v>6</v>
      </c>
    </row>
    <row r="18" spans="1:15" x14ac:dyDescent="0.25">
      <c r="A18" s="31">
        <v>12</v>
      </c>
      <c r="B18" s="1">
        <f>B17-$D18*У!$C$41-G18</f>
        <v>85.279999999999987</v>
      </c>
      <c r="C18" s="1">
        <f>C17-$D18*У!$C$41-H18</f>
        <v>84.079999999999984</v>
      </c>
      <c r="D18" s="1">
        <v>3</v>
      </c>
      <c r="E18" s="1">
        <v>33</v>
      </c>
      <c r="F18" s="34" t="str">
        <f>INDEX(У!A$2:D$41,$E18,1)</f>
        <v>ТАН-620F</v>
      </c>
      <c r="G18" s="1">
        <f>INDEX(У!B$2:C$41,$E18,1)</f>
        <v>1.7</v>
      </c>
      <c r="H18" s="1">
        <f>INDEX(У!C$2:D$41,$E18,1)</f>
        <v>2</v>
      </c>
      <c r="I18" s="1">
        <f>INDEX(У!D$2:E$41,$E18,1)</f>
        <v>20</v>
      </c>
      <c r="J18" s="2">
        <f t="shared" si="4"/>
        <v>67.399999999999991</v>
      </c>
      <c r="K18" s="2">
        <f t="shared" ref="K18:K19" si="6">C17-I18</f>
        <v>66.499999999999986</v>
      </c>
      <c r="L18" s="36" t="str">
        <f t="shared" si="3"/>
        <v xml:space="preserve">66,5 67,4 </v>
      </c>
      <c r="M18" s="2">
        <v>1</v>
      </c>
    </row>
    <row r="19" spans="1:15" x14ac:dyDescent="0.25">
      <c r="A19" s="2">
        <v>13</v>
      </c>
      <c r="B19" s="1">
        <f>B18-$D19*У!$C$41-G19</f>
        <v>82.359999999999985</v>
      </c>
      <c r="C19" s="1">
        <f>C18-$D19*У!$C$41-H19</f>
        <v>80.659999999999982</v>
      </c>
      <c r="D19" s="1">
        <v>3</v>
      </c>
      <c r="E19" s="1">
        <v>32</v>
      </c>
      <c r="F19" s="34" t="str">
        <f>INDEX(У!A$2:D$41,$E19,1)</f>
        <v>ТАН-616F</v>
      </c>
      <c r="G19" s="1">
        <f>INDEX(У!B$2:C$41,$E19,1)</f>
        <v>2.5</v>
      </c>
      <c r="H19" s="1">
        <f>INDEX(У!C$2:D$41,$E19,1)</f>
        <v>3</v>
      </c>
      <c r="I19" s="1">
        <f>INDEX(У!D$2:E$41,$E19,1)</f>
        <v>16</v>
      </c>
      <c r="J19" s="2">
        <f t="shared" si="4"/>
        <v>69.279999999999987</v>
      </c>
      <c r="K19" s="2">
        <f t="shared" si="6"/>
        <v>68.079999999999984</v>
      </c>
      <c r="L19" s="36" t="str">
        <f t="shared" si="3"/>
        <v xml:space="preserve">68,08 69,28 </v>
      </c>
      <c r="M19" s="2">
        <v>1</v>
      </c>
    </row>
    <row r="20" spans="1:15" x14ac:dyDescent="0.25">
      <c r="A20"/>
      <c r="B20"/>
      <c r="C20"/>
      <c r="D20"/>
      <c r="E20"/>
      <c r="F20"/>
      <c r="G20"/>
      <c r="H20"/>
      <c r="I20"/>
      <c r="J20"/>
      <c r="K20"/>
      <c r="L20" s="2" t="str">
        <f t="shared" si="3"/>
        <v xml:space="preserve">  </v>
      </c>
      <c r="M20" s="2">
        <v>1</v>
      </c>
    </row>
    <row r="21" spans="1:15" x14ac:dyDescent="0.25">
      <c r="A21" s="5"/>
      <c r="B21" s="6">
        <v>93</v>
      </c>
      <c r="C21" s="6">
        <v>93</v>
      </c>
      <c r="L21" s="2" t="str">
        <f t="shared" si="3"/>
        <v xml:space="preserve">  </v>
      </c>
      <c r="M21" s="2">
        <v>1</v>
      </c>
    </row>
    <row r="22" spans="1:15" x14ac:dyDescent="0.25">
      <c r="A22" s="5">
        <v>14</v>
      </c>
      <c r="B22" s="1">
        <f>B21-$D22*У!$C$41-G22</f>
        <v>91.16</v>
      </c>
      <c r="C22" s="1">
        <f>C21-$D22*У!$C$41-H22</f>
        <v>90.86</v>
      </c>
      <c r="D22" s="1">
        <v>1</v>
      </c>
      <c r="E22" s="1">
        <v>27</v>
      </c>
      <c r="F22" s="34" t="str">
        <f>INDEX(У!A$2:D$41,$E22,1)</f>
        <v>ТАН-420F</v>
      </c>
      <c r="G22" s="1">
        <f>INDEX(У!B$2:C$41,$E22,1)</f>
        <v>1.7</v>
      </c>
      <c r="H22" s="1">
        <f>INDEX(У!C$2:D$41,$E22,1)</f>
        <v>2</v>
      </c>
      <c r="I22" s="1">
        <f>INDEX(У!D$2:E$41,$E22,1)</f>
        <v>20</v>
      </c>
      <c r="J22" s="2">
        <f t="shared" ref="J22:J26" si="7">B21-I22</f>
        <v>73</v>
      </c>
      <c r="K22" s="2">
        <f>C21-I22</f>
        <v>73</v>
      </c>
      <c r="L22" s="2" t="str">
        <f t="shared" si="3"/>
        <v xml:space="preserve">73 73 </v>
      </c>
      <c r="M22" s="2">
        <v>1</v>
      </c>
    </row>
    <row r="23" spans="1:15" x14ac:dyDescent="0.25">
      <c r="A23" s="5">
        <v>15</v>
      </c>
      <c r="B23" s="1">
        <f>B22-$D23*У!$C$41-G23</f>
        <v>89.039999999999992</v>
      </c>
      <c r="C23" s="1">
        <f>C22-$D23*У!$C$41-H23</f>
        <v>88.44</v>
      </c>
      <c r="D23" s="1">
        <v>3</v>
      </c>
      <c r="E23" s="1">
        <v>27</v>
      </c>
      <c r="F23" s="34" t="str">
        <f>INDEX(У!A$2:D$41,$E23,1)</f>
        <v>ТАН-420F</v>
      </c>
      <c r="G23" s="1">
        <f>INDEX(У!B$2:C$41,$E23,1)</f>
        <v>1.7</v>
      </c>
      <c r="H23" s="1">
        <f>INDEX(У!C$2:D$41,$E23,1)</f>
        <v>2</v>
      </c>
      <c r="I23" s="1">
        <f>INDEX(У!D$2:E$41,$E23,1)</f>
        <v>20</v>
      </c>
      <c r="J23" s="2">
        <f t="shared" si="7"/>
        <v>71.16</v>
      </c>
      <c r="K23" s="2">
        <f t="shared" ref="K23:K26" si="8">C22-I23</f>
        <v>70.86</v>
      </c>
      <c r="L23" s="2" t="str">
        <f t="shared" si="3"/>
        <v xml:space="preserve">70,86 71,16 </v>
      </c>
      <c r="M23" s="2">
        <v>1</v>
      </c>
    </row>
    <row r="24" spans="1:15" x14ac:dyDescent="0.25">
      <c r="A24" s="5">
        <v>16</v>
      </c>
      <c r="B24" s="1">
        <f>B23-$D24*У!$C$41-G24</f>
        <v>86.11999999999999</v>
      </c>
      <c r="C24" s="1">
        <f>C23-$D24*У!$C$41-H24</f>
        <v>85.02</v>
      </c>
      <c r="D24" s="1">
        <v>3</v>
      </c>
      <c r="E24" s="1">
        <v>26</v>
      </c>
      <c r="F24" s="34" t="str">
        <f>INDEX(У!A$2:D$41,$E24,1)</f>
        <v>ТАН-416F</v>
      </c>
      <c r="G24" s="1">
        <f>INDEX(У!B$2:C$41,$E24,1)</f>
        <v>2.5</v>
      </c>
      <c r="H24" s="1">
        <f>INDEX(У!C$2:D$41,$E24,1)</f>
        <v>3</v>
      </c>
      <c r="I24" s="1">
        <f>INDEX(У!D$2:E$41,$E24,1)</f>
        <v>16</v>
      </c>
      <c r="J24" s="2">
        <f t="shared" si="7"/>
        <v>73.039999999999992</v>
      </c>
      <c r="K24" s="2">
        <f t="shared" si="8"/>
        <v>72.44</v>
      </c>
      <c r="L24" s="2" t="str">
        <f t="shared" si="3"/>
        <v xml:space="preserve">72,44 73,04 </v>
      </c>
      <c r="M24" s="2">
        <v>1</v>
      </c>
    </row>
    <row r="25" spans="1:15" x14ac:dyDescent="0.25">
      <c r="A25" s="5">
        <v>17</v>
      </c>
      <c r="B25" s="1">
        <f>B24-$D25*У!$C$41-G25</f>
        <v>83.199999999999989</v>
      </c>
      <c r="C25" s="1">
        <f>C24-$D25*У!$C$41-H25</f>
        <v>81.599999999999994</v>
      </c>
      <c r="D25" s="1">
        <v>3</v>
      </c>
      <c r="E25" s="1">
        <v>26</v>
      </c>
      <c r="F25" s="34" t="str">
        <f>INDEX(У!A$2:D$41,$E25,1)</f>
        <v>ТАН-416F</v>
      </c>
      <c r="G25" s="1">
        <f>INDEX(У!B$2:C$41,$E25,1)</f>
        <v>2.5</v>
      </c>
      <c r="H25" s="1">
        <f>INDEX(У!C$2:D$41,$E25,1)</f>
        <v>3</v>
      </c>
      <c r="I25" s="1">
        <f>INDEX(У!D$2:E$41,$E25,1)</f>
        <v>16</v>
      </c>
      <c r="J25" s="2">
        <f t="shared" si="7"/>
        <v>70.11999999999999</v>
      </c>
      <c r="K25" s="2">
        <f t="shared" si="8"/>
        <v>69.02</v>
      </c>
      <c r="L25" s="2" t="str">
        <f t="shared" si="3"/>
        <v xml:space="preserve">69,02 70,12 </v>
      </c>
      <c r="M25" s="2">
        <v>1</v>
      </c>
    </row>
    <row r="26" spans="1:15" x14ac:dyDescent="0.25">
      <c r="A26" s="5">
        <v>18</v>
      </c>
      <c r="B26" s="1">
        <f>B25-$D26*У!$C$41-G26</f>
        <v>79.779999999999987</v>
      </c>
      <c r="C26" s="1">
        <f>C25-$D26*У!$C$41-H26</f>
        <v>77.679999999999993</v>
      </c>
      <c r="D26" s="1">
        <v>3</v>
      </c>
      <c r="E26" s="1">
        <v>25</v>
      </c>
      <c r="F26" s="34" t="str">
        <f>INDEX(У!A$2:D$41,$E26,1)</f>
        <v>ТАН-414F</v>
      </c>
      <c r="G26" s="1">
        <f>INDEX(У!B$2:C$41,$E26,1)</f>
        <v>3</v>
      </c>
      <c r="H26" s="1">
        <f>INDEX(У!C$2:D$41,$E26,1)</f>
        <v>3.5</v>
      </c>
      <c r="I26" s="1">
        <f>INDEX(У!D$2:E$41,$E26,1)</f>
        <v>14</v>
      </c>
      <c r="J26" s="2">
        <f t="shared" si="7"/>
        <v>69.199999999999989</v>
      </c>
      <c r="K26" s="2">
        <f t="shared" si="8"/>
        <v>67.599999999999994</v>
      </c>
      <c r="L26" s="2" t="str">
        <f t="shared" si="3"/>
        <v xml:space="preserve">67,6 69,2 </v>
      </c>
      <c r="M26" s="2">
        <v>1</v>
      </c>
    </row>
    <row r="27" spans="1:15" x14ac:dyDescent="0.25">
      <c r="L27" s="2" t="str">
        <f t="shared" si="3"/>
        <v xml:space="preserve">  </v>
      </c>
      <c r="M27" s="2">
        <v>1</v>
      </c>
    </row>
    <row r="28" spans="1:15" x14ac:dyDescent="0.25">
      <c r="B28" s="6">
        <v>97</v>
      </c>
      <c r="C28" s="6">
        <v>97</v>
      </c>
      <c r="L28" s="2" t="str">
        <f t="shared" si="3"/>
        <v xml:space="preserve">  </v>
      </c>
      <c r="M28" s="2">
        <v>1</v>
      </c>
    </row>
    <row r="29" spans="1:15" x14ac:dyDescent="0.25">
      <c r="A29" s="10">
        <v>2</v>
      </c>
      <c r="B29" s="1">
        <f>B28-$D29*У!$C$41-G29</f>
        <v>95.36</v>
      </c>
      <c r="C29" s="1">
        <f>C28-$D29*У!$C$41-H29</f>
        <v>95.16</v>
      </c>
      <c r="D29" s="1">
        <v>1</v>
      </c>
      <c r="E29" s="1">
        <v>29</v>
      </c>
      <c r="F29" s="35" t="str">
        <f>INDEX(У!A$2:D$41,$E29,1)</f>
        <v>ТАН-426F</v>
      </c>
      <c r="G29" s="1">
        <f>INDEX(У!B$2:C$41,$E29,1)</f>
        <v>1.5</v>
      </c>
      <c r="H29" s="1">
        <f>INDEX(У!C$2:D$41,$E29,1)</f>
        <v>1.7</v>
      </c>
      <c r="I29" s="1">
        <f>INDEX(У!D$2:E$41,$E29,1)</f>
        <v>26</v>
      </c>
      <c r="J29" s="2">
        <f t="shared" ref="J29:J34" si="9">B28-I29</f>
        <v>71</v>
      </c>
      <c r="K29" s="2">
        <f>C28-I29</f>
        <v>71</v>
      </c>
      <c r="L29" s="36" t="str">
        <f t="shared" si="3"/>
        <v xml:space="preserve">71 71 </v>
      </c>
      <c r="M29" s="2">
        <v>1</v>
      </c>
    </row>
    <row r="30" spans="1:15" x14ac:dyDescent="0.25">
      <c r="A30" s="10">
        <v>3</v>
      </c>
      <c r="B30" s="1">
        <f>B29-$D30*У!$C$41-G30</f>
        <v>93.44</v>
      </c>
      <c r="C30" s="1">
        <f>C29-$D30*У!$C$41-H30</f>
        <v>93.039999999999992</v>
      </c>
      <c r="D30" s="1">
        <v>3</v>
      </c>
      <c r="E30" s="1">
        <v>28</v>
      </c>
      <c r="F30" s="35" t="str">
        <f>INDEX(У!A$2:D$41,$E30,1)</f>
        <v>ТАН-424F</v>
      </c>
      <c r="G30" s="1">
        <f>INDEX(У!B$2:C$41,$E30,1)</f>
        <v>1.5</v>
      </c>
      <c r="H30" s="1">
        <f>INDEX(У!C$2:D$41,$E30,1)</f>
        <v>1.7</v>
      </c>
      <c r="I30" s="1">
        <f>INDEX(У!D$2:E$41,$E30,1)</f>
        <v>24</v>
      </c>
      <c r="J30" s="2">
        <f t="shared" si="9"/>
        <v>71.36</v>
      </c>
      <c r="K30" s="2">
        <f t="shared" ref="K30:K34" si="10">C29-I30</f>
        <v>71.16</v>
      </c>
      <c r="L30" s="36" t="str">
        <f t="shared" si="3"/>
        <v xml:space="preserve">71,16 71,36 </v>
      </c>
      <c r="M30" s="2">
        <v>1</v>
      </c>
    </row>
    <row r="31" spans="1:15" x14ac:dyDescent="0.25">
      <c r="A31" s="10">
        <v>4</v>
      </c>
      <c r="B31" s="1">
        <f>B30-$D31*У!$C$41-G31</f>
        <v>91.52</v>
      </c>
      <c r="C31" s="1">
        <f>C30-$D31*У!$C$41-H31</f>
        <v>90.919999999999987</v>
      </c>
      <c r="D31" s="1">
        <v>3</v>
      </c>
      <c r="E31" s="1">
        <v>28</v>
      </c>
      <c r="F31" s="35" t="str">
        <f>INDEX(У!A$2:D$41,$E31,1)</f>
        <v>ТАН-424F</v>
      </c>
      <c r="G31" s="1">
        <f>INDEX(У!B$2:C$41,$E31,1)</f>
        <v>1.5</v>
      </c>
      <c r="H31" s="1">
        <f>INDEX(У!C$2:D$41,$E31,1)</f>
        <v>1.7</v>
      </c>
      <c r="I31" s="1">
        <f>INDEX(У!D$2:E$41,$E31,1)</f>
        <v>24</v>
      </c>
      <c r="J31" s="2">
        <f t="shared" si="9"/>
        <v>69.44</v>
      </c>
      <c r="K31" s="2">
        <f t="shared" si="10"/>
        <v>69.039999999999992</v>
      </c>
      <c r="L31" s="36" t="str">
        <f t="shared" si="3"/>
        <v xml:space="preserve">69,04 69,44 </v>
      </c>
      <c r="M31" s="2">
        <v>1</v>
      </c>
    </row>
    <row r="32" spans="1:15" x14ac:dyDescent="0.25">
      <c r="A32" s="10">
        <v>5</v>
      </c>
      <c r="B32" s="1">
        <f>B31-$D32*У!$C$41-G32</f>
        <v>89.399999999999991</v>
      </c>
      <c r="C32" s="1">
        <f>C31-$D32*У!$C$41-H32</f>
        <v>88.499999999999986</v>
      </c>
      <c r="D32" s="1">
        <v>3</v>
      </c>
      <c r="E32" s="1">
        <v>27</v>
      </c>
      <c r="F32" s="35" t="str">
        <f>INDEX(У!A$2:D$41,$E32,1)</f>
        <v>ТАН-420F</v>
      </c>
      <c r="G32" s="1">
        <f>INDEX(У!B$2:C$41,$E32,1)</f>
        <v>1.7</v>
      </c>
      <c r="H32" s="1">
        <f>INDEX(У!C$2:D$41,$E32,1)</f>
        <v>2</v>
      </c>
      <c r="I32" s="1">
        <f>INDEX(У!D$2:E$41,$E32,1)</f>
        <v>20</v>
      </c>
      <c r="J32" s="2">
        <f t="shared" si="9"/>
        <v>71.52</v>
      </c>
      <c r="K32" s="2">
        <f t="shared" si="10"/>
        <v>70.919999999999987</v>
      </c>
      <c r="L32" s="36" t="str">
        <f t="shared" si="3"/>
        <v xml:space="preserve">70,92 71,52 </v>
      </c>
      <c r="M32" s="2">
        <v>1</v>
      </c>
    </row>
    <row r="33" spans="1:13" x14ac:dyDescent="0.25">
      <c r="A33" s="10">
        <v>6</v>
      </c>
      <c r="B33" s="1">
        <f>B32-$D33*У!$C$41-G33</f>
        <v>87.279999999999987</v>
      </c>
      <c r="C33" s="1">
        <f>C32-$D33*У!$C$41-H33</f>
        <v>86.079999999999984</v>
      </c>
      <c r="D33" s="1">
        <v>3</v>
      </c>
      <c r="E33" s="1">
        <v>27</v>
      </c>
      <c r="F33" s="35" t="str">
        <f>INDEX(У!A$2:D$41,$E33,1)</f>
        <v>ТАН-420F</v>
      </c>
      <c r="G33" s="1">
        <f>INDEX(У!B$2:C$41,$E33,1)</f>
        <v>1.7</v>
      </c>
      <c r="H33" s="1">
        <f>INDEX(У!C$2:D$41,$E33,1)</f>
        <v>2</v>
      </c>
      <c r="I33" s="1">
        <f>INDEX(У!D$2:E$41,$E33,1)</f>
        <v>20</v>
      </c>
      <c r="J33" s="2">
        <f t="shared" si="9"/>
        <v>69.399999999999991</v>
      </c>
      <c r="K33" s="2">
        <f t="shared" si="10"/>
        <v>68.499999999999986</v>
      </c>
      <c r="L33" s="36" t="str">
        <f t="shared" si="3"/>
        <v xml:space="preserve">68,5 69,4 </v>
      </c>
      <c r="M33" s="2">
        <v>1</v>
      </c>
    </row>
    <row r="34" spans="1:13" x14ac:dyDescent="0.25">
      <c r="A34" s="10">
        <v>7</v>
      </c>
      <c r="B34" s="1">
        <f>B33-$D34*У!$C$41-G34</f>
        <v>84.359999999999985</v>
      </c>
      <c r="C34" s="1">
        <f>C33-$D34*У!$C$41-H34</f>
        <v>82.659999999999982</v>
      </c>
      <c r="D34" s="1">
        <v>3</v>
      </c>
      <c r="E34" s="1">
        <v>26</v>
      </c>
      <c r="F34" s="35" t="str">
        <f>INDEX(У!A$2:D$41,$E34,1)</f>
        <v>ТАН-416F</v>
      </c>
      <c r="G34" s="1">
        <f>INDEX(У!B$2:C$41,$E34,1)</f>
        <v>2.5</v>
      </c>
      <c r="H34" s="1">
        <f>INDEX(У!C$2:D$41,$E34,1)</f>
        <v>3</v>
      </c>
      <c r="I34" s="1">
        <f>INDEX(У!D$2:E$41,$E34,1)</f>
        <v>16</v>
      </c>
      <c r="J34" s="2">
        <f t="shared" si="9"/>
        <v>71.279999999999987</v>
      </c>
      <c r="K34" s="2">
        <f t="shared" si="10"/>
        <v>70.079999999999984</v>
      </c>
      <c r="L34" s="36" t="str">
        <f t="shared" si="3"/>
        <v xml:space="preserve">70,08 71,28 </v>
      </c>
      <c r="M34" s="2">
        <v>1</v>
      </c>
    </row>
    <row r="35" spans="1:13" x14ac:dyDescent="0.25">
      <c r="A35" s="13"/>
      <c r="B35"/>
      <c r="C35"/>
      <c r="D35"/>
      <c r="E35"/>
      <c r="F35"/>
      <c r="G35"/>
      <c r="H35"/>
      <c r="I35"/>
      <c r="J35"/>
      <c r="K35"/>
      <c r="L35" s="2" t="str">
        <f t="shared" si="3"/>
        <v xml:space="preserve">  </v>
      </c>
      <c r="M35" s="2">
        <v>1</v>
      </c>
    </row>
    <row r="36" spans="1:13" x14ac:dyDescent="0.25">
      <c r="A36" s="12"/>
      <c r="B36" s="6">
        <v>95</v>
      </c>
      <c r="C36" s="6">
        <v>95</v>
      </c>
      <c r="L36" s="2" t="str">
        <f t="shared" si="3"/>
        <v xml:space="preserve">  </v>
      </c>
      <c r="M36" s="2">
        <v>1</v>
      </c>
    </row>
    <row r="37" spans="1:13" x14ac:dyDescent="0.25">
      <c r="A37" s="10">
        <v>8</v>
      </c>
      <c r="B37" s="1">
        <f>B36-$D37*У!$C$41-G37</f>
        <v>93.36</v>
      </c>
      <c r="C37" s="1">
        <f>C36-$D37*У!$C$41-H37</f>
        <v>93.16</v>
      </c>
      <c r="D37" s="1">
        <v>1</v>
      </c>
      <c r="E37" s="1">
        <v>28</v>
      </c>
      <c r="F37" s="34" t="str">
        <f>INDEX(У!A$2:D$41,$E37,1)</f>
        <v>ТАН-424F</v>
      </c>
      <c r="G37" s="1">
        <f>INDEX(У!B$2:C$41,$E37,1)</f>
        <v>1.5</v>
      </c>
      <c r="H37" s="1">
        <f>INDEX(У!C$2:D$41,$E37,1)</f>
        <v>1.7</v>
      </c>
      <c r="I37" s="1">
        <f>INDEX(У!D$2:E$41,$E37,1)</f>
        <v>24</v>
      </c>
      <c r="J37" s="2">
        <f t="shared" ref="J37:J42" si="11">B36-I37</f>
        <v>71</v>
      </c>
      <c r="K37" s="2">
        <f>C36-I37</f>
        <v>71</v>
      </c>
      <c r="L37" s="2" t="str">
        <f t="shared" si="3"/>
        <v xml:space="preserve">71 71 </v>
      </c>
      <c r="M37" s="2">
        <v>1</v>
      </c>
    </row>
    <row r="38" spans="1:13" x14ac:dyDescent="0.25">
      <c r="A38" s="10">
        <v>9</v>
      </c>
      <c r="B38" s="1">
        <f>B37-$D38*У!$C$41-G38</f>
        <v>91.24</v>
      </c>
      <c r="C38" s="1">
        <f>C37-$D38*У!$C$41-H38</f>
        <v>90.74</v>
      </c>
      <c r="D38" s="1">
        <v>3</v>
      </c>
      <c r="E38" s="1">
        <v>27</v>
      </c>
      <c r="F38" s="34" t="str">
        <f>INDEX(У!A$2:D$41,$E38,1)</f>
        <v>ТАН-420F</v>
      </c>
      <c r="G38" s="1">
        <f>INDEX(У!B$2:C$41,$E38,1)</f>
        <v>1.7</v>
      </c>
      <c r="H38" s="1">
        <f>INDEX(У!C$2:D$41,$E38,1)</f>
        <v>2</v>
      </c>
      <c r="I38" s="1">
        <f>INDEX(У!D$2:E$41,$E38,1)</f>
        <v>20</v>
      </c>
      <c r="J38" s="2">
        <f t="shared" si="11"/>
        <v>73.36</v>
      </c>
      <c r="K38" s="2">
        <f t="shared" ref="K38:K42" si="12">C37-I38</f>
        <v>73.16</v>
      </c>
      <c r="L38" s="2" t="str">
        <f t="shared" si="3"/>
        <v xml:space="preserve">73,16 73,36 </v>
      </c>
      <c r="M38" s="2">
        <v>1</v>
      </c>
    </row>
    <row r="39" spans="1:13" x14ac:dyDescent="0.25">
      <c r="A39" s="10">
        <v>10</v>
      </c>
      <c r="B39" s="1">
        <f>B38-$D39*У!$C$41-G39</f>
        <v>89.11999999999999</v>
      </c>
      <c r="C39" s="1">
        <f>C38-$D39*У!$C$41-H39</f>
        <v>88.32</v>
      </c>
      <c r="D39" s="1">
        <v>3</v>
      </c>
      <c r="E39" s="1">
        <v>27</v>
      </c>
      <c r="F39" s="34" t="str">
        <f>INDEX(У!A$2:D$41,$E39,1)</f>
        <v>ТАН-420F</v>
      </c>
      <c r="G39" s="1">
        <f>INDEX(У!B$2:C$41,$E39,1)</f>
        <v>1.7</v>
      </c>
      <c r="H39" s="1">
        <f>INDEX(У!C$2:D$41,$E39,1)</f>
        <v>2</v>
      </c>
      <c r="I39" s="1">
        <f>INDEX(У!D$2:E$41,$E39,1)</f>
        <v>20</v>
      </c>
      <c r="J39" s="2">
        <f t="shared" si="11"/>
        <v>71.239999999999995</v>
      </c>
      <c r="K39" s="2">
        <f t="shared" si="12"/>
        <v>70.739999999999995</v>
      </c>
      <c r="L39" s="2" t="str">
        <f t="shared" si="3"/>
        <v xml:space="preserve">70,74 71,24 </v>
      </c>
      <c r="M39" s="2">
        <v>1</v>
      </c>
    </row>
    <row r="40" spans="1:13" x14ac:dyDescent="0.25">
      <c r="A40" s="10">
        <v>11</v>
      </c>
      <c r="B40" s="1">
        <f>B39-$D40*У!$C$41-G40</f>
        <v>86.999999999999986</v>
      </c>
      <c r="C40" s="1">
        <f>C39-$D40*У!$C$41-H40</f>
        <v>85.899999999999991</v>
      </c>
      <c r="D40" s="1">
        <v>3</v>
      </c>
      <c r="E40" s="1">
        <v>27</v>
      </c>
      <c r="F40" s="34" t="str">
        <f>INDEX(У!A$2:D$41,$E40,1)</f>
        <v>ТАН-420F</v>
      </c>
      <c r="G40" s="1">
        <f>INDEX(У!B$2:C$41,$E40,1)</f>
        <v>1.7</v>
      </c>
      <c r="H40" s="1">
        <f>INDEX(У!C$2:D$41,$E40,1)</f>
        <v>2</v>
      </c>
      <c r="I40" s="1">
        <f>INDEX(У!D$2:E$41,$E40,1)</f>
        <v>20</v>
      </c>
      <c r="J40" s="2">
        <f t="shared" si="11"/>
        <v>69.11999999999999</v>
      </c>
      <c r="K40" s="2">
        <f t="shared" si="12"/>
        <v>68.319999999999993</v>
      </c>
      <c r="L40" s="2" t="str">
        <f t="shared" si="3"/>
        <v xml:space="preserve">68,32 69,12 </v>
      </c>
      <c r="M40" s="2">
        <v>1</v>
      </c>
    </row>
    <row r="41" spans="1:13" x14ac:dyDescent="0.25">
      <c r="A41" s="10">
        <v>12</v>
      </c>
      <c r="B41" s="1">
        <f>B40-$D41*У!$C$41-G41</f>
        <v>84.079999999999984</v>
      </c>
      <c r="C41" s="1">
        <f>C40-$D41*У!$C$41-H41</f>
        <v>82.47999999999999</v>
      </c>
      <c r="D41" s="1">
        <v>3</v>
      </c>
      <c r="E41" s="1">
        <v>26</v>
      </c>
      <c r="F41" s="34" t="str">
        <f>INDEX(У!A$2:D$41,$E41,1)</f>
        <v>ТАН-416F</v>
      </c>
      <c r="G41" s="1">
        <f>INDEX(У!B$2:C$41,$E41,1)</f>
        <v>2.5</v>
      </c>
      <c r="H41" s="1">
        <f>INDEX(У!C$2:D$41,$E41,1)</f>
        <v>3</v>
      </c>
      <c r="I41" s="1">
        <f>INDEX(У!D$2:E$41,$E41,1)</f>
        <v>16</v>
      </c>
      <c r="J41" s="2">
        <f t="shared" si="11"/>
        <v>70.999999999999986</v>
      </c>
      <c r="K41" s="2">
        <f t="shared" si="12"/>
        <v>69.899999999999991</v>
      </c>
      <c r="L41" s="2" t="str">
        <f t="shared" si="3"/>
        <v xml:space="preserve">69,9 71 </v>
      </c>
      <c r="M41" s="2">
        <v>1</v>
      </c>
    </row>
    <row r="42" spans="1:13" x14ac:dyDescent="0.25">
      <c r="A42" s="12">
        <v>13</v>
      </c>
      <c r="B42" s="1">
        <f>B41-$D42*У!$C$41-G42</f>
        <v>80.659999999999982</v>
      </c>
      <c r="C42" s="1">
        <f>C41-$D42*У!$C$41-H42</f>
        <v>78.559999999999988</v>
      </c>
      <c r="D42" s="1">
        <v>3</v>
      </c>
      <c r="E42" s="1">
        <v>25</v>
      </c>
      <c r="F42" s="34" t="str">
        <f>INDEX(У!A$2:D$41,$E42,1)</f>
        <v>ТАН-414F</v>
      </c>
      <c r="G42" s="1">
        <f>INDEX(У!B$2:C$41,$E42,1)</f>
        <v>3</v>
      </c>
      <c r="H42" s="1">
        <f>INDEX(У!C$2:D$41,$E42,1)</f>
        <v>3.5</v>
      </c>
      <c r="I42" s="1">
        <f>INDEX(У!D$2:E$41,$E42,1)</f>
        <v>14</v>
      </c>
      <c r="J42" s="2">
        <f t="shared" si="11"/>
        <v>70.079999999999984</v>
      </c>
      <c r="K42" s="2">
        <f t="shared" si="12"/>
        <v>68.47999999999999</v>
      </c>
      <c r="L42" s="2" t="str">
        <f t="shared" si="3"/>
        <v xml:space="preserve">68,48 70,08 </v>
      </c>
      <c r="M42" s="2">
        <v>1</v>
      </c>
    </row>
    <row r="43" spans="1:13" x14ac:dyDescent="0.25">
      <c r="A43"/>
      <c r="B43"/>
      <c r="C43"/>
      <c r="D43"/>
      <c r="E43"/>
      <c r="F43"/>
      <c r="G43"/>
      <c r="H43"/>
      <c r="I43"/>
      <c r="J43"/>
      <c r="K43"/>
      <c r="L43" s="2" t="str">
        <f t="shared" si="3"/>
        <v xml:space="preserve">  </v>
      </c>
      <c r="M43" s="2">
        <v>1</v>
      </c>
    </row>
    <row r="44" spans="1:13" x14ac:dyDescent="0.25">
      <c r="A44" s="5"/>
      <c r="B44" s="6">
        <v>93</v>
      </c>
      <c r="C44" s="6">
        <v>93</v>
      </c>
      <c r="L44" s="2" t="str">
        <f t="shared" si="3"/>
        <v xml:space="preserve">  </v>
      </c>
      <c r="M44" s="2">
        <v>1</v>
      </c>
    </row>
    <row r="45" spans="1:13" x14ac:dyDescent="0.25">
      <c r="A45" s="5">
        <v>14</v>
      </c>
      <c r="B45" s="1">
        <f>B44-$D45*У!$C$41-G45</f>
        <v>91.16</v>
      </c>
      <c r="C45" s="1">
        <f>C44-$D45*У!$C$41-H45</f>
        <v>90.86</v>
      </c>
      <c r="D45" s="1">
        <v>1</v>
      </c>
      <c r="E45" s="1">
        <v>27</v>
      </c>
      <c r="F45" s="34" t="str">
        <f>INDEX(У!A$2:D$41,$E45,1)</f>
        <v>ТАН-420F</v>
      </c>
      <c r="G45" s="1">
        <f>INDEX(У!B$2:C$41,$E45,1)</f>
        <v>1.7</v>
      </c>
      <c r="H45" s="1">
        <f>INDEX(У!C$2:D$41,$E45,1)</f>
        <v>2</v>
      </c>
      <c r="I45" s="1">
        <f>INDEX(У!D$2:E$41,$E45,1)</f>
        <v>20</v>
      </c>
      <c r="J45" s="2">
        <f t="shared" ref="J45:J49" si="13">B44-I45</f>
        <v>73</v>
      </c>
      <c r="K45" s="2">
        <f>C44-I45</f>
        <v>73</v>
      </c>
      <c r="L45" s="2" t="str">
        <f t="shared" si="3"/>
        <v xml:space="preserve">73 73 </v>
      </c>
      <c r="M45" s="2">
        <v>1</v>
      </c>
    </row>
    <row r="46" spans="1:13" x14ac:dyDescent="0.25">
      <c r="A46" s="5">
        <v>15</v>
      </c>
      <c r="B46" s="1">
        <f>B45-$D46*У!$C$41-G46</f>
        <v>89.039999999999992</v>
      </c>
      <c r="C46" s="1">
        <f>C45-$D46*У!$C$41-H46</f>
        <v>88.44</v>
      </c>
      <c r="D46" s="1">
        <v>3</v>
      </c>
      <c r="E46" s="1">
        <v>27</v>
      </c>
      <c r="F46" s="34" t="str">
        <f>INDEX(У!A$2:D$41,$E46,1)</f>
        <v>ТАН-420F</v>
      </c>
      <c r="G46" s="1">
        <f>INDEX(У!B$2:C$41,$E46,1)</f>
        <v>1.7</v>
      </c>
      <c r="H46" s="1">
        <f>INDEX(У!C$2:D$41,$E46,1)</f>
        <v>2</v>
      </c>
      <c r="I46" s="1">
        <f>INDEX(У!D$2:E$41,$E46,1)</f>
        <v>20</v>
      </c>
      <c r="J46" s="2">
        <f t="shared" si="13"/>
        <v>71.16</v>
      </c>
      <c r="K46" s="2">
        <f t="shared" ref="K46:K49" si="14">C45-I46</f>
        <v>70.86</v>
      </c>
      <c r="L46" s="2" t="str">
        <f t="shared" si="3"/>
        <v xml:space="preserve">70,86 71,16 </v>
      </c>
      <c r="M46" s="2">
        <v>1</v>
      </c>
    </row>
    <row r="47" spans="1:13" x14ac:dyDescent="0.25">
      <c r="A47" s="5">
        <v>16</v>
      </c>
      <c r="B47" s="1">
        <f>B46-$D47*У!$C$41-G47</f>
        <v>86.11999999999999</v>
      </c>
      <c r="C47" s="1">
        <f>C46-$D47*У!$C$41-H47</f>
        <v>85.02</v>
      </c>
      <c r="D47" s="1">
        <v>3</v>
      </c>
      <c r="E47" s="1">
        <v>26</v>
      </c>
      <c r="F47" s="34" t="str">
        <f>INDEX(У!A$2:D$41,$E47,1)</f>
        <v>ТАН-416F</v>
      </c>
      <c r="G47" s="1">
        <f>INDEX(У!B$2:C$41,$E47,1)</f>
        <v>2.5</v>
      </c>
      <c r="H47" s="1">
        <f>INDEX(У!C$2:D$41,$E47,1)</f>
        <v>3</v>
      </c>
      <c r="I47" s="1">
        <f>INDEX(У!D$2:E$41,$E47,1)</f>
        <v>16</v>
      </c>
      <c r="J47" s="2">
        <f t="shared" si="13"/>
        <v>73.039999999999992</v>
      </c>
      <c r="K47" s="2">
        <f t="shared" si="14"/>
        <v>72.44</v>
      </c>
      <c r="L47" s="2" t="str">
        <f t="shared" si="3"/>
        <v xml:space="preserve">72,44 73,04 </v>
      </c>
      <c r="M47" s="2">
        <v>1</v>
      </c>
    </row>
    <row r="48" spans="1:13" x14ac:dyDescent="0.25">
      <c r="A48" s="5">
        <v>17</v>
      </c>
      <c r="B48" s="1">
        <f>B47-$D48*У!$C$41-G48</f>
        <v>83.199999999999989</v>
      </c>
      <c r="C48" s="1">
        <f>C47-$D48*У!$C$41-H48</f>
        <v>81.599999999999994</v>
      </c>
      <c r="D48" s="1">
        <v>3</v>
      </c>
      <c r="E48" s="1">
        <v>26</v>
      </c>
      <c r="F48" s="34" t="str">
        <f>INDEX(У!A$2:D$41,$E48,1)</f>
        <v>ТАН-416F</v>
      </c>
      <c r="G48" s="1">
        <f>INDEX(У!B$2:C$41,$E48,1)</f>
        <v>2.5</v>
      </c>
      <c r="H48" s="1">
        <f>INDEX(У!C$2:D$41,$E48,1)</f>
        <v>3</v>
      </c>
      <c r="I48" s="1">
        <f>INDEX(У!D$2:E$41,$E48,1)</f>
        <v>16</v>
      </c>
      <c r="J48" s="2">
        <f t="shared" si="13"/>
        <v>70.11999999999999</v>
      </c>
      <c r="K48" s="2">
        <f t="shared" si="14"/>
        <v>69.02</v>
      </c>
      <c r="L48" s="2" t="str">
        <f t="shared" si="3"/>
        <v xml:space="preserve">69,02 70,12 </v>
      </c>
      <c r="M48" s="2">
        <v>1</v>
      </c>
    </row>
    <row r="49" spans="1:13" x14ac:dyDescent="0.25">
      <c r="A49" s="5">
        <v>18</v>
      </c>
      <c r="B49" s="1">
        <f>B48-$D49*У!$C$41-G49</f>
        <v>79.779999999999987</v>
      </c>
      <c r="C49" s="1">
        <f>C48-$D49*У!$C$41-H49</f>
        <v>77.679999999999993</v>
      </c>
      <c r="D49" s="1">
        <v>3</v>
      </c>
      <c r="E49" s="1">
        <v>25</v>
      </c>
      <c r="F49" s="34" t="str">
        <f>INDEX(У!A$2:D$41,$E49,1)</f>
        <v>ТАН-414F</v>
      </c>
      <c r="G49" s="1">
        <f>INDEX(У!B$2:C$41,$E49,1)</f>
        <v>3</v>
      </c>
      <c r="H49" s="1">
        <f>INDEX(У!C$2:D$41,$E49,1)</f>
        <v>3.5</v>
      </c>
      <c r="I49" s="1">
        <f>INDEX(У!D$2:E$41,$E49,1)</f>
        <v>14</v>
      </c>
      <c r="J49" s="2">
        <f t="shared" si="13"/>
        <v>69.199999999999989</v>
      </c>
      <c r="K49" s="2">
        <f t="shared" si="14"/>
        <v>67.599999999999994</v>
      </c>
      <c r="L49" s="2" t="str">
        <f t="shared" si="3"/>
        <v xml:space="preserve">67,6 69,2 </v>
      </c>
      <c r="M49" s="2">
        <v>1</v>
      </c>
    </row>
    <row r="50" spans="1:13" x14ac:dyDescent="0.25">
      <c r="L50" s="2" t="str">
        <f t="shared" si="3"/>
        <v xml:space="preserve">  </v>
      </c>
    </row>
    <row r="51" spans="1:13" x14ac:dyDescent="0.25">
      <c r="L51" s="2" t="str">
        <f t="shared" si="3"/>
        <v xml:space="preserve">  </v>
      </c>
    </row>
    <row r="52" spans="1:13" x14ac:dyDescent="0.25">
      <c r="L52" s="2" t="str">
        <f t="shared" si="3"/>
        <v xml:space="preserve">  </v>
      </c>
    </row>
    <row r="53" spans="1:13" x14ac:dyDescent="0.25">
      <c r="L53" s="2" t="str">
        <f t="shared" si="3"/>
        <v xml:space="preserve">  </v>
      </c>
    </row>
    <row r="56" spans="1:13" x14ac:dyDescent="0.25">
      <c r="B56" s="1" t="s">
        <v>52</v>
      </c>
      <c r="C56" s="1" t="s">
        <v>52</v>
      </c>
      <c r="E56" s="1" t="s">
        <v>77</v>
      </c>
    </row>
    <row r="57" spans="1:13" x14ac:dyDescent="0.25">
      <c r="A57"/>
      <c r="B57" s="1">
        <v>57</v>
      </c>
      <c r="C57" s="1">
        <v>57</v>
      </c>
      <c r="E57" s="6">
        <f>3*2*(7+5+4)+2*(1+24+42)</f>
        <v>230</v>
      </c>
      <c r="I57"/>
      <c r="J57"/>
      <c r="K57"/>
    </row>
    <row r="58" spans="1:13" x14ac:dyDescent="0.25">
      <c r="A58"/>
      <c r="B58" s="1">
        <v>45</v>
      </c>
      <c r="C58" s="1">
        <v>45</v>
      </c>
      <c r="D58" s="6"/>
      <c r="E58"/>
      <c r="I58"/>
      <c r="J58"/>
      <c r="K58"/>
    </row>
    <row r="59" spans="1:13" x14ac:dyDescent="0.25">
      <c r="A59"/>
      <c r="B59" s="1">
        <v>33</v>
      </c>
      <c r="C59" s="1">
        <v>33</v>
      </c>
      <c r="E59" s="1">
        <v>8</v>
      </c>
      <c r="F59" s="1">
        <f>E59*3</f>
        <v>24</v>
      </c>
      <c r="I59"/>
      <c r="J59"/>
      <c r="K59"/>
    </row>
    <row r="60" spans="1:13" x14ac:dyDescent="0.25">
      <c r="A60"/>
      <c r="B60" s="1">
        <v>21</v>
      </c>
      <c r="C60" s="1">
        <v>21</v>
      </c>
      <c r="E60" s="1">
        <v>14</v>
      </c>
      <c r="F60" s="1">
        <f>E60*3</f>
        <v>42</v>
      </c>
      <c r="I60"/>
      <c r="J60"/>
      <c r="K60"/>
    </row>
    <row r="61" spans="1:13" x14ac:dyDescent="0.25">
      <c r="A61"/>
      <c r="B61" s="6">
        <f>SUM(B57:B60)</f>
        <v>156</v>
      </c>
      <c r="C61" s="6">
        <f>SUM(C57:C60)</f>
        <v>156</v>
      </c>
      <c r="E61"/>
      <c r="I61"/>
      <c r="J61"/>
      <c r="K61"/>
    </row>
  </sheetData>
  <conditionalFormatting sqref="O1:O1048576">
    <cfRule type="cellIs" dxfId="31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Normal="100" workbookViewId="0">
      <selection activeCell="B35" sqref="B35"/>
    </sheetView>
  </sheetViews>
  <sheetFormatPr defaultRowHeight="15" x14ac:dyDescent="0.25"/>
  <cols>
    <col min="1" max="1" width="5.375" style="2" bestFit="1" customWidth="1"/>
    <col min="2" max="2" width="9.125" style="1"/>
    <col min="3" max="3" width="8" style="1" customWidth="1"/>
    <col min="4" max="4" width="11.125" style="1" customWidth="1"/>
    <col min="5" max="5" width="11.125" style="1" bestFit="1" customWidth="1"/>
    <col min="6" max="7" width="9.125" style="1"/>
    <col min="8" max="8" width="9.125" style="2"/>
  </cols>
  <sheetData>
    <row r="1" spans="1:11" x14ac:dyDescent="0.25">
      <c r="B1" s="1" t="s">
        <v>46</v>
      </c>
    </row>
    <row r="3" spans="1:11" ht="30" x14ac:dyDescent="0.25">
      <c r="A3" s="2" t="s">
        <v>27</v>
      </c>
      <c r="B3" s="4" t="s">
        <v>26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24</v>
      </c>
      <c r="H3" s="4" t="s">
        <v>25</v>
      </c>
    </row>
    <row r="4" spans="1:11" x14ac:dyDescent="0.25">
      <c r="B4" s="6">
        <v>100</v>
      </c>
      <c r="C4" s="1" t="s">
        <v>54</v>
      </c>
    </row>
    <row r="5" spans="1:11" x14ac:dyDescent="0.25">
      <c r="A5" s="5">
        <v>1</v>
      </c>
      <c r="B5" s="8">
        <f>B4-C5*У!$C$41-F5</f>
        <v>98.16</v>
      </c>
      <c r="C5" s="8">
        <v>1</v>
      </c>
      <c r="D5" s="8">
        <v>29</v>
      </c>
      <c r="E5" s="14" t="str">
        <f>INDEX(У!A$2:D$41,$D5,1)</f>
        <v>ТАН-426F</v>
      </c>
      <c r="F5" s="8">
        <f>INDEX(У!C$2:D$41,$D5,1)</f>
        <v>1.7</v>
      </c>
      <c r="G5" s="8">
        <f>INDEX(У!D$2:E$41,$D5,1)</f>
        <v>26</v>
      </c>
      <c r="H5" s="9">
        <f>B4-G5</f>
        <v>74</v>
      </c>
      <c r="I5" s="1">
        <v>1</v>
      </c>
      <c r="J5" s="2" t="s">
        <v>7</v>
      </c>
      <c r="K5" s="2">
        <f>SUMIFS(I$5:I$32,E$5:E$32,J5)</f>
        <v>2</v>
      </c>
    </row>
    <row r="6" spans="1:11" x14ac:dyDescent="0.25">
      <c r="A6" s="5">
        <v>2</v>
      </c>
      <c r="B6" s="8">
        <f>B5-C6*У!$C$41-F6</f>
        <v>96.039999999999992</v>
      </c>
      <c r="C6" s="8">
        <v>3</v>
      </c>
      <c r="D6" s="8">
        <v>29</v>
      </c>
      <c r="E6" s="14" t="str">
        <f>INDEX(У!A$2:D$41,$D6,1)</f>
        <v>ТАН-426F</v>
      </c>
      <c r="F6" s="8">
        <f>INDEX(У!C$2:D$41,$D6,1)</f>
        <v>1.7</v>
      </c>
      <c r="G6" s="8">
        <f>INDEX(У!D$2:E$41,$D6,1)</f>
        <v>26</v>
      </c>
      <c r="H6" s="9">
        <f t="shared" ref="H6:H10" si="0">B5-G6</f>
        <v>72.16</v>
      </c>
      <c r="I6" s="1">
        <v>1</v>
      </c>
      <c r="J6" s="2" t="s">
        <v>8</v>
      </c>
      <c r="K6" s="2">
        <f t="shared" ref="K6:K11" si="1">SUMIFS(I$5:I$32,E$5:E$32,J6)</f>
        <v>0</v>
      </c>
    </row>
    <row r="7" spans="1:11" x14ac:dyDescent="0.25">
      <c r="A7" s="5">
        <v>3</v>
      </c>
      <c r="B7" s="8">
        <f>B6-C7*У!$C$41-F7</f>
        <v>93.919999999999987</v>
      </c>
      <c r="C7" s="8">
        <v>3</v>
      </c>
      <c r="D7" s="8">
        <v>28</v>
      </c>
      <c r="E7" s="15" t="str">
        <f>INDEX(У!A$2:D$41,$D7,1)</f>
        <v>ТАН-424F</v>
      </c>
      <c r="F7" s="8">
        <f>INDEX(У!C$2:D$41,$D7,1)</f>
        <v>1.7</v>
      </c>
      <c r="G7" s="8">
        <f>INDEX(У!D$2:E$41,$D7,1)</f>
        <v>24</v>
      </c>
      <c r="H7" s="9">
        <f t="shared" si="0"/>
        <v>72.039999999999992</v>
      </c>
      <c r="I7" s="1">
        <v>1</v>
      </c>
      <c r="J7" s="2" t="s">
        <v>9</v>
      </c>
      <c r="K7" s="2">
        <f t="shared" si="1"/>
        <v>2</v>
      </c>
    </row>
    <row r="8" spans="1:11" x14ac:dyDescent="0.25">
      <c r="A8" s="5">
        <v>4</v>
      </c>
      <c r="B8" s="8">
        <f>B7-C8*У!$C$41-F8</f>
        <v>91.799999999999983</v>
      </c>
      <c r="C8" s="8">
        <v>3</v>
      </c>
      <c r="D8" s="8">
        <v>28</v>
      </c>
      <c r="E8" s="15" t="str">
        <f>INDEX(У!A$2:D$41,$D8,1)</f>
        <v>ТАН-424F</v>
      </c>
      <c r="F8" s="8">
        <f>INDEX(У!C$2:D$41,$D8,1)</f>
        <v>1.7</v>
      </c>
      <c r="G8" s="8">
        <f>INDEX(У!D$2:E$41,$D8,1)</f>
        <v>24</v>
      </c>
      <c r="H8" s="9">
        <f t="shared" si="0"/>
        <v>69.919999999999987</v>
      </c>
      <c r="I8" s="1">
        <v>1</v>
      </c>
      <c r="J8" s="2" t="s">
        <v>10</v>
      </c>
      <c r="K8" s="2">
        <f t="shared" si="1"/>
        <v>4</v>
      </c>
    </row>
    <row r="9" spans="1:11" x14ac:dyDescent="0.25">
      <c r="A9" s="5">
        <v>5</v>
      </c>
      <c r="B9" s="8">
        <f>B8-C9*У!$C$41-F9</f>
        <v>89.379999999999981</v>
      </c>
      <c r="C9" s="8">
        <v>3</v>
      </c>
      <c r="D9" s="8">
        <v>27</v>
      </c>
      <c r="E9" s="16" t="str">
        <f>INDEX(У!A$2:D$41,$D9,1)</f>
        <v>ТАН-420F</v>
      </c>
      <c r="F9" s="8">
        <f>INDEX(У!C$2:D$41,$D9,1)</f>
        <v>2</v>
      </c>
      <c r="G9" s="8">
        <f>INDEX(У!D$2:E$41,$D9,1)</f>
        <v>20</v>
      </c>
      <c r="H9" s="9">
        <f t="shared" si="0"/>
        <v>71.799999999999983</v>
      </c>
      <c r="I9" s="1">
        <v>1</v>
      </c>
      <c r="J9" s="2" t="s">
        <v>11</v>
      </c>
      <c r="K9" s="2">
        <f t="shared" si="1"/>
        <v>12</v>
      </c>
    </row>
    <row r="10" spans="1:11" x14ac:dyDescent="0.25">
      <c r="A10" s="5">
        <v>6</v>
      </c>
      <c r="B10" s="8">
        <f>B9-C10*У!$C$41-F10</f>
        <v>86.95999999999998</v>
      </c>
      <c r="C10" s="8">
        <v>3</v>
      </c>
      <c r="D10" s="8">
        <v>27</v>
      </c>
      <c r="E10" s="16" t="str">
        <f>INDEX(У!A$2:D$41,$D10,1)</f>
        <v>ТАН-420F</v>
      </c>
      <c r="F10" s="8">
        <f>INDEX(У!C$2:D$41,$D10,1)</f>
        <v>2</v>
      </c>
      <c r="G10" s="8">
        <f>INDEX(У!D$2:E$41,$D10,1)</f>
        <v>20</v>
      </c>
      <c r="H10" s="9">
        <f t="shared" si="0"/>
        <v>69.379999999999981</v>
      </c>
      <c r="I10" s="1">
        <v>1</v>
      </c>
      <c r="J10" s="2" t="s">
        <v>12</v>
      </c>
      <c r="K10" s="2">
        <f t="shared" si="1"/>
        <v>7</v>
      </c>
    </row>
    <row r="11" spans="1:11" x14ac:dyDescent="0.25">
      <c r="A11"/>
      <c r="B11"/>
      <c r="C11"/>
      <c r="D11"/>
      <c r="E11"/>
      <c r="F11"/>
      <c r="G11"/>
      <c r="H11"/>
      <c r="I11" s="1"/>
      <c r="J11" s="2" t="s">
        <v>6</v>
      </c>
      <c r="K11" s="2">
        <f t="shared" si="1"/>
        <v>0</v>
      </c>
    </row>
    <row r="12" spans="1:11" x14ac:dyDescent="0.25">
      <c r="B12" s="6">
        <v>94</v>
      </c>
      <c r="C12" s="1" t="s">
        <v>54</v>
      </c>
      <c r="I12" s="1"/>
    </row>
    <row r="13" spans="1:11" x14ac:dyDescent="0.25">
      <c r="A13" s="5">
        <v>1</v>
      </c>
      <c r="B13" s="8">
        <f>B12-C13*У!$C$41-F13</f>
        <v>92.16</v>
      </c>
      <c r="C13" s="8">
        <v>1</v>
      </c>
      <c r="D13" s="8">
        <v>28</v>
      </c>
      <c r="E13" s="15" t="str">
        <f>INDEX(У!A$2:D$41,$D13,1)</f>
        <v>ТАН-424F</v>
      </c>
      <c r="F13" s="8">
        <f>INDEX(У!C$2:D$41,$D13,1)</f>
        <v>1.7</v>
      </c>
      <c r="G13" s="8">
        <f>INDEX(У!D$2:E$41,$D13,1)</f>
        <v>24</v>
      </c>
      <c r="H13" s="9">
        <f>B12-G13</f>
        <v>70</v>
      </c>
      <c r="I13" s="1">
        <v>2</v>
      </c>
    </row>
    <row r="14" spans="1:11" x14ac:dyDescent="0.25">
      <c r="A14" s="5">
        <v>2</v>
      </c>
      <c r="B14" s="8">
        <f>B13-C14*У!$C$41-F14</f>
        <v>89.74</v>
      </c>
      <c r="C14" s="8">
        <v>3</v>
      </c>
      <c r="D14" s="8">
        <v>27</v>
      </c>
      <c r="E14" s="16" t="str">
        <f>INDEX(У!A$2:D$41,$D14,1)</f>
        <v>ТАН-420F</v>
      </c>
      <c r="F14" s="8">
        <f>INDEX(У!C$2:D$41,$D14,1)</f>
        <v>2</v>
      </c>
      <c r="G14" s="8">
        <f>INDEX(У!D$2:E$41,$D14,1)</f>
        <v>20</v>
      </c>
      <c r="H14" s="9">
        <f t="shared" ref="H14:H18" si="2">B13-G14</f>
        <v>72.16</v>
      </c>
      <c r="I14" s="1">
        <v>2</v>
      </c>
    </row>
    <row r="15" spans="1:11" x14ac:dyDescent="0.25">
      <c r="A15" s="5">
        <v>3</v>
      </c>
      <c r="B15" s="8">
        <f>B14-C15*У!$C$41-F15</f>
        <v>87.32</v>
      </c>
      <c r="C15" s="8">
        <v>3</v>
      </c>
      <c r="D15" s="8">
        <v>27</v>
      </c>
      <c r="E15" s="16" t="str">
        <f>INDEX(У!A$2:D$41,$D15,1)</f>
        <v>ТАН-420F</v>
      </c>
      <c r="F15" s="8">
        <f>INDEX(У!C$2:D$41,$D15,1)</f>
        <v>2</v>
      </c>
      <c r="G15" s="8">
        <f>INDEX(У!D$2:E$41,$D15,1)</f>
        <v>20</v>
      </c>
      <c r="H15" s="9">
        <f t="shared" si="2"/>
        <v>69.739999999999995</v>
      </c>
      <c r="I15" s="1">
        <v>2</v>
      </c>
    </row>
    <row r="16" spans="1:11" x14ac:dyDescent="0.25">
      <c r="A16" s="5">
        <v>4</v>
      </c>
      <c r="B16" s="8">
        <f>B15-C16*У!$C$41-F16</f>
        <v>83.899999999999991</v>
      </c>
      <c r="C16" s="8">
        <v>3</v>
      </c>
      <c r="D16" s="8">
        <v>26</v>
      </c>
      <c r="E16" s="14" t="str">
        <f>INDEX(У!A$2:D$41,$D16,1)</f>
        <v>ТАН-416F</v>
      </c>
      <c r="F16" s="8">
        <f>INDEX(У!C$2:D$41,$D16,1)</f>
        <v>3</v>
      </c>
      <c r="G16" s="8">
        <f>INDEX(У!D$2:E$41,$D16,1)</f>
        <v>16</v>
      </c>
      <c r="H16" s="9">
        <f t="shared" si="2"/>
        <v>71.319999999999993</v>
      </c>
      <c r="I16" s="1">
        <v>2</v>
      </c>
    </row>
    <row r="17" spans="1:9" x14ac:dyDescent="0.25">
      <c r="A17" s="5">
        <v>5</v>
      </c>
      <c r="B17" s="8">
        <f>B16-C17*У!$C$41-F17</f>
        <v>79.97999999999999</v>
      </c>
      <c r="C17" s="8">
        <v>3</v>
      </c>
      <c r="D17" s="8">
        <v>25</v>
      </c>
      <c r="E17" s="8" t="str">
        <f>INDEX(У!A$2:D$41,$D17,1)</f>
        <v>ТАН-414F</v>
      </c>
      <c r="F17" s="8">
        <f>INDEX(У!C$2:D$41,$D17,1)</f>
        <v>3.5</v>
      </c>
      <c r="G17" s="8">
        <f>INDEX(У!D$2:E$41,$D17,1)</f>
        <v>14</v>
      </c>
      <c r="H17" s="9">
        <f t="shared" si="2"/>
        <v>69.899999999999991</v>
      </c>
      <c r="I17" s="1">
        <v>2</v>
      </c>
    </row>
    <row r="18" spans="1:9" x14ac:dyDescent="0.25">
      <c r="A18" s="5">
        <v>6</v>
      </c>
      <c r="B18" s="8">
        <f>B17-C18*У!$C$41-F18</f>
        <v>74.559999999999988</v>
      </c>
      <c r="C18" s="8">
        <v>3</v>
      </c>
      <c r="D18" s="8">
        <v>23</v>
      </c>
      <c r="E18" s="8" t="str">
        <f>INDEX(У!A$2:D$41,$D18,1)</f>
        <v>ТАН-410F</v>
      </c>
      <c r="F18" s="8">
        <f>INDEX(У!C$2:D$41,$D18,1)</f>
        <v>5</v>
      </c>
      <c r="G18" s="8">
        <f>INDEX(У!D$2:E$41,$D18,1)</f>
        <v>10</v>
      </c>
      <c r="H18" s="9">
        <f t="shared" si="2"/>
        <v>69.97999999999999</v>
      </c>
      <c r="I18" s="1">
        <v>2</v>
      </c>
    </row>
    <row r="19" spans="1:9" s="13" customFormat="1" x14ac:dyDescent="0.25">
      <c r="A19" s="10"/>
      <c r="B19" s="11"/>
      <c r="C19" s="11"/>
      <c r="D19" s="11"/>
      <c r="E19" s="11"/>
      <c r="F19" s="11"/>
      <c r="G19" s="11"/>
      <c r="H19" s="12"/>
    </row>
    <row r="20" spans="1:9" x14ac:dyDescent="0.25">
      <c r="B20" s="6">
        <v>98</v>
      </c>
      <c r="C20" s="1" t="s">
        <v>53</v>
      </c>
    </row>
    <row r="21" spans="1:9" x14ac:dyDescent="0.25">
      <c r="A21" s="5">
        <v>7</v>
      </c>
      <c r="B21" s="8">
        <f>B20-C21*У!$C$41-F21</f>
        <v>96.16</v>
      </c>
      <c r="C21" s="8">
        <v>1</v>
      </c>
      <c r="D21" s="8">
        <v>29</v>
      </c>
      <c r="E21" s="14" t="str">
        <f>INDEX(У!A$2:D$41,$D21,1)</f>
        <v>ТАН-426F</v>
      </c>
      <c r="F21" s="8">
        <f>INDEX(У!C$2:D$41,$D21,1)</f>
        <v>1.7</v>
      </c>
      <c r="G21" s="8">
        <f>INDEX(У!D$2:E$41,$D21,1)</f>
        <v>26</v>
      </c>
      <c r="H21" s="9">
        <f>B20-G21</f>
        <v>72</v>
      </c>
      <c r="I21" s="1">
        <v>1</v>
      </c>
    </row>
    <row r="22" spans="1:9" x14ac:dyDescent="0.25">
      <c r="A22" s="5">
        <v>8</v>
      </c>
      <c r="B22" s="8">
        <f>B21-C22*У!$C$41-F22</f>
        <v>94.039999999999992</v>
      </c>
      <c r="C22" s="8">
        <v>3</v>
      </c>
      <c r="D22" s="8">
        <v>29</v>
      </c>
      <c r="E22" s="14" t="str">
        <f>INDEX(У!A$2:D$41,$D22,1)</f>
        <v>ТАН-426F</v>
      </c>
      <c r="F22" s="8">
        <f>INDEX(У!C$2:D$41,$D22,1)</f>
        <v>1.7</v>
      </c>
      <c r="G22" s="8">
        <f>INDEX(У!D$2:E$41,$D22,1)</f>
        <v>26</v>
      </c>
      <c r="H22" s="9">
        <f t="shared" ref="H22:H25" si="3">B21-G22</f>
        <v>70.16</v>
      </c>
      <c r="I22" s="1">
        <v>1</v>
      </c>
    </row>
    <row r="23" spans="1:9" x14ac:dyDescent="0.25">
      <c r="A23" s="5">
        <v>9</v>
      </c>
      <c r="B23" s="8">
        <f>B22-C23*У!$C$41-F23</f>
        <v>91.919999999999987</v>
      </c>
      <c r="C23" s="8">
        <v>3</v>
      </c>
      <c r="D23" s="8">
        <v>28</v>
      </c>
      <c r="E23" s="15" t="str">
        <f>INDEX(У!A$2:D$41,$D23,1)</f>
        <v>ТАН-424F</v>
      </c>
      <c r="F23" s="8">
        <f>INDEX(У!C$2:D$41,$D23,1)</f>
        <v>1.7</v>
      </c>
      <c r="G23" s="8">
        <f>INDEX(У!D$2:E$41,$D23,1)</f>
        <v>24</v>
      </c>
      <c r="H23" s="9">
        <f t="shared" si="3"/>
        <v>70.039999999999992</v>
      </c>
      <c r="I23" s="1">
        <v>1</v>
      </c>
    </row>
    <row r="24" spans="1:9" x14ac:dyDescent="0.25">
      <c r="A24" s="5">
        <v>10</v>
      </c>
      <c r="B24" s="8">
        <f>B23-C24*У!$C$41-F24</f>
        <v>89.499999999999986</v>
      </c>
      <c r="C24" s="8">
        <v>3</v>
      </c>
      <c r="D24" s="8">
        <v>27</v>
      </c>
      <c r="E24" s="16" t="str">
        <f>INDEX(У!A$2:D$41,$D24,1)</f>
        <v>ТАН-420F</v>
      </c>
      <c r="F24" s="8">
        <f>INDEX(У!C$2:D$41,$D24,1)</f>
        <v>2</v>
      </c>
      <c r="G24" s="8">
        <f>INDEX(У!D$2:E$41,$D24,1)</f>
        <v>20</v>
      </c>
      <c r="H24" s="9">
        <f t="shared" si="3"/>
        <v>71.919999999999987</v>
      </c>
      <c r="I24" s="1">
        <v>1</v>
      </c>
    </row>
    <row r="25" spans="1:9" x14ac:dyDescent="0.25">
      <c r="A25" s="5">
        <v>11</v>
      </c>
      <c r="B25" s="8">
        <f>B24-C25*У!$C$41-F25</f>
        <v>87.079999999999984</v>
      </c>
      <c r="C25" s="8">
        <v>3</v>
      </c>
      <c r="D25" s="8">
        <v>27</v>
      </c>
      <c r="E25" s="16" t="str">
        <f>INDEX(У!A$2:D$41,$D25,1)</f>
        <v>ТАН-420F</v>
      </c>
      <c r="F25" s="8">
        <f>INDEX(У!C$2:D$41,$D25,1)</f>
        <v>2</v>
      </c>
      <c r="G25" s="8">
        <f>INDEX(У!D$2:E$41,$D25,1)</f>
        <v>20</v>
      </c>
      <c r="H25" s="9">
        <f t="shared" si="3"/>
        <v>69.499999999999986</v>
      </c>
      <c r="I25" s="1">
        <v>1</v>
      </c>
    </row>
    <row r="26" spans="1:9" x14ac:dyDescent="0.25">
      <c r="A26"/>
      <c r="B26"/>
      <c r="C26"/>
      <c r="D26"/>
      <c r="E26"/>
      <c r="F26"/>
      <c r="G26"/>
      <c r="H26"/>
      <c r="I26" s="1"/>
    </row>
    <row r="27" spans="1:9" x14ac:dyDescent="0.25">
      <c r="B27" s="6">
        <v>96</v>
      </c>
      <c r="C27" s="1" t="s">
        <v>53</v>
      </c>
    </row>
    <row r="28" spans="1:9" x14ac:dyDescent="0.25">
      <c r="A28" s="5">
        <v>7</v>
      </c>
      <c r="B28" s="8">
        <f>B27-C28*У!$C$41-F28</f>
        <v>94.16</v>
      </c>
      <c r="C28" s="8">
        <v>1</v>
      </c>
      <c r="D28" s="8">
        <v>29</v>
      </c>
      <c r="E28" s="14" t="str">
        <f>INDEX(У!A$2:D$41,$D28,1)</f>
        <v>ТАН-426F</v>
      </c>
      <c r="F28" s="8">
        <f>INDEX(У!C$2:D$41,$D28,1)</f>
        <v>1.7</v>
      </c>
      <c r="G28" s="8">
        <f>INDEX(У!D$2:E$41,$D28,1)</f>
        <v>26</v>
      </c>
      <c r="H28" s="9">
        <f>B27-G28</f>
        <v>70</v>
      </c>
      <c r="I28" s="1">
        <v>2</v>
      </c>
    </row>
    <row r="29" spans="1:9" x14ac:dyDescent="0.25">
      <c r="A29" s="5">
        <v>8</v>
      </c>
      <c r="B29" s="8">
        <f>B28-C29*У!$C$41-F29</f>
        <v>92.039999999999992</v>
      </c>
      <c r="C29" s="8">
        <v>3</v>
      </c>
      <c r="D29" s="8">
        <v>28</v>
      </c>
      <c r="E29" s="15" t="str">
        <f>INDEX(У!A$2:D$41,$D29,1)</f>
        <v>ТАН-424F</v>
      </c>
      <c r="F29" s="8">
        <f>INDEX(У!C$2:D$41,$D29,1)</f>
        <v>1.7</v>
      </c>
      <c r="G29" s="8">
        <f>INDEX(У!D$2:E$41,$D29,1)</f>
        <v>24</v>
      </c>
      <c r="H29" s="9">
        <f t="shared" ref="H29:H32" si="4">B28-G29</f>
        <v>70.16</v>
      </c>
      <c r="I29" s="1">
        <v>2</v>
      </c>
    </row>
    <row r="30" spans="1:9" x14ac:dyDescent="0.25">
      <c r="A30" s="5">
        <v>9</v>
      </c>
      <c r="B30" s="8">
        <f>B29-C30*У!$C$41-F30</f>
        <v>89.61999999999999</v>
      </c>
      <c r="C30" s="8">
        <v>3</v>
      </c>
      <c r="D30" s="8">
        <v>27</v>
      </c>
      <c r="E30" s="16" t="str">
        <f>INDEX(У!A$2:D$41,$D30,1)</f>
        <v>ТАН-420F</v>
      </c>
      <c r="F30" s="8">
        <f>INDEX(У!C$2:D$41,$D30,1)</f>
        <v>2</v>
      </c>
      <c r="G30" s="8">
        <f>INDEX(У!D$2:E$41,$D30,1)</f>
        <v>20</v>
      </c>
      <c r="H30" s="9">
        <f t="shared" si="4"/>
        <v>72.039999999999992</v>
      </c>
      <c r="I30" s="1">
        <v>2</v>
      </c>
    </row>
    <row r="31" spans="1:9" x14ac:dyDescent="0.25">
      <c r="A31" s="5">
        <v>10</v>
      </c>
      <c r="B31" s="8">
        <f>B30-C31*У!$C$41-F31</f>
        <v>87.199999999999989</v>
      </c>
      <c r="C31" s="8">
        <v>3</v>
      </c>
      <c r="D31" s="8">
        <v>27</v>
      </c>
      <c r="E31" s="16" t="str">
        <f>INDEX(У!A$2:D$41,$D31,1)</f>
        <v>ТАН-420F</v>
      </c>
      <c r="F31" s="8">
        <f>INDEX(У!C$2:D$41,$D31,1)</f>
        <v>2</v>
      </c>
      <c r="G31" s="8">
        <f>INDEX(У!D$2:E$41,$D31,1)</f>
        <v>20</v>
      </c>
      <c r="H31" s="9">
        <f t="shared" si="4"/>
        <v>69.61999999999999</v>
      </c>
      <c r="I31" s="1">
        <v>2</v>
      </c>
    </row>
    <row r="32" spans="1:9" x14ac:dyDescent="0.25">
      <c r="A32" s="5">
        <v>11</v>
      </c>
      <c r="B32" s="8">
        <f>B31-C32*У!$C$41-F32</f>
        <v>83.779999999999987</v>
      </c>
      <c r="C32" s="8">
        <v>3</v>
      </c>
      <c r="D32" s="8">
        <v>26</v>
      </c>
      <c r="E32" s="14" t="str">
        <f>INDEX(У!A$2:D$41,$D32,1)</f>
        <v>ТАН-416F</v>
      </c>
      <c r="F32" s="8">
        <f>INDEX(У!C$2:D$41,$D32,1)</f>
        <v>3</v>
      </c>
      <c r="G32" s="8">
        <f>INDEX(У!D$2:E$41,$D32,1)</f>
        <v>16</v>
      </c>
      <c r="H32" s="9">
        <f t="shared" si="4"/>
        <v>71.199999999999989</v>
      </c>
      <c r="I32" s="1">
        <v>2</v>
      </c>
    </row>
    <row r="33" spans="1:9" x14ac:dyDescent="0.25">
      <c r="A33"/>
      <c r="B33"/>
      <c r="C33"/>
      <c r="D33"/>
      <c r="E33"/>
      <c r="F33"/>
      <c r="G33"/>
      <c r="H33"/>
      <c r="I33" s="1"/>
    </row>
    <row r="35" spans="1:9" x14ac:dyDescent="0.25">
      <c r="B35" s="1" t="s">
        <v>77</v>
      </c>
    </row>
    <row r="36" spans="1:9" x14ac:dyDescent="0.25">
      <c r="B36" s="1">
        <f>3*27+2*40+21*3+1</f>
        <v>225</v>
      </c>
    </row>
  </sheetData>
  <conditionalFormatting sqref="K5:K11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Normal="100" workbookViewId="0">
      <selection activeCell="B16" sqref="B16:B17"/>
    </sheetView>
  </sheetViews>
  <sheetFormatPr defaultRowHeight="15" x14ac:dyDescent="0.25"/>
  <cols>
    <col min="1" max="1" width="5.375" style="2" bestFit="1" customWidth="1"/>
    <col min="2" max="2" width="9.125" style="1"/>
    <col min="3" max="3" width="8" style="1" customWidth="1"/>
    <col min="4" max="4" width="11.125" style="1" customWidth="1"/>
    <col min="5" max="5" width="11.125" style="1" bestFit="1" customWidth="1"/>
    <col min="6" max="7" width="9.125" style="1"/>
    <col min="8" max="8" width="9.125" style="2"/>
  </cols>
  <sheetData>
    <row r="1" spans="1:12" x14ac:dyDescent="0.25">
      <c r="A1" s="2">
        <f>120/16</f>
        <v>7.5</v>
      </c>
      <c r="B1" s="1" t="s">
        <v>51</v>
      </c>
      <c r="D1" s="1">
        <f>8*16</f>
        <v>128</v>
      </c>
    </row>
    <row r="3" spans="1:12" ht="30" x14ac:dyDescent="0.25">
      <c r="A3" s="2" t="s">
        <v>27</v>
      </c>
      <c r="B3" s="4" t="s">
        <v>26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24</v>
      </c>
      <c r="H3" s="4" t="s">
        <v>25</v>
      </c>
      <c r="J3">
        <f>120/16</f>
        <v>7.5</v>
      </c>
    </row>
    <row r="4" spans="1:12" x14ac:dyDescent="0.25">
      <c r="B4" s="3" t="s">
        <v>28</v>
      </c>
      <c r="C4" s="3"/>
      <c r="D4" s="3"/>
      <c r="E4" s="3"/>
      <c r="F4" s="3"/>
      <c r="G4" s="3"/>
      <c r="H4" s="4"/>
    </row>
    <row r="5" spans="1:12" x14ac:dyDescent="0.25">
      <c r="B5" s="6">
        <v>99</v>
      </c>
    </row>
    <row r="6" spans="1:12" x14ac:dyDescent="0.25">
      <c r="A6" s="5">
        <v>1</v>
      </c>
      <c r="B6" s="1">
        <f>B5-C6*У!$C$41-F6</f>
        <v>97.16</v>
      </c>
      <c r="C6" s="1">
        <v>1</v>
      </c>
      <c r="D6" s="1">
        <v>29</v>
      </c>
      <c r="E6" s="1" t="str">
        <f>INDEX(У!A$2:D$41,$D6,1)</f>
        <v>ТАН-426F</v>
      </c>
      <c r="F6" s="1">
        <f>INDEX(У!C$2:D$41,$D6,1)</f>
        <v>1.7</v>
      </c>
      <c r="G6" s="1">
        <f>INDEX(У!D$2:E$41,$D6,1)</f>
        <v>26</v>
      </c>
      <c r="H6" s="2">
        <f>B5-G6</f>
        <v>73</v>
      </c>
      <c r="I6" s="1">
        <v>4</v>
      </c>
      <c r="J6" s="2" t="s">
        <v>7</v>
      </c>
      <c r="K6" s="2">
        <f t="shared" ref="K6:K12" si="0">SUMIFS(I$6:I$14,E$6:E$14,J6)</f>
        <v>0</v>
      </c>
      <c r="L6" s="2"/>
    </row>
    <row r="7" spans="1:12" x14ac:dyDescent="0.25">
      <c r="A7" s="5">
        <v>2</v>
      </c>
      <c r="B7" s="1">
        <f>B6-C7*У!$C$41-F7</f>
        <v>95.039999999999992</v>
      </c>
      <c r="C7" s="1">
        <v>3</v>
      </c>
      <c r="D7" s="1">
        <v>29</v>
      </c>
      <c r="E7" s="1" t="str">
        <f>INDEX(У!A$2:D$41,$D7,1)</f>
        <v>ТАН-426F</v>
      </c>
      <c r="F7" s="1">
        <f>INDEX(У!C$2:D$41,$D7,1)</f>
        <v>1.7</v>
      </c>
      <c r="G7" s="1">
        <f>INDEX(У!D$2:E$41,$D7,1)</f>
        <v>26</v>
      </c>
      <c r="H7" s="2">
        <f t="shared" ref="H7:H8" si="1">B6-G7</f>
        <v>71.16</v>
      </c>
      <c r="I7" s="1">
        <v>4</v>
      </c>
      <c r="J7" s="2" t="s">
        <v>8</v>
      </c>
      <c r="K7" s="2">
        <f t="shared" si="0"/>
        <v>0</v>
      </c>
      <c r="L7" s="2"/>
    </row>
    <row r="8" spans="1:12" x14ac:dyDescent="0.25">
      <c r="A8" s="5">
        <v>3</v>
      </c>
      <c r="B8" s="1">
        <f>B7-C8*У!$C$41-F8</f>
        <v>92.919999999999987</v>
      </c>
      <c r="C8" s="1">
        <v>3</v>
      </c>
      <c r="D8" s="1">
        <v>29</v>
      </c>
      <c r="E8" s="1" t="str">
        <f>INDEX(У!A$2:D$41,$D8,1)</f>
        <v>ТАН-426F</v>
      </c>
      <c r="F8" s="1">
        <f>INDEX(У!C$2:D$41,$D8,1)</f>
        <v>1.7</v>
      </c>
      <c r="G8" s="1">
        <f>INDEX(У!D$2:E$41,$D8,1)</f>
        <v>26</v>
      </c>
      <c r="H8" s="2">
        <f t="shared" si="1"/>
        <v>69.039999999999992</v>
      </c>
      <c r="I8" s="1">
        <v>4</v>
      </c>
      <c r="J8" s="2" t="s">
        <v>9</v>
      </c>
      <c r="K8" s="2">
        <f t="shared" si="0"/>
        <v>0</v>
      </c>
      <c r="L8" s="2"/>
    </row>
    <row r="9" spans="1:12" x14ac:dyDescent="0.25">
      <c r="A9" s="5">
        <v>4</v>
      </c>
      <c r="B9" s="1">
        <f>B8-C9*У!$C$41-F9</f>
        <v>90.799999999999983</v>
      </c>
      <c r="C9" s="1">
        <v>3</v>
      </c>
      <c r="D9" s="1">
        <v>28</v>
      </c>
      <c r="E9" s="1" t="str">
        <f>INDEX(У!A$2:D$41,$D9,1)</f>
        <v>ТАН-424F</v>
      </c>
      <c r="F9" s="1">
        <f>INDEX(У!C$2:D$41,$D9,1)</f>
        <v>1.7</v>
      </c>
      <c r="G9" s="1">
        <f>INDEX(У!D$2:E$41,$D9,1)</f>
        <v>24</v>
      </c>
      <c r="H9" s="2">
        <f t="shared" ref="H9:H13" si="2">B8-G9</f>
        <v>68.919999999999987</v>
      </c>
      <c r="I9" s="1">
        <v>4</v>
      </c>
      <c r="J9" s="2" t="s">
        <v>10</v>
      </c>
      <c r="K9" s="2">
        <f t="shared" si="0"/>
        <v>4</v>
      </c>
      <c r="L9" s="2"/>
    </row>
    <row r="10" spans="1:12" x14ac:dyDescent="0.25">
      <c r="A10" s="5">
        <v>5</v>
      </c>
      <c r="B10" s="1">
        <f>B9-C10*У!$C$41-F10</f>
        <v>88.679999999999978</v>
      </c>
      <c r="C10" s="1">
        <v>3</v>
      </c>
      <c r="D10" s="1">
        <v>28</v>
      </c>
      <c r="E10" s="1" t="str">
        <f>INDEX(У!A$2:D$41,$D10,1)</f>
        <v>ТАН-424F</v>
      </c>
      <c r="F10" s="1">
        <f>INDEX(У!C$2:D$41,$D10,1)</f>
        <v>1.7</v>
      </c>
      <c r="G10" s="1">
        <f>INDEX(У!D$2:E$41,$D10,1)</f>
        <v>24</v>
      </c>
      <c r="H10" s="2">
        <f t="shared" si="2"/>
        <v>66.799999999999983</v>
      </c>
      <c r="I10" s="1">
        <v>4</v>
      </c>
      <c r="J10" s="2" t="s">
        <v>11</v>
      </c>
      <c r="K10" s="2">
        <f t="shared" si="0"/>
        <v>8</v>
      </c>
      <c r="L10" s="2"/>
    </row>
    <row r="11" spans="1:12" x14ac:dyDescent="0.25">
      <c r="A11" s="5">
        <v>6</v>
      </c>
      <c r="B11" s="1">
        <f>B10-C11*У!$C$41-F11</f>
        <v>86.259999999999977</v>
      </c>
      <c r="C11" s="1">
        <v>3</v>
      </c>
      <c r="D11" s="1">
        <v>27</v>
      </c>
      <c r="E11" s="1" t="str">
        <f>INDEX(У!A$2:D$41,$D11,1)</f>
        <v>ТАН-420F</v>
      </c>
      <c r="F11" s="1">
        <f>INDEX(У!C$2:D$41,$D11,1)</f>
        <v>2</v>
      </c>
      <c r="G11" s="1">
        <f>INDEX(У!D$2:E$41,$D11,1)</f>
        <v>20</v>
      </c>
      <c r="H11" s="2">
        <f t="shared" si="2"/>
        <v>68.679999999999978</v>
      </c>
      <c r="I11" s="1">
        <v>4</v>
      </c>
      <c r="J11" s="2" t="s">
        <v>12</v>
      </c>
      <c r="K11" s="2">
        <f t="shared" si="0"/>
        <v>8</v>
      </c>
      <c r="L11" s="2"/>
    </row>
    <row r="12" spans="1:12" x14ac:dyDescent="0.25">
      <c r="A12" s="5">
        <v>7</v>
      </c>
      <c r="B12" s="1">
        <f>B11-C12*У!$C$41-F12</f>
        <v>83.839999999999975</v>
      </c>
      <c r="C12" s="1">
        <v>3</v>
      </c>
      <c r="D12" s="1">
        <v>27</v>
      </c>
      <c r="E12" s="1" t="str">
        <f>INDEX(У!A$2:D$41,$D12,1)</f>
        <v>ТАН-420F</v>
      </c>
      <c r="F12" s="1">
        <f>INDEX(У!C$2:D$41,$D12,1)</f>
        <v>2</v>
      </c>
      <c r="G12" s="1">
        <f>INDEX(У!D$2:E$41,$D12,1)</f>
        <v>20</v>
      </c>
      <c r="H12" s="2">
        <f t="shared" si="2"/>
        <v>66.259999999999977</v>
      </c>
      <c r="I12" s="1">
        <v>4</v>
      </c>
      <c r="J12" s="2" t="s">
        <v>6</v>
      </c>
      <c r="K12" s="2">
        <f t="shared" si="0"/>
        <v>0</v>
      </c>
      <c r="L12" s="2"/>
    </row>
    <row r="13" spans="1:12" x14ac:dyDescent="0.25">
      <c r="A13" s="5">
        <v>8</v>
      </c>
      <c r="B13" s="1">
        <f>B12-C13*У!$C$41-F13</f>
        <v>80.419999999999973</v>
      </c>
      <c r="C13" s="1">
        <v>3</v>
      </c>
      <c r="D13" s="1">
        <v>26</v>
      </c>
      <c r="E13" s="1" t="str">
        <f>INDEX(У!A$2:D$41,$D13,1)</f>
        <v>ТАН-416F</v>
      </c>
      <c r="F13" s="1">
        <f>INDEX(У!C$2:D$41,$D13,1)</f>
        <v>3</v>
      </c>
      <c r="G13" s="1">
        <f>INDEX(У!D$2:E$41,$D13,1)</f>
        <v>16</v>
      </c>
      <c r="H13" s="2">
        <f t="shared" si="2"/>
        <v>67.839999999999975</v>
      </c>
      <c r="I13" s="1">
        <v>4</v>
      </c>
    </row>
    <row r="14" spans="1:12" x14ac:dyDescent="0.25">
      <c r="A14"/>
      <c r="B14"/>
      <c r="C14"/>
      <c r="D14"/>
      <c r="E14"/>
      <c r="F14"/>
      <c r="G14"/>
      <c r="H14"/>
      <c r="I14" s="1"/>
    </row>
    <row r="16" spans="1:12" x14ac:dyDescent="0.25">
      <c r="B16" s="1" t="s">
        <v>77</v>
      </c>
    </row>
    <row r="17" spans="2:2" x14ac:dyDescent="0.25">
      <c r="B17" s="1">
        <f>3*4*7+70</f>
        <v>154</v>
      </c>
    </row>
  </sheetData>
  <conditionalFormatting sqref="L6:L12">
    <cfRule type="cellIs" dxfId="29" priority="2" operator="greaterThan">
      <formula>0</formula>
    </cfRule>
  </conditionalFormatting>
  <conditionalFormatting sqref="K6:K12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Normal="100" workbookViewId="0">
      <selection activeCell="L1" sqref="L1:L1048576"/>
    </sheetView>
  </sheetViews>
  <sheetFormatPr defaultRowHeight="15" x14ac:dyDescent="0.25"/>
  <cols>
    <col min="1" max="1" width="5.375" style="2" bestFit="1" customWidth="1"/>
    <col min="2" max="3" width="10.25" style="1" customWidth="1"/>
    <col min="4" max="4" width="8" style="1" customWidth="1"/>
    <col min="5" max="5" width="11.125" style="1" customWidth="1"/>
    <col min="6" max="6" width="11.125" style="1" bestFit="1" customWidth="1"/>
    <col min="7" max="7" width="9.125" style="1"/>
    <col min="8" max="8" width="7.875" style="1" bestFit="1" customWidth="1"/>
    <col min="9" max="9" width="9.125" style="1"/>
    <col min="10" max="11" width="7.375" style="2" bestFit="1" customWidth="1"/>
    <col min="12" max="12" width="11.375" style="2" customWidth="1"/>
    <col min="13" max="13" width="9.125" style="1"/>
  </cols>
  <sheetData>
    <row r="1" spans="1:15" x14ac:dyDescent="0.25">
      <c r="B1" s="1" t="s">
        <v>47</v>
      </c>
      <c r="C1" s="1" t="s">
        <v>47</v>
      </c>
    </row>
    <row r="3" spans="1:15" ht="30" x14ac:dyDescent="0.25">
      <c r="A3" s="2" t="s">
        <v>27</v>
      </c>
      <c r="B3" s="4" t="s">
        <v>26</v>
      </c>
      <c r="C3" s="4" t="s">
        <v>26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23</v>
      </c>
      <c r="I3" s="3" t="s">
        <v>24</v>
      </c>
      <c r="J3" s="4" t="s">
        <v>25</v>
      </c>
      <c r="K3" s="4" t="s">
        <v>25</v>
      </c>
      <c r="L3" s="2" t="s">
        <v>81</v>
      </c>
    </row>
    <row r="4" spans="1:15" ht="30" x14ac:dyDescent="0.25">
      <c r="B4" s="3" t="s">
        <v>49</v>
      </c>
      <c r="C4" s="3" t="s">
        <v>49</v>
      </c>
      <c r="D4" s="3"/>
      <c r="E4" s="3"/>
      <c r="F4" s="3"/>
      <c r="G4" s="3"/>
      <c r="H4" s="3"/>
      <c r="I4" s="3"/>
      <c r="J4" s="4">
        <v>1</v>
      </c>
      <c r="K4" s="4">
        <v>2</v>
      </c>
    </row>
    <row r="5" spans="1:15" x14ac:dyDescent="0.25">
      <c r="B5" s="6">
        <v>99</v>
      </c>
      <c r="C5" s="6">
        <v>99</v>
      </c>
    </row>
    <row r="6" spans="1:15" x14ac:dyDescent="0.25">
      <c r="A6" s="5">
        <v>5</v>
      </c>
      <c r="B6" s="1">
        <f>B5-$D6*У!$C$41-G6</f>
        <v>97.36</v>
      </c>
      <c r="C6" s="1">
        <f>C5-$D6*У!$C$41-H6</f>
        <v>97.16</v>
      </c>
      <c r="D6" s="1">
        <v>1</v>
      </c>
      <c r="E6" s="1">
        <v>29</v>
      </c>
      <c r="F6" s="1" t="str">
        <f>INDEX(У!A$2:D$41,$E6,1)</f>
        <v>ТАН-426F</v>
      </c>
      <c r="G6" s="1">
        <f>INDEX(У!B$2:C$41,$E6,1)</f>
        <v>1.5</v>
      </c>
      <c r="H6" s="1">
        <f>INDEX(У!C$2:D$41,$E6,1)</f>
        <v>1.7</v>
      </c>
      <c r="I6" s="1">
        <f>INDEX(У!D$2:E$41,$E6,1)</f>
        <v>26</v>
      </c>
      <c r="J6" s="2">
        <f>B5-I6</f>
        <v>73</v>
      </c>
      <c r="K6" s="2">
        <f>C5-I6</f>
        <v>73</v>
      </c>
      <c r="L6" s="36" t="str">
        <f>CONCATENATE(K6," ",J6," ")</f>
        <v xml:space="preserve">73 73 </v>
      </c>
      <c r="M6" s="1">
        <v>1</v>
      </c>
      <c r="N6" s="2" t="s">
        <v>7</v>
      </c>
      <c r="O6" s="2">
        <f>SUMIFS(M$6:M$24,F$6:F$24,N6)</f>
        <v>0</v>
      </c>
    </row>
    <row r="7" spans="1:15" x14ac:dyDescent="0.25">
      <c r="A7" s="5">
        <v>4</v>
      </c>
      <c r="B7" s="1">
        <f>B6-$D7*У!$C$41-G7</f>
        <v>95.44</v>
      </c>
      <c r="C7" s="1">
        <f>C6-$D7*У!$C$41-H7</f>
        <v>95.039999999999992</v>
      </c>
      <c r="D7" s="1">
        <v>3</v>
      </c>
      <c r="E7" s="1">
        <v>29</v>
      </c>
      <c r="F7" s="1" t="str">
        <f>INDEX(У!A$2:D$41,$E7,1)</f>
        <v>ТАН-426F</v>
      </c>
      <c r="G7" s="1">
        <f>INDEX(У!B$2:C$41,$E7,1)</f>
        <v>1.5</v>
      </c>
      <c r="H7" s="1">
        <f>INDEX(У!C$2:D$41,$E7,1)</f>
        <v>1.7</v>
      </c>
      <c r="I7" s="1">
        <f>INDEX(У!D$2:E$41,$E7,1)</f>
        <v>26</v>
      </c>
      <c r="J7" s="2">
        <f t="shared" ref="J7:J10" si="0">B6-I7</f>
        <v>71.36</v>
      </c>
      <c r="K7" s="2">
        <f t="shared" ref="K7:K10" si="1">C6-I7</f>
        <v>71.16</v>
      </c>
      <c r="L7" s="36" t="str">
        <f t="shared" ref="L7:L53" si="2">CONCATENATE(K7," ",J7," ")</f>
        <v xml:space="preserve">71,16 71,36 </v>
      </c>
      <c r="M7" s="1">
        <v>1</v>
      </c>
      <c r="N7" s="2" t="s">
        <v>8</v>
      </c>
      <c r="O7" s="2">
        <f t="shared" ref="O7:O12" si="3">SUMIFS(M$6:M$24,F$6:F$24,N7)</f>
        <v>0</v>
      </c>
    </row>
    <row r="8" spans="1:15" x14ac:dyDescent="0.25">
      <c r="A8" s="5">
        <v>3</v>
      </c>
      <c r="B8" s="1">
        <f>B7-$D8*У!$C$41-G8</f>
        <v>93.52</v>
      </c>
      <c r="C8" s="1">
        <f>C7-$D8*У!$C$41-H8</f>
        <v>92.919999999999987</v>
      </c>
      <c r="D8" s="1">
        <v>3</v>
      </c>
      <c r="E8" s="1">
        <v>28</v>
      </c>
      <c r="F8" s="1" t="str">
        <f>INDEX(У!A$2:D$41,$E8,1)</f>
        <v>ТАН-424F</v>
      </c>
      <c r="G8" s="1">
        <f>INDEX(У!B$2:C$41,$E8,1)</f>
        <v>1.5</v>
      </c>
      <c r="H8" s="1">
        <f>INDEX(У!C$2:D$41,$E8,1)</f>
        <v>1.7</v>
      </c>
      <c r="I8" s="1">
        <f>INDEX(У!D$2:E$41,$E8,1)</f>
        <v>24</v>
      </c>
      <c r="J8" s="2">
        <f t="shared" si="0"/>
        <v>71.44</v>
      </c>
      <c r="K8" s="2">
        <f t="shared" si="1"/>
        <v>71.039999999999992</v>
      </c>
      <c r="L8" s="36" t="str">
        <f t="shared" si="2"/>
        <v xml:space="preserve">71,04 71,44 </v>
      </c>
      <c r="M8" s="1">
        <v>1</v>
      </c>
      <c r="N8" s="2" t="s">
        <v>9</v>
      </c>
      <c r="O8" s="2">
        <f>SUMIFS(M$6:M$24,F$6:F$24,N8)</f>
        <v>0</v>
      </c>
    </row>
    <row r="9" spans="1:15" x14ac:dyDescent="0.25">
      <c r="A9" s="5">
        <v>2</v>
      </c>
      <c r="B9" s="1">
        <f>B8-$D9*У!$C$41-G9</f>
        <v>91.6</v>
      </c>
      <c r="C9" s="1">
        <f>C8-$D9*У!$C$41-H9</f>
        <v>90.799999999999983</v>
      </c>
      <c r="D9" s="1">
        <v>3</v>
      </c>
      <c r="E9" s="1">
        <v>28</v>
      </c>
      <c r="F9" s="1" t="str">
        <f>INDEX(У!A$2:D$41,$E9,1)</f>
        <v>ТАН-424F</v>
      </c>
      <c r="G9" s="1">
        <f>INDEX(У!B$2:C$41,$E9,1)</f>
        <v>1.5</v>
      </c>
      <c r="H9" s="1">
        <f>INDEX(У!C$2:D$41,$E9,1)</f>
        <v>1.7</v>
      </c>
      <c r="I9" s="1">
        <f>INDEX(У!D$2:E$41,$E9,1)</f>
        <v>24</v>
      </c>
      <c r="J9" s="2">
        <f t="shared" si="0"/>
        <v>69.52</v>
      </c>
      <c r="K9" s="2">
        <f t="shared" si="1"/>
        <v>68.919999999999987</v>
      </c>
      <c r="L9" s="36" t="str">
        <f t="shared" si="2"/>
        <v xml:space="preserve">68,92 69,52 </v>
      </c>
      <c r="M9" s="1">
        <v>1</v>
      </c>
      <c r="N9" s="2" t="s">
        <v>10</v>
      </c>
      <c r="O9" s="2">
        <f t="shared" si="3"/>
        <v>2</v>
      </c>
    </row>
    <row r="10" spans="1:15" x14ac:dyDescent="0.25">
      <c r="A10" s="5">
        <v>1</v>
      </c>
      <c r="B10" s="1">
        <f>B9-$D10*У!$C$41-G10</f>
        <v>89.47999999999999</v>
      </c>
      <c r="C10" s="1">
        <f>C9-$D10*У!$C$41-H10</f>
        <v>88.379999999999981</v>
      </c>
      <c r="D10" s="1">
        <v>3</v>
      </c>
      <c r="E10" s="1">
        <v>27</v>
      </c>
      <c r="F10" s="1" t="str">
        <f>INDEX(У!A$2:D$41,$E10,1)</f>
        <v>ТАН-420F</v>
      </c>
      <c r="G10" s="1">
        <f>INDEX(У!B$2:C$41,$E10,1)</f>
        <v>1.7</v>
      </c>
      <c r="H10" s="1">
        <f>INDEX(У!C$2:D$41,$E10,1)</f>
        <v>2</v>
      </c>
      <c r="I10" s="1">
        <f>INDEX(У!D$2:E$41,$E10,1)</f>
        <v>20</v>
      </c>
      <c r="J10" s="2">
        <f t="shared" si="0"/>
        <v>71.599999999999994</v>
      </c>
      <c r="K10" s="2">
        <f t="shared" si="1"/>
        <v>70.799999999999983</v>
      </c>
      <c r="L10" s="36" t="str">
        <f t="shared" si="2"/>
        <v xml:space="preserve">70,8 71,6 </v>
      </c>
      <c r="M10" s="1">
        <v>1</v>
      </c>
      <c r="N10" s="2" t="s">
        <v>11</v>
      </c>
      <c r="O10" s="2">
        <f t="shared" si="3"/>
        <v>5</v>
      </c>
    </row>
    <row r="11" spans="1:15" x14ac:dyDescent="0.25">
      <c r="A11" s="5"/>
      <c r="L11" s="36" t="str">
        <f t="shared" si="2"/>
        <v xml:space="preserve">  </v>
      </c>
      <c r="N11" s="2" t="s">
        <v>12</v>
      </c>
      <c r="O11" s="2">
        <f t="shared" si="3"/>
        <v>4</v>
      </c>
    </row>
    <row r="12" spans="1:15" x14ac:dyDescent="0.25">
      <c r="B12" s="3" t="s">
        <v>48</v>
      </c>
      <c r="C12" s="3" t="s">
        <v>48</v>
      </c>
      <c r="D12" s="3"/>
      <c r="E12" s="3"/>
      <c r="F12" s="3"/>
      <c r="G12" s="3"/>
      <c r="H12" s="3"/>
      <c r="I12" s="3"/>
      <c r="J12" s="3"/>
      <c r="K12" s="3"/>
      <c r="L12" s="2" t="str">
        <f t="shared" si="2"/>
        <v xml:space="preserve">  </v>
      </c>
      <c r="N12" s="2" t="s">
        <v>6</v>
      </c>
      <c r="O12" s="2">
        <f t="shared" si="3"/>
        <v>0</v>
      </c>
    </row>
    <row r="13" spans="1:15" x14ac:dyDescent="0.25">
      <c r="B13" s="6">
        <v>96</v>
      </c>
      <c r="C13" s="6">
        <v>96</v>
      </c>
      <c r="L13" s="2" t="str">
        <f t="shared" si="2"/>
        <v xml:space="preserve">  </v>
      </c>
    </row>
    <row r="14" spans="1:15" x14ac:dyDescent="0.25">
      <c r="A14" s="5">
        <v>5</v>
      </c>
      <c r="B14" s="1">
        <f>B13-$D14*У!$C$41-G14</f>
        <v>94.36</v>
      </c>
      <c r="C14" s="1">
        <f>C13-$D14*У!$C$41-H14</f>
        <v>94.16</v>
      </c>
      <c r="D14" s="1">
        <v>1</v>
      </c>
      <c r="E14" s="1">
        <v>29</v>
      </c>
      <c r="F14" s="1" t="str">
        <f>INDEX(У!A$2:D$41,$E14,1)</f>
        <v>ТАН-426F</v>
      </c>
      <c r="G14" s="1">
        <f>INDEX(У!B$2:C$41,$E14,1)</f>
        <v>1.5</v>
      </c>
      <c r="H14" s="1">
        <f>INDEX(У!C$2:D$41,$E14,1)</f>
        <v>1.7</v>
      </c>
      <c r="I14" s="1">
        <f>INDEX(У!D$2:E$41,$E14,1)</f>
        <v>26</v>
      </c>
      <c r="J14" s="2">
        <f>B13-I14</f>
        <v>70</v>
      </c>
      <c r="K14" s="2">
        <f>C13-I14</f>
        <v>70</v>
      </c>
      <c r="L14" s="36" t="str">
        <f t="shared" si="2"/>
        <v xml:space="preserve">70 70 </v>
      </c>
      <c r="M14" s="1">
        <v>2</v>
      </c>
    </row>
    <row r="15" spans="1:15" x14ac:dyDescent="0.25">
      <c r="A15" s="5">
        <v>4</v>
      </c>
      <c r="B15" s="1">
        <f>B14-$D15*У!$C$41-G15</f>
        <v>92.44</v>
      </c>
      <c r="C15" s="1">
        <f>C14-$D15*У!$C$41-H15</f>
        <v>92.039999999999992</v>
      </c>
      <c r="D15" s="1">
        <v>3</v>
      </c>
      <c r="E15" s="1">
        <v>28</v>
      </c>
      <c r="F15" s="1" t="str">
        <f>INDEX(У!A$2:D$41,$E15,1)</f>
        <v>ТАН-424F</v>
      </c>
      <c r="G15" s="1">
        <f>INDEX(У!B$2:C$41,$E15,1)</f>
        <v>1.5</v>
      </c>
      <c r="H15" s="1">
        <f>INDEX(У!C$2:D$41,$E15,1)</f>
        <v>1.7</v>
      </c>
      <c r="I15" s="1">
        <f>INDEX(У!D$2:E$41,$E15,1)</f>
        <v>24</v>
      </c>
      <c r="J15" s="2">
        <f t="shared" ref="J15:J18" si="4">B14-I15</f>
        <v>70.36</v>
      </c>
      <c r="K15" s="2">
        <f t="shared" ref="K15:K18" si="5">C14-I15</f>
        <v>70.16</v>
      </c>
      <c r="L15" s="36" t="str">
        <f t="shared" si="2"/>
        <v xml:space="preserve">70,16 70,36 </v>
      </c>
      <c r="M15" s="1">
        <v>2</v>
      </c>
    </row>
    <row r="16" spans="1:15" x14ac:dyDescent="0.25">
      <c r="A16" s="5">
        <v>3</v>
      </c>
      <c r="B16" s="1">
        <f>B15-$D16*У!$C$41-G16</f>
        <v>90.32</v>
      </c>
      <c r="C16" s="1">
        <f>C15-$D16*У!$C$41-H16</f>
        <v>89.61999999999999</v>
      </c>
      <c r="D16" s="1">
        <v>3</v>
      </c>
      <c r="E16" s="1">
        <v>27</v>
      </c>
      <c r="F16" s="1" t="str">
        <f>INDEX(У!A$2:D$41,$E16,1)</f>
        <v>ТАН-420F</v>
      </c>
      <c r="G16" s="1">
        <f>INDEX(У!B$2:C$41,$E16,1)</f>
        <v>1.7</v>
      </c>
      <c r="H16" s="1">
        <f>INDEX(У!C$2:D$41,$E16,1)</f>
        <v>2</v>
      </c>
      <c r="I16" s="1">
        <f>INDEX(У!D$2:E$41,$E16,1)</f>
        <v>20</v>
      </c>
      <c r="J16" s="2">
        <f t="shared" si="4"/>
        <v>72.44</v>
      </c>
      <c r="K16" s="2">
        <f t="shared" si="5"/>
        <v>72.039999999999992</v>
      </c>
      <c r="L16" s="36" t="str">
        <f t="shared" si="2"/>
        <v xml:space="preserve">72,04 72,44 </v>
      </c>
      <c r="M16" s="1">
        <v>2</v>
      </c>
    </row>
    <row r="17" spans="1:14" x14ac:dyDescent="0.25">
      <c r="A17" s="5">
        <v>2</v>
      </c>
      <c r="B17" s="1">
        <f>B16-$D17*У!$C$41-G17</f>
        <v>88.199999999999989</v>
      </c>
      <c r="C17" s="1">
        <f>C16-$D17*У!$C$41-H17</f>
        <v>87.199999999999989</v>
      </c>
      <c r="D17" s="1">
        <v>3</v>
      </c>
      <c r="E17" s="1">
        <v>27</v>
      </c>
      <c r="F17" s="1" t="str">
        <f>INDEX(У!A$2:D$41,$E17,1)</f>
        <v>ТАН-420F</v>
      </c>
      <c r="G17" s="1">
        <f>INDEX(У!B$2:C$41,$E17,1)</f>
        <v>1.7</v>
      </c>
      <c r="H17" s="1">
        <f>INDEX(У!C$2:D$41,$E17,1)</f>
        <v>2</v>
      </c>
      <c r="I17" s="1">
        <f>INDEX(У!D$2:E$41,$E17,1)</f>
        <v>20</v>
      </c>
      <c r="J17" s="2">
        <f t="shared" si="4"/>
        <v>70.319999999999993</v>
      </c>
      <c r="K17" s="2">
        <f t="shared" si="5"/>
        <v>69.61999999999999</v>
      </c>
      <c r="L17" s="36" t="str">
        <f t="shared" si="2"/>
        <v xml:space="preserve">69,62 70,32 </v>
      </c>
      <c r="M17" s="1">
        <v>2</v>
      </c>
    </row>
    <row r="18" spans="1:14" x14ac:dyDescent="0.25">
      <c r="A18" s="5">
        <v>1</v>
      </c>
      <c r="B18" s="1">
        <f>B17-$D18*У!$C$41-G18</f>
        <v>85.279999999999987</v>
      </c>
      <c r="C18" s="1">
        <f>C17-$D18*У!$C$41-H18</f>
        <v>83.779999999999987</v>
      </c>
      <c r="D18" s="1">
        <v>3</v>
      </c>
      <c r="E18" s="1">
        <v>26</v>
      </c>
      <c r="F18" s="1" t="str">
        <f>INDEX(У!A$2:D$41,$E18,1)</f>
        <v>ТАН-416F</v>
      </c>
      <c r="G18" s="1">
        <f>INDEX(У!B$2:C$41,$E18,1)</f>
        <v>2.5</v>
      </c>
      <c r="H18" s="1">
        <f>INDEX(У!C$2:D$41,$E18,1)</f>
        <v>3</v>
      </c>
      <c r="I18" s="1">
        <f>INDEX(У!D$2:E$41,$E18,1)</f>
        <v>16</v>
      </c>
      <c r="J18" s="2">
        <f t="shared" si="4"/>
        <v>72.199999999999989</v>
      </c>
      <c r="K18" s="2">
        <f t="shared" si="5"/>
        <v>71.199999999999989</v>
      </c>
      <c r="L18" s="36" t="str">
        <f t="shared" si="2"/>
        <v xml:space="preserve">71,2 72,2 </v>
      </c>
      <c r="M18" s="1">
        <v>2</v>
      </c>
    </row>
    <row r="19" spans="1:14" x14ac:dyDescent="0.25">
      <c r="K19" s="1"/>
      <c r="L19" s="1" t="str">
        <f t="shared" si="2"/>
        <v xml:space="preserve">  </v>
      </c>
      <c r="N19" s="1"/>
    </row>
    <row r="20" spans="1:14" x14ac:dyDescent="0.25">
      <c r="K20" s="1"/>
      <c r="L20" s="1" t="str">
        <f t="shared" si="2"/>
        <v xml:space="preserve">  </v>
      </c>
      <c r="N20" s="1"/>
    </row>
    <row r="21" spans="1:14" x14ac:dyDescent="0.25">
      <c r="K21" s="1"/>
      <c r="L21" s="1" t="str">
        <f t="shared" si="2"/>
        <v xml:space="preserve">  </v>
      </c>
      <c r="N21" s="1"/>
    </row>
    <row r="22" spans="1:14" x14ac:dyDescent="0.25">
      <c r="J22" s="1"/>
      <c r="K22" s="1"/>
      <c r="L22" s="1" t="str">
        <f t="shared" si="2"/>
        <v xml:space="preserve">  </v>
      </c>
      <c r="N22" s="1"/>
    </row>
    <row r="23" spans="1:14" x14ac:dyDescent="0.25">
      <c r="J23" s="1"/>
      <c r="K23" s="1"/>
      <c r="L23" s="1" t="str">
        <f t="shared" si="2"/>
        <v xml:space="preserve">  </v>
      </c>
      <c r="N23" s="1"/>
    </row>
    <row r="24" spans="1:14" x14ac:dyDescent="0.25">
      <c r="J24" s="1"/>
      <c r="K24" s="1"/>
      <c r="L24" s="1" t="str">
        <f t="shared" si="2"/>
        <v xml:space="preserve">  </v>
      </c>
      <c r="N24" s="1"/>
    </row>
    <row r="25" spans="1:14" x14ac:dyDescent="0.25">
      <c r="J25" s="1"/>
      <c r="K25" s="1"/>
      <c r="L25" s="1" t="str">
        <f t="shared" si="2"/>
        <v xml:space="preserve">  </v>
      </c>
      <c r="N25" s="1"/>
    </row>
    <row r="26" spans="1:14" x14ac:dyDescent="0.25">
      <c r="J26" s="1"/>
      <c r="K26" s="1"/>
      <c r="L26" s="1" t="str">
        <f t="shared" si="2"/>
        <v xml:space="preserve">  </v>
      </c>
      <c r="N26" s="1"/>
    </row>
    <row r="27" spans="1:14" x14ac:dyDescent="0.25">
      <c r="J27" s="1"/>
      <c r="K27" s="1"/>
      <c r="L27" s="1" t="str">
        <f t="shared" si="2"/>
        <v xml:space="preserve">  </v>
      </c>
      <c r="N27" s="1"/>
    </row>
    <row r="28" spans="1:14" x14ac:dyDescent="0.25">
      <c r="J28" s="1"/>
      <c r="K28" s="1"/>
      <c r="L28" s="1" t="str">
        <f t="shared" si="2"/>
        <v xml:space="preserve">  </v>
      </c>
      <c r="N28" s="1"/>
    </row>
    <row r="29" spans="1:14" x14ac:dyDescent="0.25">
      <c r="J29" s="1"/>
      <c r="K29" s="1"/>
      <c r="L29" s="1" t="str">
        <f t="shared" si="2"/>
        <v xml:space="preserve">  </v>
      </c>
      <c r="N29" s="1"/>
    </row>
    <row r="30" spans="1:14" x14ac:dyDescent="0.25">
      <c r="J30" s="1"/>
      <c r="K30" s="1"/>
      <c r="L30" s="1" t="str">
        <f t="shared" si="2"/>
        <v xml:space="preserve">  </v>
      </c>
      <c r="N30" s="1"/>
    </row>
    <row r="31" spans="1:14" x14ac:dyDescent="0.25">
      <c r="J31" s="1"/>
      <c r="K31" s="1"/>
      <c r="L31" s="1" t="str">
        <f t="shared" si="2"/>
        <v xml:space="preserve">  </v>
      </c>
      <c r="N31" s="1"/>
    </row>
    <row r="32" spans="1:14" x14ac:dyDescent="0.25">
      <c r="J32" s="1"/>
      <c r="K32" s="1"/>
      <c r="L32" s="1" t="str">
        <f t="shared" si="2"/>
        <v xml:space="preserve">  </v>
      </c>
      <c r="N32" s="1"/>
    </row>
    <row r="33" spans="10:14" x14ac:dyDescent="0.25">
      <c r="J33" s="1"/>
      <c r="K33" s="1"/>
      <c r="L33" s="1" t="str">
        <f t="shared" si="2"/>
        <v xml:space="preserve">  </v>
      </c>
      <c r="N33" s="1"/>
    </row>
    <row r="34" spans="10:14" x14ac:dyDescent="0.25">
      <c r="J34" s="1"/>
      <c r="K34" s="1"/>
      <c r="L34" s="1" t="str">
        <f t="shared" si="2"/>
        <v xml:space="preserve">  </v>
      </c>
      <c r="N34" s="1"/>
    </row>
    <row r="35" spans="10:14" x14ac:dyDescent="0.25">
      <c r="J35" s="1"/>
      <c r="K35" s="1"/>
      <c r="L35" s="1" t="str">
        <f t="shared" si="2"/>
        <v xml:space="preserve">  </v>
      </c>
      <c r="N35" s="1"/>
    </row>
    <row r="36" spans="10:14" x14ac:dyDescent="0.25">
      <c r="J36" s="1"/>
      <c r="K36" s="1"/>
      <c r="L36" s="1" t="str">
        <f t="shared" si="2"/>
        <v xml:space="preserve">  </v>
      </c>
      <c r="N36" s="1"/>
    </row>
    <row r="37" spans="10:14" x14ac:dyDescent="0.25">
      <c r="J37" s="1"/>
      <c r="K37" s="1"/>
      <c r="L37" s="1" t="str">
        <f t="shared" si="2"/>
        <v xml:space="preserve">  </v>
      </c>
      <c r="N37" s="1"/>
    </row>
    <row r="38" spans="10:14" x14ac:dyDescent="0.25">
      <c r="J38" s="1"/>
      <c r="K38" s="1"/>
      <c r="L38" s="1" t="str">
        <f t="shared" si="2"/>
        <v xml:space="preserve">  </v>
      </c>
      <c r="N38" s="1"/>
    </row>
    <row r="39" spans="10:14" x14ac:dyDescent="0.25">
      <c r="J39" s="1"/>
      <c r="K39" s="1"/>
      <c r="L39" s="1" t="str">
        <f t="shared" si="2"/>
        <v xml:space="preserve">  </v>
      </c>
      <c r="N39" s="1"/>
    </row>
    <row r="40" spans="10:14" x14ac:dyDescent="0.25">
      <c r="L40" s="2" t="str">
        <f t="shared" si="2"/>
        <v xml:space="preserve">  </v>
      </c>
    </row>
    <row r="41" spans="10:14" x14ac:dyDescent="0.25">
      <c r="L41" s="2" t="str">
        <f t="shared" si="2"/>
        <v xml:space="preserve">  </v>
      </c>
    </row>
    <row r="42" spans="10:14" x14ac:dyDescent="0.25">
      <c r="L42" s="2" t="str">
        <f t="shared" si="2"/>
        <v xml:space="preserve">  </v>
      </c>
    </row>
    <row r="43" spans="10:14" x14ac:dyDescent="0.25">
      <c r="L43" s="2" t="str">
        <f t="shared" si="2"/>
        <v xml:space="preserve">  </v>
      </c>
    </row>
    <row r="44" spans="10:14" x14ac:dyDescent="0.25">
      <c r="L44" s="2" t="str">
        <f t="shared" si="2"/>
        <v xml:space="preserve">  </v>
      </c>
    </row>
    <row r="45" spans="10:14" x14ac:dyDescent="0.25">
      <c r="L45" s="2" t="str">
        <f t="shared" si="2"/>
        <v xml:space="preserve">  </v>
      </c>
    </row>
    <row r="46" spans="10:14" x14ac:dyDescent="0.25">
      <c r="L46" s="2" t="str">
        <f t="shared" si="2"/>
        <v xml:space="preserve">  </v>
      </c>
    </row>
    <row r="47" spans="10:14" x14ac:dyDescent="0.25">
      <c r="L47" s="2" t="str">
        <f t="shared" si="2"/>
        <v xml:space="preserve">  </v>
      </c>
    </row>
    <row r="48" spans="10:14" x14ac:dyDescent="0.25">
      <c r="L48" s="2" t="str">
        <f t="shared" si="2"/>
        <v xml:space="preserve">  </v>
      </c>
    </row>
    <row r="49" spans="12:12" x14ac:dyDescent="0.25">
      <c r="L49" s="2" t="str">
        <f t="shared" si="2"/>
        <v xml:space="preserve">  </v>
      </c>
    </row>
    <row r="50" spans="12:12" x14ac:dyDescent="0.25">
      <c r="L50" s="2" t="str">
        <f t="shared" si="2"/>
        <v xml:space="preserve">  </v>
      </c>
    </row>
    <row r="51" spans="12:12" x14ac:dyDescent="0.25">
      <c r="L51" s="2" t="str">
        <f t="shared" si="2"/>
        <v xml:space="preserve">  </v>
      </c>
    </row>
    <row r="52" spans="12:12" x14ac:dyDescent="0.25">
      <c r="L52" s="2" t="str">
        <f t="shared" si="2"/>
        <v xml:space="preserve">  </v>
      </c>
    </row>
    <row r="53" spans="12:12" x14ac:dyDescent="0.25">
      <c r="L53" s="2" t="str">
        <f t="shared" si="2"/>
        <v xml:space="preserve">  </v>
      </c>
    </row>
  </sheetData>
  <conditionalFormatting sqref="O6:O12">
    <cfRule type="cellIs" dxfId="2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115" zoomScaleNormal="115" workbookViewId="0">
      <selection activeCell="L6" sqref="L6:L17"/>
    </sheetView>
  </sheetViews>
  <sheetFormatPr defaultRowHeight="15" x14ac:dyDescent="0.25"/>
  <cols>
    <col min="1" max="1" width="5.375" style="2" bestFit="1" customWidth="1"/>
    <col min="2" max="3" width="10.25" style="1" customWidth="1"/>
    <col min="4" max="4" width="8" style="1" customWidth="1"/>
    <col min="5" max="5" width="11.125" style="1" customWidth="1"/>
    <col min="6" max="6" width="11.125" style="1" bestFit="1" customWidth="1"/>
    <col min="7" max="9" width="9.125" style="1"/>
    <col min="10" max="11" width="7.375" style="2" bestFit="1" customWidth="1"/>
    <col min="12" max="12" width="11.375" style="2" customWidth="1"/>
  </cols>
  <sheetData>
    <row r="1" spans="1:15" x14ac:dyDescent="0.25">
      <c r="B1" s="1" t="s">
        <v>50</v>
      </c>
      <c r="C1" s="1" t="s">
        <v>50</v>
      </c>
    </row>
    <row r="3" spans="1:15" ht="30" x14ac:dyDescent="0.25">
      <c r="A3" s="2" t="s">
        <v>27</v>
      </c>
      <c r="B3" s="4" t="s">
        <v>26</v>
      </c>
      <c r="C3" s="4" t="s">
        <v>26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23</v>
      </c>
      <c r="I3" s="3" t="s">
        <v>24</v>
      </c>
      <c r="J3" s="4" t="s">
        <v>25</v>
      </c>
      <c r="K3" s="4" t="s">
        <v>25</v>
      </c>
      <c r="L3" s="2" t="s">
        <v>81</v>
      </c>
    </row>
    <row r="4" spans="1:15" ht="30" x14ac:dyDescent="0.25">
      <c r="B4" s="3" t="s">
        <v>49</v>
      </c>
      <c r="C4" s="3" t="s">
        <v>49</v>
      </c>
      <c r="D4" s="3"/>
      <c r="E4" s="3"/>
      <c r="F4" s="3"/>
      <c r="G4" s="3"/>
      <c r="H4" s="3"/>
      <c r="I4" s="3"/>
      <c r="J4" s="4">
        <v>1</v>
      </c>
      <c r="K4" s="4">
        <v>2</v>
      </c>
      <c r="L4" s="12"/>
    </row>
    <row r="5" spans="1:15" x14ac:dyDescent="0.25">
      <c r="B5" s="6">
        <v>96</v>
      </c>
      <c r="C5" s="6">
        <v>96</v>
      </c>
      <c r="L5" s="12"/>
      <c r="M5" s="2"/>
    </row>
    <row r="6" spans="1:15" x14ac:dyDescent="0.25">
      <c r="A6" s="5">
        <v>1</v>
      </c>
      <c r="B6" s="1">
        <f>B5-$D6*У!$C$41-G6</f>
        <v>94.36</v>
      </c>
      <c r="C6" s="1">
        <f>C5-$D6*У!$C$41-H6</f>
        <v>94.16</v>
      </c>
      <c r="D6" s="1">
        <v>1</v>
      </c>
      <c r="E6" s="1">
        <v>34</v>
      </c>
      <c r="F6" s="1" t="str">
        <f>INDEX(У!A$2:D$41,$E6,1)</f>
        <v>ТАН-624F</v>
      </c>
      <c r="G6" s="1">
        <f>INDEX(У!B$2:C$41,$E6,1)</f>
        <v>1.5</v>
      </c>
      <c r="H6" s="1">
        <f>INDEX(У!C$2:D$41,$E6,1)</f>
        <v>1.7</v>
      </c>
      <c r="I6" s="1">
        <f>INDEX(У!D$2:E$41,$E6,1)</f>
        <v>24</v>
      </c>
      <c r="J6" s="2">
        <f>B5-I6</f>
        <v>72</v>
      </c>
      <c r="K6" s="2">
        <f>C5-I6</f>
        <v>72</v>
      </c>
      <c r="L6" s="12" t="str">
        <f>CONCATENATE(K6," ",J6," ")</f>
        <v xml:space="preserve">72 72 </v>
      </c>
      <c r="M6" s="2">
        <v>1</v>
      </c>
      <c r="N6" s="2" t="s">
        <v>0</v>
      </c>
      <c r="O6" s="2">
        <f>SUMIFS(M$6:M$24,F$6:F$24,N6)</f>
        <v>0</v>
      </c>
    </row>
    <row r="7" spans="1:15" x14ac:dyDescent="0.25">
      <c r="A7" s="5">
        <v>2</v>
      </c>
      <c r="B7" s="1">
        <f>B6-$D7*У!$C$41-G7</f>
        <v>92.44</v>
      </c>
      <c r="C7" s="1">
        <f>C6-$D7*У!$C$41-H7</f>
        <v>92.039999999999992</v>
      </c>
      <c r="D7" s="1">
        <v>3</v>
      </c>
      <c r="E7" s="1">
        <v>34</v>
      </c>
      <c r="F7" s="1" t="str">
        <f>INDEX(У!A$2:D$41,$E7,1)</f>
        <v>ТАН-624F</v>
      </c>
      <c r="G7" s="1">
        <f>INDEX(У!B$2:C$41,$E7,1)</f>
        <v>1.5</v>
      </c>
      <c r="H7" s="1">
        <f>INDEX(У!C$2:D$41,$E7,1)</f>
        <v>1.7</v>
      </c>
      <c r="I7" s="1">
        <f>INDEX(У!D$2:E$41,$E7,1)</f>
        <v>24</v>
      </c>
      <c r="J7" s="2">
        <f t="shared" ref="J7:J10" si="0">B6-I7</f>
        <v>70.36</v>
      </c>
      <c r="K7" s="2">
        <f t="shared" ref="K7:K10" si="1">C6-I7</f>
        <v>70.16</v>
      </c>
      <c r="L7" s="12" t="str">
        <f t="shared" ref="L7:L53" si="2">CONCATENATE(K7," ",J7," ")</f>
        <v xml:space="preserve">70,16 70,36 </v>
      </c>
      <c r="M7" s="2">
        <v>1</v>
      </c>
      <c r="N7" s="2" t="s">
        <v>2</v>
      </c>
      <c r="O7" s="2">
        <f t="shared" ref="O7:O9" si="3">SUMIFS(M$6:M$24,F$6:F$24,N7)</f>
        <v>3</v>
      </c>
    </row>
    <row r="8" spans="1:15" x14ac:dyDescent="0.25">
      <c r="A8" s="5">
        <v>3</v>
      </c>
      <c r="B8" s="1">
        <f>B7-$D8*У!$C$41-G8</f>
        <v>90.32</v>
      </c>
      <c r="C8" s="1">
        <f>C7-$D8*У!$C$41-H8</f>
        <v>89.61999999999999</v>
      </c>
      <c r="D8" s="1">
        <v>3</v>
      </c>
      <c r="E8" s="1">
        <v>33</v>
      </c>
      <c r="F8" s="1" t="str">
        <f>INDEX(У!A$2:D$41,$E8,1)</f>
        <v>ТАН-620F</v>
      </c>
      <c r="G8" s="1">
        <f>INDEX(У!B$2:C$41,$E8,1)</f>
        <v>1.7</v>
      </c>
      <c r="H8" s="1">
        <f>INDEX(У!C$2:D$41,$E8,1)</f>
        <v>2</v>
      </c>
      <c r="I8" s="1">
        <f>INDEX(У!D$2:E$41,$E8,1)</f>
        <v>20</v>
      </c>
      <c r="J8" s="2">
        <f t="shared" si="0"/>
        <v>72.44</v>
      </c>
      <c r="K8" s="2">
        <f t="shared" si="1"/>
        <v>72.039999999999992</v>
      </c>
      <c r="L8" s="12" t="str">
        <f t="shared" si="2"/>
        <v xml:space="preserve">72,04 72,44 </v>
      </c>
      <c r="M8" s="2">
        <v>1</v>
      </c>
      <c r="N8" s="2" t="s">
        <v>3</v>
      </c>
      <c r="O8" s="2">
        <f>SUMIFS(M$6:M$24,F$6:F$24,N8)</f>
        <v>4</v>
      </c>
    </row>
    <row r="9" spans="1:15" x14ac:dyDescent="0.25">
      <c r="A9" s="5">
        <v>4</v>
      </c>
      <c r="B9" s="1">
        <f>B8-$D9*У!$C$41-G9</f>
        <v>88.199999999999989</v>
      </c>
      <c r="C9" s="1">
        <f>C8-$D9*У!$C$41-H9</f>
        <v>87.199999999999989</v>
      </c>
      <c r="D9" s="1">
        <v>3</v>
      </c>
      <c r="E9" s="1">
        <v>33</v>
      </c>
      <c r="F9" s="1" t="str">
        <f>INDEX(У!A$2:D$41,$E9,1)</f>
        <v>ТАН-620F</v>
      </c>
      <c r="G9" s="1">
        <f>INDEX(У!B$2:C$41,$E9,1)</f>
        <v>1.7</v>
      </c>
      <c r="H9" s="1">
        <f>INDEX(У!C$2:D$41,$E9,1)</f>
        <v>2</v>
      </c>
      <c r="I9" s="1">
        <f>INDEX(У!D$2:E$41,$E9,1)</f>
        <v>20</v>
      </c>
      <c r="J9" s="2">
        <f t="shared" si="0"/>
        <v>70.319999999999993</v>
      </c>
      <c r="K9" s="2">
        <f t="shared" si="1"/>
        <v>69.61999999999999</v>
      </c>
      <c r="L9" s="12" t="str">
        <f t="shared" si="2"/>
        <v xml:space="preserve">69,62 70,32 </v>
      </c>
      <c r="M9" s="2">
        <v>1</v>
      </c>
      <c r="N9" s="2" t="s">
        <v>1</v>
      </c>
      <c r="O9" s="2">
        <f t="shared" si="3"/>
        <v>3</v>
      </c>
    </row>
    <row r="10" spans="1:15" x14ac:dyDescent="0.25">
      <c r="A10" s="5">
        <v>5</v>
      </c>
      <c r="B10" s="1">
        <f>B9-$D10*У!$C$41-G10</f>
        <v>85.279999999999987</v>
      </c>
      <c r="C10" s="1">
        <f>C9-$D10*У!$C$41-H10</f>
        <v>83.779999999999987</v>
      </c>
      <c r="D10" s="1">
        <v>3</v>
      </c>
      <c r="E10" s="1">
        <v>32</v>
      </c>
      <c r="F10" s="1" t="str">
        <f>INDEX(У!A$2:D$41,$E10,1)</f>
        <v>ТАН-616F</v>
      </c>
      <c r="G10" s="1">
        <f>INDEX(У!B$2:C$41,$E10,1)</f>
        <v>2.5</v>
      </c>
      <c r="H10" s="1">
        <f>INDEX(У!C$2:D$41,$E10,1)</f>
        <v>3</v>
      </c>
      <c r="I10" s="1">
        <f>INDEX(У!D$2:E$41,$E10,1)</f>
        <v>16</v>
      </c>
      <c r="J10" s="2">
        <f t="shared" si="0"/>
        <v>72.199999999999989</v>
      </c>
      <c r="K10" s="2">
        <f t="shared" si="1"/>
        <v>71.199999999999989</v>
      </c>
      <c r="L10" s="12" t="str">
        <f t="shared" si="2"/>
        <v xml:space="preserve">71,2 72,2 </v>
      </c>
      <c r="M10" s="2">
        <v>1</v>
      </c>
      <c r="N10" s="2"/>
      <c r="O10" s="2"/>
    </row>
    <row r="11" spans="1:15" x14ac:dyDescent="0.25">
      <c r="A11" s="5"/>
      <c r="L11" s="12" t="str">
        <f t="shared" si="2"/>
        <v xml:space="preserve">  </v>
      </c>
      <c r="M11" s="2"/>
      <c r="N11" s="2"/>
      <c r="O11" s="2"/>
    </row>
    <row r="12" spans="1:15" x14ac:dyDescent="0.25">
      <c r="B12" s="6">
        <v>94</v>
      </c>
      <c r="C12" s="6">
        <v>94</v>
      </c>
      <c r="L12" s="12" t="str">
        <f t="shared" si="2"/>
        <v xml:space="preserve">  </v>
      </c>
      <c r="M12" s="2"/>
      <c r="N12" s="2"/>
      <c r="O12" s="2"/>
    </row>
    <row r="13" spans="1:15" x14ac:dyDescent="0.25">
      <c r="A13" s="5">
        <v>1</v>
      </c>
      <c r="B13" s="1">
        <f>B12-$D13*У!$C$41-G13</f>
        <v>92.36</v>
      </c>
      <c r="C13" s="1">
        <f>C12-$D13*У!$C$41-H13</f>
        <v>92.16</v>
      </c>
      <c r="D13" s="1">
        <v>1</v>
      </c>
      <c r="E13" s="1">
        <v>34</v>
      </c>
      <c r="F13" s="1" t="str">
        <f>INDEX(У!A$2:D$41,$E13,1)</f>
        <v>ТАН-624F</v>
      </c>
      <c r="G13" s="1">
        <f>INDEX(У!B$2:C$41,$E13,1)</f>
        <v>1.5</v>
      </c>
      <c r="H13" s="1">
        <f>INDEX(У!C$2:D$41,$E13,1)</f>
        <v>1.7</v>
      </c>
      <c r="I13" s="1">
        <f>INDEX(У!D$2:E$41,$E13,1)</f>
        <v>24</v>
      </c>
      <c r="J13" s="2">
        <f>B12-I13</f>
        <v>70</v>
      </c>
      <c r="K13" s="2">
        <f>C12-I13</f>
        <v>70</v>
      </c>
      <c r="L13" s="12" t="str">
        <f t="shared" si="2"/>
        <v xml:space="preserve">70 70 </v>
      </c>
      <c r="M13" s="2">
        <v>1</v>
      </c>
    </row>
    <row r="14" spans="1:15" x14ac:dyDescent="0.25">
      <c r="A14" s="5">
        <v>2</v>
      </c>
      <c r="B14" s="1">
        <f>B13-$D14*У!$C$41-G14</f>
        <v>90.24</v>
      </c>
      <c r="C14" s="1">
        <f>C13-$D14*У!$C$41-H14</f>
        <v>89.74</v>
      </c>
      <c r="D14" s="1">
        <v>3</v>
      </c>
      <c r="E14" s="1">
        <v>33</v>
      </c>
      <c r="F14" s="1" t="str">
        <f>INDEX(У!A$2:D$41,$E14,1)</f>
        <v>ТАН-620F</v>
      </c>
      <c r="G14" s="1">
        <f>INDEX(У!B$2:C$41,$E14,1)</f>
        <v>1.7</v>
      </c>
      <c r="H14" s="1">
        <f>INDEX(У!C$2:D$41,$E14,1)</f>
        <v>2</v>
      </c>
      <c r="I14" s="1">
        <f>INDEX(У!D$2:E$41,$E14,1)</f>
        <v>20</v>
      </c>
      <c r="J14" s="2">
        <f t="shared" ref="J14:J17" si="4">B13-I14</f>
        <v>72.36</v>
      </c>
      <c r="K14" s="2">
        <f t="shared" ref="K14:K17" si="5">C13-I14</f>
        <v>72.16</v>
      </c>
      <c r="L14" s="12" t="str">
        <f t="shared" si="2"/>
        <v xml:space="preserve">72,16 72,36 </v>
      </c>
      <c r="M14" s="2">
        <v>1</v>
      </c>
    </row>
    <row r="15" spans="1:15" x14ac:dyDescent="0.25">
      <c r="A15" s="5">
        <v>3</v>
      </c>
      <c r="B15" s="1">
        <f>B14-$D15*У!$C$41-G15</f>
        <v>88.11999999999999</v>
      </c>
      <c r="C15" s="1">
        <f>C14-$D15*У!$C$41-H15</f>
        <v>87.32</v>
      </c>
      <c r="D15" s="1">
        <v>3</v>
      </c>
      <c r="E15" s="1">
        <v>33</v>
      </c>
      <c r="F15" s="1" t="str">
        <f>INDEX(У!A$2:D$41,$E15,1)</f>
        <v>ТАН-620F</v>
      </c>
      <c r="G15" s="1">
        <f>INDEX(У!B$2:C$41,$E15,1)</f>
        <v>1.7</v>
      </c>
      <c r="H15" s="1">
        <f>INDEX(У!C$2:D$41,$E15,1)</f>
        <v>2</v>
      </c>
      <c r="I15" s="1">
        <f>INDEX(У!D$2:E$41,$E15,1)</f>
        <v>20</v>
      </c>
      <c r="J15" s="2">
        <f t="shared" si="4"/>
        <v>70.239999999999995</v>
      </c>
      <c r="K15" s="2">
        <f t="shared" si="5"/>
        <v>69.739999999999995</v>
      </c>
      <c r="L15" s="12" t="str">
        <f t="shared" si="2"/>
        <v xml:space="preserve">69,74 70,24 </v>
      </c>
      <c r="M15" s="2">
        <v>1</v>
      </c>
    </row>
    <row r="16" spans="1:15" x14ac:dyDescent="0.25">
      <c r="A16" s="5">
        <v>4</v>
      </c>
      <c r="B16" s="1">
        <f>B15-$D16*У!$C$41-G16</f>
        <v>85.199999999999989</v>
      </c>
      <c r="C16" s="1">
        <f>C15-$D16*У!$C$41-H16</f>
        <v>83.899999999999991</v>
      </c>
      <c r="D16" s="1">
        <v>3</v>
      </c>
      <c r="E16" s="1">
        <v>32</v>
      </c>
      <c r="F16" s="1" t="str">
        <f>INDEX(У!A$2:D$41,$E16,1)</f>
        <v>ТАН-616F</v>
      </c>
      <c r="G16" s="1">
        <f>INDEX(У!B$2:C$41,$E16,1)</f>
        <v>2.5</v>
      </c>
      <c r="H16" s="1">
        <f>INDEX(У!C$2:D$41,$E16,1)</f>
        <v>3</v>
      </c>
      <c r="I16" s="1">
        <f>INDEX(У!D$2:E$41,$E16,1)</f>
        <v>16</v>
      </c>
      <c r="J16" s="2">
        <f t="shared" si="4"/>
        <v>72.11999999999999</v>
      </c>
      <c r="K16" s="2">
        <f t="shared" si="5"/>
        <v>71.319999999999993</v>
      </c>
      <c r="L16" s="12" t="str">
        <f t="shared" si="2"/>
        <v xml:space="preserve">71,32 72,12 </v>
      </c>
      <c r="M16" s="2">
        <v>1</v>
      </c>
    </row>
    <row r="17" spans="1:13" x14ac:dyDescent="0.25">
      <c r="A17" s="5">
        <v>5</v>
      </c>
      <c r="B17" s="1">
        <f>B16-$D17*У!$C$41-G17</f>
        <v>82.279999999999987</v>
      </c>
      <c r="C17" s="1">
        <f>C16-$D17*У!$C$41-H17</f>
        <v>80.47999999999999</v>
      </c>
      <c r="D17" s="1">
        <v>3</v>
      </c>
      <c r="E17" s="1">
        <v>32</v>
      </c>
      <c r="F17" s="1" t="str">
        <f>INDEX(У!A$2:D$41,$E17,1)</f>
        <v>ТАН-616F</v>
      </c>
      <c r="G17" s="1">
        <f>INDEX(У!B$2:C$41,$E17,1)</f>
        <v>2.5</v>
      </c>
      <c r="H17" s="1">
        <f>INDEX(У!C$2:D$41,$E17,1)</f>
        <v>3</v>
      </c>
      <c r="I17" s="1">
        <f>INDEX(У!D$2:E$41,$E17,1)</f>
        <v>16</v>
      </c>
      <c r="J17" s="2">
        <f t="shared" si="4"/>
        <v>69.199999999999989</v>
      </c>
      <c r="K17" s="2">
        <f t="shared" si="5"/>
        <v>67.899999999999991</v>
      </c>
      <c r="L17" s="12" t="str">
        <f t="shared" si="2"/>
        <v xml:space="preserve">67,9 69,2 </v>
      </c>
      <c r="M17" s="2">
        <v>1</v>
      </c>
    </row>
    <row r="18" spans="1:13" x14ac:dyDescent="0.25">
      <c r="L18" s="12" t="str">
        <f t="shared" si="2"/>
        <v xml:space="preserve">  </v>
      </c>
      <c r="M18" s="2"/>
    </row>
    <row r="19" spans="1:13" x14ac:dyDescent="0.25">
      <c r="B19" s="1" t="s">
        <v>77</v>
      </c>
      <c r="C19" s="1" t="s">
        <v>77</v>
      </c>
      <c r="L19" s="11" t="str">
        <f t="shared" si="2"/>
        <v xml:space="preserve">  </v>
      </c>
      <c r="M19" s="2"/>
    </row>
    <row r="20" spans="1:13" x14ac:dyDescent="0.25">
      <c r="B20" s="1">
        <f>3*9+25</f>
        <v>52</v>
      </c>
      <c r="C20" s="1">
        <f>3*9+25</f>
        <v>52</v>
      </c>
      <c r="L20" s="1" t="str">
        <f t="shared" si="2"/>
        <v xml:space="preserve">  </v>
      </c>
      <c r="M20" s="2"/>
    </row>
    <row r="21" spans="1:13" x14ac:dyDescent="0.25">
      <c r="L21" s="1" t="str">
        <f t="shared" si="2"/>
        <v xml:space="preserve">  </v>
      </c>
    </row>
    <row r="22" spans="1:13" x14ac:dyDescent="0.25">
      <c r="L22" s="1" t="str">
        <f t="shared" si="2"/>
        <v xml:space="preserve">  </v>
      </c>
    </row>
    <row r="23" spans="1:13" x14ac:dyDescent="0.25">
      <c r="L23" s="1" t="str">
        <f t="shared" si="2"/>
        <v xml:space="preserve">  </v>
      </c>
    </row>
    <row r="24" spans="1:13" x14ac:dyDescent="0.25">
      <c r="L24" s="1" t="str">
        <f t="shared" si="2"/>
        <v xml:space="preserve">  </v>
      </c>
    </row>
    <row r="25" spans="1:13" x14ac:dyDescent="0.25">
      <c r="L25" s="1" t="str">
        <f t="shared" si="2"/>
        <v xml:space="preserve">  </v>
      </c>
    </row>
    <row r="26" spans="1:13" x14ac:dyDescent="0.25">
      <c r="L26" s="1" t="str">
        <f t="shared" si="2"/>
        <v xml:space="preserve">  </v>
      </c>
    </row>
    <row r="27" spans="1:13" x14ac:dyDescent="0.25">
      <c r="L27" s="1" t="str">
        <f t="shared" si="2"/>
        <v xml:space="preserve">  </v>
      </c>
    </row>
    <row r="28" spans="1:13" x14ac:dyDescent="0.25">
      <c r="L28" s="1" t="str">
        <f t="shared" si="2"/>
        <v xml:space="preserve">  </v>
      </c>
    </row>
    <row r="29" spans="1:13" x14ac:dyDescent="0.25">
      <c r="L29" s="1" t="str">
        <f t="shared" si="2"/>
        <v xml:space="preserve">  </v>
      </c>
    </row>
    <row r="30" spans="1:13" x14ac:dyDescent="0.25">
      <c r="L30" s="1" t="str">
        <f t="shared" si="2"/>
        <v xml:space="preserve">  </v>
      </c>
    </row>
    <row r="31" spans="1:13" x14ac:dyDescent="0.25">
      <c r="L31" s="1" t="str">
        <f t="shared" si="2"/>
        <v xml:space="preserve">  </v>
      </c>
    </row>
    <row r="32" spans="1:13" x14ac:dyDescent="0.25">
      <c r="L32" s="1" t="str">
        <f t="shared" si="2"/>
        <v xml:space="preserve">  </v>
      </c>
    </row>
    <row r="33" spans="12:12" x14ac:dyDescent="0.25">
      <c r="L33" s="1" t="str">
        <f t="shared" si="2"/>
        <v xml:space="preserve">  </v>
      </c>
    </row>
    <row r="34" spans="12:12" x14ac:dyDescent="0.25">
      <c r="L34" s="1" t="str">
        <f t="shared" si="2"/>
        <v xml:space="preserve">  </v>
      </c>
    </row>
    <row r="35" spans="12:12" x14ac:dyDescent="0.25">
      <c r="L35" s="1" t="str">
        <f t="shared" si="2"/>
        <v xml:space="preserve">  </v>
      </c>
    </row>
    <row r="36" spans="12:12" x14ac:dyDescent="0.25">
      <c r="L36" s="1" t="str">
        <f t="shared" si="2"/>
        <v xml:space="preserve">  </v>
      </c>
    </row>
    <row r="37" spans="12:12" x14ac:dyDescent="0.25">
      <c r="L37" s="1" t="str">
        <f t="shared" si="2"/>
        <v xml:space="preserve">  </v>
      </c>
    </row>
    <row r="38" spans="12:12" x14ac:dyDescent="0.25">
      <c r="L38" s="1" t="str">
        <f t="shared" si="2"/>
        <v xml:space="preserve">  </v>
      </c>
    </row>
    <row r="39" spans="12:12" x14ac:dyDescent="0.25">
      <c r="L39" s="1" t="str">
        <f t="shared" si="2"/>
        <v xml:space="preserve">  </v>
      </c>
    </row>
    <row r="40" spans="12:12" x14ac:dyDescent="0.25">
      <c r="L40" s="2" t="str">
        <f t="shared" si="2"/>
        <v xml:space="preserve">  </v>
      </c>
    </row>
    <row r="41" spans="12:12" x14ac:dyDescent="0.25">
      <c r="L41" s="2" t="str">
        <f t="shared" si="2"/>
        <v xml:space="preserve">  </v>
      </c>
    </row>
    <row r="42" spans="12:12" x14ac:dyDescent="0.25">
      <c r="L42" s="2" t="str">
        <f t="shared" si="2"/>
        <v xml:space="preserve">  </v>
      </c>
    </row>
    <row r="43" spans="12:12" x14ac:dyDescent="0.25">
      <c r="L43" s="2" t="str">
        <f t="shared" si="2"/>
        <v xml:space="preserve">  </v>
      </c>
    </row>
    <row r="44" spans="12:12" x14ac:dyDescent="0.25">
      <c r="L44" s="2" t="str">
        <f t="shared" si="2"/>
        <v xml:space="preserve">  </v>
      </c>
    </row>
    <row r="45" spans="12:12" x14ac:dyDescent="0.25">
      <c r="L45" s="2" t="str">
        <f t="shared" si="2"/>
        <v xml:space="preserve">  </v>
      </c>
    </row>
    <row r="46" spans="12:12" x14ac:dyDescent="0.25">
      <c r="L46" s="2" t="str">
        <f t="shared" si="2"/>
        <v xml:space="preserve">  </v>
      </c>
    </row>
    <row r="47" spans="12:12" x14ac:dyDescent="0.25">
      <c r="L47" s="2" t="str">
        <f t="shared" si="2"/>
        <v xml:space="preserve">  </v>
      </c>
    </row>
    <row r="48" spans="12:12" x14ac:dyDescent="0.25">
      <c r="L48" s="2" t="str">
        <f t="shared" si="2"/>
        <v xml:space="preserve">  </v>
      </c>
    </row>
    <row r="49" spans="12:12" x14ac:dyDescent="0.25">
      <c r="L49" s="2" t="str">
        <f t="shared" si="2"/>
        <v xml:space="preserve">  </v>
      </c>
    </row>
    <row r="50" spans="12:12" x14ac:dyDescent="0.25">
      <c r="L50" s="2" t="str">
        <f t="shared" si="2"/>
        <v xml:space="preserve">  </v>
      </c>
    </row>
    <row r="51" spans="12:12" x14ac:dyDescent="0.25">
      <c r="L51" s="2" t="str">
        <f t="shared" si="2"/>
        <v xml:space="preserve">  </v>
      </c>
    </row>
    <row r="52" spans="12:12" x14ac:dyDescent="0.25">
      <c r="L52" s="2" t="str">
        <f t="shared" si="2"/>
        <v xml:space="preserve">  </v>
      </c>
    </row>
    <row r="53" spans="12:12" x14ac:dyDescent="0.25">
      <c r="L53" s="2" t="str">
        <f t="shared" si="2"/>
        <v xml:space="preserve">  </v>
      </c>
    </row>
  </sheetData>
  <conditionalFormatting sqref="O6:O12">
    <cfRule type="cellIs" dxfId="2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160" zoomScaleNormal="160" workbookViewId="0">
      <selection activeCell="D24" sqref="D24"/>
    </sheetView>
  </sheetViews>
  <sheetFormatPr defaultRowHeight="15" x14ac:dyDescent="0.25"/>
  <cols>
    <col min="1" max="1" width="5.375" style="2" bestFit="1" customWidth="1"/>
    <col min="2" max="3" width="8.75" style="1" bestFit="1" customWidth="1"/>
    <col min="4" max="4" width="8" style="1" customWidth="1"/>
    <col min="5" max="5" width="11.125" style="1" customWidth="1"/>
    <col min="6" max="6" width="11.125" style="1" bestFit="1" customWidth="1"/>
    <col min="7" max="9" width="9.125" style="1"/>
    <col min="10" max="11" width="7.375" style="2" bestFit="1" customWidth="1"/>
    <col min="12" max="12" width="11.375" style="2" customWidth="1"/>
    <col min="13" max="13" width="9.125" style="2"/>
  </cols>
  <sheetData>
    <row r="1" spans="1:15" x14ac:dyDescent="0.25">
      <c r="B1" s="1" t="s">
        <v>50</v>
      </c>
      <c r="C1" s="1" t="s">
        <v>50</v>
      </c>
    </row>
    <row r="3" spans="1:15" ht="30" x14ac:dyDescent="0.25">
      <c r="A3" s="2" t="s">
        <v>27</v>
      </c>
      <c r="B3" s="4" t="s">
        <v>26</v>
      </c>
      <c r="C3" s="4" t="s">
        <v>26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23</v>
      </c>
      <c r="I3" s="3" t="s">
        <v>24</v>
      </c>
      <c r="J3" s="4" t="s">
        <v>25</v>
      </c>
      <c r="K3" s="4" t="s">
        <v>25</v>
      </c>
      <c r="L3" s="2" t="s">
        <v>81</v>
      </c>
    </row>
    <row r="4" spans="1:15" ht="30" x14ac:dyDescent="0.25">
      <c r="B4" s="3" t="s">
        <v>49</v>
      </c>
      <c r="C4" s="3" t="s">
        <v>49</v>
      </c>
      <c r="D4" s="3"/>
      <c r="E4" s="3"/>
      <c r="F4" s="3"/>
      <c r="G4" s="3"/>
      <c r="H4" s="3"/>
      <c r="I4" s="3"/>
      <c r="J4" s="4">
        <v>1</v>
      </c>
      <c r="K4" s="4">
        <v>2</v>
      </c>
      <c r="L4" s="12"/>
    </row>
    <row r="5" spans="1:15" x14ac:dyDescent="0.25">
      <c r="B5" s="6">
        <v>96</v>
      </c>
      <c r="C5" s="6">
        <v>96</v>
      </c>
      <c r="L5" s="12"/>
    </row>
    <row r="6" spans="1:15" x14ac:dyDescent="0.25">
      <c r="A6" s="5">
        <v>1</v>
      </c>
      <c r="B6" s="1">
        <f>B5-$D6*У!$C$41-G6</f>
        <v>94.36</v>
      </c>
      <c r="C6" s="1">
        <f>C5-$D6*У!$C$41-H6</f>
        <v>94.16</v>
      </c>
      <c r="D6" s="1">
        <v>1</v>
      </c>
      <c r="E6" s="1">
        <v>34</v>
      </c>
      <c r="F6" s="1" t="str">
        <f>INDEX(У!A$2:D$41,$E6,1)</f>
        <v>ТАН-624F</v>
      </c>
      <c r="G6" s="1">
        <f>INDEX(У!B$2:C$41,$E6,1)</f>
        <v>1.5</v>
      </c>
      <c r="H6" s="1">
        <f>INDEX(У!C$2:D$41,$E6,1)</f>
        <v>1.7</v>
      </c>
      <c r="I6" s="1">
        <f>INDEX(У!D$2:E$41,$E6,1)</f>
        <v>24</v>
      </c>
      <c r="J6" s="2">
        <f>B5-I6</f>
        <v>72</v>
      </c>
      <c r="K6" s="2">
        <f>C5-I6</f>
        <v>72</v>
      </c>
      <c r="L6" s="12" t="str">
        <f>CONCATENATE(K6," ",J6," ")</f>
        <v xml:space="preserve">72 72 </v>
      </c>
      <c r="M6" s="2">
        <v>1</v>
      </c>
      <c r="N6" s="2" t="s">
        <v>0</v>
      </c>
      <c r="O6" s="2">
        <f>SUMIFS(M$6:M$24,F$6:F$24,N6)</f>
        <v>0</v>
      </c>
    </row>
    <row r="7" spans="1:15" x14ac:dyDescent="0.25">
      <c r="A7" s="5">
        <v>2</v>
      </c>
      <c r="B7" s="1">
        <f>B6-$D7*У!$C$41-G7</f>
        <v>92.44</v>
      </c>
      <c r="C7" s="1">
        <f>C6-$D7*У!$C$41-H7</f>
        <v>92.039999999999992</v>
      </c>
      <c r="D7" s="1">
        <v>3</v>
      </c>
      <c r="E7" s="1">
        <v>34</v>
      </c>
      <c r="F7" s="1" t="str">
        <f>INDEX(У!A$2:D$41,$E7,1)</f>
        <v>ТАН-624F</v>
      </c>
      <c r="G7" s="1">
        <f>INDEX(У!B$2:C$41,$E7,1)</f>
        <v>1.5</v>
      </c>
      <c r="H7" s="1">
        <f>INDEX(У!C$2:D$41,$E7,1)</f>
        <v>1.7</v>
      </c>
      <c r="I7" s="1">
        <f>INDEX(У!D$2:E$41,$E7,1)</f>
        <v>24</v>
      </c>
      <c r="J7" s="2">
        <f t="shared" ref="J7:J10" si="0">B6-I7</f>
        <v>70.36</v>
      </c>
      <c r="K7" s="2">
        <f t="shared" ref="K7:K10" si="1">C6-I7</f>
        <v>70.16</v>
      </c>
      <c r="L7" s="12" t="str">
        <f t="shared" ref="L7:L53" si="2">CONCATENATE(K7," ",J7," ")</f>
        <v xml:space="preserve">70,16 70,36 </v>
      </c>
      <c r="M7" s="2">
        <v>1</v>
      </c>
      <c r="N7" s="2" t="s">
        <v>2</v>
      </c>
      <c r="O7" s="2">
        <f>SUMIFS(M$6:M$24,F$6:F$24,N7)</f>
        <v>3</v>
      </c>
    </row>
    <row r="8" spans="1:15" x14ac:dyDescent="0.25">
      <c r="A8" s="5">
        <v>3</v>
      </c>
      <c r="B8" s="1">
        <f>B7-$D8*У!$C$41-G8</f>
        <v>90.32</v>
      </c>
      <c r="C8" s="1">
        <f>C7-$D8*У!$C$41-H8</f>
        <v>89.61999999999999</v>
      </c>
      <c r="D8" s="1">
        <v>3</v>
      </c>
      <c r="E8" s="1">
        <v>33</v>
      </c>
      <c r="F8" s="1" t="str">
        <f>INDEX(У!A$2:D$41,$E8,1)</f>
        <v>ТАН-620F</v>
      </c>
      <c r="G8" s="1">
        <f>INDEX(У!B$2:C$41,$E8,1)</f>
        <v>1.7</v>
      </c>
      <c r="H8" s="1">
        <f>INDEX(У!C$2:D$41,$E8,1)</f>
        <v>2</v>
      </c>
      <c r="I8" s="1">
        <f>INDEX(У!D$2:E$41,$E8,1)</f>
        <v>20</v>
      </c>
      <c r="J8" s="2">
        <f t="shared" si="0"/>
        <v>72.44</v>
      </c>
      <c r="K8" s="2">
        <f t="shared" si="1"/>
        <v>72.039999999999992</v>
      </c>
      <c r="L8" s="12" t="str">
        <f t="shared" si="2"/>
        <v xml:space="preserve">72,04 72,44 </v>
      </c>
      <c r="M8" s="2">
        <v>1</v>
      </c>
      <c r="N8" s="2" t="s">
        <v>3</v>
      </c>
      <c r="O8" s="2">
        <f>SUMIFS(M$6:M$24,F$6:F$24,N8)</f>
        <v>4</v>
      </c>
    </row>
    <row r="9" spans="1:15" x14ac:dyDescent="0.25">
      <c r="A9" s="5">
        <v>4</v>
      </c>
      <c r="B9" s="1">
        <f>B8-$D9*У!$C$41-G9</f>
        <v>88.199999999999989</v>
      </c>
      <c r="C9" s="1">
        <f>C8-$D9*У!$C$41-H9</f>
        <v>87.199999999999989</v>
      </c>
      <c r="D9" s="1">
        <v>3</v>
      </c>
      <c r="E9" s="1">
        <v>33</v>
      </c>
      <c r="F9" s="1" t="str">
        <f>INDEX(У!A$2:D$41,$E9,1)</f>
        <v>ТАН-620F</v>
      </c>
      <c r="G9" s="1">
        <f>INDEX(У!B$2:C$41,$E9,1)</f>
        <v>1.7</v>
      </c>
      <c r="H9" s="1">
        <f>INDEX(У!C$2:D$41,$E9,1)</f>
        <v>2</v>
      </c>
      <c r="I9" s="1">
        <f>INDEX(У!D$2:E$41,$E9,1)</f>
        <v>20</v>
      </c>
      <c r="J9" s="2">
        <f t="shared" si="0"/>
        <v>70.319999999999993</v>
      </c>
      <c r="K9" s="2">
        <f t="shared" si="1"/>
        <v>69.61999999999999</v>
      </c>
      <c r="L9" s="12" t="str">
        <f t="shared" si="2"/>
        <v xml:space="preserve">69,62 70,32 </v>
      </c>
      <c r="M9" s="2">
        <v>1</v>
      </c>
      <c r="N9" s="2" t="s">
        <v>1</v>
      </c>
      <c r="O9" s="2">
        <f>SUMIFS(M$6:M$24,F$6:F$24,N9)</f>
        <v>3</v>
      </c>
    </row>
    <row r="10" spans="1:15" x14ac:dyDescent="0.25">
      <c r="A10" s="5">
        <v>5</v>
      </c>
      <c r="B10" s="1">
        <f>B9-$D10*У!$C$41-G10</f>
        <v>85.279999999999987</v>
      </c>
      <c r="C10" s="1">
        <f>C9-$D10*У!$C$41-H10</f>
        <v>83.779999999999987</v>
      </c>
      <c r="D10" s="1">
        <v>3</v>
      </c>
      <c r="E10" s="1">
        <v>32</v>
      </c>
      <c r="F10" s="1" t="str">
        <f>INDEX(У!A$2:D$41,$E10,1)</f>
        <v>ТАН-616F</v>
      </c>
      <c r="G10" s="1">
        <f>INDEX(У!B$2:C$41,$E10,1)</f>
        <v>2.5</v>
      </c>
      <c r="H10" s="1">
        <f>INDEX(У!C$2:D$41,$E10,1)</f>
        <v>3</v>
      </c>
      <c r="I10" s="1">
        <f>INDEX(У!D$2:E$41,$E10,1)</f>
        <v>16</v>
      </c>
      <c r="J10" s="2">
        <f t="shared" si="0"/>
        <v>72.199999999999989</v>
      </c>
      <c r="K10" s="2">
        <f t="shared" si="1"/>
        <v>71.199999999999989</v>
      </c>
      <c r="L10" s="12" t="str">
        <f t="shared" si="2"/>
        <v xml:space="preserve">71,2 72,2 </v>
      </c>
      <c r="M10" s="2">
        <v>1</v>
      </c>
      <c r="N10" s="2"/>
      <c r="O10" s="2"/>
    </row>
    <row r="11" spans="1:15" x14ac:dyDescent="0.25">
      <c r="A11" s="5"/>
      <c r="L11" s="12" t="str">
        <f t="shared" si="2"/>
        <v xml:space="preserve">  </v>
      </c>
      <c r="N11" s="2"/>
      <c r="O11" s="2"/>
    </row>
    <row r="12" spans="1:15" x14ac:dyDescent="0.25">
      <c r="B12" s="6">
        <v>94</v>
      </c>
      <c r="C12" s="6">
        <v>94</v>
      </c>
      <c r="L12" s="12" t="str">
        <f t="shared" si="2"/>
        <v xml:space="preserve">  </v>
      </c>
      <c r="N12" s="2"/>
      <c r="O12" s="2"/>
    </row>
    <row r="13" spans="1:15" x14ac:dyDescent="0.25">
      <c r="A13" s="5">
        <v>1</v>
      </c>
      <c r="B13" s="1">
        <f>B12-$D13*У!$C$41-G13</f>
        <v>92.36</v>
      </c>
      <c r="C13" s="1">
        <f>C12-$D13*У!$C$41-H13</f>
        <v>92.16</v>
      </c>
      <c r="D13" s="1">
        <v>1</v>
      </c>
      <c r="E13" s="1">
        <v>34</v>
      </c>
      <c r="F13" s="1" t="str">
        <f>INDEX(У!A$2:D$41,$E13,1)</f>
        <v>ТАН-624F</v>
      </c>
      <c r="G13" s="1">
        <f>INDEX(У!B$2:C$41,$E13,1)</f>
        <v>1.5</v>
      </c>
      <c r="H13" s="1">
        <f>INDEX(У!C$2:D$41,$E13,1)</f>
        <v>1.7</v>
      </c>
      <c r="I13" s="1">
        <f>INDEX(У!D$2:E$41,$E13,1)</f>
        <v>24</v>
      </c>
      <c r="J13" s="2">
        <f>B12-I13</f>
        <v>70</v>
      </c>
      <c r="K13" s="2">
        <f>C12-I13</f>
        <v>70</v>
      </c>
      <c r="L13" s="12" t="str">
        <f t="shared" si="2"/>
        <v xml:space="preserve">70 70 </v>
      </c>
      <c r="M13" s="2">
        <v>1</v>
      </c>
    </row>
    <row r="14" spans="1:15" x14ac:dyDescent="0.25">
      <c r="A14" s="5">
        <v>2</v>
      </c>
      <c r="B14" s="1">
        <f>B13-$D14*У!$C$41-G14</f>
        <v>90.24</v>
      </c>
      <c r="C14" s="1">
        <f>C13-$D14*У!$C$41-H14</f>
        <v>89.74</v>
      </c>
      <c r="D14" s="1">
        <v>3</v>
      </c>
      <c r="E14" s="1">
        <v>33</v>
      </c>
      <c r="F14" s="1" t="str">
        <f>INDEX(У!A$2:D$41,$E14,1)</f>
        <v>ТАН-620F</v>
      </c>
      <c r="G14" s="1">
        <f>INDEX(У!B$2:C$41,$E14,1)</f>
        <v>1.7</v>
      </c>
      <c r="H14" s="1">
        <f>INDEX(У!C$2:D$41,$E14,1)</f>
        <v>2</v>
      </c>
      <c r="I14" s="1">
        <f>INDEX(У!D$2:E$41,$E14,1)</f>
        <v>20</v>
      </c>
      <c r="J14" s="2">
        <f t="shared" ref="J14:J17" si="3">B13-I14</f>
        <v>72.36</v>
      </c>
      <c r="K14" s="2">
        <f t="shared" ref="K14:K17" si="4">C13-I14</f>
        <v>72.16</v>
      </c>
      <c r="L14" s="12" t="str">
        <f t="shared" si="2"/>
        <v xml:space="preserve">72,16 72,36 </v>
      </c>
      <c r="M14" s="2">
        <v>1</v>
      </c>
    </row>
    <row r="15" spans="1:15" x14ac:dyDescent="0.25">
      <c r="A15" s="5">
        <v>3</v>
      </c>
      <c r="B15" s="1">
        <f>B14-$D15*У!$C$41-G15</f>
        <v>88.11999999999999</v>
      </c>
      <c r="C15" s="1">
        <f>C14-$D15*У!$C$41-H15</f>
        <v>87.32</v>
      </c>
      <c r="D15" s="1">
        <v>3</v>
      </c>
      <c r="E15" s="1">
        <v>33</v>
      </c>
      <c r="F15" s="1" t="str">
        <f>INDEX(У!A$2:D$41,$E15,1)</f>
        <v>ТАН-620F</v>
      </c>
      <c r="G15" s="1">
        <f>INDEX(У!B$2:C$41,$E15,1)</f>
        <v>1.7</v>
      </c>
      <c r="H15" s="1">
        <f>INDEX(У!C$2:D$41,$E15,1)</f>
        <v>2</v>
      </c>
      <c r="I15" s="1">
        <f>INDEX(У!D$2:E$41,$E15,1)</f>
        <v>20</v>
      </c>
      <c r="J15" s="2">
        <f t="shared" si="3"/>
        <v>70.239999999999995</v>
      </c>
      <c r="K15" s="2">
        <f t="shared" si="4"/>
        <v>69.739999999999995</v>
      </c>
      <c r="L15" s="12" t="str">
        <f t="shared" si="2"/>
        <v xml:space="preserve">69,74 70,24 </v>
      </c>
      <c r="M15" s="2">
        <v>1</v>
      </c>
    </row>
    <row r="16" spans="1:15" x14ac:dyDescent="0.25">
      <c r="A16" s="5">
        <v>4</v>
      </c>
      <c r="B16" s="1">
        <f>B15-$D16*У!$C$41-G16</f>
        <v>85.199999999999989</v>
      </c>
      <c r="C16" s="1">
        <f>C15-$D16*У!$C$41-H16</f>
        <v>83.899999999999991</v>
      </c>
      <c r="D16" s="1">
        <v>3</v>
      </c>
      <c r="E16" s="1">
        <v>32</v>
      </c>
      <c r="F16" s="1" t="str">
        <f>INDEX(У!A$2:D$41,$E16,1)</f>
        <v>ТАН-616F</v>
      </c>
      <c r="G16" s="1">
        <f>INDEX(У!B$2:C$41,$E16,1)</f>
        <v>2.5</v>
      </c>
      <c r="H16" s="1">
        <f>INDEX(У!C$2:D$41,$E16,1)</f>
        <v>3</v>
      </c>
      <c r="I16" s="1">
        <f>INDEX(У!D$2:E$41,$E16,1)</f>
        <v>16</v>
      </c>
      <c r="J16" s="2">
        <f t="shared" si="3"/>
        <v>72.11999999999999</v>
      </c>
      <c r="K16" s="2">
        <f t="shared" si="4"/>
        <v>71.319999999999993</v>
      </c>
      <c r="L16" s="12" t="str">
        <f t="shared" si="2"/>
        <v xml:space="preserve">71,32 72,12 </v>
      </c>
      <c r="M16" s="2">
        <v>1</v>
      </c>
    </row>
    <row r="17" spans="1:13" x14ac:dyDescent="0.25">
      <c r="A17" s="5">
        <v>5</v>
      </c>
      <c r="B17" s="1">
        <f>B16-$D17*У!$C$41-G17</f>
        <v>82.279999999999987</v>
      </c>
      <c r="C17" s="1">
        <f>C16-$D17*У!$C$41-H17</f>
        <v>80.47999999999999</v>
      </c>
      <c r="D17" s="1">
        <v>3</v>
      </c>
      <c r="E17" s="1">
        <v>32</v>
      </c>
      <c r="F17" s="1" t="str">
        <f>INDEX(У!A$2:D$41,$E17,1)</f>
        <v>ТАН-616F</v>
      </c>
      <c r="G17" s="1">
        <f>INDEX(У!B$2:C$41,$E17,1)</f>
        <v>2.5</v>
      </c>
      <c r="H17" s="1">
        <f>INDEX(У!C$2:D$41,$E17,1)</f>
        <v>3</v>
      </c>
      <c r="I17" s="1">
        <f>INDEX(У!D$2:E$41,$E17,1)</f>
        <v>16</v>
      </c>
      <c r="J17" s="2">
        <f t="shared" si="3"/>
        <v>69.199999999999989</v>
      </c>
      <c r="K17" s="2">
        <f t="shared" si="4"/>
        <v>67.899999999999991</v>
      </c>
      <c r="L17" s="12" t="str">
        <f t="shared" si="2"/>
        <v xml:space="preserve">67,9 69,2 </v>
      </c>
      <c r="M17" s="2">
        <v>1</v>
      </c>
    </row>
    <row r="18" spans="1:13" x14ac:dyDescent="0.25">
      <c r="L18" s="12" t="str">
        <f t="shared" si="2"/>
        <v xml:space="preserve">  </v>
      </c>
    </row>
    <row r="19" spans="1:13" x14ac:dyDescent="0.25">
      <c r="B19" s="1" t="s">
        <v>77</v>
      </c>
      <c r="C19" s="1" t="s">
        <v>77</v>
      </c>
      <c r="L19" s="11" t="str">
        <f t="shared" si="2"/>
        <v xml:space="preserve">  </v>
      </c>
    </row>
    <row r="20" spans="1:13" x14ac:dyDescent="0.25">
      <c r="B20" s="1">
        <f>3*9+25</f>
        <v>52</v>
      </c>
      <c r="C20" s="1">
        <f>3*9+25</f>
        <v>52</v>
      </c>
      <c r="L20" s="1" t="str">
        <f t="shared" si="2"/>
        <v xml:space="preserve">  </v>
      </c>
    </row>
    <row r="21" spans="1:13" x14ac:dyDescent="0.25">
      <c r="L21" s="1" t="str">
        <f t="shared" si="2"/>
        <v xml:space="preserve">  </v>
      </c>
    </row>
    <row r="22" spans="1:13" x14ac:dyDescent="0.25">
      <c r="L22" s="1" t="str">
        <f t="shared" si="2"/>
        <v xml:space="preserve">  </v>
      </c>
    </row>
    <row r="23" spans="1:13" x14ac:dyDescent="0.25">
      <c r="L23" s="1" t="str">
        <f t="shared" si="2"/>
        <v xml:space="preserve">  </v>
      </c>
    </row>
    <row r="24" spans="1:13" x14ac:dyDescent="0.25">
      <c r="L24" s="1" t="str">
        <f t="shared" si="2"/>
        <v xml:space="preserve">  </v>
      </c>
    </row>
    <row r="25" spans="1:13" x14ac:dyDescent="0.25">
      <c r="L25" s="1" t="str">
        <f t="shared" si="2"/>
        <v xml:space="preserve">  </v>
      </c>
    </row>
    <row r="26" spans="1:13" x14ac:dyDescent="0.25">
      <c r="L26" s="1" t="str">
        <f t="shared" si="2"/>
        <v xml:space="preserve">  </v>
      </c>
    </row>
    <row r="27" spans="1:13" x14ac:dyDescent="0.25">
      <c r="L27" s="1" t="str">
        <f t="shared" si="2"/>
        <v xml:space="preserve">  </v>
      </c>
    </row>
    <row r="28" spans="1:13" x14ac:dyDescent="0.25">
      <c r="L28" s="1" t="str">
        <f t="shared" si="2"/>
        <v xml:space="preserve">  </v>
      </c>
    </row>
    <row r="29" spans="1:13" x14ac:dyDescent="0.25">
      <c r="L29" s="1" t="str">
        <f t="shared" si="2"/>
        <v xml:space="preserve">  </v>
      </c>
    </row>
    <row r="30" spans="1:13" x14ac:dyDescent="0.25">
      <c r="L30" s="1" t="str">
        <f t="shared" si="2"/>
        <v xml:space="preserve">  </v>
      </c>
    </row>
    <row r="31" spans="1:13" x14ac:dyDescent="0.25">
      <c r="L31" s="1" t="str">
        <f t="shared" si="2"/>
        <v xml:space="preserve">  </v>
      </c>
    </row>
    <row r="32" spans="1:13" x14ac:dyDescent="0.25">
      <c r="L32" s="1" t="str">
        <f t="shared" si="2"/>
        <v xml:space="preserve">  </v>
      </c>
    </row>
    <row r="33" spans="12:12" x14ac:dyDescent="0.25">
      <c r="L33" s="1" t="str">
        <f t="shared" si="2"/>
        <v xml:space="preserve">  </v>
      </c>
    </row>
    <row r="34" spans="12:12" x14ac:dyDescent="0.25">
      <c r="L34" s="1" t="str">
        <f t="shared" si="2"/>
        <v xml:space="preserve">  </v>
      </c>
    </row>
    <row r="35" spans="12:12" x14ac:dyDescent="0.25">
      <c r="L35" s="1" t="str">
        <f t="shared" si="2"/>
        <v xml:space="preserve">  </v>
      </c>
    </row>
    <row r="36" spans="12:12" x14ac:dyDescent="0.25">
      <c r="L36" s="1" t="str">
        <f t="shared" si="2"/>
        <v xml:space="preserve">  </v>
      </c>
    </row>
    <row r="37" spans="12:12" x14ac:dyDescent="0.25">
      <c r="L37" s="1" t="str">
        <f t="shared" si="2"/>
        <v xml:space="preserve">  </v>
      </c>
    </row>
    <row r="38" spans="12:12" x14ac:dyDescent="0.25">
      <c r="L38" s="1" t="str">
        <f t="shared" si="2"/>
        <v xml:space="preserve">  </v>
      </c>
    </row>
    <row r="39" spans="12:12" x14ac:dyDescent="0.25">
      <c r="L39" s="1" t="str">
        <f t="shared" si="2"/>
        <v xml:space="preserve">  </v>
      </c>
    </row>
    <row r="40" spans="12:12" x14ac:dyDescent="0.25">
      <c r="L40" s="2" t="str">
        <f t="shared" si="2"/>
        <v xml:space="preserve">  </v>
      </c>
    </row>
    <row r="41" spans="12:12" x14ac:dyDescent="0.25">
      <c r="L41" s="2" t="str">
        <f t="shared" si="2"/>
        <v xml:space="preserve">  </v>
      </c>
    </row>
    <row r="42" spans="12:12" x14ac:dyDescent="0.25">
      <c r="L42" s="2" t="str">
        <f t="shared" si="2"/>
        <v xml:space="preserve">  </v>
      </c>
    </row>
    <row r="43" spans="12:12" x14ac:dyDescent="0.25">
      <c r="L43" s="2" t="str">
        <f t="shared" si="2"/>
        <v xml:space="preserve">  </v>
      </c>
    </row>
    <row r="44" spans="12:12" x14ac:dyDescent="0.25">
      <c r="L44" s="2" t="str">
        <f t="shared" si="2"/>
        <v xml:space="preserve">  </v>
      </c>
    </row>
    <row r="45" spans="12:12" x14ac:dyDescent="0.25">
      <c r="L45" s="2" t="str">
        <f t="shared" si="2"/>
        <v xml:space="preserve">  </v>
      </c>
    </row>
    <row r="46" spans="12:12" x14ac:dyDescent="0.25">
      <c r="L46" s="2" t="str">
        <f t="shared" si="2"/>
        <v xml:space="preserve">  </v>
      </c>
    </row>
    <row r="47" spans="12:12" x14ac:dyDescent="0.25">
      <c r="L47" s="2" t="str">
        <f t="shared" si="2"/>
        <v xml:space="preserve">  </v>
      </c>
    </row>
    <row r="48" spans="12:12" x14ac:dyDescent="0.25">
      <c r="L48" s="2" t="str">
        <f t="shared" si="2"/>
        <v xml:space="preserve">  </v>
      </c>
    </row>
    <row r="49" spans="12:12" x14ac:dyDescent="0.25">
      <c r="L49" s="2" t="str">
        <f t="shared" si="2"/>
        <v xml:space="preserve">  </v>
      </c>
    </row>
    <row r="50" spans="12:12" x14ac:dyDescent="0.25">
      <c r="L50" s="2" t="str">
        <f t="shared" si="2"/>
        <v xml:space="preserve">  </v>
      </c>
    </row>
    <row r="51" spans="12:12" x14ac:dyDescent="0.25">
      <c r="L51" s="2" t="str">
        <f t="shared" si="2"/>
        <v xml:space="preserve">  </v>
      </c>
    </row>
    <row r="52" spans="12:12" x14ac:dyDescent="0.25">
      <c r="L52" s="2" t="str">
        <f t="shared" si="2"/>
        <v xml:space="preserve">  </v>
      </c>
    </row>
    <row r="53" spans="12:12" x14ac:dyDescent="0.25">
      <c r="L53" s="2" t="str">
        <f t="shared" si="2"/>
        <v xml:space="preserve">  </v>
      </c>
    </row>
  </sheetData>
  <conditionalFormatting sqref="O6:O12">
    <cfRule type="cellIs" dxfId="2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10" zoomScaleNormal="100" workbookViewId="0">
      <selection activeCell="D33" sqref="D33"/>
    </sheetView>
  </sheetViews>
  <sheetFormatPr defaultRowHeight="15" x14ac:dyDescent="0.25"/>
  <cols>
    <col min="1" max="1" width="5.375" style="2" bestFit="1" customWidth="1"/>
    <col min="2" max="3" width="10.25" style="1" customWidth="1"/>
    <col min="4" max="4" width="8" style="1" customWidth="1"/>
    <col min="5" max="5" width="11.125" style="1" customWidth="1"/>
    <col min="6" max="6" width="11.125" style="1" bestFit="1" customWidth="1"/>
    <col min="7" max="9" width="9.125" style="1"/>
    <col min="10" max="12" width="9.125" style="2"/>
  </cols>
  <sheetData>
    <row r="1" spans="1:14" x14ac:dyDescent="0.25">
      <c r="B1" s="1" t="s">
        <v>50</v>
      </c>
      <c r="C1" s="1" t="s">
        <v>50</v>
      </c>
    </row>
    <row r="3" spans="1:14" ht="30" x14ac:dyDescent="0.25">
      <c r="A3" s="2" t="s">
        <v>27</v>
      </c>
      <c r="B3" s="4" t="s">
        <v>26</v>
      </c>
      <c r="C3" s="4" t="s">
        <v>26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23</v>
      </c>
      <c r="I3" s="3" t="s">
        <v>24</v>
      </c>
      <c r="J3" s="4" t="s">
        <v>25</v>
      </c>
      <c r="K3" s="4" t="s">
        <v>25</v>
      </c>
    </row>
    <row r="4" spans="1:14" ht="30" x14ac:dyDescent="0.25">
      <c r="B4" s="3" t="s">
        <v>49</v>
      </c>
      <c r="C4" s="3" t="s">
        <v>49</v>
      </c>
      <c r="D4" s="3"/>
      <c r="E4" s="3"/>
      <c r="F4" s="3"/>
      <c r="G4" s="3"/>
      <c r="H4" s="3"/>
      <c r="I4" s="3"/>
      <c r="J4" s="4">
        <v>1</v>
      </c>
      <c r="K4" s="4">
        <v>2</v>
      </c>
    </row>
    <row r="6" spans="1:14" ht="16.5" customHeight="1" x14ac:dyDescent="0.25">
      <c r="B6" s="6">
        <v>99</v>
      </c>
      <c r="C6" s="6">
        <v>99</v>
      </c>
    </row>
    <row r="7" spans="1:14" x14ac:dyDescent="0.25">
      <c r="A7" s="5">
        <v>1</v>
      </c>
      <c r="B7" s="1">
        <f>B6-$D7*У!$C$41-G7</f>
        <v>97.36</v>
      </c>
      <c r="C7" s="1">
        <f>C6-$D7*У!$C$41-H7</f>
        <v>97.16</v>
      </c>
      <c r="D7" s="1">
        <v>1</v>
      </c>
      <c r="E7" s="1">
        <v>29</v>
      </c>
      <c r="F7" s="1" t="str">
        <f>INDEX(У!A$2:D$41,$E7,1)</f>
        <v>ТАН-426F</v>
      </c>
      <c r="G7" s="1">
        <f>INDEX(У!B$2:C$41,$E7,1)</f>
        <v>1.5</v>
      </c>
      <c r="H7" s="1">
        <f>INDEX(У!C$2:D$41,$E7,1)</f>
        <v>1.7</v>
      </c>
      <c r="I7" s="1">
        <f>INDEX(У!D$2:E$41,$E7,1)</f>
        <v>26</v>
      </c>
      <c r="J7" s="2">
        <f>B6-I7</f>
        <v>73</v>
      </c>
      <c r="K7" s="2">
        <f>C6-I7</f>
        <v>73</v>
      </c>
      <c r="L7" s="2">
        <v>2</v>
      </c>
      <c r="M7" s="2" t="s">
        <v>7</v>
      </c>
      <c r="N7" s="2">
        <f>SUMIFS(L$6:L$24,F$6:F$24,M7)</f>
        <v>0</v>
      </c>
    </row>
    <row r="8" spans="1:14" x14ac:dyDescent="0.25">
      <c r="A8" s="5">
        <v>2</v>
      </c>
      <c r="B8" s="1">
        <f>B7-$D8*У!$C$41-G8</f>
        <v>95.44</v>
      </c>
      <c r="C8" s="1">
        <f>C7-$D8*У!$C$41-H8</f>
        <v>95.039999999999992</v>
      </c>
      <c r="D8" s="1">
        <v>3</v>
      </c>
      <c r="E8" s="1">
        <v>29</v>
      </c>
      <c r="F8" s="1" t="str">
        <f>INDEX(У!A$2:D$41,$E8,1)</f>
        <v>ТАН-426F</v>
      </c>
      <c r="G8" s="1">
        <f>INDEX(У!B$2:C$41,$E8,1)</f>
        <v>1.5</v>
      </c>
      <c r="H8" s="1">
        <f>INDEX(У!C$2:D$41,$E8,1)</f>
        <v>1.7</v>
      </c>
      <c r="I8" s="1">
        <f>INDEX(У!D$2:E$41,$E8,1)</f>
        <v>26</v>
      </c>
      <c r="J8" s="2">
        <f t="shared" ref="J8:J15" si="0">B7-I8</f>
        <v>71.36</v>
      </c>
      <c r="K8" s="2">
        <f t="shared" ref="K8:K15" si="1">C7-I8</f>
        <v>71.16</v>
      </c>
      <c r="L8" s="2">
        <v>2</v>
      </c>
      <c r="M8" s="2" t="s">
        <v>8</v>
      </c>
      <c r="N8" s="2">
        <f t="shared" ref="N8:N13" si="2">SUMIFS(L$6:L$24,F$6:F$24,M8)</f>
        <v>2</v>
      </c>
    </row>
    <row r="9" spans="1:14" x14ac:dyDescent="0.25">
      <c r="A9" s="5">
        <v>3</v>
      </c>
      <c r="B9" s="1">
        <f>B8-$D9*У!$C$41-G9</f>
        <v>93.52</v>
      </c>
      <c r="C9" s="1">
        <f>C8-$D9*У!$C$41-H9</f>
        <v>92.919999999999987</v>
      </c>
      <c r="D9" s="1">
        <v>3</v>
      </c>
      <c r="E9" s="1">
        <v>29</v>
      </c>
      <c r="F9" s="1" t="str">
        <f>INDEX(У!A$2:D$41,$E9,1)</f>
        <v>ТАН-426F</v>
      </c>
      <c r="G9" s="1">
        <f>INDEX(У!B$2:C$41,$E9,1)</f>
        <v>1.5</v>
      </c>
      <c r="H9" s="1">
        <f>INDEX(У!C$2:D$41,$E9,1)</f>
        <v>1.7</v>
      </c>
      <c r="I9" s="1">
        <f>INDEX(У!D$2:E$41,$E9,1)</f>
        <v>26</v>
      </c>
      <c r="J9" s="2">
        <f t="shared" si="0"/>
        <v>69.44</v>
      </c>
      <c r="K9" s="2">
        <f t="shared" si="1"/>
        <v>69.039999999999992</v>
      </c>
      <c r="L9" s="2">
        <v>2</v>
      </c>
      <c r="M9" s="2" t="s">
        <v>9</v>
      </c>
      <c r="N9" s="2">
        <f>SUMIFS(L$6:L$24,F$6:F$24,M9)</f>
        <v>2</v>
      </c>
    </row>
    <row r="10" spans="1:14" x14ac:dyDescent="0.25">
      <c r="A10" s="5">
        <v>4</v>
      </c>
      <c r="B10" s="1">
        <f>B9-$D10*У!$C$41-G10</f>
        <v>91.6</v>
      </c>
      <c r="C10" s="1">
        <f>C9-$D10*У!$C$41-H10</f>
        <v>90.799999999999983</v>
      </c>
      <c r="D10" s="1">
        <v>3</v>
      </c>
      <c r="E10" s="1">
        <v>28</v>
      </c>
      <c r="F10" s="1" t="str">
        <f>INDEX(У!A$2:D$41,$E10,1)</f>
        <v>ТАН-424F</v>
      </c>
      <c r="G10" s="1">
        <f>INDEX(У!B$2:C$41,$E10,1)</f>
        <v>1.5</v>
      </c>
      <c r="H10" s="1">
        <f>INDEX(У!C$2:D$41,$E10,1)</f>
        <v>1.7</v>
      </c>
      <c r="I10" s="1">
        <f>INDEX(У!D$2:E$41,$E10,1)</f>
        <v>24</v>
      </c>
      <c r="J10" s="2">
        <f t="shared" si="0"/>
        <v>69.52</v>
      </c>
      <c r="K10" s="2">
        <f t="shared" si="1"/>
        <v>68.919999999999987</v>
      </c>
      <c r="L10" s="2">
        <v>2</v>
      </c>
      <c r="M10" s="2" t="s">
        <v>10</v>
      </c>
      <c r="N10" s="2">
        <f t="shared" si="2"/>
        <v>2</v>
      </c>
    </row>
    <row r="11" spans="1:14" x14ac:dyDescent="0.25">
      <c r="A11" s="5">
        <v>5</v>
      </c>
      <c r="B11" s="1">
        <f>B10-$D11*У!$C$41-G11</f>
        <v>89.47999999999999</v>
      </c>
      <c r="C11" s="1">
        <f>C10-$D11*У!$C$41-H11</f>
        <v>88.379999999999981</v>
      </c>
      <c r="D11" s="1">
        <v>3</v>
      </c>
      <c r="E11" s="1">
        <v>27</v>
      </c>
      <c r="F11" s="1" t="str">
        <f>INDEX(У!A$2:D$41,$E11,1)</f>
        <v>ТАН-420F</v>
      </c>
      <c r="G11" s="1">
        <f>INDEX(У!B$2:C$41,$E11,1)</f>
        <v>1.7</v>
      </c>
      <c r="H11" s="1">
        <f>INDEX(У!C$2:D$41,$E11,1)</f>
        <v>2</v>
      </c>
      <c r="I11" s="1">
        <f>INDEX(У!D$2:E$41,$E11,1)</f>
        <v>20</v>
      </c>
      <c r="J11" s="2">
        <f t="shared" si="0"/>
        <v>71.599999999999994</v>
      </c>
      <c r="K11" s="2">
        <f t="shared" si="1"/>
        <v>70.799999999999983</v>
      </c>
      <c r="L11" s="2">
        <v>2</v>
      </c>
      <c r="M11" s="2" t="s">
        <v>11</v>
      </c>
      <c r="N11" s="2">
        <f t="shared" si="2"/>
        <v>8</v>
      </c>
    </row>
    <row r="12" spans="1:14" x14ac:dyDescent="0.25">
      <c r="A12" s="5">
        <v>6</v>
      </c>
      <c r="B12" s="1">
        <f>B11-$D12*У!$C$41-G12</f>
        <v>87.359999999999985</v>
      </c>
      <c r="C12" s="1">
        <f>C11-$D12*У!$C$41-H12</f>
        <v>85.95999999999998</v>
      </c>
      <c r="D12" s="1">
        <v>3</v>
      </c>
      <c r="E12" s="1">
        <v>27</v>
      </c>
      <c r="F12" s="1" t="str">
        <f>INDEX(У!A$2:D$41,$E12,1)</f>
        <v>ТАН-420F</v>
      </c>
      <c r="G12" s="1">
        <f>INDEX(У!B$2:C$41,$E12,1)</f>
        <v>1.7</v>
      </c>
      <c r="H12" s="1">
        <f>INDEX(У!C$2:D$41,$E12,1)</f>
        <v>2</v>
      </c>
      <c r="I12" s="1">
        <f>INDEX(У!D$2:E$41,$E12,1)</f>
        <v>20</v>
      </c>
      <c r="J12" s="2">
        <f t="shared" si="0"/>
        <v>69.47999999999999</v>
      </c>
      <c r="K12" s="2">
        <f t="shared" si="1"/>
        <v>68.379999999999981</v>
      </c>
      <c r="L12" s="2">
        <v>2</v>
      </c>
      <c r="M12" s="2" t="s">
        <v>12</v>
      </c>
      <c r="N12" s="2">
        <f t="shared" si="2"/>
        <v>4</v>
      </c>
    </row>
    <row r="13" spans="1:14" x14ac:dyDescent="0.25">
      <c r="A13" s="5">
        <v>7</v>
      </c>
      <c r="B13" s="1">
        <f>B12-$D13*У!$C$41-G13</f>
        <v>84.439999999999984</v>
      </c>
      <c r="C13" s="1">
        <f>C12-$D13*У!$C$41-H13</f>
        <v>82.539999999999978</v>
      </c>
      <c r="D13" s="1">
        <v>3</v>
      </c>
      <c r="E13" s="1">
        <v>26</v>
      </c>
      <c r="F13" s="1" t="str">
        <f>INDEX(У!A$2:D$41,$E13,1)</f>
        <v>ТАН-416F</v>
      </c>
      <c r="G13" s="1">
        <f>INDEX(У!B$2:C$41,$E13,1)</f>
        <v>2.5</v>
      </c>
      <c r="H13" s="1">
        <f>INDEX(У!C$2:D$41,$E13,1)</f>
        <v>3</v>
      </c>
      <c r="I13" s="1">
        <f>INDEX(У!D$2:E$41,$E13,1)</f>
        <v>16</v>
      </c>
      <c r="J13" s="2">
        <f t="shared" si="0"/>
        <v>71.359999999999985</v>
      </c>
      <c r="K13" s="2">
        <f t="shared" si="1"/>
        <v>69.95999999999998</v>
      </c>
      <c r="L13" s="2">
        <v>2</v>
      </c>
      <c r="M13" s="2" t="s">
        <v>6</v>
      </c>
      <c r="N13" s="2">
        <f t="shared" si="2"/>
        <v>0</v>
      </c>
    </row>
    <row r="14" spans="1:14" x14ac:dyDescent="0.25">
      <c r="A14" s="5">
        <v>8</v>
      </c>
      <c r="B14" s="1">
        <f>B13-$D14*У!$C$41-G14</f>
        <v>81.019999999999982</v>
      </c>
      <c r="C14" s="1">
        <f>C13-$D14*У!$C$41-H14</f>
        <v>78.619999999999976</v>
      </c>
      <c r="D14" s="1">
        <v>3</v>
      </c>
      <c r="E14" s="1">
        <v>25</v>
      </c>
      <c r="F14" s="1" t="str">
        <f>INDEX(У!A$2:D$41,$E14,1)</f>
        <v>ТАН-414F</v>
      </c>
      <c r="G14" s="1">
        <f>INDEX(У!B$2:C$41,$E14,1)</f>
        <v>3</v>
      </c>
      <c r="H14" s="1">
        <f>INDEX(У!C$2:D$41,$E14,1)</f>
        <v>3.5</v>
      </c>
      <c r="I14" s="1">
        <f>INDEX(У!D$2:E$41,$E14,1)</f>
        <v>14</v>
      </c>
      <c r="J14" s="2">
        <f t="shared" si="0"/>
        <v>70.439999999999984</v>
      </c>
      <c r="K14" s="2">
        <f t="shared" si="1"/>
        <v>68.539999999999978</v>
      </c>
      <c r="L14" s="2">
        <v>2</v>
      </c>
    </row>
    <row r="15" spans="1:14" x14ac:dyDescent="0.25">
      <c r="A15" s="5">
        <v>9</v>
      </c>
      <c r="B15" s="1">
        <f>B14-$D15*У!$C$41-G15</f>
        <v>76.59999999999998</v>
      </c>
      <c r="C15" s="1">
        <f>C14-$D15*У!$C$41-H15</f>
        <v>73.699999999999974</v>
      </c>
      <c r="D15" s="1">
        <v>3</v>
      </c>
      <c r="E15" s="1">
        <v>24</v>
      </c>
      <c r="F15" s="1" t="str">
        <f>INDEX(У!A$2:D$41,$E15,1)</f>
        <v>ТАН-412F</v>
      </c>
      <c r="G15" s="1">
        <f>INDEX(У!B$2:C$41,$E15,1)</f>
        <v>4</v>
      </c>
      <c r="H15" s="1">
        <f>INDEX(У!C$2:D$41,$E15,1)</f>
        <v>4.5</v>
      </c>
      <c r="I15" s="1">
        <f>INDEX(У!D$2:E$41,$E15,1)</f>
        <v>12</v>
      </c>
      <c r="J15" s="2">
        <f t="shared" si="0"/>
        <v>69.019999999999982</v>
      </c>
      <c r="K15" s="2">
        <f t="shared" si="1"/>
        <v>66.619999999999976</v>
      </c>
      <c r="L15" s="2">
        <v>2</v>
      </c>
    </row>
    <row r="18" spans="1:14" ht="16.5" customHeight="1" x14ac:dyDescent="0.25">
      <c r="B18" s="6">
        <v>99</v>
      </c>
      <c r="C18" s="6">
        <v>99</v>
      </c>
    </row>
    <row r="19" spans="1:14" x14ac:dyDescent="0.25">
      <c r="A19" s="5">
        <v>1</v>
      </c>
      <c r="B19" s="1">
        <f>B18-$D19*У!$C$41-G19</f>
        <v>97.36</v>
      </c>
      <c r="C19" s="1">
        <f>C18-$D19*У!$C$41-H19</f>
        <v>97.16</v>
      </c>
      <c r="D19" s="1">
        <v>1</v>
      </c>
      <c r="E19" s="1">
        <v>29</v>
      </c>
      <c r="F19" s="1" t="str">
        <f>INDEX(У!A$2:D$41,$E19,1)</f>
        <v>ТАН-426F</v>
      </c>
      <c r="G19" s="1">
        <f>INDEX(У!B$2:C$41,$E19,1)</f>
        <v>1.5</v>
      </c>
      <c r="H19" s="1">
        <f>INDEX(У!C$2:D$41,$E19,1)</f>
        <v>1.7</v>
      </c>
      <c r="I19" s="1">
        <f>INDEX(У!D$2:E$41,$E19,1)</f>
        <v>26</v>
      </c>
      <c r="J19" s="2">
        <f>B18-I19</f>
        <v>73</v>
      </c>
      <c r="K19" s="2">
        <f>C18-I19</f>
        <v>73</v>
      </c>
      <c r="L19" s="2">
        <v>2</v>
      </c>
      <c r="M19" s="2" t="s">
        <v>7</v>
      </c>
      <c r="N19" s="2">
        <f>SUMIFS(L$6:L$24,F$6:F$24,M19)</f>
        <v>0</v>
      </c>
    </row>
    <row r="20" spans="1:14" x14ac:dyDescent="0.25">
      <c r="A20" s="5">
        <v>2</v>
      </c>
      <c r="B20" s="1">
        <f>B19-$D20*У!$C$41-G20</f>
        <v>95.44</v>
      </c>
      <c r="C20" s="1">
        <f>C19-$D20*У!$C$41-H20</f>
        <v>95.039999999999992</v>
      </c>
      <c r="D20" s="1">
        <v>3</v>
      </c>
      <c r="E20" s="1">
        <v>29</v>
      </c>
      <c r="F20" s="1" t="str">
        <f>INDEX(У!A$2:D$41,$E20,1)</f>
        <v>ТАН-426F</v>
      </c>
      <c r="G20" s="1">
        <f>INDEX(У!B$2:C$41,$E20,1)</f>
        <v>1.5</v>
      </c>
      <c r="H20" s="1">
        <f>INDEX(У!C$2:D$41,$E20,1)</f>
        <v>1.7</v>
      </c>
      <c r="I20" s="1">
        <f>INDEX(У!D$2:E$41,$E20,1)</f>
        <v>26</v>
      </c>
      <c r="J20" s="2">
        <f t="shared" ref="J20:J27" si="3">B19-I20</f>
        <v>71.36</v>
      </c>
      <c r="K20" s="2">
        <f t="shared" ref="K20:K27" si="4">C19-I20</f>
        <v>71.16</v>
      </c>
      <c r="L20" s="2">
        <v>2</v>
      </c>
      <c r="M20" s="2" t="s">
        <v>8</v>
      </c>
      <c r="N20" s="2">
        <f t="shared" ref="N20" si="5">SUMIFS(L$6:L$24,F$6:F$24,M20)</f>
        <v>2</v>
      </c>
    </row>
    <row r="21" spans="1:14" x14ac:dyDescent="0.25">
      <c r="A21" s="5">
        <v>3</v>
      </c>
      <c r="B21" s="1">
        <f>B20-$D21*У!$C$41-G21</f>
        <v>93.52</v>
      </c>
      <c r="C21" s="1">
        <f>C20-$D21*У!$C$41-H21</f>
        <v>92.919999999999987</v>
      </c>
      <c r="D21" s="1">
        <v>3</v>
      </c>
      <c r="E21" s="1">
        <v>29</v>
      </c>
      <c r="F21" s="1" t="str">
        <f>INDEX(У!A$2:D$41,$E21,1)</f>
        <v>ТАН-426F</v>
      </c>
      <c r="G21" s="1">
        <f>INDEX(У!B$2:C$41,$E21,1)</f>
        <v>1.5</v>
      </c>
      <c r="H21" s="1">
        <f>INDEX(У!C$2:D$41,$E21,1)</f>
        <v>1.7</v>
      </c>
      <c r="I21" s="1">
        <f>INDEX(У!D$2:E$41,$E21,1)</f>
        <v>26</v>
      </c>
      <c r="J21" s="2">
        <f t="shared" si="3"/>
        <v>69.44</v>
      </c>
      <c r="K21" s="2">
        <f t="shared" si="4"/>
        <v>69.039999999999992</v>
      </c>
      <c r="L21" s="2">
        <v>2</v>
      </c>
      <c r="M21" s="2" t="s">
        <v>9</v>
      </c>
      <c r="N21" s="2">
        <f>SUMIFS(L$6:L$24,F$6:F$24,M21)</f>
        <v>2</v>
      </c>
    </row>
    <row r="22" spans="1:14" x14ac:dyDescent="0.25">
      <c r="A22" s="5">
        <v>4</v>
      </c>
      <c r="B22" s="1">
        <f>B21-$D22*У!$C$41-G22</f>
        <v>91.6</v>
      </c>
      <c r="C22" s="1">
        <f>C21-$D22*У!$C$41-H22</f>
        <v>90.799999999999983</v>
      </c>
      <c r="D22" s="1">
        <v>3</v>
      </c>
      <c r="E22" s="1">
        <v>28</v>
      </c>
      <c r="F22" s="1" t="str">
        <f>INDEX(У!A$2:D$41,$E22,1)</f>
        <v>ТАН-424F</v>
      </c>
      <c r="G22" s="1">
        <f>INDEX(У!B$2:C$41,$E22,1)</f>
        <v>1.5</v>
      </c>
      <c r="H22" s="1">
        <f>INDEX(У!C$2:D$41,$E22,1)</f>
        <v>1.7</v>
      </c>
      <c r="I22" s="1">
        <f>INDEX(У!D$2:E$41,$E22,1)</f>
        <v>24</v>
      </c>
      <c r="J22" s="2">
        <f t="shared" si="3"/>
        <v>69.52</v>
      </c>
      <c r="K22" s="2">
        <f t="shared" si="4"/>
        <v>68.919999999999987</v>
      </c>
      <c r="L22" s="2">
        <v>2</v>
      </c>
      <c r="M22" s="2" t="s">
        <v>10</v>
      </c>
      <c r="N22" s="2">
        <f t="shared" ref="N22:N25" si="6">SUMIFS(L$6:L$24,F$6:F$24,M22)</f>
        <v>2</v>
      </c>
    </row>
    <row r="23" spans="1:14" x14ac:dyDescent="0.25">
      <c r="A23" s="5">
        <v>5</v>
      </c>
      <c r="B23" s="1">
        <f>B22-$D23*У!$C$41-G23</f>
        <v>89.47999999999999</v>
      </c>
      <c r="C23" s="1">
        <f>C22-$D23*У!$C$41-H23</f>
        <v>88.379999999999981</v>
      </c>
      <c r="D23" s="1">
        <v>3</v>
      </c>
      <c r="E23" s="1">
        <v>27</v>
      </c>
      <c r="F23" s="1" t="str">
        <f>INDEX(У!A$2:D$41,$E23,1)</f>
        <v>ТАН-420F</v>
      </c>
      <c r="G23" s="1">
        <f>INDEX(У!B$2:C$41,$E23,1)</f>
        <v>1.7</v>
      </c>
      <c r="H23" s="1">
        <f>INDEX(У!C$2:D$41,$E23,1)</f>
        <v>2</v>
      </c>
      <c r="I23" s="1">
        <f>INDEX(У!D$2:E$41,$E23,1)</f>
        <v>20</v>
      </c>
      <c r="J23" s="2">
        <f t="shared" si="3"/>
        <v>71.599999999999994</v>
      </c>
      <c r="K23" s="2">
        <f t="shared" si="4"/>
        <v>70.799999999999983</v>
      </c>
      <c r="L23" s="2">
        <v>2</v>
      </c>
      <c r="M23" s="2" t="s">
        <v>11</v>
      </c>
      <c r="N23" s="2">
        <f t="shared" si="6"/>
        <v>8</v>
      </c>
    </row>
    <row r="24" spans="1:14" x14ac:dyDescent="0.25">
      <c r="A24" s="5">
        <v>6</v>
      </c>
      <c r="B24" s="1">
        <f>B23-$D24*У!$C$41-G24</f>
        <v>87.359999999999985</v>
      </c>
      <c r="C24" s="1">
        <f>C23-$D24*У!$C$41-H24</f>
        <v>85.95999999999998</v>
      </c>
      <c r="D24" s="1">
        <v>3</v>
      </c>
      <c r="E24" s="1">
        <v>27</v>
      </c>
      <c r="F24" s="1" t="str">
        <f>INDEX(У!A$2:D$41,$E24,1)</f>
        <v>ТАН-420F</v>
      </c>
      <c r="G24" s="1">
        <f>INDEX(У!B$2:C$41,$E24,1)</f>
        <v>1.7</v>
      </c>
      <c r="H24" s="1">
        <f>INDEX(У!C$2:D$41,$E24,1)</f>
        <v>2</v>
      </c>
      <c r="I24" s="1">
        <f>INDEX(У!D$2:E$41,$E24,1)</f>
        <v>20</v>
      </c>
      <c r="J24" s="2">
        <f t="shared" si="3"/>
        <v>69.47999999999999</v>
      </c>
      <c r="K24" s="2">
        <f t="shared" si="4"/>
        <v>68.379999999999981</v>
      </c>
      <c r="L24" s="2">
        <v>2</v>
      </c>
      <c r="M24" s="2" t="s">
        <v>12</v>
      </c>
      <c r="N24" s="2">
        <f t="shared" si="6"/>
        <v>4</v>
      </c>
    </row>
    <row r="25" spans="1:14" x14ac:dyDescent="0.25">
      <c r="A25" s="5">
        <v>7</v>
      </c>
      <c r="B25" s="1">
        <f>B24-$D25*У!$C$41-G25</f>
        <v>84.439999999999984</v>
      </c>
      <c r="C25" s="1">
        <f>C24-$D25*У!$C$41-H25</f>
        <v>82.539999999999978</v>
      </c>
      <c r="D25" s="1">
        <v>3</v>
      </c>
      <c r="E25" s="1">
        <v>26</v>
      </c>
      <c r="F25" s="1" t="str">
        <f>INDEX(У!A$2:D$41,$E25,1)</f>
        <v>ТАН-416F</v>
      </c>
      <c r="G25" s="1">
        <f>INDEX(У!B$2:C$41,$E25,1)</f>
        <v>2.5</v>
      </c>
      <c r="H25" s="1">
        <f>INDEX(У!C$2:D$41,$E25,1)</f>
        <v>3</v>
      </c>
      <c r="I25" s="1">
        <f>INDEX(У!D$2:E$41,$E25,1)</f>
        <v>16</v>
      </c>
      <c r="J25" s="2">
        <f t="shared" si="3"/>
        <v>71.359999999999985</v>
      </c>
      <c r="K25" s="2">
        <f t="shared" si="4"/>
        <v>69.95999999999998</v>
      </c>
      <c r="L25" s="2">
        <v>2</v>
      </c>
      <c r="M25" s="2" t="s">
        <v>6</v>
      </c>
      <c r="N25" s="2">
        <f t="shared" si="6"/>
        <v>0</v>
      </c>
    </row>
    <row r="26" spans="1:14" x14ac:dyDescent="0.25">
      <c r="A26" s="5">
        <v>8</v>
      </c>
      <c r="B26" s="1">
        <f>B25-$D26*У!$C$41-G26</f>
        <v>81.019999999999982</v>
      </c>
      <c r="C26" s="1">
        <f>C25-$D26*У!$C$41-H26</f>
        <v>78.619999999999976</v>
      </c>
      <c r="D26" s="1">
        <v>3</v>
      </c>
      <c r="E26" s="1">
        <v>25</v>
      </c>
      <c r="F26" s="1" t="str">
        <f>INDEX(У!A$2:D$41,$E26,1)</f>
        <v>ТАН-414F</v>
      </c>
      <c r="G26" s="1">
        <f>INDEX(У!B$2:C$41,$E26,1)</f>
        <v>3</v>
      </c>
      <c r="H26" s="1">
        <f>INDEX(У!C$2:D$41,$E26,1)</f>
        <v>3.5</v>
      </c>
      <c r="I26" s="1">
        <f>INDEX(У!D$2:E$41,$E26,1)</f>
        <v>14</v>
      </c>
      <c r="J26" s="2">
        <f t="shared" si="3"/>
        <v>70.439999999999984</v>
      </c>
      <c r="K26" s="2">
        <f t="shared" si="4"/>
        <v>68.539999999999978</v>
      </c>
      <c r="L26" s="2">
        <v>2</v>
      </c>
    </row>
    <row r="27" spans="1:14" x14ac:dyDescent="0.25">
      <c r="A27" s="5">
        <v>9</v>
      </c>
      <c r="B27" s="1">
        <f>B26-$D27*У!$C$41-G27</f>
        <v>76.59999999999998</v>
      </c>
      <c r="C27" s="1">
        <f>C26-$D27*У!$C$41-H27</f>
        <v>73.699999999999974</v>
      </c>
      <c r="D27" s="1">
        <v>3</v>
      </c>
      <c r="E27" s="1">
        <v>24</v>
      </c>
      <c r="F27" s="1" t="str">
        <f>INDEX(У!A$2:D$41,$E27,1)</f>
        <v>ТАН-412F</v>
      </c>
      <c r="G27" s="1">
        <f>INDEX(У!B$2:C$41,$E27,1)</f>
        <v>4</v>
      </c>
      <c r="H27" s="1">
        <f>INDEX(У!C$2:D$41,$E27,1)</f>
        <v>4.5</v>
      </c>
      <c r="I27" s="1">
        <f>INDEX(У!D$2:E$41,$E27,1)</f>
        <v>12</v>
      </c>
      <c r="J27" s="2">
        <f t="shared" si="3"/>
        <v>69.019999999999982</v>
      </c>
      <c r="K27" s="2">
        <f t="shared" si="4"/>
        <v>66.619999999999976</v>
      </c>
      <c r="L27" s="2">
        <v>2</v>
      </c>
    </row>
    <row r="30" spans="1:14" x14ac:dyDescent="0.25">
      <c r="A30" s="23" t="s">
        <v>84</v>
      </c>
    </row>
    <row r="32" spans="1:14" x14ac:dyDescent="0.25">
      <c r="B32" s="6">
        <v>99</v>
      </c>
      <c r="C32" s="6">
        <v>99</v>
      </c>
    </row>
    <row r="33" spans="1:14" x14ac:dyDescent="0.25">
      <c r="A33" s="2">
        <v>9</v>
      </c>
      <c r="B33" s="1">
        <f>B32-$D33*У!$C$41-G33</f>
        <v>97.36</v>
      </c>
      <c r="C33" s="1">
        <f>C32-$D33*У!$C$41-H33</f>
        <v>97.16</v>
      </c>
      <c r="D33" s="1">
        <v>1</v>
      </c>
      <c r="E33" s="1">
        <v>28</v>
      </c>
      <c r="F33" s="1" t="s">
        <v>12</v>
      </c>
      <c r="G33" s="1">
        <v>1.5</v>
      </c>
      <c r="H33" s="1">
        <v>1.7</v>
      </c>
      <c r="I33" s="1">
        <v>24</v>
      </c>
      <c r="J33" s="2">
        <v>75</v>
      </c>
      <c r="K33" s="2">
        <v>75</v>
      </c>
      <c r="L33" s="2">
        <v>2</v>
      </c>
      <c r="M33" t="s">
        <v>7</v>
      </c>
      <c r="N33" s="2">
        <f>SUMIFS(L$33:L$41,F$33:F$41,M33)</f>
        <v>2</v>
      </c>
    </row>
    <row r="34" spans="1:14" x14ac:dyDescent="0.25">
      <c r="A34" s="2">
        <v>8</v>
      </c>
      <c r="B34" s="1">
        <f>B33-$D34*У!$C$41-G34</f>
        <v>95.44</v>
      </c>
      <c r="C34" s="1">
        <f>C33-$D34*У!$C$41-H34</f>
        <v>95.039999999999992</v>
      </c>
      <c r="D34" s="1">
        <v>3</v>
      </c>
      <c r="E34" s="1">
        <v>28</v>
      </c>
      <c r="F34" s="1" t="s">
        <v>12</v>
      </c>
      <c r="G34" s="1">
        <v>1.5</v>
      </c>
      <c r="H34" s="1">
        <v>1.7</v>
      </c>
      <c r="I34" s="1">
        <v>24</v>
      </c>
      <c r="J34" s="2">
        <v>73.400000000000006</v>
      </c>
      <c r="K34" s="2">
        <v>73.2</v>
      </c>
      <c r="L34" s="2">
        <v>2</v>
      </c>
      <c r="M34" t="s">
        <v>8</v>
      </c>
      <c r="N34" s="2">
        <f t="shared" ref="N34:N39" si="7">SUMIFS(L$33:L$41,F$33:F$41,M34)</f>
        <v>0</v>
      </c>
    </row>
    <row r="35" spans="1:14" x14ac:dyDescent="0.25">
      <c r="A35" s="2">
        <v>7</v>
      </c>
      <c r="B35" s="1">
        <f>B34-$D35*У!$C$41-G35</f>
        <v>93.52</v>
      </c>
      <c r="C35" s="1">
        <f>C34-$D35*У!$C$41-H35</f>
        <v>92.919999999999987</v>
      </c>
      <c r="D35" s="1">
        <v>3</v>
      </c>
      <c r="E35" s="1">
        <v>28</v>
      </c>
      <c r="F35" s="1" t="s">
        <v>12</v>
      </c>
      <c r="G35" s="1">
        <v>1.5</v>
      </c>
      <c r="H35" s="1">
        <v>1.7</v>
      </c>
      <c r="I35" s="1">
        <v>24</v>
      </c>
      <c r="J35" s="2">
        <v>71.599999999999994</v>
      </c>
      <c r="K35" s="2">
        <v>71.2</v>
      </c>
      <c r="L35" s="2">
        <v>2</v>
      </c>
      <c r="M35" t="s">
        <v>9</v>
      </c>
      <c r="N35" s="2">
        <f t="shared" si="7"/>
        <v>2</v>
      </c>
    </row>
    <row r="36" spans="1:14" x14ac:dyDescent="0.25">
      <c r="A36" s="2">
        <v>6</v>
      </c>
      <c r="B36" s="1">
        <f>B35-$D36*У!$C$41-G36</f>
        <v>91.6</v>
      </c>
      <c r="C36" s="1">
        <f>C35-$D36*У!$C$41-H36</f>
        <v>90.799999999999983</v>
      </c>
      <c r="D36" s="1">
        <v>3</v>
      </c>
      <c r="E36" s="1">
        <v>28</v>
      </c>
      <c r="F36" s="1" t="s">
        <v>12</v>
      </c>
      <c r="G36" s="1">
        <v>1.5</v>
      </c>
      <c r="H36" s="1">
        <v>1.7</v>
      </c>
      <c r="I36" s="1">
        <v>24</v>
      </c>
      <c r="J36" s="2">
        <v>69.8</v>
      </c>
      <c r="K36" s="2">
        <v>69.2</v>
      </c>
      <c r="L36" s="2">
        <v>2</v>
      </c>
      <c r="M36" t="s">
        <v>10</v>
      </c>
      <c r="N36" s="2">
        <f t="shared" si="7"/>
        <v>2</v>
      </c>
    </row>
    <row r="37" spans="1:14" x14ac:dyDescent="0.25">
      <c r="A37" s="2">
        <v>5</v>
      </c>
      <c r="B37" s="1">
        <f>B36-$D37*У!$C$41-G37</f>
        <v>89.47999999999999</v>
      </c>
      <c r="C37" s="1">
        <f>C36-$D37*У!$C$41-H37</f>
        <v>88.379999999999981</v>
      </c>
      <c r="D37" s="1">
        <v>3</v>
      </c>
      <c r="E37" s="1">
        <v>27</v>
      </c>
      <c r="F37" s="1" t="s">
        <v>11</v>
      </c>
      <c r="G37" s="1">
        <v>1.7</v>
      </c>
      <c r="H37" s="1">
        <v>2</v>
      </c>
      <c r="I37" s="1">
        <v>20</v>
      </c>
      <c r="J37" s="2">
        <v>72</v>
      </c>
      <c r="K37" s="2">
        <v>71.2</v>
      </c>
      <c r="L37" s="2">
        <v>2</v>
      </c>
      <c r="M37" t="s">
        <v>11</v>
      </c>
      <c r="N37" s="2">
        <f t="shared" si="7"/>
        <v>4</v>
      </c>
    </row>
    <row r="38" spans="1:14" x14ac:dyDescent="0.25">
      <c r="A38" s="2">
        <v>4</v>
      </c>
      <c r="B38" s="1">
        <f>B37-$D38*У!$C$41-G38</f>
        <v>87.359999999999985</v>
      </c>
      <c r="C38" s="1">
        <f>C37-$D38*У!$C$41-H38</f>
        <v>85.95999999999998</v>
      </c>
      <c r="D38" s="1">
        <v>3</v>
      </c>
      <c r="E38" s="1">
        <v>27</v>
      </c>
      <c r="F38" s="1" t="s">
        <v>11</v>
      </c>
      <c r="G38" s="1">
        <v>1.7</v>
      </c>
      <c r="H38" s="1">
        <v>2</v>
      </c>
      <c r="I38" s="1">
        <v>20</v>
      </c>
      <c r="J38" s="2">
        <v>70</v>
      </c>
      <c r="K38" s="2">
        <v>68.900000000000006</v>
      </c>
      <c r="L38" s="2">
        <v>2</v>
      </c>
      <c r="M38" t="s">
        <v>12</v>
      </c>
      <c r="N38" s="2">
        <f t="shared" si="7"/>
        <v>8</v>
      </c>
    </row>
    <row r="39" spans="1:14" x14ac:dyDescent="0.25">
      <c r="A39" s="2">
        <v>3</v>
      </c>
      <c r="B39" s="1">
        <f>B38-$D39*У!$C$41-G39</f>
        <v>84.439999999999984</v>
      </c>
      <c r="C39" s="1">
        <f>C38-$D39*У!$C$41-H39</f>
        <v>82.539999999999978</v>
      </c>
      <c r="D39" s="1">
        <v>3</v>
      </c>
      <c r="E39" s="1">
        <v>26</v>
      </c>
      <c r="F39" s="1" t="s">
        <v>10</v>
      </c>
      <c r="G39" s="1">
        <v>2.5</v>
      </c>
      <c r="H39" s="1">
        <v>3</v>
      </c>
      <c r="I39" s="1">
        <v>16</v>
      </c>
      <c r="J39" s="2">
        <v>72</v>
      </c>
      <c r="K39" s="2">
        <v>70.599999999999994</v>
      </c>
      <c r="L39" s="2">
        <v>2</v>
      </c>
      <c r="M39" t="s">
        <v>6</v>
      </c>
      <c r="N39" s="2">
        <f t="shared" si="7"/>
        <v>0</v>
      </c>
    </row>
    <row r="40" spans="1:14" x14ac:dyDescent="0.25">
      <c r="A40" s="2">
        <v>2</v>
      </c>
      <c r="B40" s="1">
        <f>B39-$D40*У!$C$41-G40</f>
        <v>81.019999999999982</v>
      </c>
      <c r="C40" s="1">
        <f>C39-$D40*У!$C$41-H40</f>
        <v>78.619999999999976</v>
      </c>
      <c r="D40" s="1">
        <v>3</v>
      </c>
      <c r="E40" s="1">
        <v>25</v>
      </c>
      <c r="F40" s="1" t="s">
        <v>9</v>
      </c>
      <c r="G40" s="1">
        <v>3</v>
      </c>
      <c r="H40" s="1">
        <v>3.5</v>
      </c>
      <c r="I40" s="1">
        <v>14</v>
      </c>
      <c r="J40" s="2">
        <v>71.2</v>
      </c>
      <c r="K40" s="2">
        <v>69.3</v>
      </c>
      <c r="L40" s="2">
        <v>2</v>
      </c>
      <c r="N40" s="2"/>
    </row>
    <row r="41" spans="1:14" x14ac:dyDescent="0.25">
      <c r="A41" s="2">
        <v>1</v>
      </c>
      <c r="B41" s="1">
        <f>B40-$D41*У!$C$41-G41</f>
        <v>76.59999999999998</v>
      </c>
      <c r="C41" s="1">
        <f>C40-$D41*У!$C$41-H41</f>
        <v>73.199999999999974</v>
      </c>
      <c r="D41" s="1">
        <v>3</v>
      </c>
      <c r="E41" s="1">
        <v>23</v>
      </c>
      <c r="F41" s="1" t="s">
        <v>7</v>
      </c>
      <c r="G41" s="1">
        <v>4</v>
      </c>
      <c r="H41" s="1">
        <v>5</v>
      </c>
      <c r="I41" s="1">
        <v>10</v>
      </c>
      <c r="J41" s="2">
        <v>71.900000000000006</v>
      </c>
      <c r="K41" s="2">
        <v>69.5</v>
      </c>
      <c r="L41" s="2">
        <v>2</v>
      </c>
      <c r="N41" s="2"/>
    </row>
  </sheetData>
  <conditionalFormatting sqref="N7:N13">
    <cfRule type="cellIs" dxfId="24" priority="4" operator="greaterThan">
      <formula>0</formula>
    </cfRule>
  </conditionalFormatting>
  <conditionalFormatting sqref="N19:N25">
    <cfRule type="cellIs" dxfId="23" priority="3" operator="greaterThan">
      <formula>0</formula>
    </cfRule>
  </conditionalFormatting>
  <conditionalFormatting sqref="N33:N41">
    <cfRule type="cellIs" dxfId="2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130" zoomScaleNormal="130" workbookViewId="0">
      <selection activeCell="H10" sqref="H10"/>
    </sheetView>
  </sheetViews>
  <sheetFormatPr defaultRowHeight="15" x14ac:dyDescent="0.25"/>
  <cols>
    <col min="1" max="1" width="5.375" style="2" bestFit="1" customWidth="1"/>
    <col min="2" max="3" width="7.75" style="1" bestFit="1" customWidth="1"/>
    <col min="4" max="4" width="8" style="1" customWidth="1"/>
    <col min="5" max="5" width="11.125" style="1" customWidth="1"/>
    <col min="6" max="6" width="11.125" style="1" bestFit="1" customWidth="1"/>
    <col min="7" max="9" width="9.125" style="1"/>
    <col min="10" max="11" width="7.375" style="2" bestFit="1" customWidth="1"/>
    <col min="12" max="12" width="11.375" style="2" customWidth="1"/>
  </cols>
  <sheetData>
    <row r="1" spans="1:15" x14ac:dyDescent="0.25">
      <c r="B1" s="1" t="s">
        <v>50</v>
      </c>
      <c r="C1" s="1" t="s">
        <v>50</v>
      </c>
    </row>
    <row r="3" spans="1:15" ht="30" x14ac:dyDescent="0.25">
      <c r="A3" s="2" t="s">
        <v>27</v>
      </c>
      <c r="B3" s="4" t="s">
        <v>26</v>
      </c>
      <c r="C3" s="4" t="s">
        <v>26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23</v>
      </c>
      <c r="I3" s="3" t="s">
        <v>24</v>
      </c>
      <c r="J3" s="4" t="s">
        <v>25</v>
      </c>
      <c r="K3" s="4" t="s">
        <v>25</v>
      </c>
      <c r="L3" s="2" t="s">
        <v>81</v>
      </c>
    </row>
    <row r="4" spans="1:15" x14ac:dyDescent="0.25">
      <c r="B4" s="3"/>
      <c r="C4" s="3"/>
      <c r="D4" s="3"/>
      <c r="E4" s="3"/>
      <c r="F4" s="3"/>
      <c r="G4" s="3"/>
      <c r="H4" s="3"/>
      <c r="I4" s="3"/>
      <c r="J4" s="4">
        <v>1</v>
      </c>
      <c r="K4" s="4">
        <v>2</v>
      </c>
      <c r="L4" s="12"/>
    </row>
    <row r="5" spans="1:15" x14ac:dyDescent="0.25">
      <c r="B5" s="6">
        <v>96</v>
      </c>
      <c r="C5" s="6">
        <v>96</v>
      </c>
      <c r="L5" s="12"/>
    </row>
    <row r="6" spans="1:15" x14ac:dyDescent="0.25">
      <c r="A6" s="5">
        <v>2</v>
      </c>
      <c r="B6" s="1">
        <f>B5-$D6*У!$C$41-G6</f>
        <v>94.5</v>
      </c>
      <c r="C6" s="1">
        <f>C5-$D6*У!$C$41-H6</f>
        <v>94.3</v>
      </c>
      <c r="D6" s="1">
        <v>0</v>
      </c>
      <c r="E6" s="1">
        <v>34</v>
      </c>
      <c r="F6" s="1" t="str">
        <f>INDEX(У!A$2:D$41,$E6,1)</f>
        <v>ТАН-624F</v>
      </c>
      <c r="G6" s="1">
        <f>INDEX(У!B$2:C$41,$E6,1)</f>
        <v>1.5</v>
      </c>
      <c r="H6" s="1">
        <f>INDEX(У!C$2:D$41,$E6,1)</f>
        <v>1.7</v>
      </c>
      <c r="I6" s="1">
        <f>INDEX(У!D$2:E$41,$E6,1)</f>
        <v>24</v>
      </c>
      <c r="J6" s="2">
        <f>B5-I6</f>
        <v>72</v>
      </c>
      <c r="K6" s="2">
        <f>C5-I6</f>
        <v>72</v>
      </c>
      <c r="L6" s="12" t="str">
        <f>CONCATENATE(K6," ",J6," ")</f>
        <v xml:space="preserve">72 72 </v>
      </c>
      <c r="M6" s="1">
        <v>1</v>
      </c>
      <c r="N6" s="2" t="s">
        <v>10</v>
      </c>
      <c r="O6" s="2">
        <f>SUMIFS(M$6:M$30,F$6:F$30,N6)</f>
        <v>1</v>
      </c>
    </row>
    <row r="7" spans="1:15" x14ac:dyDescent="0.25">
      <c r="A7" s="5">
        <v>3</v>
      </c>
      <c r="B7" s="1">
        <f>B6-$D7*У!$C$41-G7</f>
        <v>92.58</v>
      </c>
      <c r="C7" s="1">
        <f>C6-$D7*У!$C$41-H7</f>
        <v>92.179999999999993</v>
      </c>
      <c r="D7" s="1">
        <v>3</v>
      </c>
      <c r="E7" s="1">
        <v>34</v>
      </c>
      <c r="F7" s="1" t="str">
        <f>INDEX(У!A$2:D$41,$E7,1)</f>
        <v>ТАН-624F</v>
      </c>
      <c r="G7" s="1">
        <f>INDEX(У!B$2:C$41,$E7,1)</f>
        <v>1.5</v>
      </c>
      <c r="H7" s="1">
        <f>INDEX(У!C$2:D$41,$E7,1)</f>
        <v>1.7</v>
      </c>
      <c r="I7" s="1">
        <f>INDEX(У!D$2:E$41,$E7,1)</f>
        <v>24</v>
      </c>
      <c r="J7" s="2">
        <f t="shared" ref="J7:J9" si="0">B6-I7</f>
        <v>70.5</v>
      </c>
      <c r="K7" s="2">
        <f t="shared" ref="K7:K9" si="1">C6-I7</f>
        <v>70.3</v>
      </c>
      <c r="L7" s="12" t="str">
        <f t="shared" ref="L7:L53" si="2">CONCATENATE(K7," ",J7," ")</f>
        <v xml:space="preserve">70,3 70,5 </v>
      </c>
      <c r="M7" s="1">
        <v>1</v>
      </c>
      <c r="N7" s="2" t="s">
        <v>11</v>
      </c>
      <c r="O7" s="2">
        <f t="shared" ref="O7:O11" si="3">SUMIFS(M$6:M$30,F$6:F$30,N7)</f>
        <v>5</v>
      </c>
    </row>
    <row r="8" spans="1:15" x14ac:dyDescent="0.25">
      <c r="A8" s="5">
        <v>4</v>
      </c>
      <c r="B8" s="1">
        <f>B7-$D8*У!$C$41-G8</f>
        <v>90.46</v>
      </c>
      <c r="C8" s="1">
        <f>C7-$D8*У!$C$41-H8</f>
        <v>89.759999999999991</v>
      </c>
      <c r="D8" s="1">
        <v>3</v>
      </c>
      <c r="E8" s="1">
        <v>33</v>
      </c>
      <c r="F8" s="1" t="str">
        <f>INDEX(У!A$2:D$41,$E8,1)</f>
        <v>ТАН-620F</v>
      </c>
      <c r="G8" s="1">
        <f>INDEX(У!B$2:C$41,$E8,1)</f>
        <v>1.7</v>
      </c>
      <c r="H8" s="1">
        <f>INDEX(У!C$2:D$41,$E8,1)</f>
        <v>2</v>
      </c>
      <c r="I8" s="1">
        <f>INDEX(У!D$2:E$41,$E8,1)</f>
        <v>20</v>
      </c>
      <c r="J8" s="2">
        <f t="shared" si="0"/>
        <v>72.58</v>
      </c>
      <c r="K8" s="2">
        <f t="shared" si="1"/>
        <v>72.179999999999993</v>
      </c>
      <c r="L8" s="12" t="str">
        <f t="shared" si="2"/>
        <v xml:space="preserve">72,18 72,58 </v>
      </c>
      <c r="M8" s="1">
        <v>1</v>
      </c>
      <c r="N8" s="2" t="s">
        <v>12</v>
      </c>
      <c r="O8" s="2">
        <f t="shared" si="3"/>
        <v>2</v>
      </c>
    </row>
    <row r="9" spans="1:15" x14ac:dyDescent="0.25">
      <c r="A9" s="5">
        <v>5</v>
      </c>
      <c r="B9" s="1">
        <f>B8-$D9*У!$C$41-G9</f>
        <v>88.339999999999989</v>
      </c>
      <c r="C9" s="1">
        <f>C8-$D9*У!$C$41-H9</f>
        <v>87.339999999999989</v>
      </c>
      <c r="D9" s="1">
        <v>3</v>
      </c>
      <c r="E9" s="1">
        <v>33</v>
      </c>
      <c r="F9" s="1" t="str">
        <f>INDEX(У!A$2:D$41,$E9,1)</f>
        <v>ТАН-620F</v>
      </c>
      <c r="G9" s="1">
        <f>INDEX(У!B$2:C$41,$E9,1)</f>
        <v>1.7</v>
      </c>
      <c r="H9" s="1">
        <f>INDEX(У!C$2:D$41,$E9,1)</f>
        <v>2</v>
      </c>
      <c r="I9" s="1">
        <f>INDEX(У!D$2:E$41,$E9,1)</f>
        <v>20</v>
      </c>
      <c r="J9" s="2">
        <f t="shared" si="0"/>
        <v>70.459999999999994</v>
      </c>
      <c r="K9" s="2">
        <f t="shared" si="1"/>
        <v>69.759999999999991</v>
      </c>
      <c r="L9" s="12" t="str">
        <f t="shared" si="2"/>
        <v xml:space="preserve">69,76 70,46 </v>
      </c>
      <c r="M9" s="1">
        <v>1</v>
      </c>
      <c r="N9" s="2" t="s">
        <v>6</v>
      </c>
      <c r="O9" s="2">
        <f t="shared" si="3"/>
        <v>0</v>
      </c>
    </row>
    <row r="10" spans="1:15" x14ac:dyDescent="0.25">
      <c r="L10" s="12" t="str">
        <f t="shared" si="2"/>
        <v xml:space="preserve">  </v>
      </c>
      <c r="M10" s="1"/>
      <c r="N10" s="2" t="s">
        <v>3</v>
      </c>
      <c r="O10" s="2">
        <f t="shared" si="3"/>
        <v>4</v>
      </c>
    </row>
    <row r="11" spans="1:15" x14ac:dyDescent="0.25">
      <c r="L11" s="12" t="str">
        <f t="shared" si="2"/>
        <v xml:space="preserve">  </v>
      </c>
      <c r="M11" s="1"/>
      <c r="N11" s="2" t="s">
        <v>1</v>
      </c>
      <c r="O11" s="2">
        <f t="shared" si="3"/>
        <v>4</v>
      </c>
    </row>
    <row r="12" spans="1:15" x14ac:dyDescent="0.25">
      <c r="B12" s="6">
        <v>95</v>
      </c>
      <c r="C12" s="6">
        <v>95</v>
      </c>
      <c r="L12" s="12" t="str">
        <f t="shared" si="2"/>
        <v xml:space="preserve">  </v>
      </c>
      <c r="M12" s="1"/>
      <c r="N12" s="2"/>
      <c r="O12" s="2"/>
    </row>
    <row r="13" spans="1:15" x14ac:dyDescent="0.25">
      <c r="A13" s="5">
        <v>2</v>
      </c>
      <c r="B13" s="1">
        <f>B12-$D13*У!$C$41-G13</f>
        <v>93.5</v>
      </c>
      <c r="C13" s="1">
        <f>C12-$D13*У!$C$41-H13</f>
        <v>93.3</v>
      </c>
      <c r="D13" s="1">
        <v>0</v>
      </c>
      <c r="E13" s="1">
        <v>34</v>
      </c>
      <c r="F13" s="1" t="str">
        <f>INDEX(У!A$2:D$41,$E13,1)</f>
        <v>ТАН-624F</v>
      </c>
      <c r="G13" s="1">
        <f>INDEX(У!B$2:C$41,$E13,1)</f>
        <v>1.5</v>
      </c>
      <c r="H13" s="1">
        <f>INDEX(У!C$2:D$41,$E13,1)</f>
        <v>1.7</v>
      </c>
      <c r="I13" s="1">
        <f>INDEX(У!D$2:E$41,$E13,1)</f>
        <v>24</v>
      </c>
      <c r="J13" s="2">
        <f>B12-I13</f>
        <v>71</v>
      </c>
      <c r="K13" s="2">
        <f>C12-I13</f>
        <v>71</v>
      </c>
      <c r="L13" s="12" t="str">
        <f t="shared" si="2"/>
        <v xml:space="preserve">71 71 </v>
      </c>
      <c r="M13" s="1">
        <v>1</v>
      </c>
    </row>
    <row r="14" spans="1:15" x14ac:dyDescent="0.25">
      <c r="A14" s="5">
        <v>3</v>
      </c>
      <c r="B14" s="1">
        <f>B13-$D14*У!$C$41-G14</f>
        <v>91.58</v>
      </c>
      <c r="C14" s="1">
        <f>C13-$D14*У!$C$41-H14</f>
        <v>91.179999999999993</v>
      </c>
      <c r="D14" s="1">
        <v>3</v>
      </c>
      <c r="E14" s="1">
        <v>34</v>
      </c>
      <c r="F14" s="1" t="str">
        <f>INDEX(У!A$2:D$41,$E14,1)</f>
        <v>ТАН-624F</v>
      </c>
      <c r="G14" s="1">
        <f>INDEX(У!B$2:C$41,$E14,1)</f>
        <v>1.5</v>
      </c>
      <c r="H14" s="1">
        <f>INDEX(У!C$2:D$41,$E14,1)</f>
        <v>1.7</v>
      </c>
      <c r="I14" s="1">
        <f>INDEX(У!D$2:E$41,$E14,1)</f>
        <v>24</v>
      </c>
      <c r="J14" s="2">
        <f t="shared" ref="J14:J16" si="4">B13-I14</f>
        <v>69.5</v>
      </c>
      <c r="K14" s="2">
        <f t="shared" ref="K14:K16" si="5">C13-I14</f>
        <v>69.3</v>
      </c>
      <c r="L14" s="12" t="str">
        <f t="shared" si="2"/>
        <v xml:space="preserve">69,3 69,5 </v>
      </c>
      <c r="M14" s="1">
        <v>1</v>
      </c>
      <c r="N14" s="1"/>
    </row>
    <row r="15" spans="1:15" x14ac:dyDescent="0.25">
      <c r="A15" s="5">
        <v>4</v>
      </c>
      <c r="B15" s="1">
        <f>B14-$D15*У!$C$41-G15</f>
        <v>89.46</v>
      </c>
      <c r="C15" s="1">
        <f>C14-$D15*У!$C$41-H15</f>
        <v>88.759999999999991</v>
      </c>
      <c r="D15" s="1">
        <v>3</v>
      </c>
      <c r="E15" s="1">
        <v>33</v>
      </c>
      <c r="F15" s="1" t="str">
        <f>INDEX(У!A$2:D$41,$E15,1)</f>
        <v>ТАН-620F</v>
      </c>
      <c r="G15" s="1">
        <f>INDEX(У!B$2:C$41,$E15,1)</f>
        <v>1.7</v>
      </c>
      <c r="H15" s="1">
        <f>INDEX(У!C$2:D$41,$E15,1)</f>
        <v>2</v>
      </c>
      <c r="I15" s="1">
        <f>INDEX(У!D$2:E$41,$E15,1)</f>
        <v>20</v>
      </c>
      <c r="J15" s="2">
        <f t="shared" si="4"/>
        <v>71.58</v>
      </c>
      <c r="K15" s="2">
        <f t="shared" si="5"/>
        <v>71.179999999999993</v>
      </c>
      <c r="L15" s="12" t="str">
        <f t="shared" si="2"/>
        <v xml:space="preserve">71,18 71,58 </v>
      </c>
      <c r="M15" s="1">
        <v>1</v>
      </c>
      <c r="N15" s="1"/>
    </row>
    <row r="16" spans="1:15" x14ac:dyDescent="0.25">
      <c r="A16" s="5">
        <v>5</v>
      </c>
      <c r="B16" s="1">
        <f>B15-$D16*У!$C$41-G16</f>
        <v>87.339999999999989</v>
      </c>
      <c r="C16" s="1">
        <f>C15-$D16*У!$C$41-H16</f>
        <v>86.339999999999989</v>
      </c>
      <c r="D16" s="1">
        <v>3</v>
      </c>
      <c r="E16" s="1">
        <v>33</v>
      </c>
      <c r="F16" s="1" t="str">
        <f>INDEX(У!A$2:D$41,$E16,1)</f>
        <v>ТАН-620F</v>
      </c>
      <c r="G16" s="1">
        <f>INDEX(У!B$2:C$41,$E16,1)</f>
        <v>1.7</v>
      </c>
      <c r="H16" s="1">
        <f>INDEX(У!C$2:D$41,$E16,1)</f>
        <v>2</v>
      </c>
      <c r="I16" s="1">
        <f>INDEX(У!D$2:E$41,$E16,1)</f>
        <v>20</v>
      </c>
      <c r="J16" s="2">
        <f t="shared" si="4"/>
        <v>69.459999999999994</v>
      </c>
      <c r="K16" s="2">
        <f t="shared" si="5"/>
        <v>68.759999999999991</v>
      </c>
      <c r="L16" s="12" t="str">
        <f t="shared" si="2"/>
        <v xml:space="preserve">68,76 69,46 </v>
      </c>
      <c r="M16" s="1">
        <v>1</v>
      </c>
    </row>
    <row r="17" spans="1:14" x14ac:dyDescent="0.25">
      <c r="A17" s="5"/>
      <c r="L17" s="12" t="str">
        <f t="shared" si="2"/>
        <v xml:space="preserve">  </v>
      </c>
      <c r="M17" s="1"/>
    </row>
    <row r="18" spans="1:14" x14ac:dyDescent="0.25">
      <c r="L18" s="12" t="str">
        <f t="shared" si="2"/>
        <v xml:space="preserve">  </v>
      </c>
    </row>
    <row r="19" spans="1:14" x14ac:dyDescent="0.25">
      <c r="B19" s="6">
        <v>94</v>
      </c>
      <c r="C19" s="6">
        <v>94</v>
      </c>
      <c r="L19" s="11" t="str">
        <f t="shared" si="2"/>
        <v xml:space="preserve">  </v>
      </c>
    </row>
    <row r="20" spans="1:14" x14ac:dyDescent="0.25">
      <c r="A20" s="5">
        <v>2</v>
      </c>
      <c r="B20" s="1">
        <f>B19-$D20*У!$C$41-G20</f>
        <v>92.5</v>
      </c>
      <c r="C20" s="1">
        <f>C19-$D20*У!$C$41-H20</f>
        <v>92.3</v>
      </c>
      <c r="D20" s="1">
        <v>0</v>
      </c>
      <c r="E20" s="1">
        <v>28</v>
      </c>
      <c r="F20" s="1" t="str">
        <f>INDEX(У!A$2:D$41,$E20,1)</f>
        <v>ТАН-424F</v>
      </c>
      <c r="G20" s="1">
        <f>INDEX(У!B$2:C$41,$E20,1)</f>
        <v>1.5</v>
      </c>
      <c r="H20" s="1">
        <f>INDEX(У!C$2:D$41,$E20,1)</f>
        <v>1.7</v>
      </c>
      <c r="I20" s="1">
        <f>INDEX(У!D$2:E$41,$E20,1)</f>
        <v>24</v>
      </c>
      <c r="J20" s="2">
        <f>B19-I20</f>
        <v>70</v>
      </c>
      <c r="K20" s="2">
        <f>C19-I20</f>
        <v>70</v>
      </c>
      <c r="L20" s="1" t="str">
        <f t="shared" si="2"/>
        <v xml:space="preserve">70 70 </v>
      </c>
      <c r="M20" s="1">
        <v>1</v>
      </c>
    </row>
    <row r="21" spans="1:14" x14ac:dyDescent="0.25">
      <c r="A21" s="5">
        <v>3</v>
      </c>
      <c r="B21" s="1">
        <f>B20-$D21*У!$C$41-G21</f>
        <v>90.38</v>
      </c>
      <c r="C21" s="1">
        <f>C20-$D21*У!$C$41-H21</f>
        <v>89.88</v>
      </c>
      <c r="D21" s="1">
        <v>3</v>
      </c>
      <c r="E21" s="1">
        <v>27</v>
      </c>
      <c r="F21" s="1" t="str">
        <f>INDEX(У!A$2:D$41,$E21,1)</f>
        <v>ТАН-420F</v>
      </c>
      <c r="G21" s="1">
        <f>INDEX(У!B$2:C$41,$E21,1)</f>
        <v>1.7</v>
      </c>
      <c r="H21" s="1">
        <f>INDEX(У!C$2:D$41,$E21,1)</f>
        <v>2</v>
      </c>
      <c r="I21" s="1">
        <f>INDEX(У!D$2:E$41,$E21,1)</f>
        <v>20</v>
      </c>
      <c r="J21" s="2">
        <f t="shared" ref="J21:J23" si="6">B20-I21</f>
        <v>72.5</v>
      </c>
      <c r="K21" s="2">
        <f t="shared" ref="K21:K23" si="7">C20-I21</f>
        <v>72.3</v>
      </c>
      <c r="L21" s="1" t="str">
        <f t="shared" si="2"/>
        <v xml:space="preserve">72,3 72,5 </v>
      </c>
      <c r="M21" s="1">
        <v>1</v>
      </c>
      <c r="N21" s="1"/>
    </row>
    <row r="22" spans="1:14" x14ac:dyDescent="0.25">
      <c r="A22" s="5">
        <v>4</v>
      </c>
      <c r="B22" s="1">
        <f>B21-$D22*У!$C$41-G22</f>
        <v>88.259999999999991</v>
      </c>
      <c r="C22" s="1">
        <f>C21-$D22*У!$C$41-H22</f>
        <v>87.46</v>
      </c>
      <c r="D22" s="1">
        <v>3</v>
      </c>
      <c r="E22" s="1">
        <v>27</v>
      </c>
      <c r="F22" s="1" t="str">
        <f>INDEX(У!A$2:D$41,$E22,1)</f>
        <v>ТАН-420F</v>
      </c>
      <c r="G22" s="1">
        <f>INDEX(У!B$2:C$41,$E22,1)</f>
        <v>1.7</v>
      </c>
      <c r="H22" s="1">
        <f>INDEX(У!C$2:D$41,$E22,1)</f>
        <v>2</v>
      </c>
      <c r="I22" s="1">
        <f>INDEX(У!D$2:E$41,$E22,1)</f>
        <v>20</v>
      </c>
      <c r="J22" s="2">
        <f t="shared" si="6"/>
        <v>70.38</v>
      </c>
      <c r="K22" s="2">
        <f t="shared" si="7"/>
        <v>69.88</v>
      </c>
      <c r="L22" s="1" t="str">
        <f t="shared" si="2"/>
        <v xml:space="preserve">69,88 70,38 </v>
      </c>
      <c r="M22" s="1">
        <v>1</v>
      </c>
      <c r="N22" s="1"/>
    </row>
    <row r="23" spans="1:14" x14ac:dyDescent="0.25">
      <c r="A23" s="5">
        <v>5</v>
      </c>
      <c r="B23" s="1">
        <f>B22-$D23*У!$C$41-G23</f>
        <v>85.339999999999989</v>
      </c>
      <c r="C23" s="1">
        <f>C22-$D23*У!$C$41-H23</f>
        <v>84.039999999999992</v>
      </c>
      <c r="D23" s="1">
        <v>3</v>
      </c>
      <c r="E23" s="1">
        <v>26</v>
      </c>
      <c r="F23" s="1" t="str">
        <f>INDEX(У!A$2:D$41,$E23,1)</f>
        <v>ТАН-416F</v>
      </c>
      <c r="G23" s="1">
        <f>INDEX(У!B$2:C$41,$E23,1)</f>
        <v>2.5</v>
      </c>
      <c r="H23" s="1">
        <f>INDEX(У!C$2:D$41,$E23,1)</f>
        <v>3</v>
      </c>
      <c r="I23" s="1">
        <f>INDEX(У!D$2:E$41,$E23,1)</f>
        <v>16</v>
      </c>
      <c r="J23" s="2">
        <f t="shared" si="6"/>
        <v>72.259999999999991</v>
      </c>
      <c r="K23" s="2">
        <f t="shared" si="7"/>
        <v>71.459999999999994</v>
      </c>
      <c r="L23" s="1" t="str">
        <f t="shared" si="2"/>
        <v xml:space="preserve">71,46 72,26 </v>
      </c>
      <c r="M23" s="1">
        <v>1</v>
      </c>
    </row>
    <row r="24" spans="1:14" x14ac:dyDescent="0.25">
      <c r="L24" s="1" t="str">
        <f t="shared" si="2"/>
        <v xml:space="preserve">  </v>
      </c>
    </row>
    <row r="25" spans="1:14" x14ac:dyDescent="0.25">
      <c r="A25"/>
      <c r="B25"/>
      <c r="C25"/>
      <c r="D25"/>
      <c r="E25"/>
      <c r="F25"/>
      <c r="G25"/>
      <c r="H25"/>
      <c r="I25"/>
      <c r="J25"/>
      <c r="K25"/>
      <c r="L25" s="1" t="str">
        <f t="shared" si="2"/>
        <v xml:space="preserve">  </v>
      </c>
    </row>
    <row r="26" spans="1:14" x14ac:dyDescent="0.25">
      <c r="B26" s="6">
        <v>95</v>
      </c>
      <c r="C26" s="6">
        <v>95</v>
      </c>
      <c r="L26" s="1" t="str">
        <f t="shared" si="2"/>
        <v xml:space="preserve">  </v>
      </c>
    </row>
    <row r="27" spans="1:14" x14ac:dyDescent="0.25">
      <c r="A27" s="5">
        <v>2</v>
      </c>
      <c r="B27" s="1">
        <f>B26-$D27*У!$C$41-G27</f>
        <v>93.5</v>
      </c>
      <c r="C27" s="1">
        <f>C26-$D27*У!$C$41-H27</f>
        <v>93.3</v>
      </c>
      <c r="D27" s="1">
        <v>0</v>
      </c>
      <c r="E27" s="1">
        <v>28</v>
      </c>
      <c r="F27" s="1" t="str">
        <f>INDEX(У!A$2:D$41,$E27,1)</f>
        <v>ТАН-424F</v>
      </c>
      <c r="G27" s="1">
        <f>INDEX(У!B$2:C$41,$E27,1)</f>
        <v>1.5</v>
      </c>
      <c r="H27" s="1">
        <f>INDEX(У!C$2:D$41,$E27,1)</f>
        <v>1.7</v>
      </c>
      <c r="I27" s="1">
        <f>INDEX(У!D$2:E$41,$E27,1)</f>
        <v>24</v>
      </c>
      <c r="J27" s="2">
        <f>B26-I27</f>
        <v>71</v>
      </c>
      <c r="K27" s="2">
        <f>C26-I27</f>
        <v>71</v>
      </c>
      <c r="L27" s="1" t="str">
        <f t="shared" si="2"/>
        <v xml:space="preserve">71 71 </v>
      </c>
      <c r="M27" s="1">
        <v>1</v>
      </c>
    </row>
    <row r="28" spans="1:14" x14ac:dyDescent="0.25">
      <c r="A28" s="5">
        <v>3</v>
      </c>
      <c r="B28" s="1">
        <f>B27-$D28*У!$C$41-G28</f>
        <v>91.38</v>
      </c>
      <c r="C28" s="1">
        <f>C27-$D28*У!$C$41-H28</f>
        <v>90.88</v>
      </c>
      <c r="D28" s="1">
        <v>3</v>
      </c>
      <c r="E28" s="1">
        <v>27</v>
      </c>
      <c r="F28" s="1" t="str">
        <f>INDEX(У!A$2:D$41,$E28,1)</f>
        <v>ТАН-420F</v>
      </c>
      <c r="G28" s="1">
        <f>INDEX(У!B$2:C$41,$E28,1)</f>
        <v>1.7</v>
      </c>
      <c r="H28" s="1">
        <f>INDEX(У!C$2:D$41,$E28,1)</f>
        <v>2</v>
      </c>
      <c r="I28" s="1">
        <f>INDEX(У!D$2:E$41,$E28,1)</f>
        <v>20</v>
      </c>
      <c r="J28" s="2">
        <f t="shared" ref="J28:J30" si="8">B27-I28</f>
        <v>73.5</v>
      </c>
      <c r="K28" s="2">
        <f t="shared" ref="K28:K30" si="9">C27-I28</f>
        <v>73.3</v>
      </c>
      <c r="L28" s="1" t="str">
        <f t="shared" si="2"/>
        <v xml:space="preserve">73,3 73,5 </v>
      </c>
      <c r="M28" s="1">
        <v>1</v>
      </c>
      <c r="N28" s="1"/>
    </row>
    <row r="29" spans="1:14" x14ac:dyDescent="0.25">
      <c r="A29" s="5">
        <v>4</v>
      </c>
      <c r="B29" s="1">
        <f>B28-$D29*У!$C$41-G29</f>
        <v>89.259999999999991</v>
      </c>
      <c r="C29" s="1">
        <f>C28-$D29*У!$C$41-H29</f>
        <v>88.46</v>
      </c>
      <c r="D29" s="1">
        <v>3</v>
      </c>
      <c r="E29" s="1">
        <v>27</v>
      </c>
      <c r="F29" s="1" t="str">
        <f>INDEX(У!A$2:D$41,$E29,1)</f>
        <v>ТАН-420F</v>
      </c>
      <c r="G29" s="1">
        <f>INDEX(У!B$2:C$41,$E29,1)</f>
        <v>1.7</v>
      </c>
      <c r="H29" s="1">
        <f>INDEX(У!C$2:D$41,$E29,1)</f>
        <v>2</v>
      </c>
      <c r="I29" s="1">
        <f>INDEX(У!D$2:E$41,$E29,1)</f>
        <v>20</v>
      </c>
      <c r="J29" s="2">
        <f t="shared" si="8"/>
        <v>71.38</v>
      </c>
      <c r="K29" s="2">
        <f t="shared" si="9"/>
        <v>70.88</v>
      </c>
      <c r="L29" s="1" t="str">
        <f t="shared" si="2"/>
        <v xml:space="preserve">70,88 71,38 </v>
      </c>
      <c r="M29" s="1">
        <v>1</v>
      </c>
      <c r="N29" s="1"/>
    </row>
    <row r="30" spans="1:14" x14ac:dyDescent="0.25">
      <c r="A30" s="5">
        <v>5</v>
      </c>
      <c r="B30" s="1">
        <f>B29-$D30*У!$C$41-G30</f>
        <v>87.139999999999986</v>
      </c>
      <c r="C30" s="1">
        <f>C29-$D30*У!$C$41-H30</f>
        <v>86.039999999999992</v>
      </c>
      <c r="D30" s="1">
        <v>3</v>
      </c>
      <c r="E30" s="1">
        <v>27</v>
      </c>
      <c r="F30" s="1" t="str">
        <f>INDEX(У!A$2:D$41,$E30,1)</f>
        <v>ТАН-420F</v>
      </c>
      <c r="G30" s="1">
        <f>INDEX(У!B$2:C$41,$E30,1)</f>
        <v>1.7</v>
      </c>
      <c r="H30" s="1">
        <f>INDEX(У!C$2:D$41,$E30,1)</f>
        <v>2</v>
      </c>
      <c r="I30" s="1">
        <f>INDEX(У!D$2:E$41,$E30,1)</f>
        <v>20</v>
      </c>
      <c r="J30" s="2">
        <f t="shared" si="8"/>
        <v>69.259999999999991</v>
      </c>
      <c r="K30" s="2">
        <f t="shared" si="9"/>
        <v>68.459999999999994</v>
      </c>
      <c r="L30" s="1" t="str">
        <f t="shared" si="2"/>
        <v xml:space="preserve">68,46 69,26 </v>
      </c>
      <c r="M30" s="1">
        <v>1</v>
      </c>
    </row>
    <row r="31" spans="1:14" x14ac:dyDescent="0.25">
      <c r="A31"/>
      <c r="B31"/>
      <c r="C31"/>
      <c r="D31"/>
      <c r="E31"/>
      <c r="F31"/>
      <c r="G31"/>
      <c r="H31"/>
      <c r="I31"/>
      <c r="J31"/>
      <c r="K31"/>
      <c r="L31" s="1" t="str">
        <f t="shared" si="2"/>
        <v xml:space="preserve">  </v>
      </c>
    </row>
    <row r="32" spans="1:14" x14ac:dyDescent="0.25">
      <c r="A32"/>
      <c r="B32"/>
      <c r="C32"/>
      <c r="D32"/>
      <c r="E32"/>
      <c r="F32"/>
      <c r="G32"/>
      <c r="H32"/>
      <c r="I32"/>
      <c r="J32"/>
      <c r="K32"/>
      <c r="L32" s="1" t="str">
        <f t="shared" si="2"/>
        <v xml:space="preserve">  </v>
      </c>
    </row>
    <row r="33" spans="12:12" x14ac:dyDescent="0.25">
      <c r="L33" s="1" t="str">
        <f t="shared" si="2"/>
        <v xml:space="preserve">  </v>
      </c>
    </row>
    <row r="34" spans="12:12" x14ac:dyDescent="0.25">
      <c r="L34" s="1" t="str">
        <f t="shared" si="2"/>
        <v xml:space="preserve">  </v>
      </c>
    </row>
    <row r="35" spans="12:12" x14ac:dyDescent="0.25">
      <c r="L35" s="1" t="str">
        <f t="shared" si="2"/>
        <v xml:space="preserve">  </v>
      </c>
    </row>
    <row r="36" spans="12:12" x14ac:dyDescent="0.25">
      <c r="L36" s="1" t="str">
        <f t="shared" si="2"/>
        <v xml:space="preserve">  </v>
      </c>
    </row>
    <row r="37" spans="12:12" x14ac:dyDescent="0.25">
      <c r="L37" s="1" t="str">
        <f t="shared" si="2"/>
        <v xml:space="preserve">  </v>
      </c>
    </row>
    <row r="38" spans="12:12" x14ac:dyDescent="0.25">
      <c r="L38" s="1" t="str">
        <f t="shared" si="2"/>
        <v xml:space="preserve">  </v>
      </c>
    </row>
    <row r="39" spans="12:12" x14ac:dyDescent="0.25">
      <c r="L39" s="1" t="str">
        <f t="shared" si="2"/>
        <v xml:space="preserve">  </v>
      </c>
    </row>
    <row r="40" spans="12:12" x14ac:dyDescent="0.25">
      <c r="L40" s="2" t="str">
        <f t="shared" si="2"/>
        <v xml:space="preserve">  </v>
      </c>
    </row>
    <row r="41" spans="12:12" x14ac:dyDescent="0.25">
      <c r="L41" s="2" t="str">
        <f t="shared" si="2"/>
        <v xml:space="preserve">  </v>
      </c>
    </row>
    <row r="42" spans="12:12" x14ac:dyDescent="0.25">
      <c r="L42" s="2" t="str">
        <f t="shared" si="2"/>
        <v xml:space="preserve">  </v>
      </c>
    </row>
    <row r="43" spans="12:12" x14ac:dyDescent="0.25">
      <c r="L43" s="2" t="str">
        <f t="shared" si="2"/>
        <v xml:space="preserve">  </v>
      </c>
    </row>
    <row r="44" spans="12:12" x14ac:dyDescent="0.25">
      <c r="L44" s="2" t="str">
        <f t="shared" si="2"/>
        <v xml:space="preserve">  </v>
      </c>
    </row>
    <row r="45" spans="12:12" x14ac:dyDescent="0.25">
      <c r="L45" s="2" t="str">
        <f t="shared" si="2"/>
        <v xml:space="preserve">  </v>
      </c>
    </row>
    <row r="46" spans="12:12" x14ac:dyDescent="0.25">
      <c r="L46" s="2" t="str">
        <f t="shared" si="2"/>
        <v xml:space="preserve">  </v>
      </c>
    </row>
    <row r="47" spans="12:12" x14ac:dyDescent="0.25">
      <c r="L47" s="2" t="str">
        <f t="shared" si="2"/>
        <v xml:space="preserve">  </v>
      </c>
    </row>
    <row r="48" spans="12:12" x14ac:dyDescent="0.25">
      <c r="L48" s="2" t="str">
        <f t="shared" si="2"/>
        <v xml:space="preserve">  </v>
      </c>
    </row>
    <row r="49" spans="12:12" x14ac:dyDescent="0.25">
      <c r="L49" s="2" t="str">
        <f t="shared" si="2"/>
        <v xml:space="preserve">  </v>
      </c>
    </row>
    <row r="50" spans="12:12" x14ac:dyDescent="0.25">
      <c r="L50" s="2" t="str">
        <f t="shared" si="2"/>
        <v xml:space="preserve">  </v>
      </c>
    </row>
    <row r="51" spans="12:12" x14ac:dyDescent="0.25">
      <c r="L51" s="2" t="str">
        <f t="shared" si="2"/>
        <v xml:space="preserve">  </v>
      </c>
    </row>
    <row r="52" spans="12:12" x14ac:dyDescent="0.25">
      <c r="L52" s="2" t="str">
        <f t="shared" si="2"/>
        <v xml:space="preserve">  </v>
      </c>
    </row>
    <row r="53" spans="12:12" x14ac:dyDescent="0.25">
      <c r="L53" s="2" t="str">
        <f t="shared" si="2"/>
        <v xml:space="preserve">  </v>
      </c>
    </row>
  </sheetData>
  <conditionalFormatting sqref="O6:O12">
    <cfRule type="cellIs" dxfId="21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У</vt:lpstr>
      <vt:lpstr>16</vt:lpstr>
      <vt:lpstr>17</vt:lpstr>
      <vt:lpstr>18-19</vt:lpstr>
      <vt:lpstr>20</vt:lpstr>
      <vt:lpstr>21</vt:lpstr>
      <vt:lpstr>22</vt:lpstr>
      <vt:lpstr>23</vt:lpstr>
      <vt:lpstr>24</vt:lpstr>
      <vt:lpstr>25</vt:lpstr>
      <vt:lpstr>26,34</vt:lpstr>
      <vt:lpstr>27</vt:lpstr>
      <vt:lpstr>35</vt:lpstr>
      <vt:lpstr>36</vt:lpstr>
      <vt:lpstr>Стояк</vt:lpstr>
      <vt:lpstr>CCC</vt:lpstr>
      <vt:lpstr>Ц61г</vt:lpstr>
      <vt:lpstr>Ц92-3п</vt:lpstr>
      <vt:lpstr>Ц61г1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2023-12-04T16:52:53Z</dcterms:modified>
</cp:coreProperties>
</file>