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edlicka/Desktop/Classwork/Kickstarter Analysis/"/>
    </mc:Choice>
  </mc:AlternateContent>
  <xr:revisionPtr revIDLastSave="0" documentId="13_ncr:1_{F707D5DD-3500-DD42-92AD-E34E087F4F67}" xr6:coauthVersionLast="44" xr6:coauthVersionMax="44" xr10:uidLastSave="{00000000-0000-0000-0000-000000000000}"/>
  <bookViews>
    <workbookView xWindow="0" yWindow="920" windowWidth="23860" windowHeight="11320" firstSheet="4" activeTab="4" xr2:uid="{00000000-000D-0000-FFFF-FFFF00000000}"/>
  </bookViews>
  <sheets>
    <sheet name="Sheet13" sheetId="17" r:id="rId1"/>
    <sheet name="Kickstarter" sheetId="1" r:id="rId2"/>
    <sheet name="Sheet14" sheetId="18" r:id="rId3"/>
    <sheet name="Outcomes Based on Goals" sheetId="15" r:id="rId4"/>
    <sheet name="Outcomes Based on Launch Da (2)" sheetId="19" r:id="rId5"/>
    <sheet name="Chart1" sheetId="13" r:id="rId6"/>
    <sheet name="Descriptive Statistics" sheetId="12" r:id="rId7"/>
    <sheet name="Failed U.S. Kickstarters" sheetId="11" r:id="rId8"/>
    <sheet name="Successful U.S. Kickstarters" sheetId="10" r:id="rId9"/>
    <sheet name="Edinburgh Research" sheetId="9" r:id="rId10"/>
    <sheet name="Category Statistics" sheetId="3" r:id="rId11"/>
    <sheet name="Subcategory Statistics" sheetId="5" r:id="rId12"/>
    <sheet name="Outcomes Based on Launch Date" sheetId="8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" r:id="rId14"/>
    <pivotCache cacheId="15" r:id="rId15"/>
    <pivotCache cacheId="22" r:id="rId16"/>
    <pivotCache cacheId="28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5" l="1"/>
  <c r="I4" i="15"/>
  <c r="I5" i="15"/>
  <c r="I6" i="15"/>
  <c r="I7" i="15"/>
  <c r="I8" i="15"/>
  <c r="I9" i="15"/>
  <c r="I10" i="15"/>
  <c r="I11" i="15"/>
  <c r="I12" i="15"/>
  <c r="I13" i="15"/>
  <c r="I2" i="15"/>
  <c r="H3" i="15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F3" i="15"/>
  <c r="F4" i="15"/>
  <c r="F5" i="15"/>
  <c r="F6" i="15"/>
  <c r="F7" i="15"/>
  <c r="F8" i="15"/>
  <c r="F9" i="15"/>
  <c r="F10" i="15"/>
  <c r="F11" i="15"/>
  <c r="F12" i="15"/>
  <c r="F13" i="15"/>
  <c r="C2" i="15"/>
  <c r="D2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13" i="15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4" i="15"/>
  <c r="E4" i="15" s="1"/>
  <c r="B3" i="15"/>
  <c r="E3" i="15" s="1"/>
  <c r="B2" i="15"/>
  <c r="E2" i="15" s="1"/>
  <c r="B5" i="15"/>
  <c r="E5" i="15" s="1"/>
  <c r="B2" i="9"/>
  <c r="C14" i="12"/>
  <c r="C13" i="12"/>
  <c r="C12" i="12"/>
  <c r="B14" i="12"/>
  <c r="B13" i="12"/>
  <c r="B12" i="12"/>
  <c r="C11" i="12"/>
  <c r="B11" i="12"/>
  <c r="C7" i="12"/>
  <c r="C6" i="12"/>
  <c r="C5" i="12"/>
  <c r="B6" i="12"/>
  <c r="B7" i="12" s="1"/>
  <c r="B5" i="12"/>
  <c r="C4" i="12"/>
  <c r="B4" i="12"/>
  <c r="C10" i="12"/>
  <c r="C3" i="12"/>
  <c r="B10" i="12"/>
  <c r="B3" i="12"/>
  <c r="C9" i="12"/>
  <c r="C2" i="12"/>
  <c r="B9" i="12"/>
  <c r="B2" i="12"/>
  <c r="E3" i="9"/>
  <c r="E4" i="9"/>
  <c r="E5" i="9"/>
  <c r="E6" i="9"/>
  <c r="E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<sst xmlns="http://schemas.openxmlformats.org/spreadsheetml/2006/main" count="38398" uniqueCount="8419">
  <si>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</si>
  <si>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</si>
  <si>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</si>
  <si>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</si>
  <si>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</si>
  <si>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</si>
  <si>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</si>
  <si>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</si>
  <si>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</si>
  <si>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</si>
  <si>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</si>
  <si>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</si>
  <si>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</si>
  <si>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</si>
  <si>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</si>
  <si>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</si>
  <si>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</si>
  <si>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</si>
  <si>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</si>
  <si>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</si>
  <si>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</si>
  <si>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</si>
  <si>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</si>
  <si>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</si>
  <si>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</si>
  <si>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</si>
  <si>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</si>
  <si>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</si>
  <si>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</si>
  <si>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</si>
  <si>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</si>
  <si>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</si>
  <si>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</si>
  <si>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</si>
  <si>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</si>
  <si>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</si>
  <si>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</si>
  <si>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</si>
  <si>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</si>
  <si>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</si>
  <si>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</si>
  <si>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</si>
  <si>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</si>
  <si>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</si>
  <si>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</si>
  <si>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</si>
  <si>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</si>
  <si>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</si>
  <si>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</si>
  <si>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</si>
  <si>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</si>
  <si>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</si>
  <si>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</si>
  <si>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</si>
  <si>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</si>
  <si>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</si>
  <si>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</si>
  <si>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</si>
  <si>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</si>
  <si>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</si>
  <si>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</si>
  <si>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</si>
  <si>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</si>
  <si>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</si>
  <si>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</si>
  <si>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</si>
  <si>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</si>
  <si>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</si>
  <si>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</si>
  <si>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</si>
  <si>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</si>
  <si>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</si>
  <si>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</si>
  <si>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</si>
  <si>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</si>
  <si>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</si>
  <si>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</si>
  <si>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</si>
  <si>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</si>
  <si>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</si>
  <si>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</si>
  <si>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</si>
  <si>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</si>
  <si>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</si>
  <si>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</si>
  <si>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</si>
  <si>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</si>
  <si>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</si>
  <si>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</si>
  <si>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</si>
  <si>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</si>
  <si>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</si>
  <si>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</si>
  <si>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</si>
  <si>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</si>
  <si>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</si>
  <si>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</si>
  <si>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</si>
  <si>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</si>
  <si>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</si>
  <si>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</si>
  <si>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</si>
  <si>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</si>
  <si>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</si>
  <si>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</si>
  <si>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</si>
  <si>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</si>
  <si>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</si>
  <si>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</si>
  <si>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</si>
  <si>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</si>
  <si>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</si>
  <si>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</si>
  <si>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</si>
  <si>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</si>
  <si>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</si>
  <si>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</si>
  <si>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</si>
  <si>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</si>
  <si>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</si>
  <si>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</si>
  <si>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</si>
  <si>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</si>
  <si>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</si>
  <si>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</si>
  <si>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</si>
  <si>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</si>
  <si>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</si>
  <si>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</si>
  <si>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</si>
  <si>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</si>
  <si>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</si>
  <si>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</si>
  <si>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</si>
  <si>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</si>
  <si>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</si>
  <si>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</si>
  <si>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</si>
  <si>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</si>
  <si>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</si>
  <si>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</si>
  <si>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</si>
  <si>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</si>
  <si>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</si>
  <si>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</si>
  <si>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</si>
  <si>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</si>
  <si>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</si>
  <si>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</si>
  <si>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</si>
  <si>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</si>
  <si>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</si>
  <si>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</si>
  <si>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</si>
  <si>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</si>
  <si>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</si>
  <si>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</si>
  <si>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</si>
  <si>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</si>
  <si>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</si>
  <si>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</si>
  <si>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</si>
  <si>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</si>
  <si>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</si>
  <si>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</si>
  <si>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</si>
  <si>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</si>
  <si>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</si>
  <si>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</si>
  <si>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</si>
  <si>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</si>
  <si>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</si>
  <si>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</si>
  <si>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</si>
  <si>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</si>
  <si>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</si>
  <si>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</si>
  <si>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</si>
  <si>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</si>
  <si>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</si>
  <si>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</si>
  <si>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</si>
  <si>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</si>
  <si>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</si>
  <si>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</si>
  <si>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</si>
  <si>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</si>
  <si>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</si>
  <si>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</si>
  <si>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</si>
  <si>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</si>
  <si>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</si>
  <si>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</si>
  <si>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</si>
  <si>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</si>
  <si>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</si>
  <si>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</si>
  <si>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</si>
  <si>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</si>
  <si>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</si>
  <si>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</si>
  <si>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</si>
  <si>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</si>
  <si>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</si>
  <si>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</si>
  <si>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</si>
  <si>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</si>
  <si>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</si>
  <si>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</si>
  <si>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</si>
  <si>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</si>
  <si>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</si>
  <si>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</si>
  <si>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</si>
  <si>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</si>
  <si>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</si>
  <si>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</si>
  <si>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</si>
  <si>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</si>
  <si>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</si>
  <si>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</si>
  <si>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</si>
  <si>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</si>
  <si>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</si>
  <si>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</si>
  <si>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</si>
  <si>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</si>
  <si>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</si>
  <si>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</si>
  <si>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</si>
  <si>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</si>
  <si>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</si>
  <si>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</si>
  <si>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</si>
  <si>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</si>
  <si>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</si>
  <si>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</si>
  <si>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</si>
  <si>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</si>
  <si>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</si>
  <si>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</si>
  <si>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</si>
  <si>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</si>
  <si>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</si>
  <si>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</si>
  <si>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</si>
  <si>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</si>
  <si>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</si>
  <si>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</si>
  <si>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</si>
  <si>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</si>
  <si>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</si>
  <si>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</si>
  <si>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</si>
  <si>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</si>
  <si>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</si>
  <si>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</si>
  <si>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</si>
  <si>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</si>
  <si>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</si>
  <si>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</si>
  <si>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</si>
  <si>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</si>
  <si>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</si>
  <si>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</si>
  <si>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</si>
  <si>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</si>
  <si>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</si>
  <si>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</si>
  <si>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</si>
  <si>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</si>
  <si>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</si>
  <si>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</si>
  <si>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</si>
  <si>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</si>
  <si>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</si>
  <si>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</si>
  <si>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</si>
  <si>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</si>
  <si>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</si>
  <si>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</si>
  <si>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</si>
  <si>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</si>
  <si>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</si>
  <si>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</si>
  <si>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</si>
  <si>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</si>
  <si>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</si>
  <si>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</si>
  <si>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</si>
  <si>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</si>
  <si>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</si>
  <si>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</si>
  <si>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</si>
  <si>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</si>
  <si>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</si>
  <si>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</si>
  <si>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</si>
  <si>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</si>
  <si>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</si>
  <si>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</si>
  <si>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</si>
  <si>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</si>
  <si>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</si>
  <si>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</si>
  <si>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</si>
  <si>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</si>
  <si>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</si>
  <si>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</si>
  <si>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</si>
  <si>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</si>
  <si>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</si>
  <si>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</si>
  <si>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</si>
  <si>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</si>
  <si>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</si>
  <si>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</si>
  <si>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</si>
  <si>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</si>
  <si>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</si>
  <si>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</si>
  <si>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</si>
  <si>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</si>
  <si>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</si>
  <si>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</si>
  <si>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</si>
  <si>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</si>
  <si>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</si>
  <si>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</si>
  <si>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</si>
  <si>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</si>
  <si>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</si>
  <si>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</si>
  <si>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</si>
  <si>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</si>
  <si>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</si>
  <si>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</si>
  <si>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</si>
  <si>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</si>
  <si>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</si>
  <si>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</si>
  <si>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</si>
  <si>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</si>
  <si>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</si>
  <si>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</si>
  <si>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</si>
  <si>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</si>
  <si>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</si>
  <si>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</si>
  <si>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</si>
  <si>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</si>
  <si>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</si>
  <si>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</si>
  <si>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</si>
  <si>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</si>
  <si>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</si>
  <si>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</si>
  <si>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</si>
  <si>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</si>
  <si>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</si>
  <si>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</si>
  <si>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</si>
  <si>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</si>
  <si>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</si>
  <si>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</si>
  <si>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</si>
  <si>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</si>
  <si>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</si>
  <si>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</si>
  <si>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</si>
  <si>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</si>
  <si>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</si>
  <si>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</si>
  <si>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</si>
  <si>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</si>
  <si>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</si>
  <si>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</si>
  <si>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</si>
  <si>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</si>
  <si>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</si>
  <si>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</si>
  <si>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</si>
  <si>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</si>
  <si>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</si>
  <si>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</si>
  <si>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</si>
  <si>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</si>
  <si>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</si>
  <si>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</si>
  <si>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</si>
  <si>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</si>
  <si>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</si>
  <si>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</si>
  <si>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</si>
  <si>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</si>
  <si>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</si>
  <si>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</si>
  <si>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</si>
  <si>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</si>
  <si>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</si>
  <si>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</si>
  <si>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</si>
  <si>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</si>
  <si>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</si>
  <si>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</si>
  <si>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</si>
  <si>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</si>
  <si>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</si>
  <si>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</si>
  <si>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</si>
  <si>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</si>
  <si>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</si>
  <si>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</si>
  <si>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</si>
  <si>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</si>
  <si>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</si>
  <si>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</si>
  <si>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</si>
  <si>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</si>
  <si>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</si>
  <si>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</si>
  <si>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</si>
  <si>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</si>
  <si>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</si>
  <si>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</si>
  <si>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</si>
  <si>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</si>
  <si>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</si>
  <si>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</si>
  <si>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</si>
  <si>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</si>
  <si>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</si>
  <si>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</si>
  <si>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</si>
  <si>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</si>
  <si>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</si>
  <si>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</si>
  <si>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</si>
  <si>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</si>
  <si>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</si>
  <si>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</si>
  <si>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</si>
  <si>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</si>
  <si>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</si>
  <si>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</si>
  <si>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</si>
  <si>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</si>
  <si>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</si>
  <si>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</si>
  <si>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</si>
  <si>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</si>
  <si>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</si>
  <si>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</si>
  <si>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</si>
  <si>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</si>
  <si>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</si>
  <si>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</si>
  <si>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</si>
  <si>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</si>
  <si>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</si>
  <si>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</si>
  <si>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</si>
  <si>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</si>
  <si>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</si>
  <si>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</si>
  <si>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</si>
  <si>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</si>
  <si>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</si>
  <si>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</si>
  <si>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</si>
  <si>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</si>
  <si>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</si>
  <si>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</si>
  <si>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</si>
  <si>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</si>
  <si>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</si>
  <si>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</si>
  <si>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</si>
  <si>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</si>
  <si>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</si>
  <si>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</si>
  <si>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</si>
  <si>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</si>
  <si>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</si>
  <si>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</si>
  <si>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</si>
  <si>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</si>
  <si>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</si>
  <si>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</si>
  <si>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</si>
  <si>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</si>
  <si>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</si>
  <si>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</si>
  <si>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</si>
  <si>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</si>
  <si>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</si>
  <si>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</si>
  <si>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</si>
  <si>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</si>
  <si>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</si>
  <si>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</si>
  <si>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</si>
  <si>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</si>
  <si>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</si>
  <si>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</si>
  <si>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</si>
  <si>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</si>
  <si>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</si>
  <si>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</si>
  <si>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</si>
  <si>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</si>
  <si>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</si>
  <si>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</si>
  <si>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</si>
  <si>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</si>
  <si>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</si>
  <si>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</si>
  <si>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</si>
  <si>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</si>
  <si>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</si>
  <si>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</si>
  <si>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</si>
  <si>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</si>
  <si>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</si>
  <si>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</si>
  <si>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</si>
  <si>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</si>
  <si>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</si>
  <si>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</si>
  <si>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</si>
  <si>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</si>
  <si>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</si>
  <si>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</si>
  <si>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</si>
  <si>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</si>
  <si>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</si>
  <si>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</si>
  <si>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</si>
  <si>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</si>
  <si>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</si>
  <si>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</si>
  <si>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</si>
  <si>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</si>
  <si>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</si>
  <si>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</si>
  <si>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</si>
  <si>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</si>
  <si>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</si>
  <si>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</si>
  <si>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</si>
  <si>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</si>
  <si>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</si>
  <si>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</si>
  <si>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</si>
  <si>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</si>
  <si>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</si>
  <si>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</si>
  <si>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</si>
  <si>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</si>
  <si>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</si>
  <si>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</si>
  <si>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</si>
  <si>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</si>
  <si>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</si>
  <si>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</si>
  <si>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</si>
  <si>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</si>
  <si>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</si>
  <si>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</si>
  <si>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</si>
  <si>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</si>
  <si>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</si>
  <si>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</si>
  <si>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</si>
  <si>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</si>
  <si>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</si>
  <si>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</si>
  <si>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</si>
  <si>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</si>
  <si>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</si>
  <si>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</si>
  <si>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</si>
  <si>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</si>
  <si>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</si>
  <si>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</si>
  <si>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</si>
  <si>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</si>
  <si>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</si>
  <si>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</si>
  <si>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</si>
  <si>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</si>
  <si>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</si>
  <si>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</si>
  <si>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</si>
  <si>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</si>
  <si>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</si>
  <si>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</si>
  <si>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</si>
  <si>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</si>
  <si>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</si>
  <si>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</si>
  <si>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</si>
  <si>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</si>
  <si>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</si>
  <si>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</si>
  <si>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</si>
  <si>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</si>
  <si>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</si>
  <si>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</si>
  <si>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</si>
  <si>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</si>
  <si>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</si>
  <si>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</si>
  <si>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</si>
  <si>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</si>
  <si>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</si>
  <si>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</si>
  <si>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</si>
  <si>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</si>
  <si>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</si>
  <si>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</si>
  <si>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</si>
  <si>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</si>
  <si>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</si>
  <si>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</si>
  <si>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</si>
  <si>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</si>
  <si>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</si>
  <si>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</si>
  <si>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</si>
  <si>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</si>
  <si>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</si>
  <si>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</si>
  <si>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</si>
  <si>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</si>
  <si>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</si>
  <si>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</si>
  <si>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</si>
  <si>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</si>
  <si>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</si>
  <si>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</si>
  <si>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</si>
  <si>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</si>
  <si>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</si>
  <si>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</si>
  <si>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</si>
  <si>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</si>
  <si>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</si>
  <si>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</si>
  <si>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</si>
  <si>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</si>
  <si>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</si>
  <si>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</si>
  <si>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</si>
  <si>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</si>
  <si>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</si>
  <si>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</si>
  <si>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</si>
  <si>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</si>
  <si>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</si>
  <si>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</si>
  <si>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</si>
  <si>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</si>
  <si>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</si>
  <si>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</si>
  <si>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</si>
  <si>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</si>
  <si>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</si>
  <si>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</si>
  <si>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</si>
  <si>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</si>
  <si>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</si>
  <si>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</si>
  <si>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</si>
  <si>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</si>
  <si>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</si>
  <si>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</si>
  <si>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</si>
  <si>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</si>
  <si>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</si>
  <si>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</si>
  <si>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</si>
  <si>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</si>
  <si>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</si>
  <si>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</si>
  <si>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</si>
  <si>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</si>
  <si>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</si>
  <si>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</si>
  <si>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</si>
  <si>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</si>
  <si>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</si>
  <si>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</si>
  <si>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</si>
  <si>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</si>
  <si>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</si>
  <si>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</si>
  <si>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</si>
  <si>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</si>
  <si>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</si>
  <si>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</si>
  <si>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</si>
  <si>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</si>
  <si>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</si>
  <si>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</si>
  <si>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</si>
  <si>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</si>
  <si>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</si>
  <si>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</si>
  <si>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</si>
  <si>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</si>
  <si>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</si>
  <si>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</si>
  <si>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</si>
  <si>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</si>
  <si>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</si>
  <si>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</si>
  <si>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</si>
  <si>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</si>
  <si>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</si>
  <si>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</si>
  <si>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</si>
  <si>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</si>
  <si>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</si>
  <si>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</si>
  <si>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</si>
  <si>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</si>
  <si>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</si>
  <si>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</si>
  <si>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</si>
  <si>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</si>
  <si>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</si>
  <si>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</si>
  <si>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</si>
  <si>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</si>
  <si>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</si>
  <si>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</si>
  <si>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</si>
  <si>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</si>
  <si>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</si>
  <si>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</si>
  <si>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</si>
  <si>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</si>
  <si>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</si>
  <si>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</si>
  <si>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</si>
  <si>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</si>
  <si>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</si>
  <si>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</si>
  <si>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</si>
  <si>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</si>
  <si>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</si>
  <si>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</si>
  <si>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</si>
  <si>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</si>
  <si>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</si>
  <si>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</si>
  <si>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</si>
  <si>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</si>
  <si>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</si>
  <si>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</si>
  <si>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</si>
  <si>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</si>
  <si>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</si>
  <si>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</si>
  <si>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</si>
  <si>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</si>
  <si>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</si>
  <si>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</si>
  <si>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</si>
  <si>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</si>
  <si>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</si>
  <si>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</si>
  <si>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</si>
  <si>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</si>
  <si>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</si>
  <si>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</si>
  <si>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</si>
  <si>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</si>
  <si>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</si>
  <si>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</si>
  <si>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</si>
  <si>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</si>
  <si>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</si>
  <si>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</si>
  <si>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</si>
  <si>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</si>
  <si>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</si>
  <si>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</si>
  <si>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</si>
  <si>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</si>
  <si>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</si>
  <si>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</si>
  <si>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</si>
  <si>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</si>
  <si>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</si>
  <si>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</si>
  <si>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</si>
  <si>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</si>
  <si>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</si>
  <si>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</si>
  <si>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</si>
  <si>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</si>
  <si>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</si>
  <si>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</si>
  <si>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</si>
  <si>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</si>
  <si>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</si>
  <si>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</si>
  <si>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</si>
  <si>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</si>
  <si>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</si>
  <si>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</si>
  <si>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</si>
  <si>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</si>
  <si>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</si>
  <si>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</si>
  <si>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</si>
  <si>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</si>
  <si>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</si>
  <si>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</si>
  <si>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</si>
  <si>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</si>
  <si>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</si>
  <si>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</si>
  <si>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</si>
  <si>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</si>
  <si>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</si>
  <si>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</si>
  <si>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</si>
  <si>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</si>
  <si>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</si>
  <si>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</si>
  <si>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</si>
  <si>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</si>
  <si>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</si>
  <si>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</si>
  <si>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</si>
  <si>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</si>
  <si>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</si>
  <si>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</si>
  <si>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</si>
  <si>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</si>
  <si>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</si>
  <si>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</si>
  <si>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</si>
  <si>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</si>
  <si>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</si>
  <si>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</si>
  <si>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</si>
  <si>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</si>
  <si>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</si>
  <si>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</si>
  <si>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</si>
  <si>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</si>
  <si>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</si>
  <si>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</si>
  <si>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</si>
  <si>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</si>
  <si>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</si>
  <si>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</si>
  <si>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</si>
  <si>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</si>
  <si>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</si>
  <si>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</si>
  <si>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</si>
  <si>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</si>
  <si>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</si>
  <si>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</si>
  <si>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</si>
  <si>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</si>
  <si>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</si>
  <si>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</si>
  <si>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</si>
  <si>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</si>
  <si>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</si>
  <si>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</si>
  <si>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</si>
  <si>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</si>
  <si>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</si>
  <si>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</si>
  <si>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</si>
  <si>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</si>
  <si>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</si>
  <si>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</si>
  <si>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</si>
  <si>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</si>
  <si>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</si>
  <si>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</si>
  <si>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</si>
  <si>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</si>
  <si>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</si>
  <si>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</si>
  <si>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</si>
  <si>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</si>
  <si>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</si>
  <si>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</si>
  <si>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</si>
  <si>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</si>
  <si>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</si>
  <si>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</si>
  <si>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</si>
  <si>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</si>
  <si>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</si>
  <si>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</si>
  <si>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</si>
  <si>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</si>
  <si>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</si>
  <si>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</si>
  <si>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</si>
  <si>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</si>
  <si>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</si>
  <si>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</si>
  <si>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</si>
  <si>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</si>
  <si>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</si>
  <si>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</si>
  <si>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</si>
  <si>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</si>
  <si>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</si>
  <si>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</si>
  <si>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</si>
  <si>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</si>
  <si>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</si>
  <si>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</si>
  <si>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</si>
  <si>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</si>
  <si>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</si>
  <si>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</si>
  <si>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</si>
  <si>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</si>
  <si>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</si>
  <si>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</si>
  <si>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</si>
  <si>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</si>
  <si>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</si>
  <si>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</si>
  <si>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</si>
  <si>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</si>
  <si>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</si>
  <si>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</si>
  <si>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</si>
  <si>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</si>
  <si>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</si>
  <si>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</si>
  <si>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</si>
  <si>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</si>
  <si>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</si>
  <si>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</si>
  <si>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</si>
  <si>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</si>
  <si>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</si>
  <si>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</si>
  <si>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</si>
  <si>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</si>
  <si>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</si>
  <si>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</si>
  <si>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</si>
  <si>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</si>
  <si>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</si>
  <si>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</si>
  <si>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</si>
  <si>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</si>
  <si>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</si>
  <si>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</si>
  <si>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</si>
  <si>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</si>
  <si>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</si>
  <si>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</si>
  <si>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</si>
  <si>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</si>
  <si>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</si>
  <si>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</si>
  <si>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</si>
  <si>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</si>
  <si>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</si>
  <si>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</si>
  <si>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</si>
  <si>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</si>
  <si>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</si>
  <si>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</si>
  <si>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</si>
  <si>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</si>
  <si>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</si>
  <si>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</si>
  <si>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</si>
  <si>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</si>
  <si>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</si>
  <si>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</si>
  <si>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</si>
  <si>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</si>
  <si>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</si>
  <si>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</si>
  <si>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</si>
  <si>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</si>
  <si>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</si>
  <si>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</si>
  <si>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</si>
  <si>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</si>
  <si>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</si>
  <si>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</si>
  <si>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</si>
  <si>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</si>
  <si>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</si>
  <si>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</si>
  <si>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</si>
  <si>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</si>
  <si>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</si>
  <si>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</si>
  <si>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</si>
  <si>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</si>
  <si>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</si>
  <si>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</si>
  <si>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</si>
  <si>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</si>
  <si>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</si>
  <si>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</si>
  <si>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</si>
  <si>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</si>
  <si>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</si>
  <si>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</si>
  <si>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</si>
  <si>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</si>
  <si>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</si>
  <si>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</si>
  <si>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</si>
  <si>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</si>
  <si>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</si>
  <si>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</si>
  <si>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</si>
  <si>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</si>
  <si>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</si>
  <si>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</si>
  <si>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</si>
  <si>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</si>
  <si>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</si>
  <si>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</si>
  <si>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</si>
  <si>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</si>
  <si>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</si>
  <si>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</si>
  <si>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</si>
  <si>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</si>
  <si>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</si>
  <si>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</si>
  <si>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</si>
  <si>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</si>
  <si>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</si>
  <si>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</si>
  <si>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</si>
  <si>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</si>
  <si>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</si>
  <si>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</si>
  <si>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</si>
  <si>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</si>
  <si>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</si>
  <si>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</si>
  <si>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</si>
  <si>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</si>
  <si>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</si>
  <si>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</si>
  <si>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</si>
  <si>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</si>
  <si>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</si>
  <si>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</si>
  <si>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</si>
  <si>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</si>
  <si>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</si>
  <si>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</si>
  <si>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</si>
  <si>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</si>
  <si>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</si>
  <si>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</si>
  <si>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</si>
  <si>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</si>
  <si>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</si>
  <si>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</si>
  <si>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</si>
  <si>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</si>
  <si>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</si>
  <si>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</si>
  <si>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</si>
  <si>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</si>
  <si>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</si>
  <si>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</si>
  <si>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</si>
  <si>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</si>
  <si>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</si>
  <si>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</si>
  <si>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</si>
  <si>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</si>
  <si>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</si>
  <si>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</si>
  <si>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</si>
  <si>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</si>
  <si>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</si>
  <si>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</si>
  <si>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</si>
  <si>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</si>
  <si>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</si>
  <si>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</si>
  <si>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</si>
  <si>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</si>
  <si>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</si>
  <si>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</si>
  <si>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</si>
  <si>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</si>
  <si>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</si>
  <si>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</si>
  <si>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</si>
  <si>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</si>
  <si>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</si>
  <si>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</si>
  <si>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</si>
  <si>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</si>
  <si>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</si>
  <si>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</si>
  <si>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</si>
  <si>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</si>
  <si>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</si>
  <si>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</si>
  <si>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</si>
  <si>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</si>
  <si>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</si>
  <si>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</si>
  <si>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</si>
  <si>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</si>
  <si>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</si>
  <si>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</si>
  <si>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</si>
  <si>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</si>
  <si>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</si>
  <si>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</si>
  <si>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</si>
  <si>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</si>
  <si>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</si>
  <si>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</si>
  <si>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</si>
  <si>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</si>
  <si>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</si>
  <si>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</si>
  <si>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</si>
  <si>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</si>
  <si>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</si>
  <si>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</si>
  <si>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</si>
  <si>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</si>
  <si>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</si>
  <si>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</si>
  <si>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</si>
  <si>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</si>
  <si>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</si>
  <si>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</si>
  <si>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</si>
  <si>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</si>
  <si>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</si>
  <si>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</si>
  <si>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</si>
  <si>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</si>
  <si>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</si>
  <si>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</si>
  <si>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</si>
  <si>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</si>
  <si>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</si>
  <si>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</si>
  <si>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</si>
  <si>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</si>
  <si>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</si>
  <si>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</si>
  <si>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</si>
  <si>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</si>
  <si>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</si>
  <si>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</si>
  <si>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</si>
  <si>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</si>
  <si>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</si>
  <si>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</si>
  <si>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</si>
  <si>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</si>
  <si>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</si>
  <si>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</si>
  <si>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</si>
  <si>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</si>
  <si>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</si>
  <si>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</si>
  <si>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</si>
  <si>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</si>
  <si>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</si>
  <si>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</si>
  <si>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</si>
  <si>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</si>
  <si>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</si>
  <si>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</si>
  <si>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</si>
  <si>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</si>
  <si>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</si>
  <si>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</si>
  <si>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</si>
  <si>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</si>
  <si>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</si>
  <si>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</si>
  <si>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</si>
  <si>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</si>
  <si>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</si>
  <si>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</si>
  <si>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</si>
  <si>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</si>
  <si>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</si>
  <si>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</si>
  <si>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</si>
  <si>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</si>
  <si>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</si>
  <si>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</si>
  <si>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</si>
  <si>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</si>
  <si>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</si>
  <si>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</si>
  <si>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</si>
  <si>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</si>
  <si>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</si>
  <si>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</si>
  <si>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</si>
  <si>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</si>
  <si>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</si>
  <si>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</si>
  <si>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</si>
  <si>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</si>
  <si>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</si>
  <si>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</si>
  <si>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</si>
  <si>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</si>
  <si>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</si>
  <si>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</si>
  <si>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</si>
  <si>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</si>
  <si>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</si>
  <si>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</si>
  <si>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</si>
  <si>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</si>
  <si>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</si>
  <si>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</si>
  <si>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</si>
  <si>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</si>
  <si>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</si>
  <si>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</si>
  <si>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</si>
  <si>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</si>
  <si>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</si>
  <si>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</si>
  <si>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</si>
  <si>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</si>
  <si>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</si>
  <si>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</si>
  <si>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</si>
  <si>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</si>
  <si>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</si>
  <si>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</si>
  <si>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</si>
  <si>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</si>
  <si>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</si>
  <si>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</si>
  <si>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</si>
  <si>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</si>
  <si>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</si>
  <si>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</si>
  <si>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</si>
  <si>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</si>
  <si>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</si>
  <si>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</si>
  <si>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</si>
  <si>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</si>
  <si>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</si>
  <si>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</si>
  <si>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</si>
  <si>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</si>
  <si>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</si>
  <si>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</si>
  <si>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</si>
  <si>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</si>
  <si>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</si>
  <si>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</si>
  <si>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</si>
  <si>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</si>
  <si>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</si>
  <si>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</si>
  <si>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</si>
  <si>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</si>
  <si>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</si>
  <si>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</si>
  <si>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</si>
  <si>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</si>
  <si>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</si>
  <si>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</si>
  <si>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</si>
  <si>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</si>
  <si>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</si>
  <si>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</si>
  <si>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</si>
  <si>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</si>
  <si>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</si>
  <si>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</si>
  <si>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</si>
  <si>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</si>
  <si>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</si>
  <si>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</si>
  <si>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</si>
  <si>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</si>
  <si>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</si>
  <si>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</si>
  <si>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</si>
  <si>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</si>
  <si>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</si>
  <si>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</si>
  <si>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</si>
  <si>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</si>
  <si>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</si>
  <si>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</si>
  <si>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</si>
  <si>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</si>
  <si>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</si>
  <si>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</si>
  <si>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</si>
  <si>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</si>
  <si>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</si>
  <si>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</si>
  <si>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</si>
  <si>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</si>
  <si>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</si>
  <si>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</si>
  <si>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</si>
  <si>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</si>
  <si>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</si>
  <si>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</si>
  <si>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</si>
  <si>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</si>
  <si>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</si>
  <si>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</si>
  <si>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</si>
  <si>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</si>
  <si>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</si>
  <si>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</si>
  <si>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</si>
  <si>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</si>
  <si>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</si>
  <si>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</si>
  <si>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</si>
  <si>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</si>
  <si>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</si>
  <si>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</si>
  <si>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</si>
  <si>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</si>
  <si>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</si>
  <si>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</si>
  <si>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</si>
  <si>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</si>
  <si>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</si>
  <si>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</si>
  <si>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</si>
  <si>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</si>
  <si>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</si>
  <si>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</si>
  <si>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</si>
  <si>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</si>
  <si>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</si>
  <si>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</si>
  <si>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</si>
  <si>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</si>
  <si>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</si>
  <si>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</si>
  <si>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</si>
  <si>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</si>
  <si>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</si>
  <si>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</si>
  <si>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</si>
  <si>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</si>
  <si>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</si>
  <si>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</si>
  <si>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</si>
  <si>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</si>
  <si>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</si>
  <si>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</si>
  <si>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</si>
  <si>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</si>
  <si>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</si>
  <si>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</si>
  <si>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</si>
  <si>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</si>
  <si>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</si>
  <si>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</si>
  <si>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</si>
  <si>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</si>
  <si>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</si>
  <si>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</si>
  <si>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</si>
  <si>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</si>
  <si>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</si>
  <si>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</si>
  <si>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</si>
  <si>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</si>
  <si>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</si>
  <si>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</si>
  <si>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</si>
  <si>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</si>
  <si>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</si>
  <si>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</si>
  <si>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</si>
  <si>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</si>
  <si>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</si>
  <si>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</si>
  <si>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</si>
  <si>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</si>
  <si>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</si>
  <si>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</si>
  <si>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</si>
  <si>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</si>
  <si>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</si>
  <si>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</si>
  <si>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</si>
  <si>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</si>
  <si>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</si>
  <si>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</si>
  <si>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</si>
  <si>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</si>
  <si>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</si>
  <si>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</si>
  <si>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</si>
  <si>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</si>
  <si>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</si>
  <si>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</si>
  <si>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</si>
  <si>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</si>
  <si>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</si>
  <si>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</si>
  <si>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</si>
  <si>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</si>
  <si>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</si>
  <si>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</si>
  <si>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</si>
  <si>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</si>
  <si>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</si>
  <si>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</si>
  <si>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</si>
  <si>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</si>
  <si>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</si>
  <si>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</si>
  <si>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</si>
  <si>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</si>
  <si>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</si>
  <si>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</si>
  <si>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</si>
  <si>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</si>
  <si>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</si>
  <si>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</si>
  <si>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</si>
  <si>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</si>
  <si>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</si>
  <si>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</si>
  <si>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</si>
  <si>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</si>
  <si>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</si>
  <si>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</si>
  <si>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</si>
  <si>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</si>
  <si>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</si>
  <si>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</si>
  <si>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</si>
  <si>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</si>
  <si>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</si>
  <si>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</si>
  <si>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</si>
  <si>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</si>
  <si>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</si>
  <si>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</si>
  <si>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</si>
  <si>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</si>
  <si>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</si>
  <si>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</si>
  <si>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</si>
  <si>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</si>
  <si>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</si>
  <si>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</si>
  <si>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</si>
  <si>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</si>
  <si>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</si>
  <si>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</si>
  <si>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</si>
  <si>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</si>
  <si>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</si>
  <si>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</si>
  <si>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</si>
  <si>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</si>
  <si>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</si>
  <si>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</si>
  <si>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</si>
  <si>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</si>
  <si>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</si>
  <si>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</si>
  <si>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</si>
  <si>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</si>
  <si>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</si>
  <si>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</si>
  <si>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</si>
  <si>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</si>
  <si>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</si>
  <si>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</si>
  <si>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</si>
  <si>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</si>
  <si>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</si>
  <si>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</si>
  <si>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</si>
  <si>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</si>
  <si>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</si>
  <si>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</si>
  <si>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</si>
  <si>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</si>
  <si>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</si>
  <si>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</si>
  <si>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</si>
  <si>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</si>
  <si>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</si>
  <si>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</si>
  <si>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</si>
  <si>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</si>
  <si>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</si>
  <si>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</si>
  <si>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</si>
  <si>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</si>
  <si>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</si>
  <si>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</si>
  <si>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</si>
  <si>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</si>
  <si>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</si>
  <si>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</si>
  <si>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</si>
  <si>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</si>
  <si>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</si>
  <si>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</si>
  <si>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</si>
  <si>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</si>
  <si>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</si>
  <si>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</si>
  <si>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</si>
  <si>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</si>
  <si>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</si>
  <si>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</si>
  <si>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</si>
  <si>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</si>
  <si>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</si>
  <si>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</si>
  <si>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</si>
  <si>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</si>
  <si>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</si>
  <si>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</si>
  <si>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</si>
  <si>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</si>
  <si>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</si>
  <si>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</si>
  <si>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</si>
  <si>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</si>
  <si>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</si>
  <si>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</si>
  <si>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</si>
  <si>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</si>
  <si>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</si>
  <si>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</si>
  <si>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</si>
  <si>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</si>
  <si>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</si>
  <si>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</si>
  <si>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</si>
  <si>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</si>
  <si>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</si>
  <si>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</si>
  <si>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</si>
  <si>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</si>
  <si>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</si>
  <si>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</si>
  <si>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</si>
  <si>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</si>
  <si>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</si>
  <si>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</si>
  <si>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</si>
  <si>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</si>
  <si>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</si>
  <si>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</si>
  <si>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</si>
  <si>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</si>
  <si>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</si>
  <si>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</si>
  <si>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</si>
  <si>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</si>
  <si>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</si>
  <si>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</si>
  <si>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</si>
  <si>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</si>
  <si>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</si>
  <si>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</si>
  <si>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</si>
  <si>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</si>
  <si>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</si>
  <si>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</si>
  <si>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</si>
  <si>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</si>
  <si>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</si>
  <si>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</si>
  <si>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</si>
  <si>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</si>
  <si>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</si>
  <si>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</si>
  <si>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</si>
  <si>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</si>
  <si>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</si>
  <si>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</si>
  <si>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</si>
  <si>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</si>
  <si>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</si>
  <si>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</si>
  <si>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</si>
  <si>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</si>
  <si>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</si>
  <si>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</si>
  <si>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</si>
  <si>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</si>
  <si>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</si>
  <si>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</si>
  <si>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</si>
  <si>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</si>
  <si>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</si>
  <si>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</si>
  <si>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</si>
  <si>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</si>
  <si>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</si>
  <si>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</si>
  <si>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</si>
  <si>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</si>
  <si>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</si>
  <si>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</si>
  <si>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</si>
  <si>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</si>
  <si>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</si>
  <si>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</si>
  <si>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</si>
  <si>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</si>
  <si>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</si>
  <si>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</si>
  <si>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</si>
  <si>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</si>
  <si>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</si>
  <si>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</si>
  <si>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</si>
  <si>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</si>
  <si>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</si>
  <si>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</si>
  <si>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</si>
  <si>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</si>
  <si>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</si>
  <si>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</si>
  <si>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</si>
  <si>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</si>
  <si>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</si>
  <si>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</si>
  <si>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</si>
  <si>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</si>
  <si>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</si>
  <si>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</si>
  <si>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</si>
  <si>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</si>
  <si>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</si>
  <si>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</si>
  <si>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</si>
  <si>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</si>
  <si>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</si>
  <si>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</si>
  <si>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</si>
  <si>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</si>
  <si>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</si>
  <si>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</si>
  <si>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</si>
  <si>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</si>
  <si>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</si>
  <si>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</si>
  <si>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</si>
  <si>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</si>
  <si>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</si>
  <si>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</si>
  <si>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</si>
  <si>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</si>
  <si>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</si>
  <si>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</si>
  <si>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</si>
  <si>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</si>
  <si>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</si>
  <si>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</si>
  <si>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</si>
  <si>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</si>
  <si>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</si>
  <si>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</si>
  <si>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</si>
  <si>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</si>
  <si>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</si>
  <si>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</si>
  <si>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</si>
  <si>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</si>
  <si>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</si>
  <si>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</si>
  <si>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</si>
  <si>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</si>
  <si>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</si>
  <si>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</si>
  <si>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</si>
  <si>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</si>
  <si>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</si>
  <si>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</si>
  <si>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</si>
  <si>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</si>
  <si>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</si>
  <si>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</si>
  <si>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</si>
  <si>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</si>
  <si>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</si>
  <si>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</si>
  <si>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</si>
  <si>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</si>
  <si>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</si>
  <si>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</si>
  <si>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</si>
  <si>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</si>
  <si>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</si>
  <si>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</si>
  <si>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</si>
  <si>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</si>
  <si>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</si>
  <si>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</si>
  <si>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</si>
  <si>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</si>
  <si>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</si>
  <si>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</si>
  <si>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</si>
  <si>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</si>
  <si>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</si>
  <si>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</si>
  <si>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</si>
  <si>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</si>
  <si>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</si>
  <si>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</si>
  <si>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</si>
  <si>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</si>
  <si>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</si>
  <si>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</si>
  <si>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</si>
  <si>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</si>
  <si>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</si>
  <si>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</si>
  <si>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</si>
  <si>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</si>
  <si>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</si>
  <si>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</si>
  <si>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</si>
  <si>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</si>
  <si>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</si>
  <si>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</si>
  <si>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</si>
  <si>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</si>
  <si>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</si>
  <si>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</si>
  <si>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</si>
  <si>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</si>
  <si>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</si>
  <si>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</si>
  <si>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</si>
  <si>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</si>
  <si>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</si>
  <si>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</si>
  <si>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</si>
  <si>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</si>
  <si>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</si>
  <si>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</si>
  <si>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</si>
  <si>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</si>
  <si>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</si>
  <si>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</si>
  <si>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</si>
  <si>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</si>
  <si>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</si>
  <si>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</si>
  <si>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</si>
  <si>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</si>
  <si>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</si>
  <si>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</si>
  <si>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</si>
  <si>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</si>
  <si>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</si>
  <si>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</si>
  <si>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</si>
  <si>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</si>
  <si>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</si>
  <si>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</si>
  <si>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</si>
  <si>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</si>
  <si>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</si>
  <si>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</si>
  <si>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</si>
  <si>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</si>
  <si>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</si>
  <si>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</si>
  <si>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</si>
  <si>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</si>
  <si>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</si>
  <si>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</si>
  <si>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</si>
  <si>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</si>
  <si>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</si>
  <si>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</si>
  <si>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</si>
  <si>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</si>
  <si>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</si>
  <si>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</si>
  <si>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</si>
  <si>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</si>
  <si>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</si>
  <si>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</si>
  <si>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</si>
  <si>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</si>
  <si>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</si>
  <si>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</si>
  <si>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</si>
  <si>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</si>
  <si>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</si>
  <si>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</si>
  <si>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</si>
  <si>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</si>
  <si>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</si>
  <si>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</si>
  <si>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</si>
  <si>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</si>
  <si>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</si>
  <si>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</si>
  <si>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</si>
  <si>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</si>
  <si>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</si>
  <si>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</si>
  <si>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</si>
  <si>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</si>
  <si>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</si>
  <si>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</si>
  <si>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</si>
  <si>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</si>
  <si>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</si>
  <si>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</si>
  <si>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</si>
  <si>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</si>
  <si>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</si>
  <si>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</si>
  <si>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</si>
  <si>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</si>
  <si>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</si>
  <si>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</si>
  <si>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</si>
  <si>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</si>
  <si>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</si>
  <si>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</si>
  <si>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</si>
  <si>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</si>
  <si>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</si>
  <si>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</si>
  <si>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</si>
  <si>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</si>
  <si>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</si>
  <si>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</si>
  <si>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</si>
  <si>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</si>
  <si>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</si>
  <si>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</si>
  <si>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</si>
  <si>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</si>
  <si>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</si>
  <si>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</si>
  <si>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</si>
  <si>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</si>
  <si>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</si>
  <si>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</si>
  <si>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</si>
  <si>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</si>
  <si>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</si>
  <si>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</si>
  <si>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</si>
  <si>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</si>
  <si>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</si>
  <si>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</si>
  <si>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</si>
  <si>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</si>
  <si>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</si>
  <si>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</si>
  <si>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</si>
  <si>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</si>
  <si>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</si>
  <si>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</si>
  <si>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</si>
  <si>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</si>
  <si>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</si>
  <si>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</si>
  <si>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</si>
  <si>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</si>
  <si>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</si>
  <si>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</si>
  <si>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</si>
  <si>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</si>
  <si>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</si>
  <si>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</si>
  <si>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</si>
  <si>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</si>
  <si>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</si>
  <si>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</si>
  <si>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</si>
  <si>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</si>
  <si>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</si>
  <si>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</si>
  <si>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</si>
  <si>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</si>
  <si>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</si>
  <si>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</si>
  <si>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</si>
  <si>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</si>
  <si>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</si>
  <si>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</si>
  <si>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</si>
  <si>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</si>
  <si>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</si>
  <si>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</si>
  <si>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</si>
  <si>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</si>
  <si>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</si>
  <si>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</si>
  <si>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</si>
  <si>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</si>
  <si>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</si>
  <si>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</si>
  <si>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</si>
  <si>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</si>
  <si>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</si>
  <si>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</si>
  <si>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</si>
  <si>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</si>
  <si>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</si>
  <si>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</si>
  <si>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</si>
  <si>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</si>
  <si>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</si>
  <si>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</si>
  <si>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</si>
  <si>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</si>
  <si>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</si>
  <si>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</si>
  <si>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</si>
  <si>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</si>
  <si>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</si>
  <si>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</si>
  <si>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</si>
  <si>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</si>
  <si>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</si>
  <si>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</si>
  <si>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</si>
  <si>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</si>
  <si>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</si>
  <si>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</si>
  <si>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</si>
  <si>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</si>
  <si>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</si>
  <si>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</si>
  <si>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</si>
  <si>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</si>
  <si>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</si>
  <si>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</si>
  <si>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</si>
  <si>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</si>
  <si>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</si>
  <si>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</si>
  <si>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</si>
  <si>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</si>
  <si>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</si>
  <si>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</si>
  <si>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</si>
  <si>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</si>
  <si>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</si>
  <si>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</si>
  <si>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</si>
  <si>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</si>
  <si>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</si>
  <si>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</si>
  <si>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</si>
  <si>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</si>
  <si>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</si>
  <si>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</si>
  <si>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</si>
  <si>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</si>
  <si>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</si>
  <si>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</si>
  <si>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</si>
  <si>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</si>
  <si>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</si>
  <si>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</si>
  <si>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</si>
  <si>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</si>
  <si>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</si>
  <si>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</si>
  <si>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</si>
  <si>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</si>
  <si>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</si>
  <si>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</si>
  <si>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</si>
  <si>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</si>
  <si>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</si>
  <si>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</si>
  <si>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</si>
  <si>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</si>
  <si>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</si>
  <si>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</si>
  <si>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</si>
  <si>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</si>
  <si>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</si>
  <si>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</si>
  <si>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</si>
  <si>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</si>
  <si>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</si>
  <si>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</si>
  <si>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</si>
  <si>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</si>
  <si>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</si>
  <si>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</si>
  <si>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</si>
  <si>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</si>
  <si>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</si>
  <si>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</si>
  <si>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</si>
  <si>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</si>
  <si>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</si>
  <si>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</si>
  <si>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</si>
  <si>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</si>
  <si>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</si>
  <si>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</si>
  <si>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</si>
  <si>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</si>
  <si>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</si>
  <si>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</si>
  <si>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</si>
  <si>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</si>
  <si>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</si>
  <si>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</si>
  <si>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</si>
  <si>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</si>
  <si>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</si>
  <si>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</si>
  <si>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</si>
  <si>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</si>
  <si>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</si>
  <si>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</si>
  <si>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</si>
  <si>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</si>
  <si>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</si>
  <si>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</si>
  <si>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</si>
  <si>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</si>
  <si>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</si>
  <si>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</si>
  <si>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</si>
  <si>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</si>
  <si>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</si>
  <si>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</si>
  <si>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</si>
  <si>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</si>
  <si>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</si>
  <si>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</si>
  <si>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</si>
  <si>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</si>
  <si>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</si>
  <si>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</si>
  <si>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</si>
  <si>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</si>
  <si>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</si>
  <si>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</si>
  <si>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</si>
  <si>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</si>
  <si>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</si>
  <si>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</si>
  <si>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</si>
  <si>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</si>
  <si>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</si>
  <si>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</si>
  <si>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</si>
  <si>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</si>
  <si>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</si>
  <si>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</si>
  <si>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</si>
  <si>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</si>
  <si>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</si>
  <si>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</si>
  <si>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</si>
  <si>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</si>
  <si>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</si>
  <si>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</si>
  <si>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</si>
  <si>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</si>
  <si>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</si>
  <si>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</si>
  <si>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</si>
  <si>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</si>
  <si>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</si>
  <si>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</si>
  <si>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</si>
  <si>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</si>
  <si>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</si>
  <si>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</si>
  <si>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</si>
  <si>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</si>
  <si>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</si>
  <si>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</si>
  <si>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</si>
  <si>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</si>
  <si>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</si>
  <si>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</si>
  <si>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</si>
  <si>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</si>
  <si>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</si>
  <si>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</si>
  <si>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</si>
  <si>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</si>
  <si>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</si>
  <si>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</si>
  <si>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</si>
  <si>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</si>
  <si>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</si>
  <si>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</si>
  <si>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</si>
  <si>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</si>
  <si>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</si>
  <si>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</si>
  <si>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</si>
  <si>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</si>
  <si>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</si>
  <si>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</si>
  <si>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</si>
  <si>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</si>
  <si>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</si>
  <si>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</si>
  <si>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</si>
  <si>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</si>
  <si>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</si>
  <si>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</si>
  <si>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</si>
  <si>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</si>
  <si>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</si>
  <si>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</si>
  <si>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</si>
  <si>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</si>
  <si>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</si>
  <si>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</si>
  <si>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</si>
  <si>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</si>
  <si>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</si>
  <si>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</si>
  <si>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</si>
  <si>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</si>
  <si>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</si>
  <si>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</si>
  <si>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</si>
  <si>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</si>
  <si>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</si>
  <si>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</si>
  <si>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</si>
  <si>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</si>
  <si>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</si>
  <si>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</si>
  <si>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</si>
  <si>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</si>
  <si>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</si>
  <si>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</si>
  <si>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</si>
  <si>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</si>
  <si>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</si>
  <si>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</si>
  <si>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</si>
  <si>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</si>
  <si>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</si>
  <si>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</si>
  <si>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</si>
  <si>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</si>
  <si>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</si>
  <si>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</si>
  <si>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</si>
  <si>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</si>
  <si>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</si>
  <si>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</si>
  <si>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</si>
  <si>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</si>
  <si>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</si>
  <si>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</si>
  <si>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</si>
  <si>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</si>
  <si>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</si>
  <si>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</si>
  <si>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</si>
  <si>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</si>
  <si>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</si>
  <si>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</si>
  <si>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</si>
  <si>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</si>
  <si>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</si>
  <si>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</si>
  <si>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</si>
  <si>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</si>
  <si>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</si>
  <si>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</si>
  <si>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</si>
  <si>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</si>
  <si>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</si>
  <si>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</si>
  <si>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</si>
  <si>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</si>
  <si>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</si>
  <si>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</si>
  <si>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</si>
  <si>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</si>
  <si>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</si>
  <si>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</si>
  <si>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</si>
  <si>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</si>
  <si>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</si>
  <si>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</si>
  <si>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</si>
  <si>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</si>
  <si>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</si>
  <si>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</si>
  <si>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</si>
  <si>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</si>
  <si>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</si>
  <si>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</si>
  <si>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</si>
  <si>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</si>
  <si>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</si>
  <si>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</si>
  <si>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</si>
  <si>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</si>
  <si>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</si>
  <si>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</si>
  <si>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</si>
  <si>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</si>
  <si>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</si>
  <si>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</si>
  <si>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</si>
  <si>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</si>
  <si>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</si>
  <si>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</si>
  <si>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</si>
  <si>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</si>
  <si>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</si>
  <si>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</si>
  <si>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</si>
  <si>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</si>
  <si>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</si>
  <si>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</si>
  <si>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</si>
  <si>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</si>
  <si>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</si>
  <si>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</si>
  <si>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</si>
  <si>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</si>
  <si>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</si>
  <si>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</si>
  <si>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</si>
  <si>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</si>
  <si>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</si>
  <si>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</si>
  <si>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</si>
  <si>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</si>
  <si>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</si>
  <si>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</si>
  <si>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</si>
  <si>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</si>
  <si>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</si>
  <si>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</si>
  <si>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</si>
  <si>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</si>
  <si>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</si>
  <si>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</si>
  <si>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</si>
  <si>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</si>
  <si>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</si>
  <si>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</si>
  <si>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</si>
  <si>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</si>
  <si>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</si>
  <si>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</si>
  <si>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</si>
  <si>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</si>
  <si>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</si>
  <si>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</si>
  <si>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</si>
  <si>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</si>
  <si>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</si>
  <si>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</si>
  <si>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</si>
  <si>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</si>
  <si>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</si>
  <si>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</si>
  <si>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</si>
  <si>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</si>
  <si>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</si>
  <si>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</si>
  <si>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</si>
  <si>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</si>
  <si>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</si>
  <si>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</si>
  <si>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</si>
  <si>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</si>
  <si>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</si>
  <si>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</si>
  <si>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</si>
  <si>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</si>
  <si>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</si>
  <si>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</si>
  <si>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</si>
  <si>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</si>
  <si>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</si>
  <si>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</si>
  <si>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</si>
  <si>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</si>
  <si>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</si>
  <si>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</si>
  <si>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</si>
  <si>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</si>
  <si>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</si>
  <si>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</si>
  <si>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</si>
  <si>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</si>
  <si>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</si>
  <si>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</si>
  <si>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</si>
  <si>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</si>
  <si>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</si>
  <si>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</si>
  <si>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</si>
  <si>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</si>
  <si>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</si>
  <si>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</si>
  <si>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</si>
  <si>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</si>
  <si>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</si>
  <si>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</si>
  <si>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</si>
  <si>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</si>
  <si>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</si>
  <si>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</si>
  <si>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</si>
  <si>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</si>
  <si>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</si>
  <si>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</si>
  <si>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</si>
  <si>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</si>
  <si>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</si>
  <si>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</si>
  <si>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</si>
  <si>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</si>
  <si>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</si>
  <si>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</si>
  <si>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</si>
  <si>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</si>
  <si>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</si>
  <si>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</si>
  <si>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</si>
  <si>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</si>
  <si>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</si>
  <si>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</si>
  <si>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</si>
  <si>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</si>
  <si>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</si>
  <si>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</si>
  <si>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</si>
  <si>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</si>
  <si>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</si>
  <si>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</si>
  <si>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</si>
  <si>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</si>
  <si>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</si>
  <si>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</si>
  <si>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</si>
  <si>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</si>
  <si>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</si>
  <si>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</si>
  <si>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</si>
  <si>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</si>
  <si>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</si>
  <si>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</si>
  <si>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</si>
  <si>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</si>
  <si>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</si>
  <si>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</si>
  <si>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</si>
  <si>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</si>
  <si>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</si>
  <si>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</si>
  <si>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</si>
  <si>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</si>
  <si>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</si>
  <si>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</si>
  <si>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</si>
  <si>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</si>
  <si>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</si>
  <si>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</si>
  <si>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</si>
  <si>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</si>
  <si>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</si>
  <si>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</si>
  <si>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</si>
  <si>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</si>
  <si>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</si>
  <si>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</si>
  <si>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</si>
  <si>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</si>
  <si>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</si>
  <si>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</si>
  <si>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</si>
  <si>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</si>
  <si>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</si>
  <si>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</si>
  <si>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</si>
  <si>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</si>
  <si>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</si>
  <si>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</si>
  <si>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</si>
  <si>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</si>
  <si>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</si>
  <si>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</si>
  <si>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</si>
  <si>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</si>
  <si>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</si>
  <si>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</si>
  <si>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</si>
  <si>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</si>
  <si>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</si>
  <si>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</si>
  <si>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</si>
  <si>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</si>
  <si>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</si>
  <si>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</si>
  <si>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</si>
  <si>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</si>
  <si>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</si>
  <si>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</si>
  <si>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</si>
  <si>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</si>
  <si>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</si>
  <si>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</si>
  <si>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</si>
  <si>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</si>
  <si>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</si>
  <si>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</si>
  <si>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</si>
  <si>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</si>
  <si>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</si>
  <si>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</si>
  <si>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</si>
  <si>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</si>
  <si>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</si>
  <si>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</si>
  <si>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</si>
  <si>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</si>
  <si>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</si>
  <si>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</si>
  <si>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</si>
  <si>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</si>
  <si>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</si>
  <si>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</si>
  <si>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</si>
  <si>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</si>
  <si>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</si>
  <si>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</si>
  <si>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</si>
  <si>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</si>
  <si>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</si>
  <si>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</si>
  <si>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</si>
  <si>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</si>
  <si>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</si>
  <si>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</si>
  <si>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</si>
  <si>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</si>
  <si>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</si>
  <si>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</si>
  <si>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</si>
  <si>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</si>
  <si>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</si>
  <si>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</si>
  <si>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</si>
  <si>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</si>
  <si>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</si>
  <si>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</si>
  <si>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</si>
  <si>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</si>
  <si>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</si>
  <si>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</si>
  <si>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</si>
  <si>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</si>
  <si>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</si>
  <si>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</si>
  <si>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</si>
  <si>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</si>
  <si>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</si>
  <si>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</si>
  <si>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</si>
  <si>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</si>
  <si>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</si>
  <si>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</si>
  <si>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</si>
  <si>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</si>
  <si>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</si>
  <si>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</si>
  <si>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</si>
  <si>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</si>
  <si>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</si>
  <si>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</si>
  <si>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</si>
  <si>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</si>
  <si>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</si>
  <si>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</si>
  <si>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</si>
  <si>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</si>
  <si>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</si>
  <si>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</si>
  <si>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</si>
  <si>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</si>
  <si>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</si>
  <si>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</si>
  <si>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</si>
  <si>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</si>
  <si>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</si>
  <si>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</si>
  <si>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</si>
  <si>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</si>
  <si>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</si>
  <si>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</si>
  <si>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</si>
  <si>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</si>
  <si>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</si>
  <si>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</si>
  <si>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</si>
  <si>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</si>
  <si>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</si>
  <si>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</si>
  <si>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</si>
  <si>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</si>
  <si>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</si>
  <si>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</si>
  <si>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</si>
  <si>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</si>
  <si>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</si>
  <si>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</si>
  <si>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</si>
  <si>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</si>
  <si>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</si>
  <si>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</si>
  <si>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</si>
  <si>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</si>
  <si>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</si>
  <si>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</si>
  <si>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</si>
  <si>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</si>
  <si>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</si>
  <si>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</si>
  <si>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</si>
  <si>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</si>
  <si>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</si>
  <si>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</si>
  <si>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</si>
  <si>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</si>
  <si>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</si>
  <si>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</si>
  <si>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</si>
  <si>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</si>
  <si>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</si>
  <si>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</si>
  <si>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</si>
  <si>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</si>
  <si>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</si>
  <si>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</si>
  <si>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</si>
  <si>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</si>
  <si>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</si>
  <si>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</si>
  <si>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</si>
  <si>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</si>
  <si>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</si>
  <si>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</si>
  <si>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</si>
  <si>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</si>
  <si>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</si>
  <si>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</si>
  <si>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</si>
  <si>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</si>
  <si>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</si>
  <si>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</si>
  <si>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</si>
  <si>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</si>
  <si>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</si>
  <si>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</si>
  <si>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</si>
  <si>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</si>
  <si>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</si>
  <si>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</si>
  <si>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</si>
  <si>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</si>
  <si>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</si>
  <si>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</si>
  <si>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</si>
  <si>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</si>
  <si>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</si>
  <si>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</si>
  <si>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</si>
  <si>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</si>
  <si>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</si>
  <si>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</si>
  <si>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</si>
  <si>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</si>
  <si>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</si>
  <si>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</si>
  <si>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</si>
  <si>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</si>
  <si>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</si>
  <si>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</si>
  <si>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</si>
  <si>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</si>
  <si>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</si>
  <si>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</si>
  <si>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</si>
  <si>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</si>
  <si>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</si>
  <si>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</si>
  <si>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</si>
  <si>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</si>
  <si>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</si>
  <si>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</si>
  <si>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</si>
  <si>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</si>
  <si>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</si>
  <si>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</si>
  <si>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</si>
  <si>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</si>
  <si>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</si>
  <si>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</si>
  <si>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</si>
  <si>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</si>
  <si>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</si>
  <si>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</si>
  <si>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</si>
  <si>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</si>
  <si>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</si>
  <si>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</si>
  <si>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</si>
  <si>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</si>
  <si>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</si>
  <si>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</si>
  <si>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</si>
  <si>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</si>
  <si>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</si>
  <si>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</si>
  <si>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</si>
  <si>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</si>
  <si>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</si>
  <si>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</si>
  <si>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</si>
  <si>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</si>
  <si>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</si>
  <si>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</si>
  <si>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</si>
  <si>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</si>
  <si>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</si>
  <si>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</si>
  <si>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</si>
  <si>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</si>
  <si>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</si>
  <si>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</si>
  <si>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</si>
  <si>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</si>
  <si>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</si>
  <si>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</si>
  <si>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</si>
  <si>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</si>
  <si>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</si>
  <si>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</si>
  <si>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</si>
  <si>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</si>
  <si>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</si>
  <si>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</si>
  <si>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</si>
  <si>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</si>
  <si>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</si>
  <si>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</si>
  <si>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</si>
  <si>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</si>
  <si>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</si>
  <si>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</si>
  <si>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</si>
  <si>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</si>
  <si>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</si>
  <si>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</si>
  <si>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</si>
  <si>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</si>
  <si>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</si>
  <si>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</si>
  <si>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</si>
  <si>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</si>
  <si>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</si>
  <si>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</si>
  <si>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</si>
  <si>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</si>
  <si>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</si>
  <si>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</si>
  <si>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</si>
  <si>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</si>
  <si>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</si>
  <si>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</si>
  <si>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</si>
  <si>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</si>
  <si>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</si>
  <si>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</si>
  <si>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</si>
  <si>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</si>
  <si>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</si>
  <si>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</si>
  <si>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</si>
  <si>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</si>
  <si>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</si>
  <si>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</si>
  <si>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</si>
  <si>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</si>
  <si>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</si>
  <si>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</si>
  <si>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</si>
  <si>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</si>
  <si>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</si>
  <si>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</si>
  <si>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</si>
  <si>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</si>
  <si>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</si>
  <si>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</si>
  <si>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</si>
  <si>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</si>
  <si>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</si>
  <si>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</si>
  <si>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</si>
  <si>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</si>
  <si>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</si>
  <si>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</si>
  <si>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</si>
  <si>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</si>
  <si>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</si>
  <si>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</si>
  <si>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</si>
  <si>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</si>
  <si>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</si>
  <si>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</si>
  <si>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</si>
  <si>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</si>
  <si>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</si>
  <si>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</si>
  <si>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</si>
  <si>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</si>
  <si>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</si>
  <si>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</si>
  <si>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</si>
  <si>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</si>
  <si>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</si>
  <si>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</si>
  <si>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</si>
  <si>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</si>
  <si>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</si>
  <si>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</si>
  <si>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</si>
  <si>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</si>
  <si>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</si>
  <si>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</si>
  <si>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</si>
  <si>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</si>
  <si>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</si>
  <si>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</si>
  <si>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</si>
  <si>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</si>
  <si>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</si>
  <si>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</si>
  <si>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</si>
  <si>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</si>
  <si>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</si>
  <si>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</si>
  <si>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</si>
  <si>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</si>
  <si>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</si>
  <si>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</si>
  <si>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</si>
  <si>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</si>
  <si>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</si>
  <si>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</si>
  <si>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</si>
  <si>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</si>
  <si>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</si>
  <si>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</si>
  <si>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</si>
  <si>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</si>
  <si>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</si>
  <si>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</si>
  <si>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</si>
  <si>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</si>
  <si>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</si>
  <si>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</si>
  <si>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</si>
  <si>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</si>
  <si>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</si>
  <si>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</si>
  <si>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</si>
  <si>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</si>
  <si>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</si>
  <si>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</si>
  <si>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</si>
  <si>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</si>
  <si>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</si>
  <si>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</si>
  <si>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</si>
  <si>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</si>
  <si>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</si>
  <si>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</si>
  <si>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</si>
  <si>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</si>
  <si>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</si>
  <si>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</si>
  <si>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</si>
  <si>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</si>
  <si>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</si>
  <si>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</si>
  <si>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</si>
  <si>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</si>
  <si>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</si>
  <si>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</si>
  <si>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</si>
  <si>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</si>
  <si>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</si>
  <si>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</si>
  <si>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</si>
  <si>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</si>
  <si>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</si>
  <si>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</si>
  <si>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</si>
  <si>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</si>
  <si>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</si>
  <si>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</si>
  <si>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</si>
  <si>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</si>
  <si>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</si>
  <si>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</si>
  <si>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</si>
  <si>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</si>
  <si>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</si>
  <si>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</si>
  <si>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</si>
  <si>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</si>
  <si>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</si>
  <si>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</si>
  <si>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</si>
  <si>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</si>
  <si>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</si>
  <si>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</si>
  <si>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</si>
  <si>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</si>
  <si>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</si>
  <si>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</si>
  <si>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</si>
  <si>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</si>
  <si>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</si>
  <si>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</si>
  <si>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</si>
  <si>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</si>
  <si>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</si>
  <si>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</si>
  <si>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</si>
  <si>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</si>
  <si>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</si>
  <si>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</si>
  <si>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</si>
  <si>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</si>
  <si>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</si>
  <si>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</si>
  <si>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</si>
  <si>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</si>
  <si>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</si>
  <si>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</si>
  <si>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</si>
  <si>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</si>
  <si>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</si>
  <si>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</si>
  <si>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</si>
  <si>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</si>
  <si>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</si>
  <si>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</si>
  <si>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</si>
  <si>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</si>
  <si>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</si>
  <si>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</si>
  <si>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</si>
  <si>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</si>
  <si>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</si>
  <si>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</si>
  <si>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</si>
  <si>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</si>
  <si>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</si>
  <si>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</si>
  <si>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</si>
  <si>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</si>
  <si>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</si>
  <si>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</si>
  <si>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</si>
  <si>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</si>
  <si>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</si>
  <si>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</si>
  <si>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</si>
  <si>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</si>
  <si>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</si>
  <si>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</si>
  <si>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</si>
  <si>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</si>
  <si>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</si>
  <si>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</si>
  <si>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</si>
  <si>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</si>
  <si>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</si>
  <si>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</si>
  <si>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</si>
  <si>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</si>
  <si>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</si>
  <si>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</si>
  <si>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</si>
  <si>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</si>
  <si>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</si>
  <si>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</si>
  <si>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</si>
  <si>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</si>
  <si>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</si>
  <si>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</si>
  <si>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</si>
  <si>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</si>
  <si>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</si>
  <si>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</si>
  <si>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</si>
  <si>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</si>
  <si>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</si>
  <si>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</si>
  <si>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</si>
  <si>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</si>
  <si>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</si>
  <si>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</si>
  <si>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</si>
  <si>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</si>
  <si>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</si>
  <si>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</si>
  <si>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</si>
  <si>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</si>
  <si>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</si>
  <si>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</si>
  <si>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</si>
  <si>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</si>
  <si>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</si>
  <si>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</si>
  <si>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</si>
  <si>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</si>
  <si>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</si>
  <si>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</si>
  <si>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</si>
  <si>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</si>
  <si>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</si>
  <si>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</si>
  <si>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</si>
  <si>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</si>
  <si>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</si>
  <si>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</si>
  <si>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</si>
  <si>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</si>
  <si>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</si>
  <si>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</si>
  <si>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</si>
  <si>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</si>
  <si>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</si>
  <si>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</si>
  <si>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</si>
  <si>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</si>
  <si>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</si>
  <si>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</si>
  <si>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</si>
  <si>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</si>
  <si>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</si>
  <si>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</si>
  <si>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</si>
  <si>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</si>
  <si>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</si>
  <si>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</si>
  <si>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</si>
  <si>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</si>
  <si>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</si>
  <si>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</si>
  <si>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</si>
  <si>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</si>
  <si>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</si>
  <si>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</si>
  <si>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</si>
  <si>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</si>
  <si>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</si>
  <si>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</si>
  <si>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</si>
  <si>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</si>
  <si>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</si>
  <si>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</si>
  <si>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</si>
  <si>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</si>
  <si>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</si>
  <si>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</si>
  <si>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</si>
  <si>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</si>
  <si>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</si>
  <si>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</si>
  <si>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</si>
  <si>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</si>
  <si>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</si>
  <si>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</si>
  <si>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</si>
  <si>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</si>
  <si>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</si>
  <si>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</si>
  <si>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</si>
  <si>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</si>
  <si>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</si>
  <si>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</si>
  <si>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</si>
  <si>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</si>
  <si>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</si>
  <si>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</si>
  <si>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</si>
  <si>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</si>
  <si>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</si>
  <si>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</si>
  <si>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</si>
  <si>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</si>
  <si>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</si>
  <si>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</si>
  <si>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</si>
  <si>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</si>
  <si>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</si>
  <si>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</si>
  <si>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</si>
  <si>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</si>
  <si>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</si>
  <si>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</si>
  <si>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</si>
  <si>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</si>
  <si>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</si>
  <si>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</si>
  <si>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</si>
  <si>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</si>
  <si>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</si>
  <si>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</si>
  <si>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</si>
  <si>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</si>
  <si>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</si>
  <si>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</si>
  <si>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</si>
  <si>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</si>
  <si>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</si>
  <si>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</si>
  <si>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</si>
  <si>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</si>
  <si>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</si>
  <si>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</si>
  <si>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</si>
  <si>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</si>
  <si>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</si>
  <si>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</si>
  <si>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</si>
  <si>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</si>
  <si>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</si>
  <si>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</si>
  <si>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</si>
  <si>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</si>
  <si>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</si>
  <si>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</si>
  <si>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</si>
  <si>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</si>
  <si>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</si>
  <si>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</si>
  <si>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</si>
  <si>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</si>
  <si>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</si>
  <si>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</si>
  <si>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</si>
  <si>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</si>
  <si>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</si>
  <si>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</si>
  <si>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</si>
  <si>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</si>
  <si>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</si>
  <si>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</si>
  <si>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</si>
  <si>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</si>
  <si>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</si>
  <si>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</si>
  <si>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</si>
  <si>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</si>
  <si>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</si>
  <si>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</si>
  <si>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</si>
  <si>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</si>
  <si>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</si>
  <si>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</si>
  <si>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</si>
  <si>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</si>
  <si>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</si>
  <si>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</si>
  <si>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</si>
  <si>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</si>
  <si>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</si>
  <si>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</si>
  <si>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</si>
  <si>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</si>
  <si>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</si>
  <si>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</si>
  <si>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</si>
  <si>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</si>
  <si>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</si>
  <si>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</si>
  <si>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</si>
  <si>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</si>
  <si>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</si>
  <si>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</si>
  <si>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</si>
  <si>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</si>
  <si>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</si>
  <si>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</si>
  <si>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</si>
  <si>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</si>
  <si>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</si>
  <si>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</si>
  <si>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</si>
  <si>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</si>
  <si>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</si>
  <si>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</si>
  <si>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</si>
  <si>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</si>
  <si>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</si>
  <si>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</si>
  <si>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</si>
  <si>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</si>
  <si>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</si>
  <si>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</si>
  <si>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</si>
  <si>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</si>
  <si>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</si>
  <si>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</si>
  <si>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</si>
  <si>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</si>
  <si>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</si>
  <si>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</si>
  <si>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</si>
  <si>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</si>
  <si>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</si>
  <si>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</si>
  <si>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</si>
  <si>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</si>
  <si>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</si>
  <si>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</si>
  <si>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</si>
  <si>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</si>
  <si>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</si>
  <si>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</si>
  <si>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</si>
  <si>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</si>
  <si>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</si>
  <si>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</si>
  <si>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</si>
  <si>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</si>
  <si>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</si>
  <si>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</si>
  <si>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</si>
  <si>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</si>
  <si>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</si>
  <si>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</si>
  <si>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</si>
  <si>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</si>
  <si>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</si>
  <si>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</si>
  <si>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</si>
  <si>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</si>
  <si>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</si>
  <si>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</si>
  <si>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</si>
  <si>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</si>
  <si>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</si>
  <si>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</si>
  <si>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</si>
  <si>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</si>
  <si>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</si>
  <si>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</si>
  <si>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</si>
  <si>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</si>
  <si>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</si>
  <si>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</si>
  <si>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</si>
  <si>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</si>
  <si>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</si>
  <si>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</si>
  <si>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</si>
  <si>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</si>
  <si>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</si>
  <si>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</si>
  <si>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</si>
  <si>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</si>
  <si>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</si>
  <si>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</si>
  <si>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</si>
  <si>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</si>
  <si>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</si>
  <si>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</si>
  <si>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</si>
  <si>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</si>
  <si>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</si>
  <si>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</si>
  <si>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</si>
  <si>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</si>
  <si>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</si>
  <si>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</si>
  <si>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</si>
  <si>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</si>
  <si>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</si>
  <si>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</si>
  <si>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</si>
  <si>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</si>
  <si>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</si>
  <si>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</si>
  <si>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</si>
  <si>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</si>
  <si>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</si>
  <si>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</si>
  <si>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</si>
  <si>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</si>
  <si>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</si>
  <si>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</si>
  <si>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</si>
  <si>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</si>
  <si>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</si>
  <si>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</si>
  <si>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</si>
  <si>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</si>
  <si>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</si>
  <si>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</si>
  <si>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</si>
  <si>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</si>
  <si>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</si>
  <si>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</si>
  <si>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</si>
  <si>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</si>
  <si>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</si>
  <si>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</si>
  <si>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</si>
  <si>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</si>
  <si>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</si>
  <si>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</si>
  <si>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</si>
  <si>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</si>
  <si>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</si>
  <si>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</si>
  <si>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</si>
  <si>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</si>
  <si>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</si>
  <si>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</si>
  <si>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</si>
  <si>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</si>
  <si>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</si>
  <si>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</si>
  <si>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</si>
  <si>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</si>
  <si>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</si>
  <si>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</si>
  <si>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</si>
  <si>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</si>
  <si>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</si>
  <si>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</si>
  <si>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</si>
  <si>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</si>
  <si>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</si>
  <si>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</si>
  <si>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</si>
  <si>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</si>
  <si>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</si>
  <si>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</si>
  <si>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</si>
  <si>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</si>
  <si>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</si>
  <si>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</si>
  <si>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</si>
  <si>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</si>
  <si>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</si>
  <si>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</si>
  <si>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</si>
  <si>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</si>
  <si>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</si>
  <si>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</si>
  <si>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</si>
  <si>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</si>
  <si>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</si>
  <si>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</si>
  <si>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</si>
  <si>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</si>
  <si>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</si>
  <si>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</si>
  <si>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</si>
  <si>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</si>
  <si>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</si>
  <si>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</si>
  <si>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</si>
  <si>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</si>
  <si>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</si>
  <si>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</si>
  <si>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</si>
  <si>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</si>
  <si>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</si>
  <si>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</si>
  <si>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</si>
  <si>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</si>
  <si>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</si>
  <si>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</si>
  <si>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</si>
  <si>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</si>
  <si>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</si>
  <si>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</si>
  <si>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</si>
  <si>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</si>
  <si>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</si>
  <si>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</si>
  <si>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</si>
  <si>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</si>
  <si>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</si>
  <si>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</si>
  <si>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</si>
  <si>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</si>
  <si>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</si>
  <si>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</si>
  <si>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</si>
  <si>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</si>
  <si>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</si>
  <si>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</si>
  <si>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</si>
  <si>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</si>
  <si>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</si>
  <si>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</si>
  <si>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</si>
  <si>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</si>
  <si>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</si>
  <si>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</si>
  <si>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</si>
  <si>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</si>
  <si>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</si>
  <si>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</si>
  <si>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</si>
  <si>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</si>
  <si>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</si>
  <si>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</si>
  <si>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</si>
  <si>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</si>
  <si>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</si>
  <si>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</si>
  <si>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</si>
  <si>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</si>
  <si>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</si>
  <si>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</si>
  <si>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</si>
  <si>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</si>
  <si>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</si>
  <si>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</si>
  <si>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</si>
  <si>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</si>
  <si>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</si>
  <si>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</si>
  <si>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</si>
  <si>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</si>
  <si>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</si>
  <si>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</si>
  <si>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</si>
  <si>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</si>
  <si>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</si>
  <si>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</si>
  <si>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</si>
  <si>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</si>
  <si>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</si>
  <si>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</si>
  <si>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</si>
  <si>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</si>
  <si>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</si>
  <si>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</si>
  <si>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</si>
  <si>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</si>
  <si>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</si>
  <si>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</si>
  <si>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</si>
  <si>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</si>
  <si>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</si>
  <si>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</si>
  <si>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</si>
  <si>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</si>
  <si>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</si>
  <si>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</si>
  <si>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</si>
  <si>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</si>
  <si>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</si>
  <si>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</si>
  <si>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</si>
  <si>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</si>
  <si>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</si>
  <si>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</si>
  <si>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</si>
  <si>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</si>
  <si>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</si>
  <si>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</si>
  <si>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</si>
  <si>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</si>
  <si>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</si>
  <si>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</si>
  <si>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</si>
  <si>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</si>
  <si>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</si>
  <si>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</si>
  <si>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</si>
  <si>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</si>
  <si>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</si>
  <si>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</si>
  <si>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</si>
  <si>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</si>
  <si>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</si>
  <si>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</si>
  <si>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</si>
  <si>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</si>
  <si>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</si>
  <si>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</si>
  <si>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</si>
  <si>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</si>
  <si>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</si>
  <si>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</si>
  <si>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</si>
  <si>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</si>
  <si>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</si>
  <si>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</si>
  <si>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</si>
  <si>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</si>
  <si>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</si>
  <si>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</si>
  <si>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</si>
  <si>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</si>
  <si>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</si>
  <si>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</si>
  <si>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</si>
  <si>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</si>
  <si>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</si>
  <si>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</si>
  <si>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</si>
  <si>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</si>
  <si>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</si>
  <si>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</si>
  <si>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</si>
  <si>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</si>
  <si>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</si>
  <si>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</si>
  <si>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</si>
  <si>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</si>
  <si>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</si>
  <si>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</si>
  <si>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</si>
  <si>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</si>
  <si>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</si>
  <si>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</si>
  <si>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</si>
  <si>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</si>
  <si>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</si>
  <si>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</si>
  <si>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</si>
  <si>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</si>
  <si>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</si>
  <si>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</si>
  <si>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</si>
  <si>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</si>
  <si>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</si>
  <si>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</si>
  <si>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</si>
  <si>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</si>
  <si>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</si>
  <si>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</si>
  <si>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</si>
  <si>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</si>
  <si>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</si>
  <si>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</si>
  <si>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</si>
  <si>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</si>
  <si>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</si>
  <si>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</si>
  <si>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</si>
  <si>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</si>
  <si>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</si>
  <si>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</si>
  <si>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</si>
  <si>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</si>
  <si>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</si>
  <si>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</si>
  <si>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</si>
  <si>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</si>
  <si>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</si>
  <si>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</si>
  <si>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</si>
  <si>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</si>
  <si>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</si>
  <si>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</si>
  <si>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</si>
  <si>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</si>
  <si>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</si>
  <si>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</si>
  <si>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</si>
  <si>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</si>
  <si>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</si>
  <si>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</si>
  <si>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</si>
  <si>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</si>
  <si>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</si>
  <si>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</si>
  <si>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</si>
  <si>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</si>
  <si>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</si>
  <si>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</si>
  <si>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</si>
  <si>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</si>
  <si>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</si>
  <si>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</si>
  <si>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</si>
  <si>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</si>
  <si>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</si>
  <si>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</si>
  <si>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</si>
  <si>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</si>
  <si>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</si>
  <si>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</si>
  <si>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</si>
  <si>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</si>
  <si>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</si>
  <si>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</si>
  <si>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</si>
  <si>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</si>
  <si>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</si>
  <si>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</si>
  <si>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</si>
  <si>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</si>
  <si>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</si>
  <si>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</si>
  <si>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</si>
  <si>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</si>
  <si>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</si>
  <si>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</si>
  <si>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</si>
  <si>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</si>
  <si>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</si>
  <si>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</si>
  <si>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</si>
  <si>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</si>
  <si>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</si>
  <si>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</si>
  <si>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</si>
  <si>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</si>
  <si>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</si>
  <si>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</si>
  <si>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</si>
  <si>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</si>
  <si>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</si>
  <si>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</si>
  <si>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</si>
  <si>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</si>
  <si>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</si>
  <si>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</si>
  <si>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</si>
  <si>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</si>
  <si>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</si>
  <si>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</si>
  <si>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</si>
  <si>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</si>
  <si>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</si>
  <si>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</si>
  <si>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</si>
  <si>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</si>
  <si>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</si>
  <si>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</si>
  <si>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</si>
  <si>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</si>
  <si>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</si>
  <si>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</si>
  <si>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</si>
  <si>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</si>
  <si>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</si>
  <si>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</si>
  <si>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</si>
  <si>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</si>
  <si>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</si>
  <si>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</si>
  <si>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</si>
  <si>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</si>
  <si>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</si>
  <si>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</si>
  <si>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</si>
  <si>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</si>
  <si>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</si>
  <si>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</si>
  <si>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</si>
  <si>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</si>
  <si>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</si>
  <si>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</si>
  <si>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</si>
  <si>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</si>
  <si>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</si>
  <si>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</si>
  <si>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</si>
  <si>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</si>
  <si>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</si>
  <si>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</si>
  <si>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</si>
  <si>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</si>
  <si>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</si>
  <si>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</si>
  <si>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</si>
  <si>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</si>
  <si>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</si>
  <si>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</si>
  <si>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</si>
  <si>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</si>
  <si>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</si>
  <si>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</si>
  <si>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</si>
  <si>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</si>
  <si>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</si>
  <si>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</si>
  <si>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</si>
  <si>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</si>
  <si>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</si>
  <si>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</si>
  <si>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</si>
  <si>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</si>
  <si>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</si>
  <si>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</si>
  <si>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</si>
  <si>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</si>
  <si>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</si>
  <si>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</si>
  <si>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</si>
  <si>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</si>
  <si>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</si>
  <si>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</si>
  <si>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</si>
  <si>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</si>
  <si>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</si>
  <si>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</si>
  <si>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</si>
  <si>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</si>
  <si>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</si>
  <si>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</si>
  <si>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</si>
  <si>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</si>
  <si>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</si>
  <si>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</si>
  <si>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</si>
  <si>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</si>
  <si>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</si>
  <si>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</si>
  <si>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</si>
  <si>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</si>
  <si>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</si>
  <si>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</si>
  <si>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</si>
  <si>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</si>
  <si>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</si>
  <si>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</si>
  <si>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</si>
  <si>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</si>
  <si>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</si>
  <si>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</si>
  <si>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</si>
  <si>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</si>
  <si>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</si>
  <si>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</si>
  <si>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</si>
  <si>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</si>
  <si>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</si>
  <si>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</si>
  <si>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</si>
  <si>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</si>
  <si>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</si>
  <si>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</si>
  <si>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</si>
  <si>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</si>
  <si>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</si>
  <si>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</si>
  <si>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</si>
  <si>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</si>
  <si>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</si>
  <si>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</si>
  <si>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</si>
  <si>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</si>
  <si>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</si>
  <si>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</si>
  <si>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</si>
  <si>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</si>
  <si>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</si>
  <si>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</si>
  <si>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</si>
  <si>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</si>
  <si>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</si>
  <si>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</si>
  <si>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</si>
  <si>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</si>
  <si>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</si>
  <si>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</si>
  <si>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</si>
  <si>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</si>
  <si>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</si>
  <si>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</si>
  <si>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</si>
  <si>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</si>
  <si>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</si>
  <si>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</si>
  <si>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</si>
  <si>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</si>
  <si>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</si>
  <si>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</si>
  <si>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</si>
  <si>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</si>
  <si>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</si>
  <si>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</si>
  <si>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</si>
  <si>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</si>
  <si>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</si>
  <si>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</si>
  <si>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</si>
  <si>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</si>
  <si>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</si>
  <si>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</si>
  <si>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</si>
  <si>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</si>
  <si>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</si>
  <si>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</si>
  <si>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</si>
  <si>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</si>
  <si>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</si>
  <si>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</si>
  <si>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</si>
  <si>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</si>
  <si>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</si>
  <si>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</si>
  <si>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</si>
  <si>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</si>
  <si>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</si>
  <si>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</si>
  <si>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</si>
  <si>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</si>
  <si>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</si>
  <si>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</si>
  <si>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</si>
  <si>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</si>
  <si>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</si>
  <si>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</si>
  <si>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</si>
  <si>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</si>
  <si>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</si>
  <si>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</si>
  <si>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</si>
  <si>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</si>
  <si>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</si>
  <si>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</si>
  <si>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</si>
  <si>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</si>
  <si>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</si>
  <si>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</si>
  <si>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</si>
  <si>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</si>
  <si>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</si>
  <si>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</si>
  <si>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</si>
  <si>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</si>
  <si>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</si>
  <si>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</si>
  <si>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</si>
  <si>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</si>
  <si>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</si>
  <si>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</si>
  <si>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</si>
  <si>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</si>
  <si>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</si>
  <si>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</si>
  <si>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</si>
  <si>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</si>
  <si>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</si>
  <si>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</si>
  <si>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</si>
  <si>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</si>
  <si>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</si>
  <si>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</si>
  <si>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</si>
  <si>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</si>
  <si>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</si>
  <si>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</si>
  <si>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</si>
  <si>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</si>
  <si>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</si>
  <si>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</si>
  <si>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</si>
  <si>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</si>
  <si>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</si>
  <si>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</si>
  <si>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</si>
  <si>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</si>
  <si>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</si>
  <si>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</si>
  <si>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</si>
  <si>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</si>
  <si>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</si>
  <si>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</si>
  <si>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</si>
  <si>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</si>
  <si>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</si>
  <si>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</si>
  <si>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</si>
  <si>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</si>
  <si>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</si>
  <si>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</si>
  <si>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</si>
  <si>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</si>
  <si>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</si>
  <si>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</si>
  <si>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</si>
  <si>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</si>
  <si>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</si>
  <si>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</si>
  <si>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</si>
  <si>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</si>
  <si>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</si>
  <si>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</si>
  <si>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</si>
  <si>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</si>
  <si>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</si>
  <si>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</si>
  <si>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</si>
  <si>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</si>
  <si>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</si>
  <si>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</si>
  <si>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</si>
  <si>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</si>
  <si>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</si>
  <si>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</si>
  <si>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</si>
  <si>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</si>
  <si>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</si>
  <si>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</si>
  <si>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</si>
  <si>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</si>
  <si>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</si>
  <si>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</si>
  <si>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</si>
  <si>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</si>
  <si>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</si>
  <si>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</si>
  <si>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</si>
  <si>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</si>
  <si>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</si>
  <si>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</si>
  <si>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</si>
  <si>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</si>
  <si>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</si>
  <si>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</si>
  <si>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</si>
  <si>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</si>
  <si>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</si>
  <si>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</si>
  <si>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</si>
  <si>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</si>
  <si>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</si>
  <si>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</si>
  <si>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</si>
  <si>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</si>
  <si>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</si>
  <si>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</si>
  <si>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</si>
  <si>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</si>
  <si>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</si>
  <si>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</si>
  <si>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</si>
  <si>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</si>
  <si>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</si>
  <si>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</si>
  <si>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</si>
  <si>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</si>
  <si>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</si>
  <si>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</si>
  <si>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</si>
  <si>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</si>
  <si>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</si>
  <si>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</si>
  <si>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</si>
  <si>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</si>
  <si>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</si>
  <si>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</si>
  <si>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</si>
  <si>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</si>
  <si>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</si>
  <si>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</si>
  <si>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</si>
  <si>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</si>
  <si>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</si>
  <si>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</si>
  <si>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</si>
  <si>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</si>
  <si>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</si>
  <si>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</si>
  <si>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</si>
  <si>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</si>
  <si>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</si>
  <si>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</si>
  <si>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</si>
  <si>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</si>
  <si>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</si>
  <si>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</si>
  <si>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</si>
  <si>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</si>
  <si>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</si>
  <si>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</si>
  <si>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</si>
  <si>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</si>
  <si>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</si>
  <si>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</si>
  <si>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</si>
  <si>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</si>
  <si>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</si>
  <si>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</si>
  <si>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</si>
  <si>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</si>
  <si>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</si>
  <si>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</si>
  <si>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</si>
  <si>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</si>
  <si>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</si>
  <si>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</si>
  <si>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</si>
  <si>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</si>
  <si>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</si>
  <si>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</si>
  <si>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</si>
  <si>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</si>
  <si>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</si>
  <si>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</si>
  <si>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</si>
  <si>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</si>
  <si>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</si>
  <si>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</si>
  <si>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</si>
  <si>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</si>
  <si>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</si>
  <si>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</si>
  <si>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</si>
  <si>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</si>
  <si>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</si>
  <si>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</si>
  <si>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</si>
  <si>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</si>
  <si>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</si>
  <si>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</si>
  <si>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</si>
  <si>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</si>
  <si>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</si>
  <si>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</si>
  <si>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</si>
  <si>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</si>
  <si>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</si>
  <si>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</si>
  <si>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</si>
  <si>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</si>
  <si>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</si>
  <si>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</si>
  <si>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</si>
  <si>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</si>
  <si>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</si>
  <si>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</si>
  <si>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</si>
  <si>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</si>
  <si>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</si>
  <si>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</si>
  <si>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</si>
  <si>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</si>
  <si>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</si>
  <si>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</si>
  <si>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</si>
  <si>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</si>
  <si>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</si>
  <si>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</si>
  <si>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</si>
  <si>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</si>
  <si>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</si>
  <si>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</si>
  <si>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</si>
  <si>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</si>
  <si>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</si>
  <si>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</si>
  <si>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</si>
  <si>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</si>
  <si>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</si>
  <si>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</si>
  <si>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</si>
  <si>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</si>
  <si>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</si>
  <si>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</si>
  <si>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</si>
  <si>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</si>
  <si>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</si>
  <si>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</si>
  <si>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</si>
  <si>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</si>
  <si>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</si>
  <si>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</si>
  <si>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</si>
  <si>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</si>
  <si>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</si>
  <si>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</si>
  <si>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</si>
  <si>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</si>
  <si>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</si>
  <si>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</si>
  <si>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</si>
  <si>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</si>
  <si>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</si>
  <si>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</si>
  <si>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</si>
  <si>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</si>
  <si>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</si>
  <si>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</si>
  <si>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</si>
  <si>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</si>
  <si>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</si>
  <si>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</si>
  <si>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</si>
  <si>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</si>
  <si>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</si>
  <si>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</si>
  <si>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</si>
  <si>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</si>
  <si>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</si>
  <si>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</si>
  <si>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</si>
  <si>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</si>
  <si>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</si>
  <si>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</si>
  <si>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</si>
  <si>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</si>
  <si>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</si>
  <si>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</si>
  <si>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</si>
  <si>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</si>
  <si>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</si>
  <si>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</si>
  <si>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</si>
  <si>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</si>
  <si>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</si>
  <si>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</si>
  <si>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</si>
  <si>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</si>
  <si>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</si>
  <si>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</si>
  <si>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</si>
  <si>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</si>
  <si>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</si>
  <si>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</si>
  <si>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</si>
  <si>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</si>
  <si>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</si>
  <si>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</si>
  <si>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</si>
  <si>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</si>
  <si>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</si>
  <si>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</si>
  <si>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</si>
  <si>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</si>
  <si>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</si>
  <si>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</si>
  <si>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</si>
  <si>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</si>
  <si>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</si>
  <si>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</si>
  <si>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</si>
  <si>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</si>
  <si>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</si>
  <si>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</si>
  <si>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</si>
  <si>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</si>
  <si>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</si>
  <si>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</si>
  <si>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</si>
  <si>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</si>
  <si>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</si>
  <si>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</si>
  <si>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</si>
  <si>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</si>
  <si>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</si>
  <si>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</si>
  <si>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</si>
  <si>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</si>
  <si>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</si>
  <si>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</si>
  <si>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</si>
  <si>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</si>
  <si>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</si>
  <si>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</si>
  <si>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</si>
  <si>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</si>
  <si>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</si>
  <si>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</si>
  <si>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</si>
  <si>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</si>
  <si>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</si>
  <si>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</si>
  <si>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</si>
  <si>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</si>
  <si>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</si>
  <si>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</si>
  <si>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</si>
  <si>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</si>
  <si>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</si>
  <si>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</si>
  <si>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</si>
  <si>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</si>
  <si>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</si>
  <si>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</si>
  <si>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</si>
  <si>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</si>
  <si>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</si>
  <si>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</si>
  <si>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</si>
  <si>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</si>
  <si>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</si>
  <si>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</si>
  <si>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</si>
  <si>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</si>
  <si>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</si>
  <si>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</si>
  <si>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</si>
  <si>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</si>
  <si>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</si>
  <si>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</si>
  <si>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</si>
  <si>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</si>
  <si>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</si>
  <si>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</si>
  <si>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</si>
  <si>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</si>
  <si>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</si>
  <si>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</si>
  <si>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</si>
  <si>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</si>
  <si>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</si>
  <si>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</si>
  <si>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</si>
  <si>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</si>
  <si>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</si>
  <si>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</si>
  <si>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</si>
  <si>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</si>
  <si>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</si>
  <si>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</si>
  <si>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</si>
  <si>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</si>
  <si>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</si>
  <si>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</si>
  <si>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</si>
  <si>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</si>
  <si>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</si>
  <si>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</si>
  <si>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</si>
  <si>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</si>
  <si>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</si>
  <si>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</si>
  <si>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</si>
  <si>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</si>
  <si>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</si>
  <si>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</si>
  <si>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</si>
  <si>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</si>
  <si>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</si>
  <si>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</si>
  <si>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</si>
  <si>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</si>
  <si>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</si>
  <si>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</si>
  <si>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</si>
  <si>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</si>
  <si>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</si>
  <si>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</si>
  <si>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</si>
  <si>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</si>
  <si>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</si>
  <si>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</si>
  <si>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</si>
  <si>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</si>
  <si>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</si>
  <si>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</si>
  <si>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</si>
  <si>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</si>
  <si>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</si>
  <si>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</si>
  <si>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</si>
  <si>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</si>
  <si>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</si>
  <si>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</si>
  <si>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</si>
  <si>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</si>
  <si>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</si>
  <si>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</si>
  <si>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</si>
  <si>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</si>
  <si>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</si>
  <si>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</si>
  <si>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</si>
  <si>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</si>
  <si>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</si>
  <si>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</si>
  <si>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</si>
  <si>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</si>
  <si>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</si>
  <si>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</si>
  <si>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</si>
  <si>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</si>
  <si>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</si>
  <si>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</si>
  <si>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</si>
  <si>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</si>
  <si>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</si>
  <si>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</si>
  <si>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</si>
  <si>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</si>
  <si>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</si>
  <si>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</si>
  <si>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</si>
  <si>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</si>
  <si>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</si>
  <si>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</si>
  <si>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</si>
  <si>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</si>
  <si>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</si>
  <si>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</si>
  <si>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</si>
  <si>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</si>
  <si>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</si>
  <si>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</si>
  <si>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</si>
  <si>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</si>
  <si>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</si>
  <si>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</si>
  <si>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</si>
  <si>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</si>
  <si>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</si>
  <si>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</si>
  <si>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</si>
  <si>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</si>
  <si>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</si>
  <si>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</si>
  <si>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</si>
  <si>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</si>
  <si>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</si>
  <si>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</si>
  <si>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</si>
  <si>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</si>
  <si>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</si>
  <si>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</si>
  <si>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</si>
  <si>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</si>
  <si>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</si>
  <si>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</si>
  <si>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</si>
  <si>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</si>
  <si>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</si>
  <si>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</si>
  <si>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</si>
  <si>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</si>
  <si>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</si>
  <si>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</si>
  <si>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</si>
  <si>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</si>
  <si>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</si>
  <si>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</si>
  <si>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</si>
  <si>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</si>
  <si>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</si>
  <si>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</si>
  <si>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</si>
  <si>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</si>
  <si>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</si>
  <si>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</si>
  <si>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</si>
  <si>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</si>
  <si>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</si>
  <si>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</si>
  <si>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</si>
  <si>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</si>
  <si>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</si>
  <si>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</si>
  <si>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</si>
  <si>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</si>
  <si>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</si>
  <si>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</si>
  <si>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</si>
  <si>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</si>
  <si>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</si>
  <si>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</si>
  <si>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</si>
  <si>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</si>
  <si>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</si>
  <si>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</si>
  <si>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</si>
  <si>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</si>
  <si>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</si>
  <si>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</si>
  <si>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</si>
  <si>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</si>
  <si>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</si>
  <si>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</si>
  <si>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</si>
  <si>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</si>
  <si>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</si>
  <si>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</si>
  <si>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</si>
  <si>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</si>
  <si>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</si>
  <si>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</si>
  <si>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</si>
  <si>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</si>
  <si>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</si>
  <si>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</si>
  <si>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</si>
  <si>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</si>
  <si>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</si>
  <si>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</si>
  <si>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</si>
  <si>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</si>
  <si>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</si>
  <si>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</si>
  <si>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</si>
  <si>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</si>
  <si>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</si>
  <si>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</si>
  <si>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</si>
  <si>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</si>
  <si>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</si>
  <si>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</si>
  <si>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</si>
  <si>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</si>
  <si>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</si>
  <si>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</si>
  <si>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</si>
  <si>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</si>
  <si>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</si>
  <si>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</si>
  <si>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</si>
  <si>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</si>
  <si>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</si>
  <si>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</si>
  <si>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</si>
  <si>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</si>
  <si>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</si>
  <si>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</si>
  <si>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</si>
  <si>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</si>
  <si>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</si>
  <si>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</si>
  <si>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</si>
  <si>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</si>
  <si>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</si>
  <si>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</si>
  <si>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</si>
  <si>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</si>
  <si>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</si>
  <si>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</si>
  <si>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</si>
  <si>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</si>
  <si>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</si>
  <si>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</si>
  <si>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</si>
  <si>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</si>
  <si>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</si>
  <si>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</si>
  <si>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</si>
  <si>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</si>
  <si>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</si>
  <si>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</si>
  <si>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</si>
  <si>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</si>
  <si>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</si>
  <si>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</si>
  <si>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</si>
  <si>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</si>
  <si>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</si>
  <si>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</si>
  <si>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</si>
  <si>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</si>
  <si>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</si>
  <si>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</si>
  <si>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</si>
  <si>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</si>
  <si>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</si>
  <si>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</si>
  <si>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</si>
  <si>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</si>
  <si>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</si>
  <si>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</si>
  <si>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</si>
  <si>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</si>
  <si>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</si>
  <si>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</si>
  <si>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</si>
  <si>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</si>
  <si>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</si>
  <si>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</si>
  <si>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</si>
  <si>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</si>
  <si>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</si>
  <si>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</si>
  <si>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</si>
  <si>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</si>
  <si>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</si>
  <si>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</si>
  <si>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</si>
  <si>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</si>
  <si>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</si>
  <si>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</si>
  <si>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</si>
  <si>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</si>
  <si>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</si>
  <si>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</si>
  <si>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</si>
  <si>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</si>
  <si>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</si>
  <si>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</si>
  <si>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</si>
  <si>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</si>
  <si>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</si>
  <si>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</si>
  <si>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</si>
  <si>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</si>
  <si>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</si>
  <si>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</si>
  <si>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</si>
  <si>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</si>
  <si>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</si>
  <si>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</si>
  <si>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</si>
  <si>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</si>
  <si>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</si>
  <si>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</si>
  <si>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</si>
  <si>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</si>
  <si>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</si>
  <si>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</si>
  <si>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</si>
  <si>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</si>
  <si>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</si>
  <si>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</si>
  <si>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</si>
  <si>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</si>
  <si>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</si>
  <si>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</si>
  <si>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</si>
  <si>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</si>
  <si>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</si>
  <si>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</si>
  <si>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</si>
  <si>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</si>
  <si>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</si>
  <si>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</si>
  <si>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</si>
  <si>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</si>
  <si>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</si>
  <si>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</si>
  <si>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</si>
  <si>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</si>
  <si>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</si>
  <si>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</si>
  <si>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</si>
  <si>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</si>
  <si>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</si>
  <si>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</si>
  <si>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</si>
  <si>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</si>
  <si>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</si>
  <si>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</si>
  <si>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</si>
  <si>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</si>
  <si>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</si>
  <si>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</si>
  <si>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</si>
  <si>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</si>
  <si>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</si>
  <si>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</si>
  <si>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</si>
  <si>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</si>
  <si>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</si>
  <si>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</si>
  <si>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</si>
  <si>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</si>
  <si>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</si>
  <si>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</si>
  <si>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</si>
  <si>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</si>
  <si>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</si>
  <si>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</si>
  <si>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</si>
  <si>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</si>
  <si>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</si>
  <si>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</si>
  <si>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</si>
  <si>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</si>
  <si>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</si>
  <si>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</si>
  <si>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</si>
  <si>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</si>
  <si>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</si>
  <si>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</si>
  <si>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</si>
  <si>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</si>
  <si>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</si>
  <si>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</si>
  <si>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</si>
  <si>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</si>
  <si>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</si>
  <si>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</si>
  <si>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</si>
  <si>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</si>
  <si>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</si>
  <si>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</si>
  <si>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</si>
  <si>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</si>
  <si>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</si>
  <si>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</si>
  <si>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</si>
  <si>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</si>
  <si>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</si>
  <si>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</si>
  <si>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</si>
  <si>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</si>
  <si>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</si>
  <si>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</si>
  <si>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</si>
  <si>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</si>
  <si>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</si>
  <si>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</si>
  <si>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</si>
  <si>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</si>
  <si>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</si>
  <si>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</si>
  <si>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</si>
  <si>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</si>
  <si>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</si>
  <si>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</si>
  <si>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</si>
  <si>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</si>
  <si>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</si>
  <si>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</si>
  <si>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</si>
  <si>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</si>
  <si>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</si>
  <si>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</si>
  <si>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</si>
  <si>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</si>
  <si>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</si>
  <si>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</si>
  <si>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</si>
  <si>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</si>
  <si>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</si>
  <si>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</si>
  <si>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</si>
  <si>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</si>
  <si>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</si>
  <si>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</si>
  <si>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</si>
  <si>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</si>
  <si>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</si>
  <si>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</si>
  <si>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</si>
  <si>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</si>
  <si>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</si>
  <si>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</si>
  <si>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</si>
  <si>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</si>
  <si>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</si>
  <si>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</si>
  <si>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</si>
  <si>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</si>
  <si>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</si>
  <si>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</si>
  <si>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</si>
  <si>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</si>
  <si>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</si>
  <si>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</si>
  <si>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</si>
  <si>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</si>
  <si>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</si>
  <si>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</si>
  <si>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</si>
  <si>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</si>
  <si>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</si>
  <si>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</si>
  <si>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</si>
  <si>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</si>
  <si>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</si>
  <si>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</si>
  <si>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</si>
  <si>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</si>
  <si>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</si>
  <si>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</si>
  <si>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</si>
  <si>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</si>
  <si>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</si>
  <si>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</si>
  <si>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</si>
  <si>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</si>
  <si>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</si>
  <si>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</si>
  <si>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</si>
  <si>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</si>
  <si>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</si>
  <si>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</si>
  <si>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</si>
  <si>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</si>
  <si>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</si>
  <si>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</si>
  <si>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</si>
  <si>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</si>
  <si>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</si>
  <si>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</si>
  <si>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</si>
  <si>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</si>
  <si>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</si>
  <si>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</si>
  <si>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</si>
  <si>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</si>
  <si>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</si>
  <si>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</si>
  <si>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</si>
  <si>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</si>
  <si>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</si>
  <si>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</si>
  <si>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</si>
  <si>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</si>
  <si>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</si>
  <si>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</si>
  <si>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</si>
  <si>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</si>
  <si>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</si>
  <si>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</si>
  <si>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</si>
  <si>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</si>
  <si>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</si>
  <si>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</si>
  <si>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</si>
  <si>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</si>
  <si>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</si>
  <si>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</si>
  <si>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</si>
  <si>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</si>
  <si>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</si>
  <si>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</si>
  <si>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</si>
  <si>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</si>
  <si>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</si>
  <si>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</si>
  <si>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</si>
  <si>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</si>
  <si>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</si>
  <si>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</si>
  <si>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</si>
  <si>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</si>
  <si>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</si>
  <si>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</si>
  <si>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</si>
  <si>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</si>
  <si>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</si>
  <si>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</si>
  <si>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</si>
  <si>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</si>
  <si>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</si>
  <si>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</si>
  <si>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</si>
  <si>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</si>
  <si>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</si>
  <si>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</si>
  <si>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</si>
  <si>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</si>
  <si>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</si>
  <si>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</si>
  <si>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</si>
  <si>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</si>
  <si>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</si>
  <si>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</si>
  <si>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</si>
  <si>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</si>
  <si>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</si>
  <si>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</si>
  <si>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</si>
  <si>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</si>
  <si>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</si>
  <si>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</si>
  <si>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</si>
  <si>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</si>
  <si>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</si>
  <si>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</si>
  <si>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</si>
  <si>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</si>
  <si>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</si>
  <si>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</si>
  <si>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</si>
  <si>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</si>
  <si>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</si>
  <si>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</si>
  <si>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</si>
  <si>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</si>
  <si>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</si>
  <si>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</si>
  <si>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</si>
  <si>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</si>
  <si>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</si>
  <si>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</si>
  <si>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</si>
  <si>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</si>
  <si>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</si>
  <si>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</si>
  <si>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</si>
  <si>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</si>
  <si>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</si>
  <si>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</si>
  <si>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</si>
  <si>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</si>
  <si>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</si>
  <si>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</si>
  <si>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</si>
  <si>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</si>
  <si>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</si>
  <si>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</si>
  <si>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</si>
  <si>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</si>
  <si>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</si>
  <si>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</si>
  <si>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</si>
  <si>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</si>
  <si>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</si>
  <si>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</si>
  <si>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</si>
  <si>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</si>
  <si>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</si>
  <si>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</si>
  <si>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</si>
  <si>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</si>
  <si>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</si>
  <si>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</si>
  <si>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</si>
  <si>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</si>
  <si>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</si>
  <si>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</si>
  <si>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</si>
  <si>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</si>
  <si>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</si>
  <si>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</si>
  <si>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</si>
  <si>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</si>
  <si>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</si>
  <si>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</si>
  <si>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</si>
  <si>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</si>
  <si>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</si>
  <si>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</si>
  <si>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</si>
  <si>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</si>
  <si>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</si>
  <si>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</si>
  <si>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</si>
  <si>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</si>
  <si>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</si>
  <si>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</si>
  <si>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</si>
  <si>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</si>
  <si>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</si>
  <si>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</si>
  <si>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</si>
  <si>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</si>
  <si>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</si>
  <si>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</si>
  <si>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</si>
  <si>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</si>
  <si>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</si>
  <si>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</si>
  <si>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</si>
  <si>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</si>
  <si>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</si>
  <si>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</si>
  <si>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</si>
  <si>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</si>
  <si>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</si>
  <si>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</si>
  <si>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</si>
  <si>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</si>
  <si>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</si>
  <si>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</si>
  <si>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</si>
  <si>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</si>
  <si>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</si>
  <si>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</si>
  <si>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</si>
  <si>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</si>
  <si>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</si>
  <si>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</si>
  <si>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</si>
  <si>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</si>
  <si>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</si>
  <si>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</si>
  <si>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</si>
  <si>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</si>
  <si>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</si>
  <si>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</si>
  <si>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</si>
  <si>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</si>
  <si>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</si>
  <si>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</si>
  <si>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</si>
  <si>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</si>
  <si>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</si>
  <si>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</si>
  <si>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</si>
  <si>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</si>
  <si>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</si>
  <si>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</si>
  <si>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</si>
  <si>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</si>
  <si>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</si>
  <si>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</si>
  <si>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</si>
  <si>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</si>
  <si>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</si>
  <si>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</si>
  <si>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</si>
  <si>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</si>
  <si>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</si>
  <si>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</si>
  <si>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</si>
  <si>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</si>
  <si>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</si>
  <si>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</si>
  <si>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</si>
  <si>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</si>
  <si>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</si>
  <si>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</si>
  <si>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</si>
  <si>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</si>
  <si>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</si>
  <si>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</si>
  <si>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</si>
  <si>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</si>
  <si>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</si>
  <si>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</si>
  <si>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</si>
  <si>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</si>
  <si>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</si>
  <si>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</si>
  <si>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</si>
  <si>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</si>
  <si>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</si>
  <si>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</si>
  <si>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</si>
  <si>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</si>
  <si>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</si>
  <si>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</si>
  <si>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</si>
  <si>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</si>
  <si>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</si>
  <si>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</si>
  <si>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</si>
  <si>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</si>
  <si>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</si>
  <si>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</si>
  <si>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</si>
  <si>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</si>
  <si>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</si>
  <si>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</si>
  <si>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</si>
  <si>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</si>
  <si>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</si>
  <si>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</si>
  <si>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</si>
  <si>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</si>
  <si>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</si>
  <si>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</si>
  <si>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</si>
  <si>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</si>
  <si>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</si>
  <si>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</si>
  <si>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</si>
  <si>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</si>
  <si>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</si>
  <si>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</si>
  <si>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</si>
  <si>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</si>
  <si>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</si>
  <si>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</si>
  <si>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</si>
  <si>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</si>
  <si>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</si>
  <si>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</si>
  <si>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</si>
  <si>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</si>
  <si>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</si>
  <si>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</si>
  <si>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</si>
  <si>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</si>
  <si>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</si>
  <si>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</si>
  <si>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</si>
  <si>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</si>
  <si>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</si>
  <si>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</si>
  <si>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</si>
  <si>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</si>
  <si>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</si>
  <si>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</si>
  <si>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</si>
  <si>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</si>
  <si>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</si>
  <si>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</si>
  <si>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</si>
  <si>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</si>
  <si>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</si>
  <si>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</si>
  <si>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</si>
  <si>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</si>
  <si>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</si>
  <si>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</si>
  <si>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</si>
  <si>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</si>
  <si>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</si>
  <si>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</si>
  <si>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</si>
  <si>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</si>
  <si>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</si>
  <si>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</si>
  <si>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</si>
  <si>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</si>
  <si>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</si>
  <si>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</si>
  <si>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</si>
  <si>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</si>
  <si>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</si>
  <si>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</si>
  <si>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</si>
  <si>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</si>
  <si>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</si>
  <si>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</si>
  <si>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</si>
  <si>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</si>
  <si>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</si>
  <si>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</si>
  <si>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</si>
  <si>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</si>
  <si>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</si>
  <si>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</si>
  <si>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</si>
  <si>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</si>
  <si>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</si>
  <si>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</si>
  <si>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</si>
  <si>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</si>
  <si>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</si>
  <si>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</si>
  <si>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</si>
  <si>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</si>
  <si>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</si>
  <si>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</si>
  <si>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</si>
  <si>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</si>
  <si>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</si>
  <si>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</si>
  <si>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</si>
  <si>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</si>
  <si>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</si>
  <si>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</si>
  <si>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</si>
  <si>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</si>
  <si>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</si>
  <si>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</si>
  <si>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</si>
  <si>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</si>
  <si>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</si>
  <si>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</si>
  <si>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</si>
  <si>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</si>
  <si>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</si>
  <si>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</si>
  <si>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</si>
  <si>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</si>
  <si>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</si>
  <si>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</si>
  <si>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</si>
  <si>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</si>
  <si>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</si>
  <si>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</si>
  <si>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</si>
  <si>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</si>
  <si>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</si>
  <si>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</si>
  <si>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</si>
  <si>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</si>
  <si>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</si>
  <si>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</si>
  <si>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</si>
  <si>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</si>
  <si>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</si>
  <si>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</si>
  <si>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</si>
  <si>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</si>
  <si>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</si>
  <si>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</si>
  <si>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</si>
  <si>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</si>
  <si>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</si>
  <si>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</si>
  <si>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</si>
  <si>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</si>
  <si>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</si>
  <si>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</si>
  <si>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</si>
  <si>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</si>
  <si>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</si>
  <si>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</si>
  <si>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</si>
  <si>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</si>
  <si>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</si>
  <si>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</si>
  <si>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</si>
  <si>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</si>
  <si>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</si>
  <si>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</si>
  <si>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</si>
  <si>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</si>
  <si>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</si>
  <si>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</si>
  <si>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</si>
  <si>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</si>
  <si>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</si>
  <si>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</si>
  <si>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</si>
  <si>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</si>
  <si>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</si>
  <si>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</si>
  <si>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</si>
  <si>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</si>
  <si>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</si>
  <si>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</si>
  <si>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</si>
  <si>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</si>
  <si>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</si>
  <si>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</si>
  <si>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</si>
  <si>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</si>
  <si>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</si>
  <si>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</si>
  <si>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</si>
  <si>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</si>
  <si>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</si>
  <si>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</si>
  <si>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</si>
  <si>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</si>
  <si>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</si>
  <si>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</si>
  <si>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</si>
  <si>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</si>
  <si>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</si>
  <si>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</si>
  <si>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</si>
  <si>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</si>
  <si>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</si>
  <si>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</si>
  <si>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</si>
  <si>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</si>
  <si>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</si>
  <si>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</si>
  <si>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</si>
  <si>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</si>
  <si>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</si>
  <si>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</si>
  <si>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</si>
  <si>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</si>
  <si>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</si>
  <si>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</si>
  <si>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</si>
  <si>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</si>
  <si>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</si>
  <si>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</si>
  <si>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</si>
  <si>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</si>
  <si>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</si>
  <si>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</si>
  <si>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</si>
  <si>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</si>
  <si>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</si>
  <si>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</si>
  <si>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</si>
  <si>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</si>
  <si>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</si>
  <si>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</si>
  <si>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</si>
  <si>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</si>
  <si>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</si>
  <si>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</si>
  <si>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</si>
  <si>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</si>
  <si>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</si>
  <si>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</si>
  <si>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</si>
  <si>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</si>
  <si>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</si>
  <si>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</si>
  <si>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</si>
  <si>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</si>
  <si>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</si>
  <si>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</si>
  <si>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</si>
  <si>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</si>
  <si>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</si>
  <si>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</si>
  <si>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</si>
  <si>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</si>
  <si>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</si>
  <si>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</si>
  <si>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</si>
  <si>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</si>
  <si>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</si>
  <si>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</si>
  <si>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</si>
  <si>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</si>
  <si>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</si>
  <si>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</si>
  <si>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</si>
  <si>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</si>
  <si>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</si>
  <si>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</si>
  <si>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</si>
  <si>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</si>
  <si>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</si>
  <si>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</si>
  <si>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</si>
  <si>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</si>
  <si>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</si>
  <si>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</si>
  <si>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</si>
  <si>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</si>
  <si>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</si>
  <si>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</si>
  <si>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</si>
  <si>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</si>
  <si>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</si>
  <si>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</si>
  <si>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</si>
  <si>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</si>
  <si>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</si>
  <si>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</si>
  <si>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</si>
  <si>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</si>
  <si>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</si>
  <si>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</si>
  <si>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</si>
  <si>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</si>
  <si>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</si>
  <si>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</si>
  <si>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</si>
  <si>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</si>
  <si>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</si>
  <si>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</si>
  <si>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</si>
  <si>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</si>
  <si>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</si>
  <si>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</si>
  <si>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</si>
  <si>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</si>
  <si>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</si>
  <si>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</si>
  <si>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</si>
  <si>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</si>
  <si>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</si>
  <si>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</si>
  <si>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</si>
  <si>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</si>
  <si>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</si>
  <si>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</si>
  <si>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</si>
  <si>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</si>
  <si>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</si>
  <si>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</si>
  <si>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</si>
  <si>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</si>
  <si>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</si>
  <si>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</si>
  <si>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</si>
  <si>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</si>
  <si>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</si>
  <si>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</si>
  <si>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</si>
  <si>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</si>
  <si>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</si>
  <si>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</si>
  <si>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</si>
  <si>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</si>
  <si>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</si>
  <si>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</si>
  <si>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</si>
  <si>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</si>
  <si>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</si>
  <si>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</si>
  <si>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</si>
  <si>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</si>
  <si>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</si>
  <si>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</si>
  <si>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</si>
  <si>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</si>
  <si>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</si>
  <si>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</si>
  <si>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</si>
  <si>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</si>
  <si>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</si>
  <si>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</si>
  <si>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</si>
  <si>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</si>
  <si>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</si>
  <si>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</si>
  <si>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</si>
  <si>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</si>
  <si>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</si>
  <si>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</si>
  <si>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</si>
  <si>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</si>
  <si>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</si>
  <si>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</si>
  <si>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</si>
  <si>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</si>
  <si>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</si>
  <si>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</si>
  <si>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</si>
  <si>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</si>
  <si>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</si>
  <si>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</si>
  <si>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</si>
  <si>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</si>
  <si>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</si>
  <si>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</si>
  <si>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</si>
  <si>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</si>
  <si>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</si>
  <si>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</si>
  <si>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</si>
  <si>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</si>
  <si>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</si>
  <si>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</si>
  <si>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</si>
  <si>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</si>
  <si>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</si>
  <si>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</si>
  <si>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</si>
  <si>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</si>
  <si>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</si>
  <si>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</si>
  <si>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</si>
  <si>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</si>
  <si>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</si>
  <si>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</si>
  <si>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</si>
  <si>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</si>
  <si>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</si>
  <si>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</si>
  <si>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</si>
  <si>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</si>
  <si>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</si>
  <si>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</si>
  <si>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</si>
  <si>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</si>
  <si>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</si>
  <si>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</si>
  <si>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</si>
  <si>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</si>
  <si>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</si>
  <si>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</si>
  <si>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</si>
  <si>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</si>
  <si>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</si>
  <si>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</si>
  <si>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</si>
  <si>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</si>
  <si>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</si>
  <si>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</si>
  <si>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</si>
  <si>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</si>
  <si>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</si>
  <si>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</si>
  <si>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</si>
  <si>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</si>
  <si>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</si>
  <si>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</si>
  <si>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</si>
  <si>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</si>
  <si>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</si>
  <si>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</si>
  <si>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</si>
  <si>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</si>
  <si>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</si>
  <si>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</si>
  <si>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</si>
  <si>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</si>
  <si>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</si>
  <si>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</si>
  <si>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</si>
  <si>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</si>
  <si>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</si>
  <si>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</si>
  <si>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</si>
  <si>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</si>
  <si>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</si>
  <si>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</si>
  <si>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</si>
  <si>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</si>
  <si>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</si>
  <si>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</si>
  <si>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</si>
  <si>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</si>
  <si>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</si>
  <si>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</si>
  <si>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</si>
  <si>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</si>
  <si>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</si>
  <si>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</si>
  <si>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</si>
  <si>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</si>
  <si>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</si>
  <si>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</si>
  <si>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</si>
  <si>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</si>
  <si>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</si>
  <si>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</si>
  <si>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</si>
  <si>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</si>
  <si>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</si>
  <si>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</si>
  <si>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</si>
  <si>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</si>
  <si>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</si>
  <si>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</si>
  <si>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</si>
  <si>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</si>
  <si>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</si>
  <si>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</si>
  <si>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</si>
  <si>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</si>
  <si>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</si>
  <si>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</si>
  <si>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</si>
  <si>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</si>
  <si>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</si>
  <si>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</si>
  <si>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</si>
  <si>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</si>
  <si>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</si>
  <si>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</si>
  <si>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</si>
  <si>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</si>
  <si>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</si>
  <si>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</si>
  <si>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</si>
  <si>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</si>
  <si>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</si>
  <si>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</si>
  <si>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</si>
  <si>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</si>
  <si>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</si>
  <si>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</si>
  <si>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</si>
  <si>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</si>
  <si>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</si>
  <si>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</si>
  <si>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</si>
  <si>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</si>
  <si>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</si>
  <si>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</si>
  <si>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</si>
  <si>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</si>
  <si>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</si>
  <si>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</si>
  <si>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</si>
  <si>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</si>
  <si>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</si>
  <si>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</si>
  <si>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</si>
  <si>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</si>
  <si>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</si>
  <si>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</si>
  <si>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</si>
  <si>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</si>
  <si>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</si>
  <si>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</si>
  <si>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</si>
  <si>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</si>
  <si>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</si>
  <si>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</si>
  <si>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</si>
  <si>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</si>
  <si>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</si>
  <si>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</si>
  <si>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</si>
  <si>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</si>
  <si>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</si>
  <si>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</si>
  <si>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</si>
  <si>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</si>
  <si>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</si>
  <si>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</si>
  <si>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</si>
  <si>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</si>
  <si>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</si>
  <si>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</si>
  <si>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</si>
  <si>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</si>
  <si>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</si>
  <si>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</si>
  <si>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</si>
  <si>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</si>
  <si>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</si>
  <si>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</si>
  <si>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</si>
  <si>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</si>
  <si>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</si>
  <si>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</si>
  <si>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</si>
  <si>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</si>
  <si>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</si>
  <si>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</si>
  <si>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</si>
  <si>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</si>
  <si>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</si>
  <si>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</si>
  <si>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</si>
  <si>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</si>
  <si>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</si>
  <si>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</si>
  <si>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</si>
  <si>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</si>
  <si>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</si>
  <si>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</si>
  <si>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</si>
  <si>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</si>
  <si>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</si>
  <si>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</si>
  <si>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</si>
  <si>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</si>
  <si>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</si>
  <si>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</si>
  <si>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</si>
  <si>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</si>
  <si>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</si>
  <si>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</si>
  <si>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</si>
  <si>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</si>
  <si>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</si>
  <si>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</si>
  <si>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</si>
  <si>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</si>
  <si>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</si>
  <si>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</si>
  <si>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</si>
  <si>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</si>
  <si>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</si>
  <si>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</si>
  <si>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</si>
  <si>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</si>
  <si>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</si>
  <si>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</si>
  <si>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</si>
  <si>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</si>
  <si>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</si>
  <si>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</si>
  <si>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</si>
  <si>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</si>
  <si>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</si>
  <si>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</si>
  <si>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</si>
  <si>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</si>
  <si>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</si>
  <si>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</si>
  <si>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</si>
  <si>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</si>
  <si>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</si>
  <si>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</si>
  <si>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</si>
  <si>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</si>
  <si>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</si>
  <si>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</si>
  <si>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</si>
  <si>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</si>
  <si>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</si>
  <si>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</si>
  <si>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</si>
  <si>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</si>
  <si>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</si>
  <si>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</si>
  <si>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</si>
  <si>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</si>
  <si>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</si>
  <si>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</si>
  <si>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</si>
  <si>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</si>
  <si>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</si>
  <si>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</si>
  <si>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</si>
  <si>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</si>
  <si>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</si>
  <si>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</si>
  <si>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</si>
  <si>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</si>
  <si>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</si>
  <si>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</si>
  <si>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</si>
  <si>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</si>
  <si>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</si>
  <si>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</si>
  <si>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</si>
  <si>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</si>
  <si>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</si>
  <si>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</si>
  <si>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</si>
  <si>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</si>
  <si>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</si>
  <si>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</si>
  <si>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</si>
  <si>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</si>
  <si>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</si>
  <si>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</si>
  <si>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</si>
  <si>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</si>
  <si>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</si>
  <si>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</si>
  <si>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</si>
  <si>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</si>
  <si>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</si>
  <si>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</si>
  <si>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</si>
  <si>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</si>
  <si>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</si>
  <si>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</si>
  <si>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</si>
  <si>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</si>
  <si>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</si>
  <si>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</si>
  <si>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</si>
  <si>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</si>
  <si>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</si>
  <si>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</si>
  <si>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</si>
  <si>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</si>
  <si>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</si>
  <si>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</si>
  <si>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</si>
  <si>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</si>
  <si>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</si>
  <si>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</si>
  <si>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</si>
  <si>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</si>
  <si>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</si>
  <si>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</si>
  <si>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</si>
  <si>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</si>
  <si>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</si>
  <si>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</si>
  <si>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</si>
  <si>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</si>
  <si>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</si>
  <si>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</si>
  <si>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</si>
  <si>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</si>
  <si>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</si>
  <si>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</si>
  <si>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</si>
  <si>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</si>
  <si>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</si>
  <si>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</si>
  <si>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</si>
  <si>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</si>
  <si>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</si>
  <si>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</si>
  <si>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</si>
  <si>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</si>
  <si>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</si>
  <si>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</si>
  <si>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</si>
  <si>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</si>
  <si>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</si>
  <si>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</si>
  <si>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</si>
  <si>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</si>
  <si>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</si>
  <si>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</si>
  <si>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</si>
  <si>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</si>
  <si>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</si>
  <si>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</si>
  <si>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</si>
  <si>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</si>
  <si>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</si>
  <si>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</si>
  <si>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</si>
  <si>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</si>
  <si>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</si>
  <si>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</si>
  <si>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</si>
  <si>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</si>
  <si>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</si>
  <si>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</si>
  <si>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</si>
  <si>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</si>
  <si>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</si>
  <si>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</si>
  <si>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</si>
  <si>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</si>
  <si>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</si>
  <si>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</si>
  <si>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</si>
  <si>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</si>
  <si>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</si>
  <si>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</si>
  <si>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</si>
  <si>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</si>
  <si>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</si>
  <si>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</si>
  <si>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</si>
  <si>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</si>
  <si>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</si>
  <si>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</si>
  <si>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</si>
  <si>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</si>
  <si>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</si>
  <si>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</si>
  <si>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</si>
  <si>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</si>
  <si>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</si>
  <si>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</si>
  <si>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</si>
  <si>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</si>
  <si>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</si>
  <si>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</si>
  <si>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</si>
  <si>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</si>
  <si>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</si>
  <si>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</si>
  <si>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</si>
  <si>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</si>
  <si>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</si>
  <si>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</si>
  <si>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</si>
  <si>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</si>
  <si>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</si>
  <si>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</si>
  <si>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</si>
  <si>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</si>
  <si>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</si>
  <si>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</si>
  <si>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</si>
  <si>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</si>
  <si>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</si>
  <si>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</si>
  <si>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</si>
  <si>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</si>
  <si>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</si>
  <si>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</si>
  <si>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</si>
  <si>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</si>
  <si>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</si>
  <si>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</si>
  <si>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</si>
  <si>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</si>
  <si>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</si>
  <si>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</si>
  <si>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</si>
  <si>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</si>
  <si>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</si>
  <si>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</si>
  <si>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</si>
  <si>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</si>
  <si>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</si>
  <si>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</si>
  <si>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</si>
  <si>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</si>
  <si>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</si>
  <si>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</si>
  <si>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</si>
  <si>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</si>
  <si>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</si>
  <si>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</si>
  <si>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</si>
  <si>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</si>
  <si>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</si>
  <si>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</si>
  <si>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</si>
  <si>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</si>
  <si>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</si>
  <si>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</si>
  <si>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</si>
  <si>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</si>
  <si>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</si>
  <si>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</si>
  <si>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</si>
  <si>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</si>
  <si>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</si>
  <si>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</si>
  <si>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</si>
  <si>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</si>
  <si>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</si>
  <si>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</si>
  <si>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</si>
  <si>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</si>
  <si>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</si>
  <si>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</si>
  <si>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</si>
  <si>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</si>
  <si>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</si>
  <si>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</si>
  <si>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</si>
  <si>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</si>
  <si>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</si>
  <si>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</si>
  <si>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</si>
  <si>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</si>
  <si>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</si>
  <si>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</si>
  <si>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</si>
  <si>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</si>
  <si>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</si>
  <si>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</si>
  <si>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</si>
  <si>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</si>
  <si>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</si>
  <si>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</si>
  <si>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</si>
  <si>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</si>
  <si>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</si>
  <si>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</si>
  <si>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</si>
  <si>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</si>
  <si>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</si>
  <si>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</si>
  <si>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</si>
  <si>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</si>
  <si>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</si>
  <si>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</si>
  <si>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</si>
  <si>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</si>
  <si>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</si>
  <si>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</si>
  <si>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</si>
  <si>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</si>
  <si>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</si>
  <si>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</si>
  <si>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</si>
  <si>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</si>
  <si>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</si>
  <si>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</si>
  <si>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</si>
  <si>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</si>
  <si>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</si>
  <si>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</si>
  <si>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</si>
  <si>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</si>
  <si>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</si>
  <si>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</si>
  <si>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</si>
  <si>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</si>
  <si>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</si>
  <si>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</si>
  <si>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</si>
  <si>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</si>
  <si>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</si>
  <si>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</si>
  <si>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</si>
  <si>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</si>
  <si>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</si>
  <si>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</si>
  <si>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</si>
  <si>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</si>
  <si>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</si>
  <si>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</si>
  <si>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</si>
  <si>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</si>
  <si>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</si>
  <si>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</si>
  <si>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</si>
  <si>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</si>
  <si>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</si>
  <si>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</si>
  <si>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</si>
  <si>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</si>
  <si>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</si>
  <si>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</si>
  <si>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</si>
  <si>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</si>
  <si>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</si>
  <si>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</si>
  <si>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</si>
  <si>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</si>
  <si>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</si>
  <si>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</si>
  <si>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</si>
  <si>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</si>
  <si>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</si>
  <si>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</si>
  <si>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</si>
  <si>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</si>
  <si>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</si>
  <si>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</si>
  <si>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</si>
  <si>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</si>
  <si>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</si>
  <si>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</si>
  <si>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</si>
  <si>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</si>
  <si>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</si>
  <si>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</si>
  <si>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</si>
  <si>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</si>
  <si>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</si>
  <si>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</si>
  <si>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</si>
  <si>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</si>
  <si>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</si>
  <si>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</si>
  <si>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</si>
  <si>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</si>
  <si>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</si>
  <si>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</si>
  <si>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</si>
  <si>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</si>
  <si>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</si>
  <si>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</si>
  <si>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</si>
  <si>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</si>
  <si>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</si>
  <si>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</si>
  <si>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</si>
  <si>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</si>
  <si>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</si>
  <si>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</si>
  <si>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</si>
  <si>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</si>
  <si>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</si>
  <si>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</si>
  <si>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</si>
  <si>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</si>
  <si>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</si>
  <si>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</si>
  <si>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</si>
  <si>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</si>
  <si>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</si>
  <si>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</si>
  <si>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</si>
  <si>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</si>
  <si>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</si>
  <si>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</si>
  <si>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</si>
  <si>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</si>
  <si>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</si>
  <si>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</si>
  <si>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</si>
  <si>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</si>
  <si>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</si>
  <si>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</si>
  <si>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</si>
  <si>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</si>
  <si>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</si>
  <si>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</si>
  <si>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</si>
  <si>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</si>
  <si>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</si>
  <si>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</si>
  <si>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</si>
  <si>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</si>
  <si>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</si>
  <si>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</si>
  <si>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</si>
  <si>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</si>
  <si>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</si>
  <si>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</si>
  <si>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</si>
  <si>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</si>
  <si>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</si>
  <si>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</si>
  <si>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</si>
  <si>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</si>
  <si>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</si>
  <si>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</si>
  <si>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</si>
  <si>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</si>
  <si>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</si>
  <si>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</si>
  <si>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</si>
  <si>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</si>
  <si>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</si>
  <si>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</si>
  <si>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</si>
  <si>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</si>
  <si>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</si>
  <si>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</si>
  <si>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</si>
  <si>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</si>
  <si>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</si>
  <si>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</si>
  <si>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</si>
  <si>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</si>
  <si>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</si>
  <si>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</si>
  <si>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</si>
  <si>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</si>
  <si>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</si>
  <si>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</si>
  <si>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</si>
  <si>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</si>
  <si>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</si>
  <si>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</si>
  <si>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</si>
  <si>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</si>
  <si>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</si>
  <si>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</si>
  <si>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</si>
  <si>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</si>
  <si>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</si>
  <si>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</si>
  <si>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</si>
  <si>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</si>
  <si>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</si>
  <si>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</si>
  <si>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</si>
  <si>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</si>
  <si>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</si>
  <si>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</si>
  <si>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</si>
  <si>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</si>
  <si>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</si>
  <si>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</si>
  <si>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</si>
  <si>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</si>
  <si>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</si>
  <si>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</si>
  <si>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</si>
  <si>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</si>
  <si>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</si>
  <si>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</si>
  <si>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</si>
  <si>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</si>
  <si>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</si>
  <si>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</si>
  <si>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</si>
  <si>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</si>
  <si>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</si>
  <si>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</si>
  <si>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</si>
  <si>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</si>
  <si>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</si>
  <si>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</si>
  <si>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</si>
  <si>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</si>
  <si>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</si>
  <si>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</si>
  <si>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</si>
  <si>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</si>
  <si>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</si>
  <si>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</si>
  <si>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</si>
  <si>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</si>
  <si>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</si>
  <si>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</si>
  <si>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</si>
  <si>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</si>
  <si>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</si>
  <si>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</si>
  <si>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</si>
  <si>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</si>
  <si>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</si>
  <si>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</si>
  <si>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</si>
  <si>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</si>
  <si>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</si>
  <si>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</si>
  <si>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</si>
  <si>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</si>
  <si>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</si>
  <si>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</si>
  <si>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</si>
  <si>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</si>
  <si>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</si>
  <si>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</si>
  <si>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</si>
  <si>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</si>
  <si>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</si>
  <si>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</si>
  <si>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</si>
  <si>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</si>
  <si>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</si>
  <si>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</si>
  <si>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</si>
  <si>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</si>
  <si>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</si>
  <si>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</si>
  <si>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</si>
  <si>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</si>
  <si>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</si>
  <si>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</si>
  <si>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</si>
  <si>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</si>
  <si>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</si>
  <si>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</si>
  <si>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</si>
  <si>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</si>
  <si>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</si>
  <si>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</si>
  <si>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</si>
  <si>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</si>
  <si>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</si>
  <si>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</si>
  <si>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</si>
  <si>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</si>
  <si>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</si>
  <si>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</si>
  <si>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</si>
  <si>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</si>
  <si>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</si>
  <si>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</si>
  <si>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</si>
  <si>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</si>
  <si>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</si>
  <si>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</si>
  <si>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</si>
  <si>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</si>
  <si>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</si>
  <si>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</si>
  <si>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</si>
  <si>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</si>
  <si>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</si>
  <si>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</si>
  <si>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</si>
  <si>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</si>
  <si>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</si>
  <si>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</si>
  <si>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</si>
  <si>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</si>
  <si>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</si>
  <si>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</si>
  <si>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</si>
  <si>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</si>
  <si>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</si>
  <si>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</si>
  <si>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</si>
  <si>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</si>
  <si>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</si>
  <si>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</si>
  <si>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</si>
  <si>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</si>
  <si>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</si>
  <si>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</si>
  <si>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</si>
  <si>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</si>
  <si>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</si>
  <si>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</si>
  <si>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</si>
  <si>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</si>
  <si>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</si>
  <si>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</si>
  <si>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</si>
  <si>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</si>
  <si>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</si>
  <si>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</si>
  <si>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</si>
  <si>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</si>
  <si>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</si>
  <si>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</si>
  <si>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</si>
  <si>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</si>
  <si>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</si>
  <si>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</si>
  <si>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</si>
  <si>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</si>
  <si>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</si>
  <si>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</si>
  <si>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</si>
  <si>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</si>
  <si>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</si>
  <si>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</si>
  <si>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</si>
  <si>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</si>
  <si>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</si>
  <si>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</si>
  <si>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</si>
  <si>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</si>
  <si>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</si>
  <si>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</si>
  <si>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</si>
  <si>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</si>
  <si>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</si>
  <si>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</si>
  <si>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</si>
  <si>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</si>
  <si>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</si>
  <si>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</si>
  <si>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</si>
  <si>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</si>
  <si>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</si>
  <si>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</si>
  <si>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</si>
  <si>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</si>
  <si>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</si>
  <si>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</si>
  <si>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</si>
  <si>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</si>
  <si>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</si>
  <si>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</si>
  <si>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</si>
  <si>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</si>
  <si>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</si>
  <si>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</si>
  <si>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</si>
  <si>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</si>
  <si>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</si>
  <si>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</si>
  <si>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</si>
  <si>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</si>
  <si>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</si>
  <si>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</si>
  <si>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</si>
  <si>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</si>
  <si>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</si>
  <si>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</si>
  <si>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</si>
  <si>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</si>
  <si>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</si>
  <si>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</si>
  <si>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</si>
  <si>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</si>
  <si>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</si>
  <si>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</si>
  <si>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</si>
  <si>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</si>
  <si>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</si>
  <si>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</si>
  <si>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</si>
  <si>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</si>
  <si>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</si>
  <si>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</si>
  <si>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</si>
  <si>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</si>
  <si>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</si>
  <si>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</si>
  <si>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</si>
  <si>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</si>
  <si>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</si>
  <si>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</si>
  <si>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</si>
  <si>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</si>
  <si>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</si>
  <si>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</si>
  <si>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</si>
  <si>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</si>
  <si>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</si>
  <si>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</si>
  <si>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</si>
  <si>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</si>
  <si>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</si>
  <si>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</si>
  <si>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</si>
  <si>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</si>
  <si>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</si>
  <si>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</si>
  <si>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</si>
  <si>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</si>
  <si>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</si>
  <si>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</si>
  <si>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</si>
  <si>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</si>
  <si>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</si>
  <si>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</si>
  <si>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</si>
  <si>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</si>
  <si>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</si>
  <si>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</si>
  <si>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</si>
  <si>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</si>
  <si>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</si>
  <si>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</si>
  <si>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</si>
  <si>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</si>
  <si>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</si>
  <si>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</si>
  <si>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</si>
  <si>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</si>
  <si>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</si>
  <si>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</si>
  <si>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</si>
  <si>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</si>
  <si>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</si>
  <si>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</si>
  <si>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</si>
  <si>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</si>
  <si>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</si>
  <si>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</si>
  <si>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</si>
  <si>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</si>
  <si>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</si>
  <si>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</si>
  <si>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</si>
  <si>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</si>
  <si>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</si>
  <si>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</si>
  <si>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</si>
  <si>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</si>
  <si>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</si>
  <si>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</si>
  <si>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</si>
  <si>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</si>
  <si>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</si>
  <si>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</si>
  <si>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</si>
  <si>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</si>
  <si>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</si>
  <si>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</si>
  <si>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</si>
  <si>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</si>
  <si>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</si>
  <si>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</si>
  <si>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</si>
  <si>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</si>
  <si>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</si>
  <si>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</si>
  <si>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</si>
  <si>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</si>
  <si>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</si>
  <si>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</si>
  <si>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</si>
  <si>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</si>
  <si>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</si>
  <si>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</si>
  <si>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</si>
  <si>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</si>
  <si>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</si>
  <si>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</si>
  <si>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</si>
  <si>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</si>
  <si>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</si>
  <si>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</si>
  <si>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</si>
  <si>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</si>
  <si>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</si>
  <si>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</si>
  <si>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</si>
  <si>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</si>
  <si>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</si>
  <si>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</si>
  <si>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</si>
  <si>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</si>
  <si>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</si>
  <si>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</si>
  <si>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</si>
  <si>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</si>
  <si>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</si>
  <si>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</si>
  <si>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</si>
  <si>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</si>
  <si>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</si>
  <si>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</si>
  <si>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</si>
  <si>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</si>
  <si>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</si>
  <si>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</si>
  <si>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</si>
  <si>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</si>
  <si>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</si>
  <si>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</si>
  <si>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</si>
  <si>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</si>
  <si>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</si>
  <si>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</si>
  <si>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</si>
  <si>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</si>
  <si>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</si>
  <si>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</si>
  <si>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</si>
  <si>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</si>
  <si>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</si>
  <si>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</si>
  <si>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</si>
  <si>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</si>
  <si>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</si>
  <si>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</si>
  <si>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</si>
  <si>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</si>
  <si>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</si>
  <si>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</si>
  <si>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</si>
  <si>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</si>
  <si>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</si>
  <si>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</si>
  <si>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</si>
  <si>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</si>
  <si>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</si>
  <si>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</si>
  <si>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</si>
  <si>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</si>
  <si>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</si>
  <si>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</si>
  <si>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</si>
  <si>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</si>
  <si>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</si>
  <si>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</si>
  <si>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</si>
  <si>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</si>
  <si>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</si>
  <si>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</si>
  <si>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</si>
  <si>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</si>
  <si>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</si>
  <si>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</si>
  <si>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</si>
  <si>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</si>
  <si>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</si>
  <si>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</si>
  <si>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</si>
  <si>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</si>
  <si>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</si>
  <si>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</si>
  <si>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</si>
  <si>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</si>
  <si>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</si>
  <si>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</si>
  <si>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</si>
  <si>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</si>
  <si>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</si>
  <si>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</si>
  <si>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</si>
  <si>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</si>
  <si>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</si>
  <si>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</si>
  <si>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</si>
  <si>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</si>
  <si>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</si>
  <si>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</si>
  <si>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</si>
  <si>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</si>
  <si>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</si>
  <si>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</si>
  <si>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</si>
  <si>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</si>
  <si>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</si>
  <si>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</si>
  <si>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</si>
  <si>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</si>
  <si>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</si>
  <si>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</si>
  <si>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</si>
  <si>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</si>
  <si>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</si>
  <si>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</si>
  <si>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</si>
  <si>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</si>
  <si>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</si>
  <si>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</si>
  <si>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</si>
  <si>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</si>
  <si>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</si>
  <si>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</si>
  <si>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</si>
  <si>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</si>
  <si>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</si>
  <si>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</si>
  <si>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</si>
  <si>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</si>
  <si>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</si>
  <si>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</si>
  <si>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</si>
  <si>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</si>
  <si>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</si>
  <si>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</si>
  <si>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</si>
  <si>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</si>
  <si>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</si>
  <si>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</si>
  <si>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</si>
  <si>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</si>
  <si>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</si>
  <si>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</si>
  <si>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</si>
  <si>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</si>
  <si>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</si>
  <si>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</si>
  <si>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</si>
  <si>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</si>
  <si>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</si>
  <si>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</si>
  <si>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</si>
  <si>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</si>
  <si>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</si>
  <si>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</si>
  <si>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</si>
  <si>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</si>
  <si>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</si>
  <si>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</si>
  <si>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</si>
  <si>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</si>
  <si>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</si>
  <si>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</si>
  <si>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</si>
  <si>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</si>
  <si>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</si>
  <si>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</si>
  <si>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</si>
  <si>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</si>
  <si>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</si>
  <si>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</si>
  <si>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</si>
  <si>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</si>
  <si>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</si>
  <si>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</si>
  <si>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</si>
  <si>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</si>
  <si>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</si>
  <si>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</si>
  <si>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</si>
  <si>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</si>
  <si>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</si>
  <si>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</si>
  <si>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</si>
  <si>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</si>
  <si>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</si>
  <si>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</si>
  <si>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</si>
  <si>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</si>
  <si>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</si>
  <si>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</si>
  <si>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</si>
  <si>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</si>
  <si>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</si>
  <si>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</si>
  <si>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</si>
  <si>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</si>
  <si>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</si>
  <si>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</si>
  <si>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</si>
  <si>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</si>
  <si>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</si>
  <si>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</si>
  <si>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</si>
  <si>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</si>
  <si>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</si>
  <si>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</si>
  <si>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</si>
  <si>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</si>
  <si>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</si>
  <si>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</si>
  <si>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</si>
  <si>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</si>
  <si>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</si>
  <si>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</si>
  <si>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</si>
  <si>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</si>
  <si>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</si>
  <si>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</si>
  <si>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</si>
  <si>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</si>
  <si>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</si>
  <si>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</si>
  <si>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</si>
  <si>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</si>
  <si>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</si>
  <si>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</si>
  <si>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</si>
  <si>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</si>
  <si>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</si>
  <si>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</si>
  <si>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</si>
  <si>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</si>
  <si>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</si>
  <si>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</si>
  <si>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</si>
  <si>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</si>
  <si>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</si>
  <si>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</si>
  <si>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</si>
  <si>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</si>
  <si>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</si>
  <si>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</si>
  <si>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</si>
  <si>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</si>
  <si>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</si>
  <si>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</si>
  <si>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</si>
  <si>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</si>
  <si>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</si>
  <si>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</si>
  <si>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</si>
  <si>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</si>
  <si>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</si>
  <si>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</si>
  <si>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</si>
  <si>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</si>
  <si>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</si>
  <si>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</si>
  <si>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</si>
  <si>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</si>
  <si>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</si>
  <si>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</si>
  <si>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</si>
  <si>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</si>
  <si>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</si>
  <si>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</si>
  <si>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</si>
  <si>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</si>
  <si>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</si>
  <si>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</si>
  <si>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</si>
  <si>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</si>
  <si>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</si>
  <si>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</si>
  <si>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</si>
  <si>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</si>
  <si>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</si>
  <si>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</si>
  <si>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</si>
  <si>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</si>
  <si>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</si>
  <si>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</si>
  <si>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</si>
  <si>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</si>
  <si>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</si>
  <si>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</si>
  <si>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</si>
  <si>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</si>
  <si>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</si>
  <si>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</si>
  <si>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</si>
  <si>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</si>
  <si>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</si>
  <si>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</si>
  <si>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</si>
  <si>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</si>
  <si>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</si>
  <si>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</si>
  <si>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</si>
  <si>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</si>
  <si>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</si>
  <si>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</si>
  <si>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</si>
  <si>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</si>
  <si>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</si>
  <si>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</si>
  <si>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</si>
  <si>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</si>
  <si>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</si>
  <si>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</si>
  <si>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</si>
  <si>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</si>
  <si>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</si>
  <si>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</si>
  <si>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</si>
  <si>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</si>
  <si>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</si>
  <si>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</si>
  <si>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</si>
  <si>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</si>
  <si>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</si>
  <si>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</si>
  <si>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</si>
  <si>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</si>
  <si>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</si>
  <si>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</si>
  <si>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</si>
  <si>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</si>
  <si>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</si>
  <si>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</si>
  <si>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</si>
  <si>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</si>
  <si>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</si>
  <si>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</si>
  <si>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</si>
  <si>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</si>
  <si>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</si>
  <si>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</si>
  <si>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</si>
  <si>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</si>
  <si>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</si>
  <si>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</si>
  <si>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</si>
  <si>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</si>
  <si>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</si>
  <si>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</si>
  <si>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</si>
  <si>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</si>
  <si>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</si>
  <si>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</si>
  <si>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</si>
  <si>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</si>
  <si>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</si>
  <si>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</si>
  <si>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</si>
  <si>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</si>
  <si>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</si>
  <si>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</si>
  <si>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</si>
  <si>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</si>
  <si>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</si>
  <si>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</si>
  <si>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</si>
  <si>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</si>
  <si>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</si>
  <si>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</si>
  <si>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</si>
  <si>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</si>
  <si>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</si>
  <si>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</si>
  <si>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</si>
  <si>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</si>
  <si>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</si>
  <si>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</si>
  <si>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</si>
  <si>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</si>
  <si>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</si>
  <si>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</si>
  <si>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</si>
  <si>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</si>
  <si>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</si>
  <si>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</si>
  <si>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</si>
  <si>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</si>
  <si>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</si>
  <si>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</si>
  <si>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</si>
  <si>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</si>
  <si>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</si>
  <si>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</si>
  <si>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</si>
  <si>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</si>
  <si>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</si>
  <si>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</si>
  <si>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</si>
  <si>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</si>
  <si>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</si>
  <si>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</si>
  <si>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</si>
  <si>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</si>
  <si>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</si>
  <si>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</si>
  <si>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</si>
  <si>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</si>
  <si>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</si>
  <si>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</si>
  <si>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</si>
  <si>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</si>
  <si>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</si>
  <si>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</si>
  <si>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</si>
  <si>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</si>
  <si>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</si>
  <si>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</si>
  <si>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</si>
  <si>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</si>
  <si>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</si>
  <si>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</si>
  <si>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</si>
  <si>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</si>
  <si>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</si>
  <si>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</si>
  <si>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</si>
  <si>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</si>
  <si>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</si>
  <si>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</si>
  <si>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</si>
  <si>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</si>
  <si>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</si>
  <si>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</si>
  <si>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</si>
  <si>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</si>
  <si>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</si>
  <si>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</si>
  <si>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</si>
  <si>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</si>
  <si>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</si>
  <si>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</si>
  <si>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</si>
  <si>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</si>
  <si>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</si>
  <si>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</si>
  <si>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</si>
  <si>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</si>
  <si>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</si>
  <si>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</si>
  <si>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</si>
  <si>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</si>
  <si>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</si>
  <si>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</si>
  <si>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</si>
  <si>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</si>
  <si>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</si>
  <si>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</si>
  <si>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</si>
  <si>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</si>
  <si>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</si>
  <si>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</si>
  <si>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</si>
  <si>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</si>
  <si>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</si>
  <si>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</si>
  <si>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</si>
  <si>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</si>
  <si>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</si>
  <si>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</si>
  <si>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</si>
  <si>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</si>
  <si>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</si>
  <si>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</si>
  <si>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</si>
  <si>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</si>
  <si>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</si>
  <si>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</si>
  <si>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</si>
  <si>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</si>
  <si>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</si>
  <si>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</si>
  <si>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</si>
  <si>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</si>
  <si>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</si>
  <si>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</si>
  <si>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</si>
  <si>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</si>
  <si>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</si>
  <si>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</si>
  <si>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</si>
  <si>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</si>
  <si>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</si>
  <si>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</si>
  <si>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</si>
  <si>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</si>
  <si>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</si>
  <si>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</si>
  <si>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</si>
  <si>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</si>
  <si>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</si>
  <si>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</si>
  <si>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</si>
  <si>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</si>
  <si>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</si>
  <si>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</si>
  <si>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</si>
  <si>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</si>
  <si>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</si>
  <si>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</si>
  <si>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</si>
  <si>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</si>
  <si>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</si>
  <si>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</si>
  <si>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</si>
  <si>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</si>
  <si>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</si>
  <si>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</si>
  <si>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</si>
  <si>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</si>
  <si>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</si>
  <si>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</si>
  <si>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</si>
  <si>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</si>
  <si>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</si>
  <si>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</si>
  <si>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</si>
  <si>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</si>
  <si>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</si>
  <si>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</si>
  <si>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</si>
  <si>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</si>
  <si>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</si>
  <si>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</si>
  <si>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</si>
  <si>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</si>
  <si>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</si>
  <si>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</si>
  <si>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</si>
  <si>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</si>
  <si>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</si>
  <si>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</si>
  <si>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</si>
  <si>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</si>
  <si>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</si>
  <si>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</si>
  <si>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</si>
  <si>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</si>
  <si>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</si>
  <si>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</si>
  <si>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</si>
  <si>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</si>
  <si>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</si>
  <si>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</si>
  <si>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</si>
  <si>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</si>
  <si>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</si>
  <si>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</si>
  <si>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</si>
  <si>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</si>
  <si>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</si>
  <si>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</si>
  <si>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</si>
  <si>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</si>
  <si>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</si>
  <si>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</si>
  <si>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</si>
  <si>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</si>
  <si>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</si>
  <si>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</si>
  <si>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</si>
  <si>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</si>
  <si>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</si>
  <si>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</si>
  <si>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</si>
  <si>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</si>
  <si>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</si>
  <si>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</si>
  <si>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</si>
  <si>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</si>
  <si>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</si>
  <si>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</si>
  <si>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</si>
  <si>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</si>
  <si>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</si>
  <si>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</si>
  <si>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</si>
  <si>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</si>
  <si>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</si>
  <si>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</si>
  <si>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</si>
  <si>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</si>
  <si>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</si>
  <si>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</si>
  <si>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</si>
  <si>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</si>
  <si>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</si>
  <si>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</si>
  <si>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</si>
  <si>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</si>
  <si>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</si>
  <si>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</si>
  <si>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</si>
  <si>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</si>
  <si>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</si>
  <si>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</si>
  <si>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</si>
  <si>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</si>
  <si>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</si>
  <si>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</si>
  <si>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</si>
  <si>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</si>
  <si>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</si>
  <si>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</si>
  <si>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</si>
  <si>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</si>
  <si>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</si>
  <si>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</si>
  <si>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</si>
  <si>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</si>
  <si>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</si>
  <si>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</si>
  <si>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</si>
  <si>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</si>
  <si>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</si>
  <si>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</si>
  <si>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</si>
  <si>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</si>
  <si>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</si>
  <si>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</si>
  <si>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</si>
  <si>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</si>
  <si>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</si>
  <si>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</si>
  <si>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</si>
  <si>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</si>
  <si>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</si>
  <si>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</si>
  <si>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</si>
  <si>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</si>
  <si>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</si>
  <si>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</si>
  <si>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</si>
  <si>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</si>
  <si>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</si>
  <si>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</si>
  <si>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</si>
  <si>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</si>
  <si>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</si>
  <si>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</si>
  <si>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</si>
  <si>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</si>
  <si>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</si>
  <si>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</si>
  <si>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</si>
  <si>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</si>
  <si>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</si>
  <si>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</si>
  <si>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</si>
  <si>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</si>
  <si>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</si>
  <si>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</si>
  <si>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</si>
  <si>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</si>
  <si>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</si>
  <si>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</si>
  <si>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</si>
  <si>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</si>
  <si>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</si>
  <si>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</si>
  <si>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</si>
  <si>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</si>
  <si>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</si>
  <si>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</si>
  <si>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</si>
  <si>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</si>
  <si>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</si>
  <si>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</si>
  <si>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</si>
  <si>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</si>
  <si>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</si>
  <si>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</si>
  <si>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</si>
  <si>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</si>
  <si>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</si>
  <si>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</si>
  <si>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</si>
  <si>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</si>
  <si>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</si>
  <si>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</si>
  <si>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</si>
  <si>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</si>
  <si>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</si>
  <si>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</si>
  <si>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</si>
  <si>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</si>
  <si>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</si>
  <si>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</si>
  <si>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</si>
  <si>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</si>
  <si>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</si>
  <si>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</si>
  <si>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</si>
  <si>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</si>
  <si>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</si>
  <si>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</si>
  <si>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</si>
  <si>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</si>
  <si>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</si>
  <si>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</si>
  <si>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</si>
  <si>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</si>
  <si>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</si>
  <si>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</si>
  <si>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</si>
  <si>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</si>
  <si>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</si>
  <si>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</si>
  <si>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</si>
  <si>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</si>
  <si>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</si>
  <si>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</si>
  <si>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</si>
  <si>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</si>
  <si>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</si>
  <si>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</si>
  <si>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</si>
  <si>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</si>
  <si>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</si>
  <si>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</si>
  <si>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</si>
  <si>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</si>
  <si>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</si>
  <si>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</si>
  <si>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</si>
  <si>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</si>
  <si>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</si>
  <si>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</si>
  <si>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</si>
  <si>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</si>
  <si>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</si>
  <si>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</si>
  <si>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</si>
  <si>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</si>
  <si>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</si>
  <si>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</si>
  <si>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</si>
  <si>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</si>
  <si>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</si>
  <si>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</si>
  <si>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</si>
  <si>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</si>
  <si>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</si>
  <si>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</si>
  <si>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</si>
  <si>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</si>
  <si>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</si>
  <si>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</si>
  <si>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</si>
  <si>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</si>
  <si>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</si>
  <si>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</si>
  <si>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</si>
  <si>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</si>
  <si>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</si>
  <si>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</si>
  <si>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</si>
  <si>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</si>
  <si>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</si>
  <si>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</si>
  <si>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</si>
  <si>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</si>
  <si>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</si>
  <si>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</si>
  <si>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</si>
  <si>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</si>
  <si>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</si>
  <si>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</si>
  <si>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</si>
  <si>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</si>
  <si>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</si>
  <si>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</si>
  <si>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</si>
  <si>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</si>
  <si>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</si>
  <si>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</si>
  <si>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</si>
  <si>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</si>
  <si>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</si>
  <si>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</si>
  <si>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</si>
  <si>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</si>
  <si>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</si>
  <si>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</si>
  <si>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</si>
  <si>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</si>
  <si>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</si>
  <si>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</si>
  <si>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</si>
  <si>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</si>
  <si>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</si>
  <si>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</si>
  <si>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</si>
  <si>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</si>
  <si>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</si>
  <si>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</si>
  <si>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</si>
  <si>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</si>
  <si>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</si>
  <si>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</si>
  <si>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</si>
  <si>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</si>
  <si>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</si>
  <si>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</si>
  <si>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</si>
  <si>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</si>
  <si>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</si>
  <si>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</si>
  <si>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</si>
  <si>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</si>
  <si>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</si>
  <si>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</si>
  <si>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</si>
  <si>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</si>
  <si>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</si>
  <si>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</si>
  <si>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</si>
  <si>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</si>
  <si>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</si>
  <si>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</si>
  <si>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</si>
  <si>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</si>
  <si>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</si>
  <si>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</si>
  <si>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</si>
  <si>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</si>
  <si>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</si>
  <si>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</si>
  <si>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</si>
  <si>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</si>
  <si>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</si>
  <si>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</si>
  <si>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</si>
  <si>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</si>
  <si>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</si>
  <si>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</si>
  <si>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</si>
  <si>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</si>
  <si>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</si>
  <si>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</si>
  <si>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</si>
  <si>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</si>
  <si>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</si>
  <si>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</si>
  <si>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</si>
  <si>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</si>
  <si>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</si>
  <si>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</si>
  <si>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</si>
  <si>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</si>
  <si>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</si>
  <si>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</si>
  <si>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</si>
  <si>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</si>
  <si>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</si>
  <si>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</si>
  <si>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</si>
  <si>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</si>
  <si>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</si>
  <si>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</si>
  <si>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</si>
  <si>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</si>
  <si>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</si>
  <si>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</si>
  <si>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</si>
  <si>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</si>
  <si>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</si>
  <si>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</si>
  <si>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</si>
  <si>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</si>
  <si>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</si>
  <si>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</si>
  <si>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</si>
  <si>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</si>
  <si>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</si>
  <si>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</si>
  <si>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</si>
  <si>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</si>
  <si>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</si>
  <si>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</si>
  <si>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</si>
  <si>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</si>
  <si>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</si>
  <si>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</si>
  <si>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</si>
  <si>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</si>
  <si>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</si>
  <si>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</si>
  <si>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</si>
  <si>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</si>
  <si>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</si>
  <si>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</si>
  <si>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</si>
  <si>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</si>
  <si>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</si>
  <si>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</si>
  <si>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</si>
  <si>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</si>
  <si>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</si>
  <si>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</si>
  <si>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</si>
  <si>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</si>
  <si>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</si>
  <si>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</si>
  <si>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</si>
  <si>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</si>
  <si>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</si>
  <si>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</si>
  <si>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</si>
  <si>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</si>
  <si>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</si>
  <si>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</si>
  <si>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</si>
  <si>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</si>
  <si>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</si>
  <si>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</si>
  <si>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</si>
  <si>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</si>
  <si>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</si>
  <si>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</si>
  <si>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</si>
  <si>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</si>
  <si>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</si>
  <si>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</si>
  <si>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</si>
  <si>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</si>
  <si>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</si>
  <si>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</si>
  <si>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</si>
  <si>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</si>
  <si>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</si>
  <si>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</si>
  <si>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</si>
  <si>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</si>
  <si>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</si>
  <si>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</si>
  <si>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</si>
  <si>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</si>
  <si>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</si>
  <si>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</si>
  <si>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</si>
  <si>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</si>
  <si>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</si>
  <si>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</si>
  <si>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</si>
  <si>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</si>
  <si>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</si>
  <si>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</si>
  <si>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</si>
  <si>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</si>
  <si>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</si>
  <si>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</si>
  <si>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</si>
  <si>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</si>
  <si>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</si>
  <si>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</si>
  <si>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</si>
  <si>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</si>
  <si>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</si>
  <si>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</si>
  <si>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</si>
  <si>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</si>
  <si>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</si>
  <si>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</si>
  <si>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</si>
  <si>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</si>
  <si>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</si>
  <si>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</si>
  <si>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</si>
  <si>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</si>
  <si>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</si>
  <si>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</si>
  <si>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</si>
  <si>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</si>
  <si>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</si>
  <si>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</si>
  <si>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</si>
  <si>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</si>
  <si>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</si>
  <si>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</si>
  <si>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</si>
  <si>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</si>
  <si>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</si>
  <si>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</si>
  <si>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</si>
  <si>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</si>
  <si>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</si>
  <si>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</si>
  <si>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</si>
  <si>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</si>
  <si>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</si>
  <si>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</si>
  <si>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</si>
  <si>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</si>
  <si>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</si>
  <si>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</si>
  <si>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</si>
  <si>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</si>
  <si>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</si>
  <si>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</si>
  <si>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</si>
  <si>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</si>
  <si>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</si>
  <si>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</si>
  <si>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</si>
  <si>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</si>
  <si>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</si>
  <si>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</si>
  <si>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</si>
  <si>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</si>
  <si>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</si>
  <si>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</si>
  <si>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</si>
  <si>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</si>
  <si>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</si>
  <si>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</si>
  <si>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</si>
  <si>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</si>
  <si>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</si>
  <si>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</si>
  <si>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</si>
  <si>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</si>
  <si>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</si>
  <si>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</si>
  <si>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</si>
  <si>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</si>
  <si>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</si>
  <si>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</si>
  <si>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</si>
  <si>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</si>
  <si>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</si>
  <si>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</si>
  <si>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</si>
  <si>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</si>
  <si>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</si>
  <si>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</si>
  <si>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</si>
  <si>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</si>
  <si>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</si>
  <si>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</si>
  <si>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</si>
  <si>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</si>
  <si>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</si>
  <si>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</si>
  <si>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</si>
  <si>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</si>
  <si>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</si>
  <si>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</si>
  <si>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</si>
  <si>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</si>
  <si>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</si>
  <si>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</si>
  <si>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</si>
  <si>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</si>
  <si>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</si>
  <si>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</si>
  <si>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</si>
  <si>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</si>
  <si>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</si>
  <si>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</si>
  <si>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</si>
  <si>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</si>
  <si>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</si>
  <si>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</si>
  <si>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</si>
  <si>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</si>
  <si>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</si>
  <si>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</si>
  <si>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</si>
  <si>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</si>
  <si>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</si>
  <si>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</si>
  <si>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</si>
  <si>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</si>
  <si>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</si>
  <si>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</si>
  <si>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</si>
  <si>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</si>
  <si>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</si>
  <si>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</si>
  <si>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</si>
  <si>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</si>
  <si>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</si>
  <si>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</si>
  <si>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</si>
  <si>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</si>
  <si>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</si>
  <si>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</si>
  <si>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</si>
  <si>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</si>
  <si>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</si>
  <si>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</si>
  <si>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</si>
  <si>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</si>
  <si>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</si>
  <si>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</si>
  <si>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</si>
  <si>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</si>
  <si>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</si>
  <si>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</si>
  <si>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</si>
  <si>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</si>
  <si>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</si>
  <si>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</si>
  <si>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</si>
  <si>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</si>
  <si>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</si>
  <si>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</si>
  <si>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</si>
  <si>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</si>
  <si>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</si>
  <si>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</si>
  <si>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</si>
  <si>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</si>
  <si>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</si>
  <si>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</si>
  <si>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</si>
  <si>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</si>
  <si>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</si>
  <si>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</si>
  <si>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</si>
  <si>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</si>
  <si>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</si>
  <si>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</si>
  <si>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</si>
  <si>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</si>
  <si>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</si>
  <si>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</si>
  <si>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</si>
  <si>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</si>
  <si>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</si>
  <si>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</si>
  <si>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</si>
  <si>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</si>
  <si>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</si>
  <si>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</si>
  <si>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</si>
  <si>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</si>
  <si>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</si>
  <si>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</si>
  <si>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</si>
  <si>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</si>
  <si>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</si>
  <si>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</si>
  <si>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</si>
  <si>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</si>
  <si>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</si>
  <si>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</si>
  <si>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</si>
  <si>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</si>
  <si>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</si>
  <si>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</si>
  <si>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</si>
  <si>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</si>
  <si>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</si>
  <si>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</si>
  <si>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</si>
  <si>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</si>
  <si>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</si>
  <si>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</si>
  <si>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</si>
  <si>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</si>
  <si>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</si>
  <si>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</si>
  <si>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</si>
  <si>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</si>
  <si>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</si>
  <si>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</si>
  <si>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</si>
  <si>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</si>
  <si>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</si>
  <si>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</si>
  <si>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</si>
  <si>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</si>
  <si>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</si>
  <si>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</si>
  <si>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</si>
  <si>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</si>
  <si>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</si>
  <si>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</si>
  <si>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</si>
  <si>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</si>
  <si>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</si>
  <si>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</si>
  <si>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</si>
  <si>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</si>
  <si>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</si>
  <si>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</si>
  <si>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</si>
  <si>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</si>
  <si>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</si>
  <si>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</si>
  <si>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</si>
  <si>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</si>
  <si>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</si>
  <si>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</si>
  <si>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</si>
  <si>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</si>
  <si>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</si>
  <si>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</si>
  <si>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</si>
  <si>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</si>
  <si>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</si>
  <si>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</si>
  <si>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</si>
  <si>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</si>
  <si>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</si>
  <si>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</si>
  <si>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</si>
  <si>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</si>
  <si>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</si>
  <si>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</si>
  <si>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</si>
  <si>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</si>
  <si>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</si>
  <si>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</si>
  <si>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</si>
  <si>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</si>
  <si>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</si>
  <si>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</si>
  <si>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</si>
  <si>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</si>
  <si>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</si>
  <si>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</si>
  <si>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</si>
  <si>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</si>
  <si>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</si>
  <si>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</si>
  <si>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</si>
  <si>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</si>
  <si>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</si>
  <si>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</si>
  <si>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</si>
  <si>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</si>
  <si>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</si>
  <si>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</si>
  <si>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</si>
  <si>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</si>
  <si>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</si>
  <si>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</si>
  <si>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</si>
  <si>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</si>
  <si>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</si>
  <si>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</si>
  <si>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</si>
  <si>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</si>
  <si>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</si>
  <si>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</si>
  <si>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</si>
  <si>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</si>
  <si>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</si>
  <si>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</si>
  <si>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</si>
  <si>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</si>
  <si>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</si>
  <si>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</si>
  <si>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</si>
  <si>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</si>
  <si>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</si>
  <si>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</si>
  <si>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</si>
  <si>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</si>
  <si>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</si>
  <si>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</si>
  <si>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</si>
  <si>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</si>
  <si>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</si>
  <si>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</si>
  <si>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</si>
  <si>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</si>
  <si>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</si>
  <si>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</si>
  <si>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</si>
  <si>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</si>
  <si>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</si>
  <si>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</si>
  <si>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</si>
  <si>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</si>
  <si>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</si>
  <si>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</si>
  <si>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</si>
  <si>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</si>
  <si>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</si>
  <si>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</si>
  <si>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</si>
  <si>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</si>
  <si>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</si>
  <si>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</si>
  <si>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</si>
  <si>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</si>
  <si>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</si>
  <si>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</si>
  <si>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</si>
  <si>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</si>
  <si>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</si>
  <si>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</si>
  <si>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</si>
  <si>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</si>
  <si>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</si>
  <si>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</si>
  <si>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</si>
  <si>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</si>
  <si>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</si>
  <si>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</si>
  <si>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</si>
  <si>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</si>
  <si>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</si>
  <si>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</si>
  <si>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</si>
  <si>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</si>
  <si>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</si>
  <si>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</si>
  <si>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</si>
  <si>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</si>
  <si>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</si>
  <si>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</si>
  <si>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</si>
  <si>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</si>
  <si>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</si>
  <si>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</si>
  <si>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</si>
  <si>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</si>
  <si>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</si>
  <si>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</si>
  <si>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</si>
  <si>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</si>
  <si>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</si>
  <si>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</si>
  <si>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</si>
  <si>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</si>
  <si>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</si>
  <si>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</si>
  <si>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</si>
  <si>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</si>
  <si>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</si>
  <si>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</si>
  <si>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</si>
  <si>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</si>
  <si>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</si>
  <si>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</si>
  <si>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</si>
  <si>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</si>
  <si>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</si>
  <si>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</si>
  <si>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</si>
  <si>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</si>
  <si>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</si>
  <si>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</si>
  <si>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</si>
  <si>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</si>
  <si>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</si>
  <si>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</si>
  <si>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</si>
  <si>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</si>
  <si>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</si>
  <si>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</si>
  <si>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</si>
  <si>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</si>
  <si>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</si>
  <si>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</si>
  <si>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</si>
  <si>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</si>
  <si>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</si>
  <si>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</si>
  <si>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</si>
  <si>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</si>
  <si>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</si>
  <si>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</si>
  <si>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</si>
  <si>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</si>
  <si>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</si>
  <si>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</si>
  <si>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</si>
  <si>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</si>
  <si>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</si>
  <si>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</si>
  <si>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</si>
  <si>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</si>
  <si>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</si>
  <si>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</si>
  <si>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</si>
  <si>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</si>
  <si>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</si>
  <si>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</si>
  <si>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</si>
  <si>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</si>
  <si>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</si>
  <si>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</si>
  <si>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</si>
  <si>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</si>
  <si>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</si>
  <si>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</si>
  <si>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</si>
  <si>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</si>
  <si>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</si>
  <si>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</si>
  <si>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</si>
  <si>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</si>
  <si>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</si>
  <si>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</si>
  <si>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</si>
  <si>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</si>
  <si>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</si>
  <si>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</si>
  <si>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</si>
  <si>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</si>
  <si>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</si>
  <si>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</si>
  <si>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</si>
  <si>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</si>
  <si>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</si>
  <si>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</si>
  <si>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</si>
  <si>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</si>
  <si>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</si>
  <si>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</si>
  <si>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</si>
  <si>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</si>
  <si>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</si>
  <si>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</si>
  <si>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</si>
  <si>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</si>
  <si>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</si>
  <si>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</si>
  <si>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</si>
  <si>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</si>
  <si>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</si>
  <si>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</si>
  <si>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</si>
  <si>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</si>
  <si>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</si>
  <si>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</si>
  <si>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</si>
  <si>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</si>
  <si>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</si>
  <si>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</si>
  <si>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</si>
  <si>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</si>
  <si>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</si>
  <si>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</si>
  <si>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</si>
  <si>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</si>
  <si>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</si>
  <si>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</si>
  <si>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</si>
  <si>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</si>
  <si>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</si>
  <si>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</si>
  <si>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</si>
  <si>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</si>
  <si>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</si>
  <si>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</si>
  <si>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</si>
  <si>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</si>
  <si>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</si>
  <si>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</si>
  <si>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</si>
  <si>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</si>
  <si>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</si>
  <si>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</si>
  <si>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</si>
  <si>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</si>
  <si>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</si>
  <si>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</si>
  <si>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</si>
  <si>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</si>
  <si>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</si>
  <si>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</si>
  <si>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</si>
  <si>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</si>
  <si>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</si>
  <si>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</si>
  <si>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</si>
  <si>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</si>
  <si>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</si>
  <si>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</si>
  <si>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</si>
  <si>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</si>
  <si>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</si>
  <si>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</si>
  <si>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</si>
  <si>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</si>
  <si>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</si>
  <si>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</si>
  <si>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</si>
  <si>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</si>
  <si>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</si>
  <si>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</si>
  <si>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</si>
  <si>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</si>
  <si>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</si>
  <si>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</si>
  <si>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</si>
  <si>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</si>
  <si>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</si>
  <si>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</si>
  <si>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</si>
  <si>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</si>
  <si>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</si>
  <si>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</si>
  <si>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</si>
  <si>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</si>
  <si>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</si>
  <si>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</si>
  <si>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</si>
  <si>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</si>
  <si>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</si>
  <si>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</si>
  <si>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</si>
  <si>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</si>
  <si>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</si>
  <si>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</si>
  <si>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</si>
  <si>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</si>
  <si>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</si>
  <si>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</si>
  <si>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</si>
  <si>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</si>
  <si>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</si>
  <si>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</si>
  <si>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</si>
  <si>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</si>
  <si>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</si>
  <si>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</si>
  <si>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</si>
  <si>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</si>
  <si>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</si>
  <si>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</si>
  <si>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</si>
  <si>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</si>
  <si>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</si>
  <si>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</si>
  <si>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</si>
  <si>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</si>
  <si>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</si>
  <si>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</si>
  <si>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</si>
  <si>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</si>
  <si>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</si>
  <si>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</si>
  <si>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</si>
  <si>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</si>
  <si>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</si>
  <si>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</si>
  <si>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</si>
  <si>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</si>
  <si>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</si>
  <si>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</si>
  <si>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</si>
  <si>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</si>
  <si>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</si>
  <si>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</si>
  <si>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</si>
  <si>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</si>
  <si>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</si>
  <si>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</si>
  <si>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</si>
  <si>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</si>
  <si>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</si>
  <si>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</si>
  <si>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</si>
  <si>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</si>
  <si>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</si>
  <si>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</si>
  <si>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</si>
  <si>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</si>
  <si>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</si>
  <si>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</si>
  <si>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</si>
  <si>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</si>
  <si>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</si>
  <si>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</si>
  <si>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</si>
  <si>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</si>
  <si>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</si>
  <si>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</si>
  <si>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</si>
  <si>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</si>
  <si>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</si>
  <si>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</si>
  <si>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</si>
  <si>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</si>
  <si>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</si>
  <si>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</si>
  <si>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</si>
  <si>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</si>
  <si>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</si>
  <si>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</si>
  <si>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</si>
  <si>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</si>
  <si>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</si>
  <si>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</si>
  <si>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</si>
  <si>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</si>
  <si>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</si>
  <si>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</si>
  <si>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</si>
  <si>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</si>
  <si>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</si>
  <si>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</si>
  <si>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</si>
  <si>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</si>
  <si>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</si>
  <si>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</si>
  <si>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</si>
  <si>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</si>
  <si>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</si>
  <si>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</si>
  <si>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</si>
  <si>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</si>
  <si>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</si>
  <si>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</si>
  <si>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</si>
  <si>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</si>
  <si>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</si>
  <si>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</si>
  <si>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</si>
  <si>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</si>
  <si>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</si>
  <si>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</si>
  <si>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</si>
  <si>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</si>
  <si>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</si>
  <si>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</si>
  <si>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</si>
  <si>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</si>
  <si>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</si>
  <si>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</si>
  <si>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</si>
  <si>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</si>
  <si>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</si>
  <si>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</si>
  <si>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</si>
  <si>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</si>
  <si>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</si>
  <si>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</si>
  <si>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</si>
  <si>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</si>
  <si>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</si>
  <si>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</si>
  <si>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</si>
  <si>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</si>
  <si>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</si>
  <si>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</si>
  <si>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</si>
  <si>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</si>
  <si>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</si>
  <si>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</si>
  <si>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</si>
  <si>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</si>
  <si>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</si>
  <si>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</si>
  <si>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</si>
  <si>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</si>
  <si>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</si>
  <si>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</si>
  <si>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</si>
  <si>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</si>
  <si>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</si>
  <si>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</si>
  <si>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</si>
  <si>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</si>
  <si>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</si>
  <si>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</si>
  <si>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</si>
  <si>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</si>
  <si>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</si>
  <si>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</si>
  <si>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</si>
  <si>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</si>
  <si>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</si>
  <si>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</si>
  <si>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</si>
  <si>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</si>
  <si>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</si>
  <si>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</si>
  <si>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</si>
  <si>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</si>
  <si>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</si>
  <si>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</si>
  <si>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</si>
  <si>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</si>
  <si>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</si>
  <si>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</si>
  <si>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</si>
  <si>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</si>
  <si>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</si>
  <si>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</si>
  <si>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</si>
  <si>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</si>
  <si>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</si>
  <si>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</si>
  <si>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</si>
  <si>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</si>
  <si>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</si>
  <si>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</si>
  <si>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</si>
  <si>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</si>
  <si>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</si>
  <si>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</si>
  <si>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</si>
  <si>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</si>
  <si>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</si>
  <si>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</si>
  <si>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</si>
  <si>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</si>
  <si>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</si>
  <si>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</si>
  <si>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</si>
  <si>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</si>
  <si>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</si>
  <si>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</si>
  <si>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</si>
  <si>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</si>
  <si>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</si>
  <si>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</si>
  <si>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</si>
  <si>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</si>
  <si>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</si>
  <si>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</si>
  <si>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</si>
  <si>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</si>
  <si>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</si>
  <si>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</si>
  <si>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</si>
  <si>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</si>
  <si>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</si>
  <si>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</si>
  <si>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</si>
  <si>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</si>
  <si>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</si>
  <si>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</si>
  <si>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</si>
  <si>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</si>
  <si>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</si>
  <si>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</si>
  <si>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</si>
  <si>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</si>
  <si>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</si>
  <si>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</si>
  <si>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</si>
  <si>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</si>
  <si>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</si>
  <si>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</si>
  <si>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</si>
  <si>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</si>
  <si>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</si>
  <si>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</si>
  <si>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</si>
  <si>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</si>
  <si>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</si>
  <si>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</si>
  <si>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</si>
  <si>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</si>
  <si>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</si>
  <si>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</si>
  <si>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</si>
  <si>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</si>
  <si>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</si>
  <si>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</si>
  <si>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</si>
  <si>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</si>
  <si>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</si>
  <si>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</si>
  <si>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</si>
  <si>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</si>
  <si>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</si>
  <si>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</si>
  <si>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</si>
  <si>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</si>
  <si>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</si>
  <si>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</si>
  <si>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</si>
  <si>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</si>
  <si>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</si>
  <si>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</si>
  <si>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</si>
  <si>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</si>
  <si>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</si>
  <si>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</si>
  <si>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</si>
  <si>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</si>
  <si>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</si>
  <si>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</si>
  <si>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</si>
  <si>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</si>
  <si>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</si>
  <si>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</si>
  <si>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</si>
  <si>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</si>
  <si>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</si>
  <si>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</si>
  <si>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</si>
  <si>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</si>
  <si>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</si>
  <si>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</si>
  <si>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</si>
  <si>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</si>
  <si>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</si>
  <si>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</si>
  <si>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</si>
  <si>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</si>
  <si>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</si>
  <si>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</si>
  <si>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</si>
  <si>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</si>
  <si>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</si>
  <si>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</si>
  <si>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</si>
  <si>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</si>
  <si>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</si>
  <si>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</si>
  <si>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</si>
  <si>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</si>
  <si>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</si>
  <si>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</si>
  <si>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</si>
  <si>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</si>
  <si>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</si>
  <si>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</si>
  <si>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</si>
  <si>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</si>
  <si>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</si>
  <si>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</si>
  <si>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</si>
  <si>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</si>
  <si>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</si>
  <si>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</si>
  <si>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</si>
  <si>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</si>
  <si>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</si>
  <si>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</si>
  <si>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</si>
  <si>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</si>
  <si>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</si>
  <si>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</si>
  <si>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</si>
  <si>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</si>
  <si>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</si>
  <si>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</si>
  <si>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</si>
  <si>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</si>
  <si>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</si>
  <si>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</si>
  <si>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</si>
  <si>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</si>
  <si>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</si>
  <si>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</si>
  <si>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</si>
  <si>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</si>
  <si>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</si>
  <si>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</si>
  <si>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</si>
  <si>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</si>
  <si>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</si>
  <si>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</si>
  <si>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</si>
  <si>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</si>
  <si>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</si>
  <si>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</si>
  <si>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</si>
  <si>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</si>
  <si>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</si>
  <si>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</si>
  <si>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</si>
  <si>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</si>
  <si>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</si>
  <si>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</si>
  <si>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</si>
  <si>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</si>
  <si>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</si>
  <si>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</si>
  <si>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</si>
  <si>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</si>
  <si>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</si>
  <si>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</si>
  <si>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</si>
  <si>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</si>
  <si>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</si>
  <si>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</si>
  <si>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</si>
  <si>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</si>
  <si>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</si>
  <si>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</si>
  <si>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</si>
  <si>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</si>
  <si>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</si>
  <si>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</si>
  <si>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</si>
  <si>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</si>
  <si>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</si>
  <si>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</si>
  <si>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</si>
  <si>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</si>
  <si>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</si>
  <si>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</si>
  <si>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</si>
  <si>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</si>
  <si>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</si>
  <si>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</si>
  <si>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</si>
  <si>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</si>
  <si>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</si>
  <si>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</si>
  <si>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</si>
  <si>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</si>
  <si>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</si>
  <si>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</si>
  <si>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</si>
  <si>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</si>
  <si>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</si>
  <si>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</si>
  <si>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</si>
  <si>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</si>
  <si>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</si>
  <si>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</si>
  <si>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</si>
  <si>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</si>
  <si>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</si>
  <si>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</si>
  <si>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</si>
  <si>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</si>
  <si>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</si>
  <si>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</si>
  <si>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</si>
  <si>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</si>
  <si>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</si>
  <si>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</si>
  <si>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</si>
  <si>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</si>
  <si>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</si>
  <si>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</si>
  <si>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</si>
  <si>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</si>
  <si>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</si>
  <si>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</si>
  <si>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</si>
  <si>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</si>
  <si>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</si>
  <si>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</si>
  <si>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</si>
  <si>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</si>
  <si>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</si>
  <si>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</si>
  <si>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</si>
  <si>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</si>
  <si>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</si>
  <si>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</si>
  <si>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</si>
  <si>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</si>
  <si>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</si>
  <si>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</si>
  <si>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</si>
  <si>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</si>
  <si>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</si>
  <si>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</si>
  <si>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</si>
  <si>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</si>
  <si>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</si>
  <si>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</si>
  <si>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</si>
  <si>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</si>
  <si>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</si>
  <si>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</si>
  <si>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</si>
  <si>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</si>
  <si>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</si>
  <si>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</si>
  <si>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</si>
  <si>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</si>
  <si>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</si>
  <si>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</si>
  <si>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</si>
  <si>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</si>
  <si>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</si>
  <si>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</si>
  <si>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</si>
  <si>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</si>
  <si>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</si>
  <si>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</si>
  <si>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</si>
  <si>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</si>
  <si>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</si>
  <si>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</si>
  <si>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</si>
  <si>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</si>
  <si>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</si>
  <si>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</si>
  <si>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</si>
  <si>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</si>
  <si>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</si>
  <si>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</si>
  <si>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</si>
  <si>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</si>
  <si>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</si>
  <si>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</si>
  <si>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</si>
  <si>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</si>
  <si>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</si>
  <si>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</si>
  <si>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</si>
  <si>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</si>
  <si>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</si>
  <si>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</si>
  <si>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</si>
  <si>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</si>
  <si>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</si>
  <si>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</si>
  <si>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</si>
  <si>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</si>
  <si>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</si>
  <si>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</si>
  <si>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</si>
  <si>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</si>
  <si>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</si>
  <si>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</si>
  <si>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</si>
  <si>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</si>
  <si>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</si>
  <si>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</si>
  <si>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</si>
  <si>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</si>
  <si>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</si>
  <si>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</si>
  <si>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</si>
  <si>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</si>
  <si>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</si>
  <si>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</si>
  <si>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</si>
  <si>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</si>
  <si>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</si>
  <si>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</si>
  <si>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</si>
  <si>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</si>
  <si>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</si>
  <si>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</si>
  <si>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</si>
  <si>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</si>
  <si>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</si>
  <si>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</si>
  <si>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</si>
  <si>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</si>
  <si>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</si>
  <si>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</si>
  <si>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</si>
  <si>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</si>
  <si>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</si>
  <si>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</si>
  <si>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</si>
  <si>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</si>
  <si>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</si>
  <si>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</si>
  <si>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</si>
  <si>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</si>
  <si>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</si>
  <si>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</si>
  <si>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</si>
  <si>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</si>
  <si>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</si>
  <si>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</si>
  <si>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</si>
  <si>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</si>
  <si>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</si>
  <si>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</si>
  <si>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</si>
  <si>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</si>
  <si>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</si>
  <si>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</si>
  <si>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</si>
  <si>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</si>
  <si>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</si>
  <si>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</si>
  <si>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</si>
  <si>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</si>
  <si>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</si>
  <si>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</si>
  <si>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</si>
  <si>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</si>
  <si>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</si>
  <si>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</si>
  <si>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</si>
  <si>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</si>
  <si>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</si>
  <si>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</si>
  <si>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</si>
  <si>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</si>
  <si>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</si>
  <si>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</si>
  <si>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</si>
  <si>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</si>
  <si>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</si>
  <si>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</si>
  <si>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</si>
  <si>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</si>
  <si>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</si>
  <si>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</si>
  <si>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</si>
  <si>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</si>
  <si>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</si>
  <si>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</si>
  <si>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</si>
  <si>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</si>
  <si>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</si>
  <si>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</si>
  <si>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</si>
  <si>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</si>
  <si>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</si>
  <si>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</si>
  <si>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</si>
  <si>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</si>
  <si>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</si>
  <si>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</si>
  <si>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</si>
  <si>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</si>
  <si>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</si>
  <si>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</si>
  <si>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</si>
  <si>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</si>
  <si>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</si>
  <si>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</si>
  <si>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</si>
  <si>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</si>
  <si>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</si>
  <si>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</si>
  <si>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</si>
  <si>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</si>
  <si>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</si>
  <si>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</si>
  <si>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</si>
  <si>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</si>
  <si>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</si>
  <si>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</si>
  <si>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</si>
  <si>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</si>
  <si>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</si>
  <si>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</si>
  <si>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</si>
  <si>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</si>
  <si>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</si>
  <si>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</si>
  <si>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</si>
  <si>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</si>
  <si>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</si>
  <si>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</si>
  <si>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(blank)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</si>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</sst>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4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 wrapText="1"/>
    </xf>
    <xf numFmtId="44" fontId="2" fillId="0" borderId="0" xfId="0" applyNumberFormat="1" applyFont="1" applyAlignment="1">
      <alignment horizontal="center" vertical="top"/>
    </xf>
    <xf numFmtId="44" fontId="0" fillId="0" borderId="0" xfId="0" applyNumberFormat="1" applyAlignment="1">
      <alignment vertical="top"/>
    </xf>
    <xf numFmtId="0" fontId="2" fillId="0" borderId="1" xfId="0" applyNumberFormat="1" applyFont="1" applyBorder="1" applyAlignment="1">
      <alignment horizontal="center"/>
    </xf>
    <xf numFmtId="171" fontId="0" fillId="0" borderId="0" xfId="0" applyNumberFormat="1"/>
    <xf numFmtId="0" fontId="1" fillId="0" borderId="0" xfId="1"/>
  </cellXfs>
  <cellStyles count="2">
    <cellStyle name="Normal" xfId="0" builtinId="0"/>
    <cellStyle name="Normal 2" xfId="1" xr:uid="{A31D1993-89ED-D743-B8EC-530B9B54AEAC}"/>
  </cellStyles>
  <dxfs count="20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(2).xlsx]Sheet13!PivotTable7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Sheet13!$A$4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Sheet13!$A$4</c:f>
              <c:numCache>
                <c:formatCode>General</c:formatCode>
                <c:ptCount val="1"/>
                <c:pt idx="0">
                  <c:v>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5-9C41-8C0E-5F3A2F6E5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4311408"/>
        <c:axId val="1179961216"/>
      </c:barChart>
      <c:catAx>
        <c:axId val="119431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961216"/>
        <c:crosses val="autoZero"/>
        <c:auto val="1"/>
        <c:lblAlgn val="ctr"/>
        <c:lblOffset val="100"/>
        <c:noMultiLvlLbl val="0"/>
      </c:catAx>
      <c:valAx>
        <c:axId val="11799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(2).xlsx]Sheet14!PivotTable8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874907146040707E-2"/>
          <c:y val="7.407407407407407E-2"/>
          <c:w val="0.6541624572871787"/>
          <c:h val="0.77350029163021294"/>
        </c:manualLayout>
      </c:layout>
      <c:lineChart>
        <c:grouping val="standard"/>
        <c:varyColors val="0"/>
        <c:ser>
          <c:idx val="0"/>
          <c:order val="0"/>
          <c:tx>
            <c:strRef>
              <c:f>Sheet14!$B$1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Sheet14!$A$2:$A$15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Sheet14!$B$2:$B$15</c:f>
              <c:numCache>
                <c:formatCode>General</c:formatCode>
                <c:ptCount val="13"/>
                <c:pt idx="0">
                  <c:v>66</c:v>
                </c:pt>
                <c:pt idx="1">
                  <c:v>48</c:v>
                </c:pt>
                <c:pt idx="2">
                  <c:v>47</c:v>
                </c:pt>
                <c:pt idx="3">
                  <c:v>42</c:v>
                </c:pt>
                <c:pt idx="4">
                  <c:v>40</c:v>
                </c:pt>
                <c:pt idx="5">
                  <c:v>39</c:v>
                </c:pt>
                <c:pt idx="6">
                  <c:v>47</c:v>
                </c:pt>
                <c:pt idx="7">
                  <c:v>49</c:v>
                </c:pt>
                <c:pt idx="8">
                  <c:v>29</c:v>
                </c:pt>
                <c:pt idx="9">
                  <c:v>53</c:v>
                </c:pt>
                <c:pt idx="10">
                  <c:v>19</c:v>
                </c:pt>
                <c:pt idx="1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8F-D245-AE8E-4198C472F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134208"/>
        <c:axId val="1221135840"/>
      </c:lineChart>
      <c:catAx>
        <c:axId val="122113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5840"/>
        <c:crosses val="autoZero"/>
        <c:auto val="1"/>
        <c:lblAlgn val="ctr"/>
        <c:lblOffset val="100"/>
        <c:noMultiLvlLbl val="0"/>
      </c:catAx>
      <c:valAx>
        <c:axId val="12211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3-DB43-98F5-E922F622EC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3-DB43-98F5-E922F622EC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3-DB43-98F5-E922F622E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63248"/>
        <c:axId val="1193796432"/>
      </c:lineChart>
      <c:catAx>
        <c:axId val="117106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796432"/>
        <c:crosses val="autoZero"/>
        <c:auto val="1"/>
        <c:lblAlgn val="ctr"/>
        <c:lblOffset val="100"/>
        <c:noMultiLvlLbl val="0"/>
      </c:catAx>
      <c:valAx>
        <c:axId val="11937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6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 (2)!PivotTable5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1-A14C-83AC-8E2FB2D4D731}"/>
            </c:ext>
          </c:extLst>
        </c:ser>
        <c:ser>
          <c:idx val="1"/>
          <c:order val="1"/>
          <c:tx>
            <c:strRef>
              <c:f>'Outcomes Based on Launch Da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1-A14C-83AC-8E2FB2D4D731}"/>
            </c:ext>
          </c:extLst>
        </c:ser>
        <c:ser>
          <c:idx val="2"/>
          <c:order val="2"/>
          <c:tx>
            <c:strRef>
              <c:f>'Outcomes Based on Launch Da (2)'!$D$3:$D$4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1-A14C-83AC-8E2FB2D4D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054432"/>
        <c:axId val="1158056064"/>
      </c:lineChart>
      <c:catAx>
        <c:axId val="115805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6064"/>
        <c:crosses val="autoZero"/>
        <c:auto val="1"/>
        <c:lblAlgn val="ctr"/>
        <c:lblOffset val="100"/>
        <c:noMultiLvlLbl val="0"/>
      </c:catAx>
      <c:valAx>
        <c:axId val="11580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6-EB43-B9AF-B0B4BC0BC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56-EB43-B9AF-B0B4BC0BC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56-EB43-B9AF-B0B4BC0BC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56-EB43-B9AF-B0B4BC0B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0630080"/>
        <c:axId val="1090843056"/>
      </c:barChart>
      <c:catAx>
        <c:axId val="10906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843056"/>
        <c:crosses val="autoZero"/>
        <c:auto val="1"/>
        <c:lblAlgn val="ctr"/>
        <c:lblOffset val="100"/>
        <c:noMultiLvlLbl val="0"/>
      </c:catAx>
      <c:valAx>
        <c:axId val="1090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3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8-104D-AB85-326A877392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98-104D-AB85-326A877392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98-104D-AB85-326A87739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2621200"/>
        <c:axId val="1072622832"/>
      </c:barChart>
      <c:catAx>
        <c:axId val="10726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22832"/>
        <c:crosses val="autoZero"/>
        <c:auto val="1"/>
        <c:lblAlgn val="ctr"/>
        <c:lblOffset val="100"/>
        <c:noMultiLvlLbl val="0"/>
      </c:catAx>
      <c:valAx>
        <c:axId val="10726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4-FB47-A051-1E47AD34FEC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94-FB47-A051-1E47AD34FEC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94-FB47-A051-1E47AD34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054432"/>
        <c:axId val="1158056064"/>
      </c:lineChart>
      <c:catAx>
        <c:axId val="115805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6064"/>
        <c:crosses val="autoZero"/>
        <c:auto val="1"/>
        <c:lblAlgn val="ctr"/>
        <c:lblOffset val="100"/>
        <c:noMultiLvlLbl val="0"/>
      </c:catAx>
      <c:valAx>
        <c:axId val="11580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4E39BF7B-3EC0-E743-955F-1C70514A51A2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5AA976-2CC2-7846-8991-9B4E32CD63ED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F28F18-8200-8348-96E2-5115BF6C3328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10CEE-0C28-DD4B-90CD-E34FCABC1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17</xdr:row>
      <xdr:rowOff>0</xdr:rowOff>
    </xdr:from>
    <xdr:to>
      <xdr:col>17</xdr:col>
      <xdr:colOff>596900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1491C-5AE1-5644-8471-87EA97EF7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1003300</xdr:colOff>
      <xdr:row>14</xdr:row>
      <xdr:rowOff>50800</xdr:rowOff>
    </xdr:from>
    <xdr:to>
      <xdr:col>9</xdr:col>
      <xdr:colOff>533400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4087B-C3DA-854B-BFB9-7E145B2E9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18</xdr:row>
      <xdr:rowOff>63500</xdr:rowOff>
    </xdr:from>
    <xdr:to>
      <xdr:col>11</xdr:col>
      <xdr:colOff>355600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12224-6D36-2040-9ABC-7C492103B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5161" cy="63090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83D380-5971-2A4F-982F-B4715A3941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AE5E9F-2837-3143-A2BA-47E3224E7E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161" cy="63090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0</xdr:rowOff>
    </xdr:from>
    <xdr:to>
      <xdr:col>14</xdr:col>
      <xdr:colOff>114300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DBC6A-9B9F-2546-A5CB-4645F741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165100</xdr:rowOff>
    </xdr:from>
    <xdr:to>
      <xdr:col>14</xdr:col>
      <xdr:colOff>774700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C1F1A-DCCD-394C-B1F4-E5EE07AE1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18</xdr:row>
      <xdr:rowOff>63500</xdr:rowOff>
    </xdr:from>
    <xdr:to>
      <xdr:col>11</xdr:col>
      <xdr:colOff>355600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CFB9A-702F-FB42-98C6-03CD08DBE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1.722348379626" createdVersion="6" refreshedVersion="6" minRefreshableVersion="3" recordCount="4114" xr:uid="{29F9430A-17E2-C94B-BCBA-6557BF7AEB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2.498077546297" createdVersion="6" refreshedVersion="6" minRefreshableVersion="3" recordCount="4114" xr:uid="{244F7190-24B0-0D40-961F-4B75548FB4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2.750200925926" createdVersion="6" refreshedVersion="6" minRefreshableVersion="3" recordCount="4115" xr:uid="{28F909A6-3B75-404B-B6E4-30ADD01BFB63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2.751398611108" createdVersion="6" refreshedVersion="6" minRefreshableVersion="3" recordCount="13" xr:uid="{9BE6B484-E93D-AD4E-A7F8-008B2F1E47B8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6" maxValue="932" count="13">
        <n v="320"/>
        <n v="932"/>
        <n v="381"/>
        <n v="168"/>
        <n v="94"/>
        <n v="62"/>
        <n v="55"/>
        <n v="32"/>
        <n v="26"/>
        <n v="21"/>
        <n v="6"/>
        <n v="86"/>
        <m/>
      </sharedItems>
    </cacheField>
    <cacheField name="Number Failed" numFmtId="0">
      <sharedItems containsString="0" containsBlank="1" containsNumber="1" containsInteger="1" minValue="11" maxValue="420"/>
    </cacheField>
    <cacheField name="Number Cancel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 count="13">
        <n v="451"/>
        <n v="1412"/>
        <n v="716"/>
        <n v="352"/>
        <n v="201"/>
        <n v="148"/>
        <n v="137"/>
        <n v="82"/>
        <n v="55"/>
        <n v="43"/>
        <n v="21"/>
        <n v="444"/>
        <m/>
      </sharedItems>
    </cacheField>
    <cacheField name="Percentage Successful" numFmtId="0">
      <sharedItems containsString="0" containsBlank="1" containsNumber="1" containsInteger="1" minValue="19" maxValue="71" count="12">
        <n v="71"/>
        <n v="66"/>
        <n v="53"/>
        <n v="48"/>
        <n v="47"/>
        <n v="42"/>
        <n v="40"/>
        <n v="39"/>
        <n v="49"/>
        <n v="29"/>
        <n v="19"/>
        <m/>
      </sharedItems>
    </cacheField>
    <cacheField name="Percentage Failed" numFmtId="0">
      <sharedItems containsString="0" containsBlank="1" containsNumber="1" containsInteger="1" minValue="25" maxValue="58"/>
    </cacheField>
    <cacheField name="Percentage Cancelled" numFmtId="0">
      <sharedItems containsString="0" containsBlank="1" containsNumber="1" containsInteger="1" minValue="4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3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x v="6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7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8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8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8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8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1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1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1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12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13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8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16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7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7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18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19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1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1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1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1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22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10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25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28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28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1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1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4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1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4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7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19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19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34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35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19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37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x v="6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x v="6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6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x v="6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x v="38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x v="38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x v="38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x v="38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x v="38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x v="38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38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x v="6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x v="6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x v="6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x v="6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x v="6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x v="6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x v="6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x v="6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x v="6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x v="6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x v="6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x v="6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x v="6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x v="6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x v="6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x v="6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x v="6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6"/>
    <d v="2015-12-20T13:45:23"/>
    <d v="2016-01-08T06:34:00"/>
  </r>
  <r>
    <m/>
    <m/>
    <m/>
    <m/>
    <m/>
    <x v="4"/>
    <m/>
    <m/>
    <m/>
    <m/>
    <m/>
    <m/>
    <m/>
    <m/>
    <m/>
    <m/>
    <m/>
    <x v="4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113"/>
    <n v="18"/>
    <x v="0"/>
    <x v="0"/>
    <n v="25"/>
    <n v="4"/>
  </r>
  <r>
    <x v="1"/>
    <x v="1"/>
    <n v="420"/>
    <n v="60"/>
    <x v="1"/>
    <x v="1"/>
    <n v="30"/>
    <n v="4"/>
  </r>
  <r>
    <x v="2"/>
    <x v="2"/>
    <n v="283"/>
    <n v="52"/>
    <x v="2"/>
    <x v="2"/>
    <n v="40"/>
    <n v="7"/>
  </r>
  <r>
    <x v="3"/>
    <x v="3"/>
    <n v="144"/>
    <n v="40"/>
    <x v="3"/>
    <x v="3"/>
    <n v="41"/>
    <n v="11"/>
  </r>
  <r>
    <x v="4"/>
    <x v="4"/>
    <n v="90"/>
    <n v="17"/>
    <x v="4"/>
    <x v="4"/>
    <n v="45"/>
    <n v="8"/>
  </r>
  <r>
    <x v="5"/>
    <x v="5"/>
    <n v="72"/>
    <n v="14"/>
    <x v="5"/>
    <x v="5"/>
    <n v="49"/>
    <n v="9"/>
  </r>
  <r>
    <x v="6"/>
    <x v="6"/>
    <n v="64"/>
    <n v="18"/>
    <x v="6"/>
    <x v="6"/>
    <n v="47"/>
    <n v="13"/>
  </r>
  <r>
    <x v="7"/>
    <x v="7"/>
    <n v="37"/>
    <n v="13"/>
    <x v="7"/>
    <x v="7"/>
    <n v="45"/>
    <n v="16"/>
  </r>
  <r>
    <x v="8"/>
    <x v="8"/>
    <n v="22"/>
    <n v="7"/>
    <x v="8"/>
    <x v="4"/>
    <n v="40"/>
    <n v="13"/>
  </r>
  <r>
    <x v="9"/>
    <x v="9"/>
    <n v="16"/>
    <n v="6"/>
    <x v="9"/>
    <x v="8"/>
    <n v="37"/>
    <n v="14"/>
  </r>
  <r>
    <x v="10"/>
    <x v="10"/>
    <n v="11"/>
    <n v="4"/>
    <x v="10"/>
    <x v="9"/>
    <n v="52"/>
    <n v="19"/>
  </r>
  <r>
    <x v="11"/>
    <x v="11"/>
    <n v="258"/>
    <n v="100"/>
    <x v="11"/>
    <x v="10"/>
    <n v="58"/>
    <n v="23"/>
  </r>
  <r>
    <x v="12"/>
    <x v="12"/>
    <m/>
    <m/>
    <x v="12"/>
    <x v="1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AFAFD-3AE7-7742-9326-A4B8A9517081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4" firstHeaderRow="1" firstDataRow="1" firstDataCol="0" rowPageCount="1" colPageCount="1"/>
  <pivotFields count="20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Items count="1">
    <i/>
  </rowItems>
  <colItems count="1">
    <i/>
  </colItems>
  <pageFields count="1">
    <pageField fld="17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A47F1-F82E-7C43-87A8-C5BF54E95425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5" firstHeaderRow="1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showAll="0"/>
    <pivotField showAll="0"/>
    <pivotField showAll="0">
      <items count="14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x="12"/>
        <item t="default"/>
      </items>
    </pivotField>
    <pivotField dataField="1" showAll="0">
      <items count="13">
        <item x="10"/>
        <item x="9"/>
        <item x="7"/>
        <item x="6"/>
        <item x="5"/>
        <item x="4"/>
        <item x="3"/>
        <item x="8"/>
        <item x="2"/>
        <item x="1"/>
        <item x="0"/>
        <item x="11"/>
        <item t="default"/>
      </items>
    </pivotField>
    <pivotField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ercentage Successful" fld="5" baseField="0" baseItem="0"/>
  </dataFields>
  <chartFormats count="14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5F0C5-C421-094D-85BC-BD9AAD9143FB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E6213-094F-BA47-BFB5-1B6830BB9AA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40FE1-0FC1-B348-9755-2CCEF0ED2DD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EB5A4-AA88-A94E-9C94-8EE0F1DF7F71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2296-0A0D-CB4E-A75B-A770CE9624C1}">
  <dimension ref="A1:B4"/>
  <sheetViews>
    <sheetView workbookViewId="0"/>
  </sheetViews>
  <sheetFormatPr baseColWidth="10" defaultRowHeight="15" x14ac:dyDescent="0.2"/>
  <cols>
    <col min="1" max="1" width="15.6640625" bestFit="1" customWidth="1"/>
    <col min="2" max="2" width="6.6640625" bestFit="1" customWidth="1"/>
  </cols>
  <sheetData>
    <row r="1" spans="1:2" x14ac:dyDescent="0.2">
      <c r="A1" s="10" t="s">
        <v>8359</v>
      </c>
      <c r="B1" t="s">
        <v>8364</v>
      </c>
    </row>
    <row r="3" spans="1:2" x14ac:dyDescent="0.2">
      <c r="A3" t="s">
        <v>8363</v>
      </c>
    </row>
    <row r="4" spans="1:2" x14ac:dyDescent="0.2">
      <c r="A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0" zoomScaleNormal="130" workbookViewId="0">
      <pane ySplit="1" topLeftCell="A2" activePane="bottomLeft" state="frozen"/>
      <selection pane="bottomLeft" activeCell="N1" sqref="A1:XFD1048576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D737195B-DEEC-6A4A-954D-03B799639632}"/>
  <conditionalFormatting sqref="F1:F1048576">
    <cfRule type="containsText" dxfId="19" priority="2" operator="containsText" text="successful">
      <formula>NOT(ISERROR(SEARCH("successful",F1)))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9F22C-E5A1-FC47-A9DC-FE02759A306A}">
  <dimension ref="A1:B15"/>
  <sheetViews>
    <sheetView topLeftCell="B1" workbookViewId="0"/>
  </sheetViews>
  <sheetFormatPr baseColWidth="10" defaultRowHeight="15" x14ac:dyDescent="0.2"/>
  <cols>
    <col min="1" max="1" width="16" bestFit="1" customWidth="1"/>
    <col min="2" max="2" width="24" bestFit="1" customWidth="1"/>
    <col min="3" max="9" width="3.1640625" bestFit="1" customWidth="1"/>
    <col min="10" max="13" width="4.1640625" bestFit="1" customWidth="1"/>
    <col min="14" max="14" width="6.33203125" bestFit="1" customWidth="1"/>
    <col min="15" max="15" width="10" bestFit="1" customWidth="1"/>
    <col min="16" max="26" width="24" bestFit="1" customWidth="1"/>
    <col min="27" max="27" width="28.33203125" bestFit="1" customWidth="1"/>
    <col min="28" max="29" width="25.6640625" bestFit="1" customWidth="1"/>
  </cols>
  <sheetData>
    <row r="1" spans="1:2" x14ac:dyDescent="0.2">
      <c r="A1" s="10" t="s">
        <v>8362</v>
      </c>
      <c r="B1" t="s">
        <v>8418</v>
      </c>
    </row>
    <row r="2" spans="1:2" x14ac:dyDescent="0.2">
      <c r="A2" s="11" t="s">
        <v>8406</v>
      </c>
      <c r="B2" s="9">
        <v>66</v>
      </c>
    </row>
    <row r="3" spans="1:2" x14ac:dyDescent="0.2">
      <c r="A3" s="11" t="s">
        <v>8408</v>
      </c>
      <c r="B3" s="9">
        <v>48</v>
      </c>
    </row>
    <row r="4" spans="1:2" x14ac:dyDescent="0.2">
      <c r="A4" s="11" t="s">
        <v>8409</v>
      </c>
      <c r="B4" s="9">
        <v>47</v>
      </c>
    </row>
    <row r="5" spans="1:2" x14ac:dyDescent="0.2">
      <c r="A5" s="11" t="s">
        <v>8410</v>
      </c>
      <c r="B5" s="9">
        <v>42</v>
      </c>
    </row>
    <row r="6" spans="1:2" x14ac:dyDescent="0.2">
      <c r="A6" s="11" t="s">
        <v>8411</v>
      </c>
      <c r="B6" s="9">
        <v>40</v>
      </c>
    </row>
    <row r="7" spans="1:2" x14ac:dyDescent="0.2">
      <c r="A7" s="11" t="s">
        <v>8412</v>
      </c>
      <c r="B7" s="9">
        <v>39</v>
      </c>
    </row>
    <row r="8" spans="1:2" x14ac:dyDescent="0.2">
      <c r="A8" s="11" t="s">
        <v>8413</v>
      </c>
      <c r="B8" s="9">
        <v>47</v>
      </c>
    </row>
    <row r="9" spans="1:2" x14ac:dyDescent="0.2">
      <c r="A9" s="11" t="s">
        <v>8414</v>
      </c>
      <c r="B9" s="9">
        <v>49</v>
      </c>
    </row>
    <row r="10" spans="1:2" x14ac:dyDescent="0.2">
      <c r="A10" s="11" t="s">
        <v>8415</v>
      </c>
      <c r="B10" s="9">
        <v>29</v>
      </c>
    </row>
    <row r="11" spans="1:2" x14ac:dyDescent="0.2">
      <c r="A11" s="11" t="s">
        <v>8407</v>
      </c>
      <c r="B11" s="9">
        <v>53</v>
      </c>
    </row>
    <row r="12" spans="1:2" x14ac:dyDescent="0.2">
      <c r="A12" s="11" t="s">
        <v>8416</v>
      </c>
      <c r="B12" s="9">
        <v>19</v>
      </c>
    </row>
    <row r="13" spans="1:2" x14ac:dyDescent="0.2">
      <c r="A13" s="11" t="s">
        <v>8405</v>
      </c>
      <c r="B13" s="9">
        <v>71</v>
      </c>
    </row>
    <row r="14" spans="1:2" x14ac:dyDescent="0.2">
      <c r="A14" s="11" t="s">
        <v>8417</v>
      </c>
      <c r="B14" s="9"/>
    </row>
    <row r="15" spans="1:2" x14ac:dyDescent="0.2">
      <c r="A15" s="11" t="s">
        <v>8361</v>
      </c>
      <c r="B15" s="9">
        <v>550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1E4C-60A0-974C-AFCC-5B5E630D04D2}">
  <dimension ref="A1:I13"/>
  <sheetViews>
    <sheetView workbookViewId="0">
      <selection activeCell="A21" sqref="A21"/>
    </sheetView>
  </sheetViews>
  <sheetFormatPr baseColWidth="10" defaultRowHeight="16" x14ac:dyDescent="0.2"/>
  <cols>
    <col min="1" max="1" width="17.33203125" style="25" bestFit="1" customWidth="1"/>
    <col min="2" max="2" width="17" style="25" bestFit="1" customWidth="1"/>
    <col min="3" max="3" width="13.33203125" style="25" bestFit="1" customWidth="1"/>
    <col min="4" max="4" width="16.33203125" style="25" bestFit="1" customWidth="1"/>
    <col min="5" max="5" width="12.33203125" style="25" bestFit="1" customWidth="1"/>
    <col min="6" max="6" width="19.5" style="25" bestFit="1" customWidth="1"/>
    <col min="7" max="7" width="15.83203125" style="25" bestFit="1" customWidth="1"/>
    <col min="8" max="8" width="18.83203125" style="25" bestFit="1" customWidth="1"/>
    <col min="9" max="16384" width="10.83203125" style="25"/>
  </cols>
  <sheetData>
    <row r="1" spans="1:9" x14ac:dyDescent="0.2">
      <c r="A1" s="25" t="s">
        <v>8381</v>
      </c>
      <c r="B1" s="25" t="s">
        <v>8398</v>
      </c>
      <c r="C1" s="25" t="s">
        <v>8399</v>
      </c>
      <c r="D1" s="25" t="s">
        <v>8400</v>
      </c>
      <c r="E1" s="25" t="s">
        <v>8401</v>
      </c>
      <c r="F1" s="25" t="s">
        <v>8402</v>
      </c>
      <c r="G1" s="25" t="s">
        <v>8403</v>
      </c>
      <c r="H1" s="25" t="s">
        <v>8404</v>
      </c>
    </row>
    <row r="2" spans="1:9" x14ac:dyDescent="0.2">
      <c r="A2" s="25" t="s">
        <v>8405</v>
      </c>
      <c r="B2" s="25">
        <f>COUNTIFS(Kickstarter!F:F, "successful", Kickstarter!D:D, "&gt;0", Kickstarter!D:D, "&lt;999")</f>
        <v>320</v>
      </c>
      <c r="C2" s="25">
        <f>COUNTIFS(Kickstarter!F:F, "failed", Kickstarter!D:D, "&gt;0", Kickstarter!D:D, "&lt;999")</f>
        <v>113</v>
      </c>
      <c r="D2" s="25">
        <f>COUNTIFS(Kickstarter!F:F, "canceled", Kickstarter!D:D, "&gt;0", Kickstarter!D:D, "&lt;999")</f>
        <v>18</v>
      </c>
      <c r="E2" s="25">
        <f>B2+C2+D2</f>
        <v>451</v>
      </c>
      <c r="F2" s="25">
        <f>ROUND(B2/E2*100,0)</f>
        <v>71</v>
      </c>
      <c r="G2" s="25">
        <f>ROUND(C2/E2*100,0)</f>
        <v>25</v>
      </c>
      <c r="H2" s="25">
        <f>ROUND(D2/E2*100,0)</f>
        <v>4</v>
      </c>
      <c r="I2" s="25">
        <f>F2+G2+H2</f>
        <v>100</v>
      </c>
    </row>
    <row r="3" spans="1:9" x14ac:dyDescent="0.2">
      <c r="A3" s="25" t="s">
        <v>8406</v>
      </c>
      <c r="B3" s="25">
        <f>COUNTIFS(Kickstarter!F:F, "successful", Kickstarter!D:D, "&gt;=1000", Kickstarter!D:D, "&lt;=4999")</f>
        <v>932</v>
      </c>
      <c r="C3" s="25">
        <f>COUNTIFS(Kickstarter!F:F, "failed", Kickstarter!D:D, "&gt;=1000", Kickstarter!D:D, "&lt;=4999")</f>
        <v>420</v>
      </c>
      <c r="D3" s="25">
        <f>COUNTIFS(Kickstarter!F:F, "canceled", Kickstarter!D:D, "&gt;=1000", Kickstarter!D:D, "&lt;=4999")</f>
        <v>60</v>
      </c>
      <c r="E3" s="25">
        <f t="shared" ref="E3:E13" si="0">B3+C3+D3</f>
        <v>1412</v>
      </c>
      <c r="F3" s="25">
        <f t="shared" ref="F3:F13" si="1">ROUND(B3/E3*100,0)</f>
        <v>66</v>
      </c>
      <c r="G3" s="25">
        <f t="shared" ref="G3:G13" si="2">ROUND(C3/E3*100,0)</f>
        <v>30</v>
      </c>
      <c r="H3" s="25">
        <f t="shared" ref="H3:H13" si="3">ROUND(D3/E3*100,0)</f>
        <v>4</v>
      </c>
      <c r="I3" s="25">
        <f t="shared" ref="I3:I13" si="4">F3+G3+H3</f>
        <v>100</v>
      </c>
    </row>
    <row r="4" spans="1:9" x14ac:dyDescent="0.2">
      <c r="A4" s="25" t="s">
        <v>8407</v>
      </c>
      <c r="B4" s="25">
        <f>COUNTIFS(Kickstarter!F:F, "successful", Kickstarter!D:D, "&gt;=5000", Kickstarter!D:D, "&lt;=9999")</f>
        <v>381</v>
      </c>
      <c r="C4" s="25">
        <f>COUNTIFS(Kickstarter!F:F, "failed", Kickstarter!D:D, "&gt;=5000", Kickstarter!D:D, "&lt;=9999")</f>
        <v>283</v>
      </c>
      <c r="D4" s="25">
        <f>COUNTIFS(Kickstarter!F:F, "canceled", Kickstarter!D:D, "&gt;=5000", Kickstarter!D:D, "&lt;=9999")</f>
        <v>52</v>
      </c>
      <c r="E4" s="25">
        <f t="shared" si="0"/>
        <v>716</v>
      </c>
      <c r="F4" s="25">
        <f t="shared" si="1"/>
        <v>53</v>
      </c>
      <c r="G4" s="25">
        <f t="shared" si="2"/>
        <v>40</v>
      </c>
      <c r="H4" s="25">
        <f t="shared" si="3"/>
        <v>7</v>
      </c>
      <c r="I4" s="25">
        <f t="shared" si="4"/>
        <v>100</v>
      </c>
    </row>
    <row r="5" spans="1:9" x14ac:dyDescent="0.2">
      <c r="A5" s="25" t="s">
        <v>8408</v>
      </c>
      <c r="B5" s="25">
        <f>COUNTIFS(Kickstarter!F:F, "successful", Kickstarter!D:D, "&gt;=10000", Kickstarter!D:D, "&lt;=14999")</f>
        <v>168</v>
      </c>
      <c r="C5" s="25">
        <f>COUNTIFS(Kickstarter!F:F, "failed", Kickstarter!D:D, "&gt;=10000", Kickstarter!D:D, "&lt;=14999")</f>
        <v>144</v>
      </c>
      <c r="D5" s="25">
        <f>COUNTIFS(Kickstarter!F:F, "canceled", Kickstarter!D:D, "&gt;=10000", Kickstarter!D:D, "&lt;=14999")</f>
        <v>40</v>
      </c>
      <c r="E5" s="25">
        <f t="shared" si="0"/>
        <v>352</v>
      </c>
      <c r="F5" s="25">
        <f t="shared" si="1"/>
        <v>48</v>
      </c>
      <c r="G5" s="25">
        <f t="shared" si="2"/>
        <v>41</v>
      </c>
      <c r="H5" s="25">
        <f t="shared" si="3"/>
        <v>11</v>
      </c>
      <c r="I5" s="25">
        <f t="shared" si="4"/>
        <v>100</v>
      </c>
    </row>
    <row r="6" spans="1:9" x14ac:dyDescent="0.2">
      <c r="A6" s="25" t="s">
        <v>8409</v>
      </c>
      <c r="B6" s="25">
        <f>COUNTIFS(Kickstarter!F:F, "successful", Kickstarter!D:D, "&gt;=15000", Kickstarter!D:D, "&lt;=19999")</f>
        <v>94</v>
      </c>
      <c r="C6" s="25">
        <f>COUNTIFS(Kickstarter!F:F, "failed", Kickstarter!D:D, "&gt;=15000", Kickstarter!D:D, "&lt;=19999")</f>
        <v>90</v>
      </c>
      <c r="D6" s="25">
        <f>COUNTIFS(Kickstarter!F:F, "canceled", Kickstarter!D:D, "&gt;=15000", Kickstarter!D:D, "&lt;=19999")</f>
        <v>17</v>
      </c>
      <c r="E6" s="25">
        <f t="shared" si="0"/>
        <v>201</v>
      </c>
      <c r="F6" s="25">
        <f t="shared" si="1"/>
        <v>47</v>
      </c>
      <c r="G6" s="25">
        <f t="shared" si="2"/>
        <v>45</v>
      </c>
      <c r="H6" s="25">
        <f t="shared" si="3"/>
        <v>8</v>
      </c>
      <c r="I6" s="25">
        <f t="shared" si="4"/>
        <v>100</v>
      </c>
    </row>
    <row r="7" spans="1:9" x14ac:dyDescent="0.2">
      <c r="A7" s="25" t="s">
        <v>8410</v>
      </c>
      <c r="B7" s="25">
        <f>COUNTIFS(Kickstarter!F:F, "successful", Kickstarter!D:D, "&gt;=20000", Kickstarter!D:D, "&lt;=24999")</f>
        <v>62</v>
      </c>
      <c r="C7" s="25">
        <f>COUNTIFS(Kickstarter!F:F, "failed", Kickstarter!D:D, "&gt;=20000", Kickstarter!D:D, "&lt;=24999")</f>
        <v>72</v>
      </c>
      <c r="D7" s="25">
        <f>COUNTIFS(Kickstarter!F:F, "canceled", Kickstarter!D:D, "&gt;=20000", Kickstarter!D:D, "&lt;=24999")</f>
        <v>14</v>
      </c>
      <c r="E7" s="25">
        <f t="shared" si="0"/>
        <v>148</v>
      </c>
      <c r="F7" s="25">
        <f t="shared" si="1"/>
        <v>42</v>
      </c>
      <c r="G7" s="25">
        <f t="shared" si="2"/>
        <v>49</v>
      </c>
      <c r="H7" s="25">
        <f t="shared" si="3"/>
        <v>9</v>
      </c>
      <c r="I7" s="25">
        <f t="shared" si="4"/>
        <v>100</v>
      </c>
    </row>
    <row r="8" spans="1:9" x14ac:dyDescent="0.2">
      <c r="A8" s="25" t="s">
        <v>8411</v>
      </c>
      <c r="B8" s="25">
        <f>COUNTIFS(Kickstarter!F:F, "successful", Kickstarter!D:D, "&gt;=25000", Kickstarter!D:D, "&lt;=29999")</f>
        <v>55</v>
      </c>
      <c r="C8" s="25">
        <f>COUNTIFS(Kickstarter!F:F, "failed", Kickstarter!D:D, "&gt;=25000", Kickstarter!D:D, "&lt;=29999")</f>
        <v>64</v>
      </c>
      <c r="D8" s="25">
        <f>COUNTIFS(Kickstarter!F:F, "canceled", Kickstarter!D:D, "&gt;=25000", Kickstarter!D:D, "&lt;=29999")</f>
        <v>18</v>
      </c>
      <c r="E8" s="25">
        <f t="shared" si="0"/>
        <v>137</v>
      </c>
      <c r="F8" s="25">
        <f t="shared" si="1"/>
        <v>40</v>
      </c>
      <c r="G8" s="25">
        <f t="shared" si="2"/>
        <v>47</v>
      </c>
      <c r="H8" s="25">
        <f t="shared" si="3"/>
        <v>13</v>
      </c>
      <c r="I8" s="25">
        <f t="shared" si="4"/>
        <v>100</v>
      </c>
    </row>
    <row r="9" spans="1:9" x14ac:dyDescent="0.2">
      <c r="A9" s="25" t="s">
        <v>8412</v>
      </c>
      <c r="B9" s="25">
        <f>COUNTIFS(Kickstarter!F:F, "successful", Kickstarter!D:D, "&gt;=30000", Kickstarter!D:D, "&lt;=34999")</f>
        <v>32</v>
      </c>
      <c r="C9" s="25">
        <f>COUNTIFS(Kickstarter!F:F, "failed", Kickstarter!D:D, "&gt;=30000", Kickstarter!D:D, "&lt;=34999")</f>
        <v>37</v>
      </c>
      <c r="D9" s="25">
        <f>COUNTIFS(Kickstarter!F:F, "canceled", Kickstarter!D:D, "&gt;=30000", Kickstarter!D:D, "&lt;=34999")</f>
        <v>13</v>
      </c>
      <c r="E9" s="25">
        <f t="shared" si="0"/>
        <v>82</v>
      </c>
      <c r="F9" s="25">
        <f t="shared" si="1"/>
        <v>39</v>
      </c>
      <c r="G9" s="25">
        <f t="shared" si="2"/>
        <v>45</v>
      </c>
      <c r="H9" s="25">
        <f t="shared" si="3"/>
        <v>16</v>
      </c>
      <c r="I9" s="25">
        <f t="shared" si="4"/>
        <v>100</v>
      </c>
    </row>
    <row r="10" spans="1:9" x14ac:dyDescent="0.2">
      <c r="A10" s="25" t="s">
        <v>8413</v>
      </c>
      <c r="B10" s="25">
        <f>COUNTIFS(Kickstarter!F:F, "successful", Kickstarter!D:D, "&gt;=35000", Kickstarter!D:D, "&lt;=39999")</f>
        <v>26</v>
      </c>
      <c r="C10" s="25">
        <f>COUNTIFS(Kickstarter!F:F, "failed", Kickstarter!D:D, "&gt;=35000", Kickstarter!D:D, "&lt;=39999")</f>
        <v>22</v>
      </c>
      <c r="D10" s="25">
        <f>COUNTIFS(Kickstarter!F:F, "canceled", Kickstarter!D:D, "&gt;=35000", Kickstarter!D:D, "&lt;=39999")</f>
        <v>7</v>
      </c>
      <c r="E10" s="25">
        <f t="shared" si="0"/>
        <v>55</v>
      </c>
      <c r="F10" s="25">
        <f t="shared" si="1"/>
        <v>47</v>
      </c>
      <c r="G10" s="25">
        <f t="shared" si="2"/>
        <v>40</v>
      </c>
      <c r="H10" s="25">
        <f t="shared" si="3"/>
        <v>13</v>
      </c>
      <c r="I10" s="25">
        <f t="shared" si="4"/>
        <v>100</v>
      </c>
    </row>
    <row r="11" spans="1:9" x14ac:dyDescent="0.2">
      <c r="A11" s="25" t="s">
        <v>8414</v>
      </c>
      <c r="B11" s="25">
        <f>COUNTIFS(Kickstarter!F:F, "successful", Kickstarter!D:D, "&gt;=40000", Kickstarter!D:D, "&lt;=44999")</f>
        <v>21</v>
      </c>
      <c r="C11" s="25">
        <f>COUNTIFS(Kickstarter!F:F, "failed", Kickstarter!D:D, "&gt;=40000", Kickstarter!D:D, "&lt;=44999")</f>
        <v>16</v>
      </c>
      <c r="D11" s="25">
        <f>COUNTIFS(Kickstarter!F:F, "canceled", Kickstarter!D:D, "&gt;=40000", Kickstarter!D:D, "&lt;=44999")</f>
        <v>6</v>
      </c>
      <c r="E11" s="25">
        <f t="shared" si="0"/>
        <v>43</v>
      </c>
      <c r="F11" s="25">
        <f t="shared" si="1"/>
        <v>49</v>
      </c>
      <c r="G11" s="25">
        <f t="shared" si="2"/>
        <v>37</v>
      </c>
      <c r="H11" s="25">
        <f t="shared" si="3"/>
        <v>14</v>
      </c>
      <c r="I11" s="25">
        <f t="shared" si="4"/>
        <v>100</v>
      </c>
    </row>
    <row r="12" spans="1:9" x14ac:dyDescent="0.2">
      <c r="A12" s="25" t="s">
        <v>8415</v>
      </c>
      <c r="B12" s="25">
        <f>COUNTIFS(Kickstarter!F:F, "successful", Kickstarter!D:D, "&gt;=45000", Kickstarter!D:D, "&lt;=49999")</f>
        <v>6</v>
      </c>
      <c r="C12" s="25">
        <f>COUNTIFS(Kickstarter!F:F, "failed", Kickstarter!D:D, "&gt;=45000", Kickstarter!D:D, "&lt;=49999")</f>
        <v>11</v>
      </c>
      <c r="D12" s="25">
        <f>COUNTIFS(Kickstarter!F:F, "canceled", Kickstarter!D:D, "&gt;=45000", Kickstarter!D:D, "&lt;=49999")</f>
        <v>4</v>
      </c>
      <c r="E12" s="25">
        <f t="shared" si="0"/>
        <v>21</v>
      </c>
      <c r="F12" s="25">
        <f t="shared" si="1"/>
        <v>29</v>
      </c>
      <c r="G12" s="25">
        <f t="shared" si="2"/>
        <v>52</v>
      </c>
      <c r="H12" s="25">
        <f t="shared" si="3"/>
        <v>19</v>
      </c>
      <c r="I12" s="25">
        <f t="shared" si="4"/>
        <v>100</v>
      </c>
    </row>
    <row r="13" spans="1:9" x14ac:dyDescent="0.2">
      <c r="A13" s="25" t="s">
        <v>8416</v>
      </c>
      <c r="B13" s="25">
        <f>COUNTIFS(Kickstarter!F:F, "successful", Kickstarter!D:D, "&gt;=50000")</f>
        <v>86</v>
      </c>
      <c r="C13" s="25">
        <f>COUNTIFS(Kickstarter!F:F, "failed", Kickstarter!D:D, "&gt;=50000")</f>
        <v>258</v>
      </c>
      <c r="D13" s="25">
        <f>COUNTIFS(Kickstarter!F:F, "canceled", Kickstarter!D:D, "&gt;=50000")</f>
        <v>100</v>
      </c>
      <c r="E13" s="25">
        <f t="shared" si="0"/>
        <v>444</v>
      </c>
      <c r="F13" s="25">
        <f t="shared" si="1"/>
        <v>19</v>
      </c>
      <c r="G13" s="25">
        <f t="shared" si="2"/>
        <v>58</v>
      </c>
      <c r="H13" s="25">
        <f t="shared" si="3"/>
        <v>23</v>
      </c>
      <c r="I13" s="25">
        <f t="shared" si="4"/>
        <v>100</v>
      </c>
    </row>
  </sheetData>
  <pageMargins left="0.7" right="0.7" top="0.75" bottom="0.75" header="0.3" footer="0.3"/>
  <ignoredErrors>
    <ignoredError sqref="B10 C4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410C-4E50-D541-8C8F-525AB8918865}">
  <dimension ref="A1:E17"/>
  <sheetViews>
    <sheetView tabSelected="1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t="s">
        <v>8358</v>
      </c>
      <c r="B1" t="s">
        <v>8315</v>
      </c>
    </row>
    <row r="3" spans="1:5" x14ac:dyDescent="0.2">
      <c r="A3" t="s">
        <v>8363</v>
      </c>
      <c r="B3" t="s">
        <v>8360</v>
      </c>
    </row>
    <row r="4" spans="1:5" x14ac:dyDescent="0.2">
      <c r="A4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">
      <c r="A6" s="15" t="s">
        <v>8374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">
      <c r="A7" s="15" t="s">
        <v>8375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">
      <c r="A8" s="15" t="s">
        <v>8376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">
      <c r="A9" s="15" t="s">
        <v>8367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">
      <c r="A10" s="15" t="s">
        <v>8377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">
      <c r="A11" s="15" t="s">
        <v>8368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">
      <c r="A12" s="15" t="s">
        <v>8369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">
      <c r="A13" s="15" t="s">
        <v>8370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">
      <c r="A14" s="15" t="s">
        <v>8371</v>
      </c>
      <c r="B14" s="9"/>
      <c r="C14" s="9">
        <v>50</v>
      </c>
      <c r="D14" s="9">
        <v>65</v>
      </c>
      <c r="E14" s="9">
        <v>115</v>
      </c>
    </row>
    <row r="15" spans="1:5" x14ac:dyDescent="0.2">
      <c r="A15" s="15" t="s">
        <v>8372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">
      <c r="A16" s="15" t="s">
        <v>8378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">
      <c r="A17" s="15" t="s">
        <v>8361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0933-31DE-D443-A82C-41E0FB7C3E7D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0.83203125" style="24"/>
    <col min="3" max="3" width="11.1640625" style="24" bestFit="1" customWidth="1"/>
  </cols>
  <sheetData>
    <row r="1" spans="1:3" x14ac:dyDescent="0.2">
      <c r="B1" s="24" t="s">
        <v>8384</v>
      </c>
      <c r="C1" s="24" t="s">
        <v>8385</v>
      </c>
    </row>
    <row r="2" spans="1:3" x14ac:dyDescent="0.2">
      <c r="A2" t="s">
        <v>8386</v>
      </c>
      <c r="B2" s="24">
        <f>AVERAGE('Successful U.S. Kickstarters'!D:D)</f>
        <v>5048.8786407766993</v>
      </c>
      <c r="C2" s="24">
        <f>AVERAGE('Failed U.S. Kickstarters'!D:D)</f>
        <v>10554.212</v>
      </c>
    </row>
    <row r="3" spans="1:3" x14ac:dyDescent="0.2">
      <c r="A3" t="s">
        <v>8389</v>
      </c>
      <c r="B3" s="24">
        <f>MEDIAN('Successful U.S. Kickstarters'!D:D)</f>
        <v>3000</v>
      </c>
      <c r="C3" s="24">
        <f>MEDIAN('Failed U.S. Kickstarters'!D:D)</f>
        <v>5000</v>
      </c>
    </row>
    <row r="4" spans="1:3" x14ac:dyDescent="0.2">
      <c r="A4" t="s">
        <v>8390</v>
      </c>
      <c r="B4" s="24">
        <f>_xlfn.STDEV.P('Successful U.S. Kickstarters'!D:D)</f>
        <v>7748.7537726373303</v>
      </c>
      <c r="C4" s="24">
        <f>_xlfn.STDEV.P('Failed U.S. Kickstarters'!D:D)</f>
        <v>21967.731061515115</v>
      </c>
    </row>
    <row r="5" spans="1:3" x14ac:dyDescent="0.2">
      <c r="A5" t="s">
        <v>8391</v>
      </c>
      <c r="B5" s="24">
        <f>_xlfn.QUARTILE.EXC('Successful U.S. Kickstarters'!D:D, 3)</f>
        <v>5000</v>
      </c>
      <c r="C5" s="24">
        <f>_xlfn.QUARTILE.EXC('Failed U.S. Kickstarters'!D:D, 3)</f>
        <v>10000</v>
      </c>
    </row>
    <row r="6" spans="1:3" x14ac:dyDescent="0.2">
      <c r="A6" t="s">
        <v>8392</v>
      </c>
      <c r="B6" s="24">
        <f>_xlfn.QUARTILE.EXC('Successful U.S. Kickstarters'!D:D, 1)</f>
        <v>1500</v>
      </c>
      <c r="C6" s="24">
        <f>_xlfn.QUARTILE.EXC('Failed U.S. Kickstarters'!D:D, 1)</f>
        <v>2000</v>
      </c>
    </row>
    <row r="7" spans="1:3" x14ac:dyDescent="0.2">
      <c r="A7" t="s">
        <v>8393</v>
      </c>
      <c r="B7" s="24">
        <f>B5-B6</f>
        <v>3500</v>
      </c>
      <c r="C7" s="24">
        <f>C5-C6</f>
        <v>8000</v>
      </c>
    </row>
    <row r="9" spans="1:3" x14ac:dyDescent="0.2">
      <c r="A9" t="s">
        <v>8387</v>
      </c>
      <c r="B9" s="24">
        <f>AVERAGE('Successful U.S. Kickstarters'!E:E)</f>
        <v>5601.5458009708727</v>
      </c>
      <c r="C9" s="24">
        <f>AVERAGE('Failed U.S. Kickstarters'!E:E)</f>
        <v>558.65484000000004</v>
      </c>
    </row>
    <row r="10" spans="1:3" x14ac:dyDescent="0.2">
      <c r="A10" t="s">
        <v>8388</v>
      </c>
      <c r="B10" s="24">
        <f>MEDIAN('Successful U.S. Kickstarters'!E:E)</f>
        <v>3167.5</v>
      </c>
      <c r="C10" s="24">
        <f>MEDIAN('Failed U.S. Kickstarters'!E:E)</f>
        <v>103</v>
      </c>
    </row>
    <row r="11" spans="1:3" x14ac:dyDescent="0.2">
      <c r="A11" t="s">
        <v>8394</v>
      </c>
      <c r="B11" s="24">
        <f>_xlfn.STDEV.P('Successful U.S. Kickstarters'!E:E)</f>
        <v>8334.5731699164608</v>
      </c>
      <c r="C11" s="24">
        <f>_xlfn.STDEV.P('Failed U.S. Kickstarters'!E:E)</f>
        <v>1330.5230280400915</v>
      </c>
    </row>
    <row r="12" spans="1:3" x14ac:dyDescent="0.2">
      <c r="A12" t="s">
        <v>8395</v>
      </c>
      <c r="B12" s="24">
        <f>_xlfn.QUARTILE.EXC('Successful U.S. Kickstarters'!E:E, 3)</f>
        <v>5699</v>
      </c>
      <c r="C12" s="24">
        <f>_xlfn.QUARTILE.EXC('Failed U.S. Kickstarters'!E:E, 3)</f>
        <v>501</v>
      </c>
    </row>
    <row r="13" spans="1:3" x14ac:dyDescent="0.2">
      <c r="A13" t="s">
        <v>8396</v>
      </c>
      <c r="B13" s="24">
        <f>_xlfn.QUARTILE.EXC('Successful U.S. Kickstarters'!E:E, 1)</f>
        <v>1716.5074999999999</v>
      </c>
      <c r="C13" s="24">
        <f>_xlfn.QUARTILE.EXC('Failed U.S. Kickstarters'!E:E, 1)</f>
        <v>9.25</v>
      </c>
    </row>
    <row r="14" spans="1:3" x14ac:dyDescent="0.2">
      <c r="A14" t="s">
        <v>8397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05F12-8EA8-DD43-B751-55A7088DCA4D}">
  <dimension ref="A1:T251"/>
  <sheetViews>
    <sheetView workbookViewId="0">
      <selection activeCell="B2" sqref="B2"/>
    </sheetView>
  </sheetViews>
  <sheetFormatPr baseColWidth="10" defaultRowHeight="15" x14ac:dyDescent="0.2"/>
  <cols>
    <col min="1" max="1" width="10.1640625" bestFit="1" customWidth="1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8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8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8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8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8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8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48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8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8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8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8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8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8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8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8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2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8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8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8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8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8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8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8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8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2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2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8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8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8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8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8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16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2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8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8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8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8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8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2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8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8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8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8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8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8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2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8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8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8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2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8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8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8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2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8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8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6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8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8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4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8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8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2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8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2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8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8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8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8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16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2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8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8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8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8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8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8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2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8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6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2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8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8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8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8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8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8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8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8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8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8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8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8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8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8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8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8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8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2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8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8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8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8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8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8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8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8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8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8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8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2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8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8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8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8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2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8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2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8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8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8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2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8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8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8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6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8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8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6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8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8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8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8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8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8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8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8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8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8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8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8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8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8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8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2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8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8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8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8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8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8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8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2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2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8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2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2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8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8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8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8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8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8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16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8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8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8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8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8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2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8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8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8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8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15" priority="2" operator="containsText" text="successful">
      <formula>NOT(ISERROR(SEARCH("successful",F1)))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AF41-8072-404E-887E-0AFAF6AE0573}">
  <dimension ref="A1:T413"/>
  <sheetViews>
    <sheetView topLeftCell="B1" zoomScale="130" zoomScaleNormal="130" workbookViewId="0">
      <selection activeCell="H2" sqref="H2"/>
    </sheetView>
  </sheetViews>
  <sheetFormatPr baseColWidth="10" defaultRowHeight="15" x14ac:dyDescent="0.2"/>
  <cols>
    <col min="1" max="1" width="10.1640625" style="18" bestFit="1" customWidth="1"/>
    <col min="2" max="2" width="38.5" style="18" customWidth="1"/>
    <col min="3" max="3" width="40.33203125" style="18" customWidth="1"/>
    <col min="4" max="4" width="15.6640625" style="18" bestFit="1" customWidth="1"/>
    <col min="5" max="5" width="16.5" style="18" customWidth="1"/>
    <col min="6" max="6" width="21.33203125" style="18" customWidth="1"/>
    <col min="7" max="7" width="17.83203125" style="18" customWidth="1"/>
    <col min="8" max="8" width="19.83203125" style="18" customWidth="1"/>
    <col min="9" max="9" width="19.33203125" style="18" customWidth="1"/>
    <col min="10" max="10" width="17.83203125" style="18" customWidth="1"/>
    <col min="11" max="11" width="15.5" style="18" customWidth="1"/>
    <col min="12" max="12" width="24.5" style="18" customWidth="1"/>
    <col min="13" max="13" width="36.5" style="18" customWidth="1"/>
    <col min="14" max="14" width="41.1640625" style="18" customWidth="1"/>
    <col min="15" max="15" width="16.33203125" style="18" bestFit="1" customWidth="1"/>
    <col min="16" max="16" width="15" style="18" bestFit="1" customWidth="1"/>
    <col min="17" max="17" width="41.1640625" style="18" customWidth="1"/>
    <col min="18" max="18" width="15.6640625" style="18" bestFit="1" customWidth="1"/>
    <col min="19" max="19" width="20.5" style="18" bestFit="1" customWidth="1"/>
    <col min="20" max="20" width="19.1640625" style="18" bestFit="1" customWidth="1"/>
    <col min="21" max="16384" width="10.83203125" style="18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8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8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8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6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8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8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8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8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8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8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2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8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8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8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8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8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2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2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8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8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8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2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2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8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8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8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6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8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8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8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8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2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8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8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2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2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16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8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8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4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8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8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2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8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2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8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8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4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8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2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8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4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2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8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8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2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2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2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8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8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8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8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2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8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2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8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8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2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4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8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8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8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8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8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2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2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2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2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2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2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8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6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8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8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8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8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8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8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8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8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8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2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8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8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2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2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2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8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8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8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8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8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2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8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8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16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8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8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8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8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8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8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8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8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8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8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2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8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8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8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80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8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8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8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8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8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8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8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2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2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2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8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8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8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8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2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8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2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8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8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8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2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8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8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8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8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8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8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8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8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8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8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8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8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8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8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2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8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8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2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8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8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8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8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8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8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8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8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8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2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8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8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8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8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8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8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8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8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8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8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8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2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16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8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8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2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8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8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8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8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8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8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8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8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8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8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8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8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8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8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8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6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2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8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8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8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8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8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8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8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8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8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8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6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8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2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2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8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8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8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8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8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8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8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8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2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8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8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8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8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8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8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8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8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8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16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8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8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8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8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8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2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8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8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2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8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8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8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2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2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80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8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2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2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8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8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6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8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2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8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2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4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8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8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8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8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8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8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2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8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4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2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8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2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8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8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2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8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8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8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8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8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8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8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8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8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4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8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2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8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8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8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8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8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8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8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8942-A9D5-5D45-9BC3-4EB401AD121E}">
  <dimension ref="A1:E6"/>
  <sheetViews>
    <sheetView workbookViewId="0">
      <selection activeCell="B2" sqref="B2"/>
    </sheetView>
  </sheetViews>
  <sheetFormatPr baseColWidth="10" defaultRowHeight="15" x14ac:dyDescent="0.2"/>
  <cols>
    <col min="1" max="1" width="31.1640625" style="18" bestFit="1" customWidth="1"/>
    <col min="2" max="2" width="30.33203125" style="20" customWidth="1"/>
    <col min="3" max="4" width="10.83203125" style="22"/>
    <col min="5" max="5" width="15.5" style="18" bestFit="1" customWidth="1"/>
    <col min="6" max="16384" width="10.83203125" style="18"/>
  </cols>
  <sheetData>
    <row r="1" spans="1:5" s="16" customFormat="1" ht="16" x14ac:dyDescent="0.2">
      <c r="A1" s="16" t="s">
        <v>8379</v>
      </c>
      <c r="B1" s="17" t="s">
        <v>8380</v>
      </c>
      <c r="C1" s="21" t="s">
        <v>8381</v>
      </c>
      <c r="D1" s="21" t="s">
        <v>8382</v>
      </c>
      <c r="E1" s="16" t="s">
        <v>8383</v>
      </c>
    </row>
    <row r="2" spans="1:5" ht="96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18">
        <f>VLOOKUP(A2, Kickstarter!B:L, 11, FALSE)</f>
        <v>39</v>
      </c>
    </row>
    <row r="3" spans="1:5" ht="64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18">
        <f>VLOOKUP(A3, Kickstarter!B:L, 11, FALSE)</f>
        <v>56</v>
      </c>
    </row>
    <row r="4" spans="1:5" ht="64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18">
        <f>VLOOKUP(A4, Kickstarter!B:L, 11, FALSE)</f>
        <v>78</v>
      </c>
    </row>
    <row r="5" spans="1:5" ht="64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18">
        <f>VLOOKUP(A5, Kickstarter!B:L, 11, FALSE)</f>
        <v>26</v>
      </c>
    </row>
    <row r="6" spans="1:5" ht="64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18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FA0F-A54E-9A43-8523-FF2CD1482CF2}">
  <dimension ref="A1:F6"/>
  <sheetViews>
    <sheetView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C3CF9-2620-D849-A346-4DF76531640F}">
  <dimension ref="A1:E7"/>
  <sheetViews>
    <sheetView workbookViewId="0">
      <selection activeCell="P3" sqref="P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77EED-A1D0-294E-B4D5-B003C1E8B8C7}">
  <dimension ref="A1:E17"/>
  <sheetViews>
    <sheetView topLeftCell="A17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3" spans="1:5" x14ac:dyDescent="0.2">
      <c r="A3" s="10" t="s">
        <v>8363</v>
      </c>
      <c r="B3" s="10" t="s">
        <v>8360</v>
      </c>
    </row>
    <row r="4" spans="1:5" x14ac:dyDescent="0.2">
      <c r="A4" s="10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">
      <c r="A6" s="15" t="s">
        <v>8374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">
      <c r="A7" s="15" t="s">
        <v>8375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">
      <c r="A8" s="15" t="s">
        <v>8376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">
      <c r="A9" s="15" t="s">
        <v>8367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">
      <c r="A10" s="15" t="s">
        <v>8377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">
      <c r="A11" s="15" t="s">
        <v>8368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">
      <c r="A12" s="15" t="s">
        <v>8369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">
      <c r="A13" s="15" t="s">
        <v>8370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">
      <c r="A14" s="15" t="s">
        <v>8371</v>
      </c>
      <c r="B14" s="9"/>
      <c r="C14" s="9">
        <v>50</v>
      </c>
      <c r="D14" s="9">
        <v>65</v>
      </c>
      <c r="E14" s="9">
        <v>115</v>
      </c>
    </row>
    <row r="15" spans="1:5" x14ac:dyDescent="0.2">
      <c r="A15" s="15" t="s">
        <v>8372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">
      <c r="A16" s="15" t="s">
        <v>8378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">
      <c r="A17" s="15" t="s">
        <v>8361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Sheet13</vt:lpstr>
      <vt:lpstr>Kickstarter</vt:lpstr>
      <vt:lpstr>Sheet14</vt:lpstr>
      <vt:lpstr>Outcomes Based on Goals</vt:lpstr>
      <vt:lpstr>Outcomes Based on Launch Da (2)</vt:lpstr>
      <vt:lpstr>Descriptive Statistics</vt:lpstr>
      <vt:lpstr>Failed U.S.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2019-09-04T22:13:10Z</dcterms:modified>
</cp:coreProperties>
</file>