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사용자\Desktop\미래내일일경험\python_lab\07. 한글 문서\"/>
    </mc:Choice>
  </mc:AlternateContent>
  <xr:revisionPtr revIDLastSave="0" documentId="13_ncr:1_{13AE8288-71D4-4649-AADB-10F1AF5F4590}" xr6:coauthVersionLast="47" xr6:coauthVersionMax="47" xr10:uidLastSave="{00000000-0000-0000-0000-000000000000}"/>
  <bookViews>
    <workbookView xWindow="690" yWindow="780" windowWidth="34695" windowHeight="15345" tabRatio="500" xr2:uid="{00000000-000D-0000-FFFF-FFFF00000000}"/>
  </bookViews>
  <sheets>
    <sheet name="참여자명단" sheetId="1" r:id="rId1"/>
    <sheet name="참여기업" sheetId="2" r:id="rId2"/>
    <sheet name="참여기업 멘토" sheetId="13" r:id="rId3"/>
    <sheet name="사전직무,운영기관,일경험 정보" sheetId="3" r:id="rId4"/>
    <sheet name="계좌" sheetId="10" r:id="rId5"/>
    <sheet name="지원금(주기준산정-4주기준지급)" sheetId="11" r:id="rId6"/>
  </sheets>
  <externalReferences>
    <externalReference r:id="rId7"/>
  </externalReferences>
  <definedNames>
    <definedName name="_xlnm._FilterDatabase" localSheetId="5" hidden="1">'지원금(주기준산정-4주기준지급)'!$B$9:$AO$31</definedName>
    <definedName name="_xlnm.Print_Area" localSheetId="5">'지원금(주기준산정-4주기준지급)'!$B$2:$AO$31</definedName>
    <definedName name="_xlnm.Print_Titles" localSheetId="5">'지원금(주기준산정-4주기준지급)'!$9:$9</definedName>
    <definedName name="운영형태">[1]사업비항목!$C$35:$C$36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3" l="1"/>
  <c r="C44" i="3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43" i="3"/>
  <c r="G24" i="10"/>
  <c r="G23" i="10"/>
  <c r="E24" i="10"/>
  <c r="E23" i="10"/>
  <c r="D24" i="10"/>
  <c r="D23" i="10"/>
  <c r="C24" i="10"/>
  <c r="C23" i="10"/>
  <c r="L24" i="10"/>
  <c r="K24" i="10"/>
  <c r="J24" i="10"/>
  <c r="I24" i="10"/>
  <c r="L23" i="10"/>
  <c r="K23" i="10"/>
  <c r="J23" i="10"/>
  <c r="I23" i="10"/>
  <c r="L22" i="10"/>
  <c r="K22" i="10"/>
  <c r="J22" i="10"/>
  <c r="I22" i="10"/>
  <c r="F12" i="11"/>
  <c r="F13" i="11"/>
  <c r="F14" i="11"/>
  <c r="F15" i="11"/>
  <c r="F16" i="11"/>
  <c r="F17" i="11"/>
  <c r="F18" i="11"/>
  <c r="F19" i="11"/>
  <c r="G19" i="11" s="1"/>
  <c r="F20" i="11"/>
  <c r="F21" i="11"/>
  <c r="F22" i="11"/>
  <c r="F23" i="11"/>
  <c r="G23" i="11" s="1"/>
  <c r="K23" i="11" s="1"/>
  <c r="F24" i="11"/>
  <c r="F25" i="11"/>
  <c r="F26" i="11"/>
  <c r="F27" i="11"/>
  <c r="F28" i="11"/>
  <c r="F29" i="11"/>
  <c r="M12" i="11"/>
  <c r="M13" i="11"/>
  <c r="M14" i="11"/>
  <c r="M15" i="11"/>
  <c r="M16" i="11"/>
  <c r="M17" i="11"/>
  <c r="M18" i="11"/>
  <c r="M19" i="11"/>
  <c r="M20" i="11"/>
  <c r="M21" i="11"/>
  <c r="N21" i="11" s="1"/>
  <c r="M22" i="11"/>
  <c r="M23" i="11"/>
  <c r="M24" i="11"/>
  <c r="M25" i="11"/>
  <c r="M26" i="11"/>
  <c r="M27" i="11"/>
  <c r="M28" i="11"/>
  <c r="N28" i="11" s="1"/>
  <c r="M29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U23" i="11" s="1"/>
  <c r="Y23" i="11" s="1"/>
  <c r="T24" i="11"/>
  <c r="T25" i="11"/>
  <c r="T26" i="11"/>
  <c r="T27" i="11"/>
  <c r="T28" i="11"/>
  <c r="T29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E22" i="10"/>
  <c r="D22" i="10"/>
  <c r="F22" i="10" s="1"/>
  <c r="AL20" i="11" s="1"/>
  <c r="C22" i="10"/>
  <c r="AL27" i="11" s="1"/>
  <c r="I6" i="10"/>
  <c r="J6" i="10"/>
  <c r="K6" i="10"/>
  <c r="L6" i="10"/>
  <c r="N6" i="10"/>
  <c r="D11" i="11" s="1"/>
  <c r="I7" i="10"/>
  <c r="J7" i="10"/>
  <c r="K7" i="10"/>
  <c r="L7" i="10"/>
  <c r="N7" i="10"/>
  <c r="D12" i="11" s="1"/>
  <c r="I8" i="10"/>
  <c r="J8" i="10"/>
  <c r="K8" i="10"/>
  <c r="L8" i="10"/>
  <c r="N8" i="10"/>
  <c r="I9" i="10"/>
  <c r="J9" i="10"/>
  <c r="K9" i="10"/>
  <c r="L9" i="10"/>
  <c r="N9" i="10"/>
  <c r="D14" i="11" s="1"/>
  <c r="I10" i="10"/>
  <c r="J10" i="10"/>
  <c r="K10" i="10"/>
  <c r="L10" i="10"/>
  <c r="N10" i="10"/>
  <c r="D15" i="11" s="1"/>
  <c r="I11" i="10"/>
  <c r="J11" i="10"/>
  <c r="K11" i="10"/>
  <c r="L11" i="10"/>
  <c r="N11" i="10"/>
  <c r="I12" i="10"/>
  <c r="J12" i="10"/>
  <c r="K12" i="10"/>
  <c r="L12" i="10"/>
  <c r="N12" i="10"/>
  <c r="D17" i="11" s="1"/>
  <c r="I13" i="10"/>
  <c r="J13" i="10"/>
  <c r="K13" i="10"/>
  <c r="L13" i="10"/>
  <c r="N13" i="10"/>
  <c r="I14" i="10"/>
  <c r="J14" i="10"/>
  <c r="K14" i="10"/>
  <c r="L14" i="10"/>
  <c r="N14" i="10"/>
  <c r="D19" i="11" s="1"/>
  <c r="I15" i="10"/>
  <c r="J15" i="10"/>
  <c r="K15" i="10"/>
  <c r="L15" i="10"/>
  <c r="N15" i="10"/>
  <c r="I16" i="10"/>
  <c r="J16" i="10"/>
  <c r="K16" i="10"/>
  <c r="L16" i="10"/>
  <c r="N16" i="10"/>
  <c r="I17" i="10"/>
  <c r="J17" i="10"/>
  <c r="K17" i="10"/>
  <c r="L17" i="10"/>
  <c r="N17" i="10"/>
  <c r="D22" i="11" s="1"/>
  <c r="I18" i="10"/>
  <c r="J18" i="10"/>
  <c r="K18" i="10"/>
  <c r="L18" i="10"/>
  <c r="N18" i="10"/>
  <c r="I19" i="10"/>
  <c r="J19" i="10"/>
  <c r="K19" i="10"/>
  <c r="L19" i="10"/>
  <c r="N19" i="10"/>
  <c r="D24" i="11" s="1"/>
  <c r="N5" i="10"/>
  <c r="D10" i="11" s="1"/>
  <c r="L5" i="10"/>
  <c r="K5" i="10"/>
  <c r="J5" i="10"/>
  <c r="I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5" i="10"/>
  <c r="D13" i="11"/>
  <c r="D16" i="11"/>
  <c r="D18" i="11"/>
  <c r="D20" i="11"/>
  <c r="D21" i="11"/>
  <c r="D23" i="11"/>
  <c r="AB28" i="11"/>
  <c r="U28" i="11"/>
  <c r="AN28" i="11"/>
  <c r="AB27" i="11"/>
  <c r="U27" i="11"/>
  <c r="N27" i="11"/>
  <c r="G27" i="11"/>
  <c r="AN26" i="11"/>
  <c r="AF26" i="11"/>
  <c r="AB26" i="11"/>
  <c r="AE26" i="11" s="1"/>
  <c r="U26" i="11"/>
  <c r="Y26" i="11" s="1"/>
  <c r="N26" i="11"/>
  <c r="Q26" i="11" s="1"/>
  <c r="I26" i="11"/>
  <c r="G26" i="11"/>
  <c r="K26" i="11" s="1"/>
  <c r="AN25" i="11"/>
  <c r="AB25" i="11"/>
  <c r="AF25" i="11" s="1"/>
  <c r="U25" i="11"/>
  <c r="X25" i="11" s="1"/>
  <c r="P25" i="11"/>
  <c r="N25" i="11"/>
  <c r="R25" i="11" s="1"/>
  <c r="G25" i="11"/>
  <c r="J25" i="11" s="1"/>
  <c r="AN24" i="11"/>
  <c r="AB24" i="11"/>
  <c r="AE24" i="11" s="1"/>
  <c r="Y24" i="11"/>
  <c r="U24" i="11"/>
  <c r="V24" i="11" s="1"/>
  <c r="R24" i="11"/>
  <c r="N24" i="11"/>
  <c r="Q24" i="11" s="1"/>
  <c r="K24" i="11"/>
  <c r="G24" i="11"/>
  <c r="H24" i="11" s="1"/>
  <c r="N23" i="11"/>
  <c r="Q23" i="11" s="1"/>
  <c r="AB22" i="11"/>
  <c r="AF22" i="11" s="1"/>
  <c r="X22" i="11"/>
  <c r="V22" i="11"/>
  <c r="U22" i="11"/>
  <c r="Y22" i="11" s="1"/>
  <c r="N22" i="11"/>
  <c r="R22" i="11" s="1"/>
  <c r="G22" i="11"/>
  <c r="K22" i="11" s="1"/>
  <c r="AM22" i="11" s="1"/>
  <c r="AB16" i="11"/>
  <c r="U16" i="11"/>
  <c r="N16" i="11"/>
  <c r="AB15" i="11"/>
  <c r="U15" i="11"/>
  <c r="N15" i="11"/>
  <c r="G15" i="11"/>
  <c r="AB14" i="11"/>
  <c r="U14" i="11"/>
  <c r="N14" i="11"/>
  <c r="G14" i="11"/>
  <c r="AB13" i="11"/>
  <c r="U13" i="11"/>
  <c r="N13" i="11"/>
  <c r="AB12" i="11"/>
  <c r="U12" i="11"/>
  <c r="N12" i="11"/>
  <c r="AN12" i="11"/>
  <c r="AA11" i="11"/>
  <c r="AB11" i="11" s="1"/>
  <c r="T11" i="11"/>
  <c r="U11" i="11" s="1"/>
  <c r="M11" i="11"/>
  <c r="N11" i="11" s="1"/>
  <c r="F11" i="11"/>
  <c r="G11" i="11" s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5" i="10"/>
  <c r="D6" i="10"/>
  <c r="E6" i="10"/>
  <c r="D7" i="10"/>
  <c r="E7" i="10"/>
  <c r="D8" i="10"/>
  <c r="F8" i="10" s="1"/>
  <c r="E8" i="10"/>
  <c r="D9" i="10"/>
  <c r="E9" i="10"/>
  <c r="D10" i="10"/>
  <c r="E10" i="10"/>
  <c r="D11" i="10"/>
  <c r="F11" i="10" s="1"/>
  <c r="E11" i="10"/>
  <c r="D12" i="10"/>
  <c r="F12" i="10" s="1"/>
  <c r="E12" i="10"/>
  <c r="D13" i="10"/>
  <c r="E13" i="10"/>
  <c r="D14" i="10"/>
  <c r="E14" i="10"/>
  <c r="D15" i="10"/>
  <c r="E15" i="10"/>
  <c r="D16" i="10"/>
  <c r="F16" i="10" s="1"/>
  <c r="E16" i="10"/>
  <c r="D17" i="10"/>
  <c r="E17" i="10"/>
  <c r="D18" i="10"/>
  <c r="E18" i="10"/>
  <c r="D19" i="10"/>
  <c r="F19" i="10" s="1"/>
  <c r="E19" i="10"/>
  <c r="E5" i="10"/>
  <c r="D5" i="10"/>
  <c r="C5" i="10" a="1"/>
  <c r="C5" i="10" s="1"/>
  <c r="I28" i="11" s="1"/>
  <c r="AL29" i="11"/>
  <c r="AB29" i="11"/>
  <c r="U29" i="11"/>
  <c r="G29" i="11"/>
  <c r="AB21" i="11"/>
  <c r="U21" i="11"/>
  <c r="AB20" i="11"/>
  <c r="U20" i="11"/>
  <c r="N20" i="11"/>
  <c r="AB19" i="11"/>
  <c r="U19" i="11"/>
  <c r="N19" i="11"/>
  <c r="AB18" i="11"/>
  <c r="U18" i="11"/>
  <c r="N18" i="11"/>
  <c r="G18" i="11"/>
  <c r="AB17" i="11"/>
  <c r="U17" i="11"/>
  <c r="N17" i="11"/>
  <c r="AN10" i="11"/>
  <c r="AE10" i="11"/>
  <c r="AB10" i="11"/>
  <c r="AC10" i="11" s="1"/>
  <c r="V10" i="11"/>
  <c r="U10" i="11"/>
  <c r="X10" i="11" s="1"/>
  <c r="N10" i="11"/>
  <c r="R10" i="11" s="1"/>
  <c r="G10" i="11"/>
  <c r="K10" i="11" s="1"/>
  <c r="T6" i="11"/>
  <c r="T5" i="11"/>
  <c r="T4" i="11"/>
  <c r="B6" i="10"/>
  <c r="B7" i="10"/>
  <c r="B8" i="10"/>
  <c r="B9" i="10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F20" i="10"/>
  <c r="F23" i="10"/>
  <c r="F24" i="10"/>
  <c r="R28" i="10"/>
  <c r="F15" i="10" l="1"/>
  <c r="F7" i="10"/>
  <c r="F18" i="10"/>
  <c r="F14" i="10"/>
  <c r="F10" i="10"/>
  <c r="F6" i="10"/>
  <c r="F17" i="10"/>
  <c r="F13" i="10"/>
  <c r="AI18" i="11" s="1"/>
  <c r="F9" i="10"/>
  <c r="F5" i="10"/>
  <c r="C18" i="11"/>
  <c r="C17" i="11"/>
  <c r="AI25" i="11"/>
  <c r="C21" i="11"/>
  <c r="P26" i="11"/>
  <c r="C24" i="11"/>
  <c r="W24" i="11" s="1"/>
  <c r="C16" i="11"/>
  <c r="AI26" i="11"/>
  <c r="C23" i="11"/>
  <c r="AD23" i="11" s="1"/>
  <c r="C15" i="11"/>
  <c r="AD25" i="11"/>
  <c r="W26" i="11"/>
  <c r="C22" i="11"/>
  <c r="C14" i="11"/>
  <c r="AD14" i="11" s="1"/>
  <c r="C13" i="11"/>
  <c r="C20" i="11"/>
  <c r="C12" i="11"/>
  <c r="AI27" i="11"/>
  <c r="C10" i="11"/>
  <c r="AI10" i="11" s="1"/>
  <c r="C19" i="11"/>
  <c r="AD19" i="11" s="1"/>
  <c r="C11" i="11"/>
  <c r="W11" i="11" s="1"/>
  <c r="P14" i="11"/>
  <c r="AL25" i="11"/>
  <c r="AL26" i="11"/>
  <c r="I13" i="11"/>
  <c r="AD15" i="11"/>
  <c r="W14" i="11"/>
  <c r="P22" i="11"/>
  <c r="AD28" i="11"/>
  <c r="I27" i="11"/>
  <c r="AL28" i="11"/>
  <c r="I25" i="11"/>
  <c r="W28" i="11"/>
  <c r="W27" i="11"/>
  <c r="AD27" i="11"/>
  <c r="I23" i="11"/>
  <c r="W25" i="11"/>
  <c r="AD26" i="11"/>
  <c r="H22" i="11"/>
  <c r="J22" i="11"/>
  <c r="AN22" i="11"/>
  <c r="K25" i="11"/>
  <c r="R26" i="11"/>
  <c r="R23" i="11"/>
  <c r="AN23" i="11"/>
  <c r="Y25" i="11"/>
  <c r="AM24" i="11"/>
  <c r="AF24" i="11"/>
  <c r="AB23" i="11"/>
  <c r="AM26" i="11"/>
  <c r="AL19" i="11"/>
  <c r="AL14" i="11"/>
  <c r="AL16" i="11"/>
  <c r="AL13" i="11"/>
  <c r="AL24" i="11"/>
  <c r="AL11" i="11"/>
  <c r="AL10" i="11"/>
  <c r="AL15" i="11"/>
  <c r="AL18" i="11"/>
  <c r="AL23" i="11"/>
  <c r="AL12" i="11"/>
  <c r="AL21" i="11"/>
  <c r="AL17" i="11"/>
  <c r="AK29" i="11"/>
  <c r="AK26" i="11"/>
  <c r="AK25" i="11"/>
  <c r="AL22" i="11"/>
  <c r="AK28" i="11"/>
  <c r="AK27" i="11"/>
  <c r="AI28" i="11"/>
  <c r="P28" i="11"/>
  <c r="P27" i="11"/>
  <c r="H27" i="11"/>
  <c r="K27" i="11"/>
  <c r="J27" i="11"/>
  <c r="AJ25" i="11"/>
  <c r="R28" i="11"/>
  <c r="Q28" i="11"/>
  <c r="O28" i="11"/>
  <c r="AG22" i="11"/>
  <c r="H17" i="10" s="1"/>
  <c r="R27" i="11"/>
  <c r="Q27" i="11"/>
  <c r="O27" i="11"/>
  <c r="AM25" i="11"/>
  <c r="Y28" i="11"/>
  <c r="X28" i="11"/>
  <c r="V28" i="11"/>
  <c r="V27" i="11"/>
  <c r="Y27" i="11"/>
  <c r="X27" i="11"/>
  <c r="AF28" i="11"/>
  <c r="AE28" i="11"/>
  <c r="AC28" i="11"/>
  <c r="AF27" i="11"/>
  <c r="AE27" i="11"/>
  <c r="AC27" i="11"/>
  <c r="AC22" i="11"/>
  <c r="J24" i="11"/>
  <c r="AJ24" i="11" s="1"/>
  <c r="X24" i="11"/>
  <c r="O25" i="11"/>
  <c r="AC25" i="11"/>
  <c r="O22" i="11"/>
  <c r="AE22" i="11"/>
  <c r="AJ22" i="11" s="1"/>
  <c r="H23" i="11"/>
  <c r="V23" i="11"/>
  <c r="Q25" i="11"/>
  <c r="AE25" i="11"/>
  <c r="H26" i="11"/>
  <c r="V26" i="11"/>
  <c r="AN27" i="11"/>
  <c r="Q22" i="11"/>
  <c r="J23" i="11"/>
  <c r="X23" i="11"/>
  <c r="O24" i="11"/>
  <c r="AC24" i="11"/>
  <c r="J26" i="11"/>
  <c r="X26" i="11"/>
  <c r="G28" i="11"/>
  <c r="AI22" i="11"/>
  <c r="H25" i="11"/>
  <c r="V25" i="11"/>
  <c r="AN16" i="11"/>
  <c r="AN29" i="11"/>
  <c r="W22" i="11"/>
  <c r="O23" i="11"/>
  <c r="AC23" i="11"/>
  <c r="O26" i="11"/>
  <c r="AC26" i="11"/>
  <c r="AN13" i="11"/>
  <c r="J15" i="11"/>
  <c r="H15" i="11"/>
  <c r="K15" i="11"/>
  <c r="R12" i="11"/>
  <c r="Q12" i="11"/>
  <c r="O12" i="11"/>
  <c r="R16" i="11"/>
  <c r="Q16" i="11"/>
  <c r="O16" i="11"/>
  <c r="J11" i="11"/>
  <c r="H11" i="11"/>
  <c r="K11" i="11"/>
  <c r="R15" i="11"/>
  <c r="Q15" i="11"/>
  <c r="O15" i="11"/>
  <c r="AF16" i="11"/>
  <c r="AE16" i="11"/>
  <c r="AC16" i="11"/>
  <c r="Y12" i="11"/>
  <c r="X12" i="11"/>
  <c r="V12" i="11"/>
  <c r="X15" i="11"/>
  <c r="V15" i="11"/>
  <c r="Y15" i="11"/>
  <c r="Y13" i="11"/>
  <c r="X13" i="11"/>
  <c r="V13" i="11"/>
  <c r="AF14" i="11"/>
  <c r="AE14" i="11"/>
  <c r="AC14" i="11"/>
  <c r="K14" i="11"/>
  <c r="J14" i="11"/>
  <c r="H14" i="11"/>
  <c r="Y16" i="11"/>
  <c r="X16" i="11"/>
  <c r="V16" i="11"/>
  <c r="R11" i="11"/>
  <c r="Q11" i="11"/>
  <c r="O11" i="11"/>
  <c r="Y14" i="11"/>
  <c r="X14" i="11"/>
  <c r="V14" i="11"/>
  <c r="AF15" i="11"/>
  <c r="AE15" i="11"/>
  <c r="AC15" i="11"/>
  <c r="AF11" i="11"/>
  <c r="AE11" i="11"/>
  <c r="AC11" i="11"/>
  <c r="AE13" i="11"/>
  <c r="AC13" i="11"/>
  <c r="AF13" i="11"/>
  <c r="R14" i="11"/>
  <c r="Q14" i="11"/>
  <c r="O14" i="11"/>
  <c r="Q13" i="11"/>
  <c r="O13" i="11"/>
  <c r="R13" i="11"/>
  <c r="X11" i="11"/>
  <c r="V11" i="11"/>
  <c r="Y11" i="11"/>
  <c r="J29" i="11"/>
  <c r="H29" i="11"/>
  <c r="K29" i="11"/>
  <c r="AF12" i="11"/>
  <c r="AE12" i="11"/>
  <c r="AC12" i="11"/>
  <c r="AN21" i="11"/>
  <c r="AN11" i="11"/>
  <c r="AN15" i="11"/>
  <c r="AN17" i="11"/>
  <c r="G13" i="11"/>
  <c r="G12" i="11"/>
  <c r="AN14" i="11"/>
  <c r="G16" i="11"/>
  <c r="Y10" i="11"/>
  <c r="AN20" i="11"/>
  <c r="I29" i="11"/>
  <c r="I20" i="11"/>
  <c r="I10" i="11"/>
  <c r="I21" i="11"/>
  <c r="AD20" i="11"/>
  <c r="P18" i="11"/>
  <c r="P10" i="11"/>
  <c r="AI17" i="11"/>
  <c r="AI19" i="11"/>
  <c r="AD18" i="11"/>
  <c r="AD10" i="11"/>
  <c r="W21" i="11"/>
  <c r="P21" i="11"/>
  <c r="AI29" i="11"/>
  <c r="AD17" i="11"/>
  <c r="W17" i="11"/>
  <c r="P19" i="11"/>
  <c r="AD29" i="11"/>
  <c r="P17" i="11"/>
  <c r="I19" i="11"/>
  <c r="AI20" i="11"/>
  <c r="W18" i="11"/>
  <c r="P20" i="11"/>
  <c r="W29" i="11"/>
  <c r="AI21" i="11"/>
  <c r="W10" i="11"/>
  <c r="I18" i="11"/>
  <c r="AD21" i="11"/>
  <c r="I17" i="11"/>
  <c r="P29" i="11"/>
  <c r="W20" i="11"/>
  <c r="AF21" i="11"/>
  <c r="AE21" i="11"/>
  <c r="AC21" i="11"/>
  <c r="AF29" i="11"/>
  <c r="AE29" i="11"/>
  <c r="AC29" i="11"/>
  <c r="V18" i="11"/>
  <c r="Y18" i="11"/>
  <c r="X18" i="11"/>
  <c r="AF18" i="11"/>
  <c r="AE18" i="11"/>
  <c r="AC18" i="11"/>
  <c r="Y19" i="11"/>
  <c r="X19" i="11"/>
  <c r="V19" i="11"/>
  <c r="AF19" i="11"/>
  <c r="AE19" i="11"/>
  <c r="AC19" i="11"/>
  <c r="K19" i="11"/>
  <c r="J19" i="11"/>
  <c r="H19" i="11"/>
  <c r="O20" i="11"/>
  <c r="R20" i="11"/>
  <c r="Q20" i="11"/>
  <c r="V29" i="11"/>
  <c r="Y29" i="11"/>
  <c r="X29" i="11"/>
  <c r="R21" i="11"/>
  <c r="Q21" i="11"/>
  <c r="O21" i="11"/>
  <c r="H18" i="11"/>
  <c r="K18" i="11"/>
  <c r="AM18" i="11" s="1"/>
  <c r="J18" i="11"/>
  <c r="R19" i="11"/>
  <c r="Q19" i="11"/>
  <c r="O19" i="11"/>
  <c r="Y21" i="11"/>
  <c r="X21" i="11"/>
  <c r="V21" i="11"/>
  <c r="R17" i="11"/>
  <c r="Q17" i="11"/>
  <c r="O17" i="11"/>
  <c r="AC20" i="11"/>
  <c r="AF20" i="11"/>
  <c r="AE20" i="11"/>
  <c r="Y17" i="11"/>
  <c r="X17" i="11"/>
  <c r="V17" i="11"/>
  <c r="AF17" i="11"/>
  <c r="AE17" i="11"/>
  <c r="AC17" i="11"/>
  <c r="R18" i="11"/>
  <c r="Q18" i="11"/>
  <c r="O18" i="11"/>
  <c r="Y20" i="11"/>
  <c r="X20" i="11"/>
  <c r="V20" i="11"/>
  <c r="O10" i="11"/>
  <c r="G17" i="11"/>
  <c r="AN19" i="11"/>
  <c r="G21" i="11"/>
  <c r="AF10" i="11"/>
  <c r="AM10" i="11" s="1"/>
  <c r="Q10" i="11"/>
  <c r="G20" i="11"/>
  <c r="N29" i="11"/>
  <c r="AN18" i="11"/>
  <c r="H10" i="11"/>
  <c r="J10" i="11"/>
  <c r="AH27" i="11" l="1"/>
  <c r="AH26" i="11"/>
  <c r="W19" i="11"/>
  <c r="W13" i="11"/>
  <c r="P13" i="11"/>
  <c r="AH13" i="11" s="1"/>
  <c r="AI13" i="11"/>
  <c r="AD13" i="11"/>
  <c r="AI16" i="11"/>
  <c r="AD16" i="11"/>
  <c r="W16" i="11"/>
  <c r="P16" i="11"/>
  <c r="I16" i="11"/>
  <c r="AH28" i="11"/>
  <c r="AI14" i="11"/>
  <c r="I14" i="11"/>
  <c r="AH14" i="11" s="1"/>
  <c r="I24" i="11"/>
  <c r="AI24" i="11"/>
  <c r="P24" i="11"/>
  <c r="I11" i="11"/>
  <c r="AH11" i="11" s="1"/>
  <c r="AI11" i="11"/>
  <c r="AD11" i="11"/>
  <c r="P11" i="11"/>
  <c r="AD22" i="11"/>
  <c r="AH22" i="11" s="1"/>
  <c r="I22" i="11"/>
  <c r="AI15" i="11"/>
  <c r="P15" i="11"/>
  <c r="I15" i="11"/>
  <c r="AH15" i="11" s="1"/>
  <c r="W15" i="11"/>
  <c r="AD24" i="11"/>
  <c r="W12" i="11"/>
  <c r="P12" i="11"/>
  <c r="I12" i="11"/>
  <c r="AI12" i="11"/>
  <c r="AD12" i="11"/>
  <c r="AI23" i="11"/>
  <c r="W23" i="11"/>
  <c r="P23" i="11"/>
  <c r="AH25" i="11"/>
  <c r="AG10" i="11"/>
  <c r="H5" i="10" s="1"/>
  <c r="AJ10" i="11"/>
  <c r="AG14" i="11"/>
  <c r="H9" i="10" s="1"/>
  <c r="AM14" i="11"/>
  <c r="AG24" i="11"/>
  <c r="H19" i="10" s="1"/>
  <c r="AE23" i="11"/>
  <c r="AF23" i="11"/>
  <c r="AM23" i="11" s="1"/>
  <c r="AH18" i="11"/>
  <c r="AJ14" i="11"/>
  <c r="AJ26" i="11"/>
  <c r="AG23" i="11"/>
  <c r="H18" i="10" s="1"/>
  <c r="AG19" i="11"/>
  <c r="H14" i="10" s="1"/>
  <c r="AJ19" i="11"/>
  <c r="AJ23" i="11"/>
  <c r="AG25" i="11"/>
  <c r="AG26" i="11"/>
  <c r="AJ27" i="11"/>
  <c r="AM27" i="11"/>
  <c r="K28" i="11"/>
  <c r="AM28" i="11" s="1"/>
  <c r="J28" i="11"/>
  <c r="AJ28" i="11" s="1"/>
  <c r="H28" i="11"/>
  <c r="AG28" i="11" s="1"/>
  <c r="AG27" i="11"/>
  <c r="K12" i="11"/>
  <c r="AM12" i="11" s="1"/>
  <c r="J12" i="11"/>
  <c r="AJ12" i="11" s="1"/>
  <c r="AK10" i="11" s="1"/>
  <c r="H12" i="11"/>
  <c r="AG12" i="11" s="1"/>
  <c r="H7" i="10" s="1"/>
  <c r="AM11" i="11"/>
  <c r="K13" i="11"/>
  <c r="AM13" i="11" s="1"/>
  <c r="J13" i="11"/>
  <c r="AJ13" i="11" s="1"/>
  <c r="H13" i="11"/>
  <c r="AG13" i="11" s="1"/>
  <c r="H8" i="10" s="1"/>
  <c r="AG11" i="11"/>
  <c r="H6" i="10" s="1"/>
  <c r="AJ11" i="11"/>
  <c r="AM15" i="11"/>
  <c r="K16" i="11"/>
  <c r="AM16" i="11" s="1"/>
  <c r="J16" i="11"/>
  <c r="AJ16" i="11" s="1"/>
  <c r="H16" i="11"/>
  <c r="AG16" i="11" s="1"/>
  <c r="H11" i="10" s="1"/>
  <c r="AG15" i="11"/>
  <c r="H10" i="10" s="1"/>
  <c r="AJ18" i="11"/>
  <c r="AJ15" i="11"/>
  <c r="AH19" i="11"/>
  <c r="AH17" i="11"/>
  <c r="AH21" i="11"/>
  <c r="AH10" i="11"/>
  <c r="AH20" i="11"/>
  <c r="AH29" i="11"/>
  <c r="AM19" i="11"/>
  <c r="K21" i="11"/>
  <c r="AM21" i="11" s="1"/>
  <c r="J21" i="11"/>
  <c r="AJ21" i="11" s="1"/>
  <c r="H21" i="11"/>
  <c r="AG21" i="11" s="1"/>
  <c r="H16" i="10" s="1"/>
  <c r="R29" i="11"/>
  <c r="AM29" i="11" s="1"/>
  <c r="Q29" i="11"/>
  <c r="AJ29" i="11" s="1"/>
  <c r="O29" i="11"/>
  <c r="AG29" i="11" s="1"/>
  <c r="K17" i="11"/>
  <c r="AM17" i="11" s="1"/>
  <c r="J17" i="11"/>
  <c r="AJ17" i="11" s="1"/>
  <c r="H17" i="11"/>
  <c r="AG17" i="11" s="1"/>
  <c r="H12" i="10" s="1"/>
  <c r="AG18" i="11"/>
  <c r="H13" i="10" s="1"/>
  <c r="K20" i="11"/>
  <c r="AM20" i="11" s="1"/>
  <c r="J20" i="11"/>
  <c r="AJ20" i="11" s="1"/>
  <c r="H20" i="11"/>
  <c r="AG20" i="11" s="1"/>
  <c r="H15" i="10" s="1"/>
  <c r="AH23" i="11" l="1"/>
  <c r="AH16" i="11"/>
  <c r="AH24" i="11"/>
  <c r="AH12" i="11"/>
  <c r="AK12" i="11"/>
  <c r="AK22" i="11"/>
  <c r="AK18" i="11"/>
  <c r="AK16" i="11"/>
  <c r="AK13" i="11"/>
  <c r="AK21" i="11"/>
  <c r="AK20" i="11"/>
  <c r="AK24" i="11"/>
  <c r="AK15" i="11"/>
  <c r="AK11" i="11"/>
  <c r="AK19" i="11"/>
  <c r="AK23" i="11"/>
  <c r="AK17" i="11"/>
  <c r="AK14" i="11"/>
  <c r="AJ31" i="11"/>
  <c r="AB7" i="11" s="1"/>
  <c r="AG31" i="11"/>
  <c r="AA7" i="11" s="1"/>
  <c r="AH31" i="11"/>
  <c r="C37" i="3" l="1"/>
  <c r="C16" i="3"/>
  <c r="C6" i="3"/>
  <c r="C11" i="3"/>
  <c r="H16" i="1" l="1"/>
  <c r="H8" i="1"/>
  <c r="H6" i="1"/>
  <c r="H5" i="1"/>
  <c r="H12" i="1"/>
  <c r="H11" i="1"/>
  <c r="H2" i="1"/>
  <c r="H15" i="1"/>
  <c r="H7" i="1"/>
  <c r="H10" i="1"/>
  <c r="H14" i="1"/>
  <c r="H13" i="1"/>
  <c r="H4" i="1"/>
  <c r="H3" i="1"/>
  <c r="H9" i="1"/>
  <c r="AC16" i="1"/>
  <c r="AB16" i="1"/>
  <c r="AA16" i="1"/>
  <c r="Z16" i="1"/>
  <c r="Y16" i="1"/>
  <c r="X16" i="1"/>
  <c r="AC15" i="1"/>
  <c r="AB15" i="1"/>
  <c r="AA15" i="1"/>
  <c r="Z15" i="1"/>
  <c r="Y15" i="1"/>
  <c r="X15" i="1"/>
  <c r="AC14" i="1"/>
  <c r="AB14" i="1"/>
  <c r="AA14" i="1"/>
  <c r="Z14" i="1"/>
  <c r="Y14" i="1"/>
  <c r="X14" i="1"/>
  <c r="AC13" i="1"/>
  <c r="AB13" i="1"/>
  <c r="AA13" i="1"/>
  <c r="Z13" i="1"/>
  <c r="Y13" i="1"/>
  <c r="X13" i="1"/>
  <c r="AC12" i="1"/>
  <c r="AB12" i="1"/>
  <c r="AA12" i="1"/>
  <c r="Z12" i="1"/>
  <c r="Y12" i="1"/>
  <c r="X12" i="1"/>
  <c r="AC11" i="1"/>
  <c r="AB11" i="1"/>
  <c r="AA11" i="1"/>
  <c r="Z11" i="1"/>
  <c r="Y11" i="1"/>
  <c r="X11" i="1"/>
  <c r="AC10" i="1"/>
  <c r="AB10" i="1"/>
  <c r="AA10" i="1"/>
  <c r="Z10" i="1"/>
  <c r="Y10" i="1"/>
  <c r="X10" i="1"/>
  <c r="AC9" i="1"/>
  <c r="AB9" i="1"/>
  <c r="AA9" i="1"/>
  <c r="Z9" i="1"/>
  <c r="Y9" i="1"/>
  <c r="X9" i="1"/>
  <c r="AC8" i="1"/>
  <c r="AB8" i="1"/>
  <c r="AA8" i="1"/>
  <c r="Z8" i="1"/>
  <c r="Y8" i="1"/>
  <c r="X8" i="1"/>
  <c r="AC7" i="1"/>
  <c r="AB7" i="1"/>
  <c r="AA7" i="1"/>
  <c r="Z7" i="1"/>
  <c r="Y7" i="1"/>
  <c r="X7" i="1"/>
  <c r="AC6" i="1"/>
  <c r="AB6" i="1"/>
  <c r="AA6" i="1"/>
  <c r="Z6" i="1"/>
  <c r="Y6" i="1"/>
  <c r="X6" i="1"/>
  <c r="AC5" i="1"/>
  <c r="AB5" i="1"/>
  <c r="AA5" i="1"/>
  <c r="Z5" i="1"/>
  <c r="Y5" i="1"/>
  <c r="X5" i="1"/>
  <c r="AC4" i="1"/>
  <c r="AB4" i="1"/>
  <c r="AA4" i="1"/>
  <c r="Z4" i="1"/>
  <c r="Y4" i="1"/>
  <c r="X4" i="1"/>
  <c r="AC3" i="1"/>
  <c r="AB3" i="1"/>
  <c r="AA3" i="1"/>
  <c r="Z3" i="1"/>
  <c r="Y3" i="1"/>
  <c r="X3" i="1"/>
  <c r="AC2" i="1"/>
  <c r="AB2" i="1"/>
  <c r="AA2" i="1"/>
  <c r="Z2" i="1"/>
  <c r="Y2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<sst xmlns="http://schemas.openxmlformats.org/spreadsheetml/2006/main" count="578" uniqueCount="373">
  <si>
    <t>특이사항 기재</t>
  </si>
  <si>
    <t>순번</t>
  </si>
  <si>
    <t>성명</t>
  </si>
  <si>
    <t>학년</t>
  </si>
  <si>
    <t>최종학과</t>
  </si>
  <si>
    <t>은행</t>
  </si>
  <si>
    <t>계좌번호
(실제 인턴비 받을 계좌, 번복 불가)</t>
  </si>
  <si>
    <t>은행명 / 계좌번호</t>
  </si>
  <si>
    <t>성별</t>
  </si>
  <si>
    <t>생년월일</t>
  </si>
  <si>
    <t>출생연도</t>
  </si>
  <si>
    <t>지역</t>
  </si>
  <si>
    <t>고등학교</t>
  </si>
  <si>
    <t>졸업</t>
  </si>
  <si>
    <t>신한은행</t>
  </si>
  <si>
    <t>국민은행</t>
  </si>
  <si>
    <t>대학교_4년제</t>
  </si>
  <si>
    <t>우리은행</t>
  </si>
  <si>
    <t>대학교_2/3년제</t>
  </si>
  <si>
    <t>작성날짜</t>
    <phoneticPr fontId="3" type="noConversion"/>
  </si>
  <si>
    <t>직무</t>
    <phoneticPr fontId="4" type="noConversion"/>
  </si>
  <si>
    <t>주민등록번호</t>
    <phoneticPr fontId="3" type="noConversion"/>
  </si>
  <si>
    <t>연락처</t>
    <phoneticPr fontId="3" type="noConversion"/>
  </si>
  <si>
    <t>이메일</t>
    <phoneticPr fontId="3" type="noConversion"/>
  </si>
  <si>
    <t>최종학력구분</t>
    <phoneticPr fontId="4" type="noConversion"/>
  </si>
  <si>
    <t>최종학력상태</t>
    <phoneticPr fontId="4" type="noConversion"/>
  </si>
  <si>
    <t>최종학교명</t>
    <phoneticPr fontId="3" type="noConversion"/>
  </si>
  <si>
    <t>주소</t>
    <phoneticPr fontId="3" type="noConversion"/>
  </si>
  <si>
    <t>만나이</t>
    <phoneticPr fontId="3" type="noConversion"/>
  </si>
  <si>
    <t>2024년 12월 03일</t>
    <phoneticPr fontId="3" type="noConversion"/>
  </si>
  <si>
    <t>광고 마케팅</t>
    <phoneticPr fontId="4" type="noConversion"/>
  </si>
  <si>
    <r>
      <rPr>
        <b/>
        <sz val="20"/>
        <color theme="1"/>
        <rFont val="Arial"/>
        <family val="3"/>
        <charset val="129"/>
        <scheme val="minor"/>
      </rPr>
      <t>참여기업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및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일경험정보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</si>
  <si>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단위명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</si>
  <si>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필드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</si>
  <si>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입력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</si>
  <si>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사업장명</t>
    </r>
    <phoneticPr fontId="4" type="noConversion"/>
  </si>
  <si>
    <t>작성날짜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</si>
  <si>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사업자등록번호</t>
    </r>
    <phoneticPr fontId="4" type="noConversion"/>
  </si>
  <si>
    <t>법인번호</t>
    <phoneticPr fontId="4" type="noConversion"/>
  </si>
  <si>
    <r>
      <rPr>
        <b/>
        <sz val="12"/>
        <color theme="1"/>
        <rFont val="Arial"/>
        <family val="2"/>
        <charset val="129"/>
        <scheme val="minor"/>
      </rPr>
      <t>피보험자수</t>
    </r>
    <phoneticPr fontId="4" type="noConversion"/>
  </si>
  <si>
    <t>업종</t>
    <phoneticPr fontId="4" type="noConversion"/>
  </si>
  <si>
    <t>중소기업</t>
  </si>
  <si>
    <t>홈페이지</t>
    <phoneticPr fontId="4" type="noConversion"/>
  </si>
  <si>
    <t>디자인</t>
  </si>
  <si>
    <r>
      <rPr>
        <b/>
        <sz val="12"/>
        <color theme="1"/>
        <rFont val="맑은 고딕"/>
        <family val="3"/>
        <charset val="129"/>
      </rPr>
      <t>회사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소개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주요사업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</si>
  <si>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은행명</t>
    </r>
    <phoneticPr fontId="4" type="noConversion"/>
  </si>
  <si>
    <r>
      <t>00</t>
    </r>
    <r>
      <rPr>
        <sz val="12"/>
        <color theme="1"/>
        <rFont val="Arial"/>
        <family val="2"/>
        <charset val="129"/>
        <scheme val="minor"/>
      </rPr>
      <t>은행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</si>
  <si>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계좌번호</t>
    </r>
    <phoneticPr fontId="4" type="noConversion"/>
  </si>
  <si>
    <t>00-000-0000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</si>
  <si>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예금주</t>
    </r>
    <phoneticPr fontId="4" type="noConversion"/>
  </si>
  <si>
    <r>
      <rPr>
        <sz val="12"/>
        <color theme="1"/>
        <rFont val="Arial"/>
        <family val="3"/>
        <charset val="129"/>
        <scheme val="minor"/>
      </rPr>
      <t>홍홍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</si>
  <si>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대표자명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</si>
  <si>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고용보험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사업장</t>
    </r>
    <r>
      <rPr>
        <b/>
        <sz val="12"/>
        <color theme="1"/>
        <rFont val="Arial"/>
        <family val="2"/>
        <scheme val="minor"/>
      </rPr>
      <t xml:space="preserve"> 
</t>
    </r>
    <r>
      <rPr>
        <b/>
        <sz val="12"/>
        <color theme="1"/>
        <rFont val="Arial"/>
        <family val="3"/>
        <charset val="129"/>
        <scheme val="minor"/>
      </rPr>
      <t>관리번호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</si>
  <si>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기업구분</t>
    </r>
    <r>
      <rPr>
        <b/>
        <sz val="12"/>
        <color theme="1"/>
        <rFont val="Arial"/>
        <family val="2"/>
        <scheme val="minor"/>
      </rPr>
      <t xml:space="preserve"> </t>
    </r>
    <phoneticPr fontId="4" type="noConversion"/>
  </si>
  <si>
    <r>
      <rPr>
        <u/>
        <sz val="20"/>
        <color rgb="FF000000"/>
        <rFont val="Arial"/>
        <family val="2"/>
        <charset val="129"/>
        <scheme val="minor"/>
      </rPr>
      <t>참여기업</t>
    </r>
    <r>
      <rPr>
        <u/>
        <sz val="20"/>
        <color rgb="FF000000"/>
        <rFont val="Arial"/>
        <family val="2"/>
        <scheme val="minor"/>
      </rPr>
      <t xml:space="preserve"> 
</t>
    </r>
    <r>
      <rPr>
        <u/>
        <sz val="20"/>
        <color rgb="FF000000"/>
        <rFont val="Arial"/>
        <family val="2"/>
        <charset val="129"/>
        <scheme val="minor"/>
      </rPr>
      <t>담당자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</si>
  <si>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담당자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</si>
  <si>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직위</t>
    </r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</si>
  <si>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부서명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</si>
  <si>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연락처</t>
    </r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</si>
  <si>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이메일</t>
    </r>
  </si>
  <si>
    <r>
      <rPr>
        <b/>
        <sz val="12"/>
        <color theme="1"/>
        <rFont val="Arial"/>
        <family val="2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팩스번호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</si>
  <si>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운영기관명</t>
    </r>
    <phoneticPr fontId="4" type="noConversion"/>
  </si>
  <si>
    <t>한국무선인터넷솔루션협회</t>
    <phoneticPr fontId="4" type="noConversion"/>
  </si>
  <si>
    <t>김민재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</si>
  <si>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교육기관명</t>
    </r>
    <phoneticPr fontId="4" type="noConversion"/>
  </si>
  <si>
    <t>한국융합인재교육협회</t>
    <phoneticPr fontId="4" type="noConversion"/>
  </si>
  <si>
    <r>
      <rPr>
        <sz val="12"/>
        <color theme="1"/>
        <rFont val="Arial Unicode MS"/>
        <family val="2"/>
        <charset val="129"/>
      </rPr>
      <t>부산광역시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연제구 24</t>
    </r>
    <phoneticPr fontId="4" type="noConversion"/>
  </si>
  <si>
    <t>광고 마케팅</t>
  </si>
  <si>
    <r>
      <rPr>
        <b/>
        <sz val="12"/>
        <color theme="1"/>
        <rFont val="Arial"/>
        <family val="2"/>
        <charset val="129"/>
        <scheme val="minor"/>
      </rPr>
      <t>교육시작날짜</t>
    </r>
    <phoneticPr fontId="4" type="noConversion"/>
  </si>
  <si>
    <t>2024.12.23</t>
    <phoneticPr fontId="4" type="noConversion"/>
  </si>
  <si>
    <t>총시수</t>
    <phoneticPr fontId="4" type="noConversion"/>
  </si>
  <si>
    <r>
      <rPr>
        <b/>
        <sz val="12"/>
        <color rgb="FF000000"/>
        <rFont val="Arial"/>
        <family val="3"/>
        <charset val="129"/>
        <scheme val="minor"/>
      </rPr>
      <t>교육종료날짜</t>
    </r>
    <phoneticPr fontId="4" type="noConversion"/>
  </si>
  <si>
    <t>2024.12.30</t>
    <phoneticPr fontId="4" type="noConversion"/>
  </si>
  <si>
    <t>IT  분야 일경험 프로그램 수행을 위해 필수적인 기초 소양 배양</t>
  </si>
  <si>
    <r>
      <rPr>
        <u/>
        <sz val="20"/>
        <color rgb="FF000000"/>
        <rFont val="맑은 고딕"/>
        <family val="3"/>
        <charset val="129"/>
      </rPr>
      <t>일경험</t>
    </r>
    <r>
      <rPr>
        <u/>
        <sz val="20"/>
        <color rgb="FF000000"/>
        <rFont val="Arial"/>
        <family val="2"/>
        <scheme val="minor"/>
      </rPr>
      <t xml:space="preserve"> </t>
    </r>
    <r>
      <rPr>
        <u/>
        <sz val="20"/>
        <color rgb="FF000000"/>
        <rFont val="맑은 고딕"/>
        <family val="3"/>
        <charset val="129"/>
      </rPr>
      <t>정보</t>
    </r>
    <phoneticPr fontId="4" type="noConversion"/>
  </si>
  <si>
    <r>
      <rPr>
        <b/>
        <sz val="12"/>
        <color theme="1"/>
        <rFont val="Arial Unicode MS"/>
        <family val="2"/>
        <charset val="129"/>
      </rPr>
      <t>일경험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Arial Unicode MS"/>
        <family val="2"/>
        <charset val="129"/>
      </rPr>
      <t>유형</t>
    </r>
    <phoneticPr fontId="4" type="noConversion"/>
  </si>
  <si>
    <t>인턴형</t>
    <phoneticPr fontId="4" type="noConversion"/>
  </si>
  <si>
    <t>인턴형 기간(개월수)</t>
    <phoneticPr fontId="4" type="noConversion"/>
  </si>
  <si>
    <t>일경험 장소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</si>
  <si>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직무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</si>
  <si>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근무부서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</si>
  <si>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주요업무</t>
    </r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</si>
  <si>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(1~4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4" type="noConversion"/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</si>
  <si>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(5~8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4" type="noConversion"/>
  </si>
  <si>
    <r>
      <rPr>
        <b/>
        <sz val="12"/>
        <color theme="1"/>
        <rFont val="Arial"/>
        <family val="2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(5~8</t>
    </r>
    <r>
      <rPr>
        <b/>
        <sz val="12"/>
        <color theme="1"/>
        <rFont val="Arial"/>
        <family val="2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4" type="noConversion"/>
  </si>
  <si>
    <r>
      <t>1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</si>
  <si>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모바일 앱 개발 기초와 필수 도구 소개</t>
    <phoneticPr fontId="4" type="noConversion"/>
  </si>
  <si>
    <r>
      <t>2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</si>
  <si>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앱 화면 설계 및 사용자 경험(UX) 기초</t>
    <phoneticPr fontId="4" type="noConversion"/>
  </si>
  <si>
    <r>
      <t>3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</si>
  <si>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4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</si>
  <si>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5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</si>
  <si>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데이터 저장 및 관리 – SQLite와 로컬 데이터</t>
    <phoneticPr fontId="4" type="noConversion"/>
  </si>
  <si>
    <r>
      <t>6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</si>
  <si>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네트워크 통신 – API 활용 및 데이터 연동</t>
    <phoneticPr fontId="4" type="noConversion"/>
  </si>
  <si>
    <r>
      <t>7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</si>
  <si>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8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</si>
  <si>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IT</t>
    <phoneticPr fontId="4" type="noConversion"/>
  </si>
  <si>
    <t>개발팀</t>
    <phoneticPr fontId="4" type="noConversion"/>
  </si>
  <si>
    <t>앱 레이아웃 구성 – XML 및 기본 위젯 활용</t>
    <phoneticPr fontId="4" type="noConversion"/>
  </si>
  <si>
    <t>사용자 인터랙션 추가 – 이벤트 및 터치 기능</t>
    <phoneticPr fontId="4" type="noConversion"/>
  </si>
  <si>
    <t>앱 성능 최적화와 디버깅</t>
    <phoneticPr fontId="4" type="noConversion"/>
  </si>
  <si>
    <t>앱 배포 및 유지 관리 전략</t>
    <phoneticPr fontId="4" type="noConversion"/>
  </si>
  <si>
    <t>운영기관명</t>
    <phoneticPr fontId="3" type="noConversion"/>
  </si>
  <si>
    <t>(사)한국기술사업화진흥협회</t>
    <phoneticPr fontId="3" type="noConversion"/>
  </si>
  <si>
    <t>[쇼우테크] SNS콘텐츠 마케팅 인턴십</t>
    <phoneticPr fontId="4" type="noConversion"/>
  </si>
  <si>
    <t>경성대학교</t>
  </si>
  <si>
    <t>미디어콘텐츠학과</t>
  </si>
  <si>
    <t>NH농협</t>
  </si>
  <si>
    <t>카카오뱅크</t>
  </si>
  <si>
    <t>프로그램명</t>
    <phoneticPr fontId="4" type="noConversion"/>
  </si>
  <si>
    <t>교육장소</t>
    <phoneticPr fontId="4" type="noConversion"/>
  </si>
  <si>
    <t>교육기간</t>
    <phoneticPr fontId="4" type="noConversion"/>
  </si>
  <si>
    <t>교육목적</t>
    <phoneticPr fontId="4" type="noConversion"/>
  </si>
  <si>
    <t>교육인원</t>
    <phoneticPr fontId="4" type="noConversion"/>
  </si>
  <si>
    <t>교육명</t>
    <phoneticPr fontId="4" type="noConversion"/>
  </si>
  <si>
    <t>미래내일일경험 사전직무교육</t>
    <phoneticPr fontId="4" type="noConversion"/>
  </si>
  <si>
    <t>2024년 12월 23일</t>
    <phoneticPr fontId="4" type="noConversion"/>
  </si>
  <si>
    <t>황승준</t>
    <phoneticPr fontId="4" type="noConversion"/>
  </si>
  <si>
    <t>교육기관 소재지</t>
    <phoneticPr fontId="4" type="noConversion"/>
  </si>
  <si>
    <t>070-7701-7735</t>
    <phoneticPr fontId="4" type="noConversion"/>
  </si>
  <si>
    <t>부산광역시 사상구 주례로 27번길 34, 3층 305호</t>
    <phoneticPr fontId="4" type="noConversion"/>
  </si>
  <si>
    <t>운영기관</t>
    <phoneticPr fontId="4" type="noConversion"/>
  </si>
  <si>
    <r>
      <rPr>
        <u/>
        <sz val="20"/>
        <color rgb="FF000000"/>
        <rFont val="맑은 고딕"/>
        <family val="3"/>
        <charset val="129"/>
      </rPr>
      <t>사전직무기관</t>
    </r>
    <r>
      <rPr>
        <u/>
        <sz val="20"/>
        <color rgb="FF000000"/>
        <rFont val="Arial"/>
        <family val="2"/>
        <scheme val="major"/>
      </rPr>
      <t xml:space="preserve"> </t>
    </r>
    <phoneticPr fontId="4" type="noConversion"/>
  </si>
  <si>
    <t>사전직무,운영기관,일경험 정보</t>
    <phoneticPr fontId="4" type="noConversion"/>
  </si>
  <si>
    <t>교육기관 대표자</t>
    <phoneticPr fontId="4" type="noConversion"/>
  </si>
  <si>
    <t>운영기관 대표자</t>
    <phoneticPr fontId="4" type="noConversion"/>
  </si>
  <si>
    <t>교육기관 담당자</t>
    <phoneticPr fontId="4" type="noConversion"/>
  </si>
  <si>
    <t>교육기관 담당자 연락처</t>
    <phoneticPr fontId="4" type="noConversion"/>
  </si>
  <si>
    <t>강</t>
    <phoneticPr fontId="4" type="noConversion"/>
  </si>
  <si>
    <t>asd</t>
    <phoneticPr fontId="4" type="noConversion"/>
  </si>
  <si>
    <t>운영기관 담당자</t>
    <phoneticPr fontId="4" type="noConversion"/>
  </si>
  <si>
    <t>운영기관 담당자 연락처</t>
    <phoneticPr fontId="4" type="noConversion"/>
  </si>
  <si>
    <t>010-2202-2222</t>
    <phoneticPr fontId="4" type="noConversion"/>
  </si>
  <si>
    <t>일경험 기간</t>
    <phoneticPr fontId="4" type="noConversion"/>
  </si>
  <si>
    <t>일경험 시작</t>
    <phoneticPr fontId="4" type="noConversion"/>
  </si>
  <si>
    <t>일경험 종료</t>
    <phoneticPr fontId="4" type="noConversion"/>
  </si>
  <si>
    <t>2024.12.31</t>
    <phoneticPr fontId="4" type="noConversion"/>
  </si>
  <si>
    <t>2025.01.27</t>
    <phoneticPr fontId="4" type="noConversion"/>
  </si>
  <si>
    <t>중도탈락</t>
    <phoneticPr fontId="4" type="noConversion"/>
  </si>
  <si>
    <t>실시인원</t>
    <phoneticPr fontId="4" type="noConversion"/>
  </si>
  <si>
    <t>수료인원</t>
    <phoneticPr fontId="4" type="noConversion"/>
  </si>
  <si>
    <t>참여시간</t>
    <phoneticPr fontId="4" type="noConversion"/>
  </si>
  <si>
    <t>운영기관 소재지</t>
    <phoneticPr fontId="4" type="noConversion"/>
  </si>
  <si>
    <t>참여기업
정보</t>
    <phoneticPr fontId="4" type="noConversion"/>
  </si>
  <si>
    <t>소재지</t>
    <phoneticPr fontId="4" type="noConversion"/>
  </si>
  <si>
    <t>㈜쇼우테크</t>
    <phoneticPr fontId="4" type="noConversion"/>
  </si>
  <si>
    <t>김상우</t>
    <phoneticPr fontId="4" type="noConversion"/>
  </si>
  <si>
    <t>055-323-3169</t>
  </si>
  <si>
    <t>055-323-3169</t>
    <phoneticPr fontId="4" type="noConversion"/>
  </si>
  <si>
    <r>
      <rPr>
        <sz val="12"/>
        <color theme="1"/>
        <rFont val="맑은 고딕"/>
        <family val="3"/>
        <charset val="129"/>
        <scheme val="minor"/>
      </rPr>
      <t>부산광역시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  <scheme val="minor"/>
      </rPr>
      <t>연제구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  <scheme val="minor"/>
      </rPr>
      <t>반송로</t>
    </r>
    <r>
      <rPr>
        <sz val="12"/>
        <color theme="1"/>
        <rFont val="Arial"/>
        <family val="3"/>
      </rPr>
      <t xml:space="preserve"> 30</t>
    </r>
    <phoneticPr fontId="4" type="noConversion"/>
  </si>
  <si>
    <t>141</t>
    <phoneticPr fontId="4" type="noConversion"/>
  </si>
  <si>
    <r>
      <rPr>
        <sz val="12"/>
        <color theme="1"/>
        <rFont val="맑은 고딕"/>
        <family val="2"/>
        <charset val="129"/>
      </rPr>
      <t>서비스업</t>
    </r>
    <r>
      <rPr>
        <sz val="12"/>
        <color theme="1"/>
        <rFont val="Arial"/>
        <family val="2"/>
        <scheme val="minor"/>
      </rPr>
      <t>/</t>
    </r>
    <r>
      <rPr>
        <sz val="12"/>
        <color theme="1"/>
        <rFont val="맑은 고딕"/>
        <family val="2"/>
        <charset val="129"/>
      </rPr>
      <t>데이터베이스구축</t>
    </r>
    <phoneticPr fontId="4" type="noConversion"/>
  </si>
  <si>
    <t>경영지원실</t>
  </si>
  <si>
    <t>경영지원실</t>
    <phoneticPr fontId="4" type="noConversion"/>
  </si>
  <si>
    <t>일경험 현황</t>
    <phoneticPr fontId="4" type="noConversion"/>
  </si>
  <si>
    <t>실시</t>
    <phoneticPr fontId="4" type="noConversion"/>
  </si>
  <si>
    <t>0</t>
    <phoneticPr fontId="4" type="noConversion"/>
  </si>
  <si>
    <t>담당멘토</t>
    <phoneticPr fontId="4" type="noConversion"/>
  </si>
  <si>
    <r>
      <rPr>
        <sz val="12"/>
        <color theme="1"/>
        <rFont val="맑은 고딕"/>
        <family val="3"/>
        <charset val="129"/>
        <scheme val="minor"/>
      </rPr>
      <t>소프트웨어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개발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업무에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대한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전반적인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기초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능력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배양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현업에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대한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경험</t>
    </r>
    <phoneticPr fontId="4" type="noConversion"/>
  </si>
  <si>
    <t>김성재</t>
  </si>
  <si>
    <t>박동기</t>
  </si>
  <si>
    <t>양승호</t>
  </si>
  <si>
    <t>김정수</t>
  </si>
  <si>
    <t>류예지</t>
  </si>
  <si>
    <t>김나현</t>
  </si>
  <si>
    <t>김소정</t>
  </si>
  <si>
    <t>박소희</t>
  </si>
  <si>
    <t>신현수</t>
  </si>
  <si>
    <t>이형덕</t>
  </si>
  <si>
    <t>장효석</t>
  </si>
  <si>
    <t>이다은</t>
  </si>
  <si>
    <t>박수정</t>
  </si>
  <si>
    <t>김진우</t>
  </si>
  <si>
    <t>서민영</t>
  </si>
  <si>
    <t>980515-1861417</t>
  </si>
  <si>
    <t>010-7319-8019</t>
  </si>
  <si>
    <t>stwin755@gmail.com</t>
  </si>
  <si>
    <t>911212-1105519</t>
  </si>
  <si>
    <t>010-2960-7454</t>
  </si>
  <si>
    <t>qkrehdrl4417@naver.com</t>
  </si>
  <si>
    <t>960322-1114211</t>
  </si>
  <si>
    <t>010-9603-2291</t>
  </si>
  <si>
    <t>didtmdgh258@gmail.com</t>
  </si>
  <si>
    <t>961222-1125217</t>
  </si>
  <si>
    <t>010-2532-3878</t>
  </si>
  <si>
    <t>zeeq123@daum.net</t>
  </si>
  <si>
    <t>030320-4119623</t>
  </si>
  <si>
    <t>010-7548-5295</t>
  </si>
  <si>
    <t>yj.ryu03@gmail.com</t>
  </si>
  <si>
    <t>050330-4095216</t>
  </si>
  <si>
    <t>010-9345-8962</t>
  </si>
  <si>
    <t>knh8962@naver.com</t>
  </si>
  <si>
    <t>030113-4103110</t>
  </si>
  <si>
    <t>010-8511-3856</t>
  </si>
  <si>
    <t>sam12357@naver.com</t>
  </si>
  <si>
    <t>030617-4784115</t>
  </si>
  <si>
    <t>010-4496-3772</t>
  </si>
  <si>
    <t>rudtjdeo030617@naver.com</t>
  </si>
  <si>
    <t>021012-3094811</t>
  </si>
  <si>
    <t>010-8484-3615</t>
  </si>
  <si>
    <t>xeirdo_@naver.com</t>
  </si>
  <si>
    <t>990327-1865420</t>
  </si>
  <si>
    <t>010-7736-9188</t>
  </si>
  <si>
    <t>gudejr5555@naver.com</t>
  </si>
  <si>
    <t>031018-3728424</t>
  </si>
  <si>
    <t>010-2082-3149</t>
  </si>
  <si>
    <t>jkk3150@naver.com</t>
  </si>
  <si>
    <t>030316-4903917</t>
  </si>
  <si>
    <t>010-3002-6197</t>
  </si>
  <si>
    <t>cindy6197@naver.com</t>
  </si>
  <si>
    <t>030922-411341</t>
  </si>
  <si>
    <t>010-7170-0542</t>
  </si>
  <si>
    <t>aetyiop1@naver.com</t>
  </si>
  <si>
    <t>061231-3124212</t>
  </si>
  <si>
    <t>010-3482-4125</t>
  </si>
  <si>
    <t>061231kimjinwoo@gmail.com</t>
  </si>
  <si>
    <t>030218-4109310</t>
  </si>
  <si>
    <t>010-2103-2246</t>
  </si>
  <si>
    <t>seominong@naver.com</t>
  </si>
  <si>
    <t>창원토월고등학교</t>
  </si>
  <si>
    <t>경상남도 창원시 성산구 대암로 82 304동 102호</t>
  </si>
  <si>
    <t>1002-263-075614</t>
  </si>
  <si>
    <t>동국대학교</t>
  </si>
  <si>
    <t>국어국문과</t>
  </si>
  <si>
    <t>부산시 부산진구 부암1동 시민공원로11, 서면쌍용스윗닷홈스카이 102동 2901호</t>
  </si>
  <si>
    <t>110-309-305274</t>
  </si>
  <si>
    <t>인제대학교</t>
  </si>
  <si>
    <t>정보통신공학</t>
  </si>
  <si>
    <t>부산시 부산진구 엄광로 282번길 28-18,302호</t>
  </si>
  <si>
    <t>876701-01-175499</t>
  </si>
  <si>
    <t>동의과학대학교</t>
  </si>
  <si>
    <t>컴퓨터정보학과</t>
  </si>
  <si>
    <t>부산시 해운대구 재송2동 센텀 에이스아파트 102동 405호</t>
  </si>
  <si>
    <t>IBK기업은행</t>
  </si>
  <si>
    <t>982-002303-01-016</t>
  </si>
  <si>
    <t>영산대학교</t>
  </si>
  <si>
    <t>치위생학과</t>
  </si>
  <si>
    <t>부산시 금정구 범어천로22 에이스빌 301호</t>
  </si>
  <si>
    <t>부산은행</t>
  </si>
  <si>
    <t>112-2187-0758-08</t>
  </si>
  <si>
    <t>경북 포항시 남구 새천년대로 306, 포항효자웰빙타운에스케이뷰 109동 601호</t>
  </si>
  <si>
    <t>3333-28-1012968</t>
  </si>
  <si>
    <t>부산광역시 남구 수영로 276-2 센트럴뷰 802호</t>
  </si>
  <si>
    <t>토스뱅크</t>
  </si>
  <si>
    <t>1000-6732-6365</t>
  </si>
  <si>
    <t>부산 남구 유엔로215번길 38 그랑피아 306호</t>
  </si>
  <si>
    <t>302-1901-2348-31</t>
  </si>
  <si>
    <t>부산 동구 자성로 116번길 2</t>
  </si>
  <si>
    <t>케이뱅크</t>
  </si>
  <si>
    <t>100-114-310196</t>
  </si>
  <si>
    <t>256-125982-01-011</t>
  </si>
  <si>
    <t>경상북도 구미시 고아읍 들성로 11길 46-7(청솔타운 101동 1809호)</t>
  </si>
  <si>
    <t>352-1943-8746-53</t>
  </si>
  <si>
    <t>부산 해운대구 세실로 174 , 111동 2201호</t>
  </si>
  <si>
    <t>302-1336-779511</t>
  </si>
  <si>
    <t>부산 부산진구 백양관문로 7 개금동 개금주공아파트 204동 504호</t>
  </si>
  <si>
    <t>112-2259-0331-02</t>
  </si>
  <si>
    <t>졸업예정</t>
  </si>
  <si>
    <t>남산고등학교</t>
  </si>
  <si>
    <t>부산 금정구 부산대학로 10, 112동 902호</t>
  </si>
  <si>
    <t>202042580022</t>
  </si>
  <si>
    <t>효암고등학교</t>
  </si>
  <si>
    <t>부산시 동래구 금강로 151번길 46, 109동 1201호</t>
  </si>
  <si>
    <t>110512847475</t>
  </si>
  <si>
    <t>4</t>
    <phoneticPr fontId="4" type="noConversion"/>
  </si>
  <si>
    <t>2</t>
    <phoneticPr fontId="4" type="noConversion"/>
  </si>
  <si>
    <t>3</t>
    <phoneticPr fontId="4" type="noConversion"/>
  </si>
  <si>
    <t>재학</t>
    <phoneticPr fontId="4" type="noConversion"/>
  </si>
  <si>
    <r>
      <rPr>
        <sz val="10"/>
        <color rgb="FF000000"/>
        <rFont val="맑은 고딕"/>
        <family val="3"/>
        <charset val="129"/>
      </rPr>
      <t>부산광역시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남구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대연동</t>
    </r>
    <r>
      <rPr>
        <sz val="10"/>
        <color rgb="FF000000"/>
        <rFont val="Arial"/>
        <family val="2"/>
      </rPr>
      <t xml:space="preserve"> 43-65 </t>
    </r>
    <r>
      <rPr>
        <sz val="10"/>
        <color rgb="FF000000"/>
        <rFont val="맑은 고딕"/>
        <family val="3"/>
        <charset val="129"/>
      </rPr>
      <t>아뜨리에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원룸</t>
    </r>
    <r>
      <rPr>
        <sz val="10"/>
        <color rgb="FF000000"/>
        <rFont val="Arial"/>
        <family val="2"/>
      </rPr>
      <t xml:space="preserve"> 101</t>
    </r>
    <r>
      <rPr>
        <sz val="10"/>
        <color rgb="FF000000"/>
        <rFont val="맑은 고딕"/>
        <family val="3"/>
        <charset val="129"/>
      </rPr>
      <t>호</t>
    </r>
    <phoneticPr fontId="4" type="noConversion"/>
  </si>
  <si>
    <t>황강연</t>
    <phoneticPr fontId="4" type="noConversion"/>
  </si>
  <si>
    <t>이정구</t>
    <phoneticPr fontId="4" type="noConversion"/>
  </si>
  <si>
    <t>김단희</t>
    <phoneticPr fontId="4" type="noConversion"/>
  </si>
  <si>
    <t>대리</t>
    <phoneticPr fontId="4" type="noConversion"/>
  </si>
  <si>
    <t>danee22@ishowtech.co.kr</t>
  </si>
  <si>
    <t>danee22@ishowtech.co.kr</t>
    <phoneticPr fontId="4" type="noConversion"/>
  </si>
  <si>
    <t>820101-1347519</t>
    <phoneticPr fontId="4" type="noConversion"/>
  </si>
  <si>
    <t>부장</t>
  </si>
  <si>
    <t>부장</t>
    <phoneticPr fontId="4" type="noConversion"/>
  </si>
  <si>
    <t>카카오뱅크</t>
    <phoneticPr fontId="4" type="noConversion"/>
  </si>
  <si>
    <t>3333-02-0025926</t>
    <phoneticPr fontId="4" type="noConversion"/>
  </si>
  <si>
    <t>750921-1120012</t>
    <phoneticPr fontId="4" type="noConversion"/>
  </si>
  <si>
    <t>3333-02-4507450</t>
    <phoneticPr fontId="4" type="noConversion"/>
  </si>
  <si>
    <r>
      <rPr>
        <b/>
        <sz val="12"/>
        <color theme="1"/>
        <rFont val="맑은 고딕"/>
        <family val="3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(1~4</t>
    </r>
    <r>
      <rPr>
        <b/>
        <sz val="12"/>
        <color theme="1"/>
        <rFont val="맑은 고딕"/>
        <family val="3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4" type="noConversion"/>
  </si>
  <si>
    <t>N/A(해당없음)</t>
    <phoneticPr fontId="52" type="noConversion"/>
  </si>
  <si>
    <t>합계</t>
    <phoneticPr fontId="52" type="noConversion"/>
  </si>
  <si>
    <t>필요시 이 줄 위에서 삽입</t>
    <phoneticPr fontId="52" type="noConversion"/>
  </si>
  <si>
    <t>멘토비</t>
    <phoneticPr fontId="52" type="noConversion"/>
  </si>
  <si>
    <t>㈜쇼우테크</t>
    <phoneticPr fontId="52" type="noConversion"/>
  </si>
  <si>
    <t>기업지원비</t>
    <phoneticPr fontId="52" type="noConversion"/>
  </si>
  <si>
    <t>비고(변경일등 기재)</t>
    <phoneticPr fontId="52" type="noConversion"/>
  </si>
  <si>
    <t>은행명(계좌번호)</t>
    <phoneticPr fontId="52" type="noConversion"/>
  </si>
  <si>
    <t>은행명(변경전)</t>
    <phoneticPr fontId="52" type="noConversion"/>
  </si>
  <si>
    <t>특이사항</t>
    <phoneticPr fontId="52" type="noConversion"/>
  </si>
  <si>
    <t>멘토명</t>
  </si>
  <si>
    <t>참여기업 명</t>
  </si>
  <si>
    <t>요청일</t>
    <phoneticPr fontId="52" type="noConversion"/>
  </si>
  <si>
    <t>일경험 종료일</t>
    <phoneticPr fontId="52" type="noConversion"/>
  </si>
  <si>
    <t>일경험 시작일</t>
    <phoneticPr fontId="52" type="noConversion"/>
  </si>
  <si>
    <t>사전직무교육 종료일</t>
    <phoneticPr fontId="52" type="noConversion"/>
  </si>
  <si>
    <t>사전직무교육 시작일</t>
    <phoneticPr fontId="52" type="noConversion"/>
  </si>
  <si>
    <t>지급비용</t>
    <phoneticPr fontId="52" type="noConversion"/>
  </si>
  <si>
    <t>주민등록번호</t>
    <phoneticPr fontId="52" type="noConversion"/>
  </si>
  <si>
    <t>계좌번호</t>
    <phoneticPr fontId="52" type="noConversion"/>
  </si>
  <si>
    <t>은행명</t>
    <phoneticPr fontId="52" type="noConversion"/>
  </si>
  <si>
    <t>성명 or 기업명</t>
    <phoneticPr fontId="52" type="noConversion"/>
  </si>
  <si>
    <t>No</t>
    <phoneticPr fontId="52" type="noConversion"/>
  </si>
  <si>
    <t>(*) 주의사항 : 계좌번호가 변경된 경우에도 변경전 계좌번호도 따로 관리하면 좋음.</t>
    <phoneticPr fontId="52" type="noConversion"/>
  </si>
  <si>
    <t>계좌번호 관리</t>
    <phoneticPr fontId="52" type="noConversion"/>
  </si>
  <si>
    <r>
      <t>일경험프로그램 참여결과</t>
    </r>
    <r>
      <rPr>
        <b/>
        <i/>
        <sz val="17"/>
        <color rgb="FFFF0000"/>
        <rFont val="맑은 고딕"/>
        <family val="3"/>
        <charset val="129"/>
        <scheme val="minor"/>
      </rPr>
      <t>(계좌는 1개의 Sheet로 관리, 참여결과는 회차별로 작성)</t>
    </r>
    <phoneticPr fontId="52" type="noConversion"/>
  </si>
  <si>
    <t xml:space="preserve">프로그램 출석률* </t>
  </si>
  <si>
    <t>%</t>
    <phoneticPr fontId="52" type="noConversion"/>
  </si>
  <si>
    <t>청년</t>
  </si>
  <si>
    <t>체류지원비</t>
    <phoneticPr fontId="52" type="noConversion"/>
  </si>
  <si>
    <t>기업</t>
  </si>
  <si>
    <t>멘토 수당</t>
    <phoneticPr fontId="52" type="noConversion"/>
  </si>
  <si>
    <r>
      <t>(*) 주의사항 : 열을 삽입하는 경우 삽입한 열의 바로 윗 열의 내용을 복사하여 삽입한 열 전체에 붙여넣습니다.</t>
    </r>
    <r>
      <rPr>
        <b/>
        <i/>
        <u/>
        <sz val="13"/>
        <color rgb="FFFF0000"/>
        <rFont val="맑은 고딕"/>
        <family val="3"/>
        <charset val="129"/>
        <scheme val="minor"/>
      </rPr>
      <t>(표안 음영이 없는 부분은 실제 Data 기재 필요)</t>
    </r>
    <phoneticPr fontId="52" type="noConversion"/>
  </si>
  <si>
    <t>80% 이상 출석</t>
  </si>
  <si>
    <t>기관명 :</t>
    <phoneticPr fontId="52" type="noConversion"/>
  </si>
  <si>
    <t>한국무선인터넷솔루션협회</t>
    <phoneticPr fontId="52" type="noConversion"/>
  </si>
  <si>
    <t>사업유형:</t>
    <phoneticPr fontId="52" type="noConversion"/>
  </si>
  <si>
    <t>인턴십</t>
    <phoneticPr fontId="52" type="noConversion"/>
  </si>
  <si>
    <t>1주 청년지원금</t>
    <phoneticPr fontId="52" type="noConversion"/>
  </si>
  <si>
    <t>(*) 사업별로 지원금 차이 있음</t>
    <phoneticPr fontId="52" type="noConversion"/>
  </si>
  <si>
    <t>수행 주수:</t>
    <phoneticPr fontId="52" type="noConversion"/>
  </si>
  <si>
    <t>주</t>
    <phoneticPr fontId="52" type="noConversion"/>
  </si>
  <si>
    <t>70% 이상~80% 미만 출석</t>
  </si>
  <si>
    <t>업무명:</t>
    <phoneticPr fontId="52" type="noConversion"/>
  </si>
  <si>
    <t>일경험</t>
    <phoneticPr fontId="52" type="noConversion"/>
  </si>
  <si>
    <t>수행차수:</t>
    <phoneticPr fontId="52" type="noConversion"/>
  </si>
  <si>
    <t>1주 기업지원금</t>
    <phoneticPr fontId="52" type="noConversion"/>
  </si>
  <si>
    <t>수행기간:</t>
    <phoneticPr fontId="52" type="noConversion"/>
  </si>
  <si>
    <t>2024. 8. 5(월) ~ 2024. 8. 30(금)</t>
    <phoneticPr fontId="52" type="noConversion"/>
  </si>
  <si>
    <t>60% 이상~70% 미만 출석</t>
  </si>
  <si>
    <t>1주 체류지원금(청년)</t>
    <phoneticPr fontId="52" type="noConversion"/>
  </si>
  <si>
    <t>50% 이상~60% 미만 출석</t>
  </si>
  <si>
    <t>청년지원금 회차별 지출금액 합계</t>
    <phoneticPr fontId="52" type="noConversion"/>
  </si>
  <si>
    <t>지출금액 합계 검증</t>
    <phoneticPr fontId="52" type="noConversion"/>
  </si>
  <si>
    <t>40% 이상~50% 미만 출석</t>
  </si>
  <si>
    <t>1주</t>
    <phoneticPr fontId="52" type="noConversion"/>
  </si>
  <si>
    <t>2주</t>
    <phoneticPr fontId="52" type="noConversion"/>
  </si>
  <si>
    <t>3주</t>
    <phoneticPr fontId="52" type="noConversion"/>
  </si>
  <si>
    <t>4주</t>
    <phoneticPr fontId="52" type="noConversion"/>
  </si>
  <si>
    <t>월-합계</t>
    <phoneticPr fontId="52" type="noConversion"/>
  </si>
  <si>
    <t>20% 이상~40% 미만 출석</t>
  </si>
  <si>
    <t>참여청년</t>
    <phoneticPr fontId="52" type="noConversion"/>
  </si>
  <si>
    <t>매칭기업</t>
    <phoneticPr fontId="52" type="noConversion"/>
  </si>
  <si>
    <t>출석시간</t>
    <phoneticPr fontId="52" type="noConversion"/>
  </si>
  <si>
    <t>총시간</t>
    <phoneticPr fontId="52" type="noConversion"/>
  </si>
  <si>
    <t>출석률</t>
    <phoneticPr fontId="52" type="noConversion"/>
  </si>
  <si>
    <t>청년-적용단가</t>
    <phoneticPr fontId="52" type="noConversion"/>
  </si>
  <si>
    <t>기업-적용단가</t>
    <phoneticPr fontId="52" type="noConversion"/>
  </si>
  <si>
    <t>멘토수당</t>
    <phoneticPr fontId="52" type="noConversion"/>
  </si>
  <si>
    <t>청년 지원금(월)</t>
    <phoneticPr fontId="52" type="noConversion"/>
  </si>
  <si>
    <t>(청년)계좌번호</t>
    <phoneticPr fontId="52" type="noConversion"/>
  </si>
  <si>
    <t>기업 지원금(월)</t>
    <phoneticPr fontId="52" type="noConversion"/>
  </si>
  <si>
    <t>기업별 합계</t>
    <phoneticPr fontId="52" type="noConversion"/>
  </si>
  <si>
    <t>(기업)계좌번호</t>
    <phoneticPr fontId="52" type="noConversion"/>
  </si>
  <si>
    <t>총출석률</t>
    <phoneticPr fontId="52" type="noConversion"/>
  </si>
  <si>
    <t>비고</t>
    <phoneticPr fontId="52" type="noConversion"/>
  </si>
  <si>
    <t>성명</t>
    <phoneticPr fontId="4" type="noConversion"/>
  </si>
  <si>
    <t>부서</t>
    <phoneticPr fontId="4" type="noConversion"/>
  </si>
  <si>
    <t>직위</t>
    <phoneticPr fontId="3" type="noConversion"/>
  </si>
  <si>
    <t>팩스번호</t>
    <phoneticPr fontId="4" type="noConversion"/>
  </si>
  <si>
    <t>주민등록번호</t>
    <phoneticPr fontId="4" type="noConversion"/>
  </si>
  <si>
    <t>은행명</t>
    <phoneticPr fontId="4" type="noConversion"/>
  </si>
  <si>
    <t>계좌번호</t>
    <phoneticPr fontId="4" type="noConversion"/>
  </si>
  <si>
    <t>No.</t>
    <phoneticPr fontId="4" type="noConversion"/>
  </si>
  <si>
    <t>기업 연락처</t>
    <phoneticPr fontId="4" type="noConversion"/>
  </si>
  <si>
    <t>총시간</t>
    <phoneticPr fontId="4" type="noConversion"/>
  </si>
  <si>
    <r>
      <t>[</t>
    </r>
    <r>
      <rPr>
        <sz val="12"/>
        <color theme="1"/>
        <rFont val="Arial Unicode MS"/>
        <family val="2"/>
        <charset val="129"/>
      </rPr>
      <t>쇼우테크</t>
    </r>
    <r>
      <rPr>
        <sz val="12"/>
        <color theme="1"/>
        <rFont val="Arial"/>
        <family val="2"/>
        <scheme val="minor"/>
      </rPr>
      <t>] SNS</t>
    </r>
    <r>
      <rPr>
        <sz val="12"/>
        <color theme="1"/>
        <rFont val="Arial Unicode MS"/>
        <family val="2"/>
        <charset val="129"/>
      </rPr>
      <t>콘텐츠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 Unicode MS"/>
        <family val="2"/>
        <charset val="129"/>
      </rPr>
      <t>마케팅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 Unicode MS"/>
        <family val="2"/>
        <charset val="129"/>
      </rPr>
      <t>인턴십</t>
    </r>
    <phoneticPr fontId="4" type="noConversion"/>
  </si>
  <si>
    <t>참여일(4주)</t>
    <phoneticPr fontId="4" type="noConversion"/>
  </si>
  <si>
    <t>참여일(8주)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</si>
</sst>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₩&quot;#,##0;[Red]\-&quot;₩&quot;#,##0"/>
    <numFmt numFmtId="176" formatCode="yyyy&quot;년&quot;\ m&quot;월&quot;\ d&quot;일&quot;"/>
    <numFmt numFmtId="177" formatCode="yyyy&quot;년&quot;\ m&quot;월&quot;\ d&quot;일&quot;;@"/>
    <numFmt numFmtId="178" formatCode="0_);[Red]\(0\)"/>
    <numFmt numFmtId="179" formatCode="#,##0.0&quot;만원&quot;"/>
    <numFmt numFmtId="180" formatCode="#,##0&quot;원&quot;"/>
    <numFmt numFmtId="181" formatCode="0.0%"/>
  </numFmts>
  <fonts count="74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8"/>
      <color rgb="FF000000"/>
      <name val="Malgun Gothic"/>
      <family val="3"/>
      <charset val="129"/>
    </font>
    <font>
      <sz val="8"/>
      <name val="돋움"/>
      <family val="3"/>
      <charset val="129"/>
    </font>
    <font>
      <sz val="8"/>
      <name val="Arial"/>
      <family val="3"/>
      <charset val="129"/>
      <scheme val="minor"/>
    </font>
    <font>
      <b/>
      <sz val="11"/>
      <color rgb="FFFF0000"/>
      <name val="&quot;\&quot;Malgun Gothic\&quot;&quot;"/>
    </font>
    <font>
      <b/>
      <sz val="11"/>
      <color rgb="FFFF0000"/>
      <name val="새굴림"/>
      <family val="1"/>
      <charset val="129"/>
    </font>
    <font>
      <sz val="8"/>
      <color rgb="FF000000"/>
      <name val="Malgun Gothic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29"/>
    </font>
    <font>
      <sz val="10"/>
      <color rgb="FF000000"/>
      <name val="Arial"/>
      <family val="2"/>
    </font>
    <font>
      <b/>
      <sz val="20"/>
      <color theme="1"/>
      <name val="Arial"/>
      <family val="2"/>
      <scheme val="minor"/>
    </font>
    <font>
      <b/>
      <sz val="20"/>
      <color theme="1"/>
      <name val="Arial"/>
      <family val="3"/>
      <charset val="129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29"/>
      <scheme val="minor"/>
    </font>
    <font>
      <u/>
      <sz val="20"/>
      <color rgb="FF000000"/>
      <name val="Arial"/>
      <family val="2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  <charset val="129"/>
      <scheme val="minor"/>
    </font>
    <font>
      <sz val="12"/>
      <color theme="1"/>
      <name val="Arial"/>
      <family val="3"/>
      <charset val="129"/>
      <scheme val="minor"/>
    </font>
    <font>
      <u/>
      <sz val="20"/>
      <color rgb="FF000000"/>
      <name val="Arial"/>
      <family val="2"/>
      <charset val="129"/>
      <scheme val="minor"/>
    </font>
    <font>
      <sz val="12"/>
      <color rgb="FF000000"/>
      <name val="Arial"/>
      <family val="2"/>
      <scheme val="minor"/>
    </font>
    <font>
      <u/>
      <sz val="20"/>
      <color rgb="FF000000"/>
      <name val="Arial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20"/>
      <color rgb="FF000000"/>
      <name val="Arial"/>
      <family val="3"/>
      <charset val="129"/>
      <scheme val="major"/>
    </font>
    <font>
      <u/>
      <sz val="20"/>
      <color rgb="FF000000"/>
      <name val="Arial"/>
      <family val="2"/>
      <scheme val="major"/>
    </font>
    <font>
      <b/>
      <sz val="12"/>
      <color theme="1"/>
      <name val="Arial Unicode MS"/>
      <family val="2"/>
      <charset val="129"/>
    </font>
    <font>
      <sz val="12"/>
      <color theme="1"/>
      <name val="굴림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family val="3"/>
      <charset val="129"/>
      <scheme val="minor"/>
    </font>
    <font>
      <b/>
      <sz val="12"/>
      <color theme="1"/>
      <name val="Arial"/>
      <family val="2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b/>
      <sz val="13"/>
      <name val="Arial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0"/>
      <color theme="1"/>
      <name val="G마켓 산스 Bold"/>
      <family val="3"/>
      <charset val="129"/>
    </font>
    <font>
      <b/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Arial"/>
      <family val="3"/>
    </font>
    <font>
      <b/>
      <u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u/>
      <sz val="11"/>
      <color theme="1"/>
      <name val="맑은 고딕"/>
      <family val="3"/>
      <charset val="129"/>
      <scheme val="minor"/>
    </font>
    <font>
      <b/>
      <i/>
      <u/>
      <sz val="13"/>
      <color rgb="FF00B0F0"/>
      <name val="맑은 고딕"/>
      <family val="3"/>
      <charset val="129"/>
      <scheme val="minor"/>
    </font>
    <font>
      <b/>
      <i/>
      <sz val="23"/>
      <color theme="1"/>
      <name val="맑은 고딕"/>
      <family val="3"/>
      <charset val="129"/>
      <scheme val="minor"/>
    </font>
    <font>
      <b/>
      <i/>
      <sz val="17"/>
      <color rgb="FFFF0000"/>
      <name val="맑은 고딕"/>
      <family val="3"/>
      <charset val="129"/>
      <scheme val="minor"/>
    </font>
    <font>
      <b/>
      <sz val="12"/>
      <color rgb="FF000000"/>
      <name val="한컴 고딕"/>
      <family val="3"/>
      <charset val="129"/>
    </font>
    <font>
      <b/>
      <i/>
      <u/>
      <sz val="13"/>
      <color rgb="FFFF0000"/>
      <name val="맑은 고딕"/>
      <family val="3"/>
      <charset val="129"/>
      <scheme val="minor"/>
    </font>
    <font>
      <sz val="12"/>
      <color rgb="FF000000"/>
      <name val="한컴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sz val="11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  <font>
      <b/>
      <sz val="12"/>
      <color theme="1"/>
      <name val="G마켓 산스 Medium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5">
    <xf numFmtId="0" fontId="0" fillId="0" borderId="0" xfId="0"/>
    <xf numFmtId="49" fontId="7" fillId="0" borderId="1" xfId="0" applyNumberFormat="1" applyFont="1" applyBorder="1" applyAlignment="1">
      <alignment horizontal="center" vertical="center"/>
    </xf>
    <xf numFmtId="0" fontId="18" fillId="8" borderId="1" xfId="1" applyFont="1" applyFill="1" applyBorder="1" applyAlignment="1">
      <alignment vertical="center"/>
    </xf>
    <xf numFmtId="0" fontId="23" fillId="8" borderId="1" xfId="1" applyFont="1" applyFill="1" applyBorder="1" applyAlignment="1">
      <alignment vertical="center"/>
    </xf>
    <xf numFmtId="0" fontId="27" fillId="0" borderId="18" xfId="1" applyFont="1" applyBorder="1" applyAlignment="1">
      <alignment horizontal="left" vertical="center"/>
    </xf>
    <xf numFmtId="176" fontId="20" fillId="7" borderId="12" xfId="1" applyNumberFormat="1" applyFont="1" applyFill="1" applyBorder="1" applyAlignment="1">
      <alignment horizontal="left" vertical="center"/>
    </xf>
    <xf numFmtId="176" fontId="25" fillId="7" borderId="12" xfId="1" applyNumberFormat="1" applyFont="1" applyFill="1" applyBorder="1" applyAlignment="1">
      <alignment horizontal="left" vertical="center"/>
    </xf>
    <xf numFmtId="0" fontId="27" fillId="0" borderId="12" xfId="1" applyFont="1" applyBorder="1"/>
    <xf numFmtId="0" fontId="18" fillId="8" borderId="15" xfId="1" applyFont="1" applyFill="1" applyBorder="1" applyAlignment="1">
      <alignment vertical="center"/>
    </xf>
    <xf numFmtId="0" fontId="29" fillId="7" borderId="11" xfId="0" applyFont="1" applyFill="1" applyBorder="1" applyAlignment="1">
      <alignment horizontal="left" vertical="center"/>
    </xf>
    <xf numFmtId="176" fontId="33" fillId="7" borderId="13" xfId="1" applyNumberFormat="1" applyFont="1" applyFill="1" applyBorder="1" applyAlignment="1">
      <alignment horizontal="left" vertical="center"/>
    </xf>
    <xf numFmtId="0" fontId="20" fillId="7" borderId="11" xfId="0" applyFont="1" applyFill="1" applyBorder="1" applyAlignment="1">
      <alignment horizontal="left" vertical="center"/>
    </xf>
    <xf numFmtId="0" fontId="34" fillId="7" borderId="11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left" vertical="center"/>
    </xf>
    <xf numFmtId="0" fontId="20" fillId="7" borderId="1" xfId="0" applyFont="1" applyFill="1" applyBorder="1" applyAlignment="1">
      <alignment horizontal="left" vertical="center"/>
    </xf>
    <xf numFmtId="0" fontId="27" fillId="0" borderId="12" xfId="1" applyFont="1" applyBorder="1" applyAlignment="1">
      <alignment horizontal="left"/>
    </xf>
    <xf numFmtId="0" fontId="10" fillId="0" borderId="0" xfId="1" applyAlignment="1">
      <alignment vertical="center"/>
    </xf>
    <xf numFmtId="0" fontId="10" fillId="0" borderId="0" xfId="1" applyAlignment="1">
      <alignment horizontal="left" vertical="center"/>
    </xf>
    <xf numFmtId="0" fontId="18" fillId="9" borderId="1" xfId="1" applyFont="1" applyFill="1" applyBorder="1" applyAlignment="1">
      <alignment vertical="center"/>
    </xf>
    <xf numFmtId="0" fontId="23" fillId="9" borderId="1" xfId="1" applyFont="1" applyFill="1" applyBorder="1" applyAlignment="1">
      <alignment vertical="center"/>
    </xf>
    <xf numFmtId="0" fontId="20" fillId="7" borderId="18" xfId="0" applyFont="1" applyFill="1" applyBorder="1" applyAlignment="1">
      <alignment horizontal="left" vertical="center"/>
    </xf>
    <xf numFmtId="0" fontId="32" fillId="9" borderId="18" xfId="1" applyFont="1" applyFill="1" applyBorder="1" applyAlignment="1">
      <alignment vertical="center"/>
    </xf>
    <xf numFmtId="177" fontId="40" fillId="7" borderId="21" xfId="1" applyNumberFormat="1" applyFont="1" applyFill="1" applyBorder="1" applyAlignment="1">
      <alignment horizontal="left" vertical="center"/>
    </xf>
    <xf numFmtId="0" fontId="41" fillId="9" borderId="21" xfId="1" applyFont="1" applyFill="1" applyBorder="1" applyAlignment="1">
      <alignment vertical="center"/>
    </xf>
    <xf numFmtId="0" fontId="18" fillId="8" borderId="11" xfId="0" applyFont="1" applyFill="1" applyBorder="1" applyAlignment="1">
      <alignment vertical="center"/>
    </xf>
    <xf numFmtId="0" fontId="18" fillId="8" borderId="1" xfId="0" applyFont="1" applyFill="1" applyBorder="1" applyAlignment="1">
      <alignment vertical="center"/>
    </xf>
    <xf numFmtId="0" fontId="37" fillId="8" borderId="1" xfId="0" applyFont="1" applyFill="1" applyBorder="1" applyAlignment="1">
      <alignment vertical="center"/>
    </xf>
    <xf numFmtId="0" fontId="32" fillId="8" borderId="11" xfId="1" applyFont="1" applyFill="1" applyBorder="1" applyAlignment="1">
      <alignment vertical="center"/>
    </xf>
    <xf numFmtId="0" fontId="43" fillId="8" borderId="11" xfId="0" applyFont="1" applyFill="1" applyBorder="1" applyAlignment="1">
      <alignment vertical="center"/>
    </xf>
    <xf numFmtId="0" fontId="44" fillId="8" borderId="1" xfId="0" applyFont="1" applyFill="1" applyBorder="1" applyAlignment="1">
      <alignment vertical="center"/>
    </xf>
    <xf numFmtId="0" fontId="43" fillId="8" borderId="1" xfId="0" applyFont="1" applyFill="1" applyBorder="1" applyAlignment="1">
      <alignment vertical="center"/>
    </xf>
    <xf numFmtId="0" fontId="32" fillId="8" borderId="1" xfId="1" applyFont="1" applyFill="1" applyBorder="1" applyAlignment="1">
      <alignment vertical="center"/>
    </xf>
    <xf numFmtId="0" fontId="41" fillId="8" borderId="1" xfId="1" applyFont="1" applyFill="1" applyBorder="1" applyAlignment="1">
      <alignment vertical="center"/>
    </xf>
    <xf numFmtId="0" fontId="41" fillId="8" borderId="2" xfId="1" applyFont="1" applyFill="1" applyBorder="1" applyAlignment="1">
      <alignment vertical="center"/>
    </xf>
    <xf numFmtId="0" fontId="41" fillId="8" borderId="16" xfId="1" applyFont="1" applyFill="1" applyBorder="1" applyAlignment="1">
      <alignment vertical="center"/>
    </xf>
    <xf numFmtId="49" fontId="45" fillId="0" borderId="23" xfId="0" applyNumberFormat="1" applyFont="1" applyBorder="1" applyAlignment="1">
      <alignment horizontal="left" vertical="center"/>
    </xf>
    <xf numFmtId="0" fontId="43" fillId="8" borderId="2" xfId="1" applyFont="1" applyFill="1" applyBorder="1" applyAlignment="1">
      <alignment vertical="center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19" xfId="0" applyFont="1" applyFill="1" applyBorder="1" applyAlignment="1">
      <alignment vertical="center"/>
    </xf>
    <xf numFmtId="0" fontId="20" fillId="7" borderId="20" xfId="0" applyFont="1" applyFill="1" applyBorder="1" applyAlignment="1">
      <alignment vertical="center"/>
    </xf>
    <xf numFmtId="49" fontId="45" fillId="0" borderId="13" xfId="0" applyNumberFormat="1" applyFont="1" applyBorder="1" applyAlignment="1">
      <alignment horizontal="left" vertical="center"/>
    </xf>
    <xf numFmtId="0" fontId="32" fillId="8" borderId="11" xfId="0" applyFont="1" applyFill="1" applyBorder="1" applyAlignment="1">
      <alignment vertical="center"/>
    </xf>
    <xf numFmtId="49" fontId="45" fillId="0" borderId="12" xfId="0" applyNumberFormat="1" applyFont="1" applyBorder="1" applyAlignment="1">
      <alignment horizontal="left" vertical="center"/>
    </xf>
    <xf numFmtId="0" fontId="47" fillId="8" borderId="11" xfId="0" applyFont="1" applyFill="1" applyBorder="1" applyAlignment="1">
      <alignment vertical="center"/>
    </xf>
    <xf numFmtId="0" fontId="47" fillId="8" borderId="15" xfId="1" applyFont="1" applyFill="1" applyBorder="1" applyAlignment="1">
      <alignment vertical="center"/>
    </xf>
    <xf numFmtId="0" fontId="20" fillId="7" borderId="3" xfId="0" applyFont="1" applyFill="1" applyBorder="1" applyAlignment="1">
      <alignment horizontal="left" vertical="center"/>
    </xf>
    <xf numFmtId="0" fontId="20" fillId="7" borderId="19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5" fillId="5" borderId="5" xfId="1" applyNumberFormat="1" applyFont="1" applyFill="1" applyBorder="1" applyAlignment="1">
      <alignment horizontal="center" vertical="center"/>
    </xf>
    <xf numFmtId="49" fontId="15" fillId="5" borderId="6" xfId="1" applyNumberFormat="1" applyFont="1" applyFill="1" applyBorder="1" applyAlignment="1">
      <alignment horizontal="left" vertical="center"/>
    </xf>
    <xf numFmtId="49" fontId="18" fillId="8" borderId="8" xfId="1" applyNumberFormat="1" applyFont="1" applyFill="1" applyBorder="1" applyAlignment="1">
      <alignment vertical="center"/>
    </xf>
    <xf numFmtId="49" fontId="20" fillId="7" borderId="9" xfId="1" applyNumberFormat="1" applyFont="1" applyFill="1" applyBorder="1" applyAlignment="1">
      <alignment horizontal="left" vertical="center"/>
    </xf>
    <xf numFmtId="49" fontId="18" fillId="8" borderId="1" xfId="1" applyNumberFormat="1" applyFont="1" applyFill="1" applyBorder="1" applyAlignment="1">
      <alignment vertical="center"/>
    </xf>
    <xf numFmtId="49" fontId="20" fillId="7" borderId="1" xfId="1" applyNumberFormat="1" applyFont="1" applyFill="1" applyBorder="1" applyAlignment="1">
      <alignment horizontal="left" vertical="center"/>
    </xf>
    <xf numFmtId="49" fontId="18" fillId="8" borderId="11" xfId="1" applyNumberFormat="1" applyFont="1" applyFill="1" applyBorder="1" applyAlignment="1">
      <alignment vertical="center"/>
    </xf>
    <xf numFmtId="49" fontId="20" fillId="7" borderId="12" xfId="1" applyNumberFormat="1" applyFont="1" applyFill="1" applyBorder="1" applyAlignment="1">
      <alignment horizontal="left" vertical="center"/>
    </xf>
    <xf numFmtId="49" fontId="23" fillId="8" borderId="1" xfId="1" applyNumberFormat="1" applyFont="1" applyFill="1" applyBorder="1" applyAlignment="1">
      <alignment vertical="center"/>
    </xf>
    <xf numFmtId="49" fontId="20" fillId="7" borderId="13" xfId="1" applyNumberFormat="1" applyFont="1" applyFill="1" applyBorder="1" applyAlignment="1">
      <alignment horizontal="left" vertical="center"/>
    </xf>
    <xf numFmtId="49" fontId="23" fillId="8" borderId="11" xfId="1" applyNumberFormat="1" applyFont="1" applyFill="1" applyBorder="1" applyAlignment="1">
      <alignment vertical="center"/>
    </xf>
    <xf numFmtId="49" fontId="19" fillId="8" borderId="1" xfId="1" applyNumberFormat="1" applyFont="1" applyFill="1" applyBorder="1" applyAlignment="1">
      <alignment vertical="center"/>
    </xf>
    <xf numFmtId="49" fontId="43" fillId="8" borderId="1" xfId="1" applyNumberFormat="1" applyFont="1" applyFill="1" applyBorder="1" applyAlignment="1">
      <alignment vertical="center"/>
    </xf>
    <xf numFmtId="49" fontId="25" fillId="7" borderId="12" xfId="1" applyNumberFormat="1" applyFont="1" applyFill="1" applyBorder="1" applyAlignment="1">
      <alignment horizontal="left" vertical="center"/>
    </xf>
    <xf numFmtId="49" fontId="18" fillId="8" borderId="16" xfId="1" applyNumberFormat="1" applyFont="1" applyFill="1" applyBorder="1" applyAlignment="1">
      <alignment vertical="center"/>
    </xf>
    <xf numFmtId="49" fontId="20" fillId="7" borderId="17" xfId="1" applyNumberFormat="1" applyFont="1" applyFill="1" applyBorder="1" applyAlignment="1">
      <alignment horizontal="left" vertical="center"/>
    </xf>
    <xf numFmtId="49" fontId="27" fillId="0" borderId="1" xfId="1" applyNumberFormat="1" applyFont="1" applyBorder="1" applyAlignment="1">
      <alignment vertical="center"/>
    </xf>
    <xf numFmtId="49" fontId="27" fillId="0" borderId="18" xfId="1" applyNumberFormat="1" applyFont="1" applyBorder="1" applyAlignment="1">
      <alignment horizontal="left" vertical="center"/>
    </xf>
    <xf numFmtId="49" fontId="20" fillId="7" borderId="1" xfId="1" applyNumberFormat="1" applyFont="1" applyFill="1" applyBorder="1" applyAlignment="1">
      <alignment vertical="center"/>
    </xf>
    <xf numFmtId="49" fontId="18" fillId="8" borderId="2" xfId="1" applyNumberFormat="1" applyFont="1" applyFill="1" applyBorder="1" applyAlignment="1">
      <alignment vertical="center"/>
    </xf>
    <xf numFmtId="49" fontId="20" fillId="7" borderId="16" xfId="1" applyNumberFormat="1" applyFont="1" applyFill="1" applyBorder="1" applyAlignment="1">
      <alignment vertical="center"/>
    </xf>
    <xf numFmtId="49" fontId="48" fillId="7" borderId="8" xfId="1" applyNumberFormat="1" applyFont="1" applyFill="1" applyBorder="1" applyAlignment="1">
      <alignment horizontal="left" vertical="center"/>
    </xf>
    <xf numFmtId="49" fontId="48" fillId="7" borderId="1" xfId="1" applyNumberFormat="1" applyFont="1" applyFill="1" applyBorder="1" applyAlignment="1">
      <alignment horizontal="left" vertical="center"/>
    </xf>
    <xf numFmtId="49" fontId="25" fillId="7" borderId="1" xfId="1" applyNumberFormat="1" applyFont="1" applyFill="1" applyBorder="1" applyAlignment="1">
      <alignment horizontal="left" vertical="center"/>
    </xf>
    <xf numFmtId="49" fontId="21" fillId="7" borderId="13" xfId="1" applyNumberFormat="1" applyFont="1" applyFill="1" applyBorder="1" applyAlignment="1">
      <alignment horizontal="left" vertical="center"/>
    </xf>
    <xf numFmtId="49" fontId="49" fillId="7" borderId="1" xfId="1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left" vertical="center"/>
    </xf>
    <xf numFmtId="49" fontId="20" fillId="7" borderId="18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20" fillId="7" borderId="11" xfId="1" applyNumberFormat="1" applyFont="1" applyFill="1" applyBorder="1" applyAlignment="1">
      <alignment vertical="center"/>
    </xf>
    <xf numFmtId="0" fontId="19" fillId="8" borderId="1" xfId="1" applyFont="1" applyFill="1" applyBorder="1" applyAlignment="1">
      <alignment vertical="center"/>
    </xf>
    <xf numFmtId="0" fontId="1" fillId="0" borderId="0" xfId="3">
      <alignment vertical="center"/>
    </xf>
    <xf numFmtId="0" fontId="51" fillId="0" borderId="24" xfId="3" applyFont="1" applyBorder="1" applyAlignment="1">
      <alignment horizontal="center" vertical="center" shrinkToFit="1"/>
    </xf>
    <xf numFmtId="0" fontId="53" fillId="11" borderId="24" xfId="3" applyFont="1" applyFill="1" applyBorder="1" applyAlignment="1">
      <alignment horizontal="right" vertical="center" shrinkToFit="1"/>
    </xf>
    <xf numFmtId="0" fontId="53" fillId="0" borderId="24" xfId="3" applyFont="1" applyBorder="1" applyAlignment="1">
      <alignment horizontal="centerContinuous" vertical="center" shrinkToFit="1"/>
    </xf>
    <xf numFmtId="0" fontId="45" fillId="12" borderId="25" xfId="3" applyFont="1" applyFill="1" applyBorder="1" applyAlignment="1">
      <alignment vertical="center" shrinkToFit="1"/>
    </xf>
    <xf numFmtId="0" fontId="54" fillId="12" borderId="1" xfId="3" applyFont="1" applyFill="1" applyBorder="1" applyAlignment="1">
      <alignment horizontal="center" vertical="center" wrapText="1"/>
    </xf>
    <xf numFmtId="0" fontId="55" fillId="0" borderId="24" xfId="3" applyFont="1" applyBorder="1" applyAlignment="1">
      <alignment horizontal="center" vertical="center" shrinkToFit="1"/>
    </xf>
    <xf numFmtId="0" fontId="53" fillId="11" borderId="24" xfId="3" applyFont="1" applyFill="1" applyBorder="1" applyAlignment="1">
      <alignment horizontal="center" vertical="center" shrinkToFit="1"/>
    </xf>
    <xf numFmtId="0" fontId="53" fillId="11" borderId="25" xfId="3" applyFont="1" applyFill="1" applyBorder="1" applyAlignment="1">
      <alignment horizontal="center" vertical="center" shrinkToFit="1"/>
    </xf>
    <xf numFmtId="0" fontId="56" fillId="11" borderId="24" xfId="3" applyFont="1" applyFill="1" applyBorder="1" applyAlignment="1">
      <alignment horizontal="center" vertical="center" shrinkToFit="1"/>
    </xf>
    <xf numFmtId="0" fontId="55" fillId="11" borderId="24" xfId="3" applyFont="1" applyFill="1" applyBorder="1" applyAlignment="1">
      <alignment horizontal="center" vertical="center" shrinkToFit="1"/>
    </xf>
    <xf numFmtId="0" fontId="53" fillId="0" borderId="24" xfId="3" applyFont="1" applyBorder="1" applyAlignment="1">
      <alignment horizontal="right" vertical="center" shrinkToFit="1"/>
    </xf>
    <xf numFmtId="0" fontId="53" fillId="0" borderId="26" xfId="3" applyFont="1" applyBorder="1" applyAlignment="1">
      <alignment horizontal="left" vertical="center" shrinkToFit="1"/>
    </xf>
    <xf numFmtId="0" fontId="53" fillId="0" borderId="1" xfId="3" applyFont="1" applyBorder="1" applyAlignment="1">
      <alignment vertical="center" shrinkToFit="1"/>
    </xf>
    <xf numFmtId="0" fontId="45" fillId="12" borderId="1" xfId="3" applyFont="1" applyFill="1" applyBorder="1" applyAlignment="1">
      <alignment vertical="center" shrinkToFit="1"/>
    </xf>
    <xf numFmtId="0" fontId="54" fillId="12" borderId="11" xfId="3" applyFont="1" applyFill="1" applyBorder="1" applyAlignment="1">
      <alignment horizontal="center" vertical="center" wrapText="1"/>
    </xf>
    <xf numFmtId="14" fontId="1" fillId="12" borderId="24" xfId="3" applyNumberFormat="1" applyFill="1" applyBorder="1" applyAlignment="1">
      <alignment horizontal="center" vertical="center" shrinkToFit="1"/>
    </xf>
    <xf numFmtId="14" fontId="1" fillId="12" borderId="26" xfId="3" applyNumberFormat="1" applyFill="1" applyBorder="1" applyAlignment="1">
      <alignment horizontal="center" vertical="center" shrinkToFit="1"/>
    </xf>
    <xf numFmtId="3" fontId="53" fillId="0" borderId="24" xfId="3" applyNumberFormat="1" applyFont="1" applyBorder="1" applyAlignment="1">
      <alignment horizontal="center" vertical="center" shrinkToFit="1"/>
    </xf>
    <xf numFmtId="49" fontId="53" fillId="0" borderId="24" xfId="3" applyNumberFormat="1" applyFont="1" applyBorder="1" applyAlignment="1">
      <alignment horizontal="center" vertical="center" shrinkToFit="1"/>
    </xf>
    <xf numFmtId="0" fontId="53" fillId="0" borderId="24" xfId="3" applyFont="1" applyBorder="1" applyAlignment="1">
      <alignment horizontal="center" vertical="center" shrinkToFit="1"/>
    </xf>
    <xf numFmtId="3" fontId="53" fillId="0" borderId="25" xfId="3" applyNumberFormat="1" applyFont="1" applyBorder="1" applyAlignment="1">
      <alignment horizontal="center" vertical="center" shrinkToFit="1"/>
    </xf>
    <xf numFmtId="0" fontId="53" fillId="0" borderId="26" xfId="3" applyFont="1" applyBorder="1" applyAlignment="1">
      <alignment horizontal="right" vertical="center" shrinkToFit="1"/>
    </xf>
    <xf numFmtId="0" fontId="1" fillId="10" borderId="18" xfId="2" applyBorder="1" applyAlignment="1">
      <alignment horizontal="center" vertical="center" shrinkToFit="1"/>
    </xf>
    <xf numFmtId="0" fontId="53" fillId="0" borderId="27" xfId="3" applyFont="1" applyBorder="1" applyAlignment="1">
      <alignment horizontal="center" vertical="center" shrinkToFit="1"/>
    </xf>
    <xf numFmtId="0" fontId="45" fillId="12" borderId="11" xfId="3" applyFont="1" applyFill="1" applyBorder="1" applyAlignment="1">
      <alignment vertical="center" shrinkToFit="1"/>
    </xf>
    <xf numFmtId="14" fontId="53" fillId="0" borderId="11" xfId="3" applyNumberFormat="1" applyFont="1" applyBorder="1" applyAlignment="1">
      <alignment vertical="center" shrinkToFit="1"/>
    </xf>
    <xf numFmtId="0" fontId="53" fillId="0" borderId="1" xfId="3" applyFont="1" applyBorder="1" applyAlignment="1">
      <alignment horizontal="center" vertical="center" shrinkToFit="1"/>
    </xf>
    <xf numFmtId="14" fontId="53" fillId="0" borderId="1" xfId="3" applyNumberFormat="1" applyFont="1" applyBorder="1" applyAlignment="1">
      <alignment vertical="center" shrinkToFit="1"/>
    </xf>
    <xf numFmtId="14" fontId="1" fillId="12" borderId="28" xfId="3" applyNumberFormat="1" applyFill="1" applyBorder="1" applyAlignment="1">
      <alignment horizontal="center" vertical="center" shrinkToFit="1"/>
    </xf>
    <xf numFmtId="14" fontId="1" fillId="12" borderId="29" xfId="3" applyNumberFormat="1" applyFill="1" applyBorder="1" applyAlignment="1">
      <alignment horizontal="center" vertical="center" shrinkToFit="1"/>
    </xf>
    <xf numFmtId="3" fontId="1" fillId="12" borderId="30" xfId="3" applyNumberFormat="1" applyFill="1" applyBorder="1" applyAlignment="1">
      <alignment horizontal="center" vertical="center" shrinkToFit="1"/>
    </xf>
    <xf numFmtId="0" fontId="54" fillId="11" borderId="1" xfId="3" applyFont="1" applyFill="1" applyBorder="1" applyAlignment="1">
      <alignment horizontal="center" vertical="center" wrapText="1"/>
    </xf>
    <xf numFmtId="0" fontId="54" fillId="0" borderId="1" xfId="3" applyFont="1" applyBorder="1" applyAlignment="1">
      <alignment horizontal="center" vertical="center" wrapText="1"/>
    </xf>
    <xf numFmtId="0" fontId="57" fillId="0" borderId="12" xfId="3" applyFont="1" applyBorder="1" applyAlignment="1">
      <alignment horizontal="center" vertical="center" wrapText="1"/>
    </xf>
    <xf numFmtId="0" fontId="54" fillId="12" borderId="12" xfId="3" applyFont="1" applyFill="1" applyBorder="1" applyAlignment="1">
      <alignment horizontal="center" vertical="center" wrapText="1"/>
    </xf>
    <xf numFmtId="3" fontId="53" fillId="0" borderId="31" xfId="3" applyNumberFormat="1" applyFont="1" applyBorder="1" applyAlignment="1">
      <alignment horizontal="center" vertical="center" wrapText="1"/>
    </xf>
    <xf numFmtId="0" fontId="53" fillId="0" borderId="32" xfId="3" applyFont="1" applyBorder="1" applyAlignment="1">
      <alignment horizontal="center" vertical="center" shrinkToFit="1"/>
    </xf>
    <xf numFmtId="178" fontId="54" fillId="12" borderId="1" xfId="3" applyNumberFormat="1" applyFont="1" applyFill="1" applyBorder="1" applyAlignment="1">
      <alignment horizontal="center" vertical="center" wrapText="1"/>
    </xf>
    <xf numFmtId="0" fontId="58" fillId="11" borderId="32" xfId="3" applyFont="1" applyFill="1" applyBorder="1" applyAlignment="1">
      <alignment horizontal="center" vertical="center" shrinkToFit="1"/>
    </xf>
    <xf numFmtId="0" fontId="59" fillId="13" borderId="29" xfId="3" applyFont="1" applyFill="1" applyBorder="1" applyAlignment="1">
      <alignment horizontal="center" vertical="center" shrinkToFit="1"/>
    </xf>
    <xf numFmtId="0" fontId="60" fillId="0" borderId="0" xfId="3" applyFont="1" applyAlignment="1">
      <alignment horizontal="right" vertical="center"/>
    </xf>
    <xf numFmtId="0" fontId="61" fillId="0" borderId="0" xfId="3" applyFont="1">
      <alignment vertical="center"/>
    </xf>
    <xf numFmtId="0" fontId="62" fillId="0" borderId="0" xfId="3" applyFont="1">
      <alignment vertical="center"/>
    </xf>
    <xf numFmtId="0" fontId="1" fillId="0" borderId="0" xfId="3" applyAlignment="1">
      <alignment horizontal="center" vertical="center"/>
    </xf>
    <xf numFmtId="0" fontId="64" fillId="14" borderId="33" xfId="3" applyFont="1" applyFill="1" applyBorder="1" applyAlignment="1">
      <alignment horizontal="center" vertical="center" wrapText="1"/>
    </xf>
    <xf numFmtId="0" fontId="64" fillId="11" borderId="34" xfId="3" applyFont="1" applyFill="1" applyBorder="1" applyAlignment="1">
      <alignment horizontal="center" vertical="center" wrapText="1"/>
    </xf>
    <xf numFmtId="0" fontId="64" fillId="14" borderId="35" xfId="3" applyFont="1" applyFill="1" applyBorder="1" applyAlignment="1">
      <alignment horizontal="center" vertical="center" wrapText="1"/>
    </xf>
    <xf numFmtId="0" fontId="64" fillId="14" borderId="36" xfId="3" applyFont="1" applyFill="1" applyBorder="1" applyAlignment="1">
      <alignment horizontal="center" vertical="center" wrapText="1"/>
    </xf>
    <xf numFmtId="0" fontId="64" fillId="14" borderId="37" xfId="3" applyFont="1" applyFill="1" applyBorder="1" applyAlignment="1">
      <alignment horizontal="center" vertical="center" wrapText="1"/>
    </xf>
    <xf numFmtId="0" fontId="64" fillId="14" borderId="38" xfId="3" applyFont="1" applyFill="1" applyBorder="1" applyAlignment="1">
      <alignment horizontal="center" vertical="center" wrapText="1"/>
    </xf>
    <xf numFmtId="0" fontId="66" fillId="0" borderId="39" xfId="3" applyFont="1" applyBorder="1" applyAlignment="1">
      <alignment horizontal="center" vertical="center" wrapText="1"/>
    </xf>
    <xf numFmtId="9" fontId="66" fillId="11" borderId="26" xfId="3" applyNumberFormat="1" applyFont="1" applyFill="1" applyBorder="1" applyAlignment="1">
      <alignment horizontal="center" vertical="center" wrapText="1"/>
    </xf>
    <xf numFmtId="179" fontId="66" fillId="0" borderId="24" xfId="3" applyNumberFormat="1" applyFont="1" applyBorder="1" applyAlignment="1">
      <alignment horizontal="center" vertical="center" wrapText="1"/>
    </xf>
    <xf numFmtId="179" fontId="66" fillId="0" borderId="28" xfId="3" applyNumberFormat="1" applyFont="1" applyBorder="1" applyAlignment="1">
      <alignment horizontal="center" vertical="center" wrapText="1"/>
    </xf>
    <xf numFmtId="179" fontId="66" fillId="0" borderId="40" xfId="3" applyNumberFormat="1" applyFont="1" applyBorder="1" applyAlignment="1">
      <alignment horizontal="center" vertical="center" wrapText="1"/>
    </xf>
    <xf numFmtId="180" fontId="66" fillId="0" borderId="41" xfId="3" applyNumberFormat="1" applyFont="1" applyBorder="1" applyAlignment="1">
      <alignment horizontal="center" vertical="center" wrapText="1"/>
    </xf>
    <xf numFmtId="0" fontId="67" fillId="15" borderId="0" xfId="3" applyFont="1" applyFill="1">
      <alignment vertical="center"/>
    </xf>
    <xf numFmtId="3" fontId="67" fillId="15" borderId="0" xfId="3" applyNumberFormat="1" applyFont="1" applyFill="1">
      <alignment vertical="center"/>
    </xf>
    <xf numFmtId="0" fontId="60" fillId="0" borderId="0" xfId="3" applyFont="1" applyAlignment="1">
      <alignment horizontal="left" vertical="center" shrinkToFit="1"/>
    </xf>
    <xf numFmtId="0" fontId="68" fillId="0" borderId="0" xfId="3" applyFont="1">
      <alignment vertical="center"/>
    </xf>
    <xf numFmtId="0" fontId="69" fillId="16" borderId="42" xfId="3" applyFont="1" applyFill="1" applyBorder="1" applyAlignment="1">
      <alignment horizontal="centerContinuous" vertical="center"/>
    </xf>
    <xf numFmtId="0" fontId="69" fillId="16" borderId="43" xfId="3" applyFont="1" applyFill="1" applyBorder="1" applyAlignment="1">
      <alignment horizontal="centerContinuous" vertical="center"/>
    </xf>
    <xf numFmtId="180" fontId="67" fillId="0" borderId="43" xfId="3" applyNumberFormat="1" applyFont="1" applyBorder="1" applyAlignment="1">
      <alignment horizontal="right" vertical="center" shrinkToFit="1"/>
    </xf>
    <xf numFmtId="0" fontId="69" fillId="11" borderId="43" xfId="3" applyFont="1" applyFill="1" applyBorder="1" applyAlignment="1">
      <alignment horizontal="centerContinuous" vertical="center"/>
    </xf>
    <xf numFmtId="180" fontId="1" fillId="0" borderId="44" xfId="3" applyNumberFormat="1" applyBorder="1" applyAlignment="1">
      <alignment horizontal="right" vertical="center" shrinkToFit="1"/>
    </xf>
    <xf numFmtId="0" fontId="1" fillId="0" borderId="0" xfId="3" applyAlignment="1">
      <alignment horizontal="right" vertical="center"/>
    </xf>
    <xf numFmtId="0" fontId="1" fillId="11" borderId="0" xfId="3" applyFill="1">
      <alignment vertical="center"/>
    </xf>
    <xf numFmtId="0" fontId="58" fillId="11" borderId="1" xfId="3" applyFont="1" applyFill="1" applyBorder="1" applyAlignment="1">
      <alignment horizontal="centerContinuous" vertical="center" shrinkToFit="1"/>
    </xf>
    <xf numFmtId="0" fontId="58" fillId="11" borderId="1" xfId="3" applyFont="1" applyFill="1" applyBorder="1" applyAlignment="1">
      <alignment horizontal="center" vertical="center" shrinkToFit="1"/>
    </xf>
    <xf numFmtId="0" fontId="66" fillId="0" borderId="45" xfId="3" applyFont="1" applyBorder="1" applyAlignment="1">
      <alignment horizontal="center" vertical="center" wrapText="1"/>
    </xf>
    <xf numFmtId="9" fontId="66" fillId="11" borderId="46" xfId="3" applyNumberFormat="1" applyFont="1" applyFill="1" applyBorder="1" applyAlignment="1">
      <alignment horizontal="center" vertical="center" wrapText="1"/>
    </xf>
    <xf numFmtId="179" fontId="66" fillId="0" borderId="47" xfId="3" applyNumberFormat="1" applyFont="1" applyBorder="1" applyAlignment="1">
      <alignment horizontal="center" vertical="center" wrapText="1"/>
    </xf>
    <xf numFmtId="179" fontId="66" fillId="0" borderId="48" xfId="3" applyNumberFormat="1" applyFont="1" applyBorder="1" applyAlignment="1">
      <alignment horizontal="center" vertical="center" wrapText="1"/>
    </xf>
    <xf numFmtId="179" fontId="66" fillId="0" borderId="49" xfId="3" applyNumberFormat="1" applyFont="1" applyBorder="1" applyAlignment="1">
      <alignment horizontal="center" vertical="center" wrapText="1"/>
    </xf>
    <xf numFmtId="180" fontId="66" fillId="0" borderId="50" xfId="3" applyNumberFormat="1" applyFont="1" applyBorder="1" applyAlignment="1">
      <alignment horizontal="center" vertical="center" wrapText="1"/>
    </xf>
    <xf numFmtId="0" fontId="58" fillId="11" borderId="51" xfId="3" applyFont="1" applyFill="1" applyBorder="1" applyAlignment="1">
      <alignment horizontal="center" vertical="center" shrinkToFit="1"/>
    </xf>
    <xf numFmtId="9" fontId="53" fillId="11" borderId="24" xfId="4" applyFont="1" applyFill="1" applyBorder="1" applyAlignment="1">
      <alignment horizontal="right" vertical="center" shrinkToFit="1"/>
    </xf>
    <xf numFmtId="3" fontId="53" fillId="11" borderId="24" xfId="3" applyNumberFormat="1" applyFont="1" applyFill="1" applyBorder="1" applyAlignment="1">
      <alignment horizontal="right" vertical="center" shrinkToFit="1"/>
    </xf>
    <xf numFmtId="3" fontId="53" fillId="17" borderId="24" xfId="3" applyNumberFormat="1" applyFont="1" applyFill="1" applyBorder="1" applyAlignment="1">
      <alignment horizontal="right" vertical="center" shrinkToFit="1"/>
    </xf>
    <xf numFmtId="0" fontId="53" fillId="11" borderId="24" xfId="3" applyFont="1" applyFill="1" applyBorder="1" applyAlignment="1">
      <alignment horizontal="left" vertical="center" shrinkToFit="1"/>
    </xf>
    <xf numFmtId="3" fontId="53" fillId="11" borderId="24" xfId="3" applyNumberFormat="1" applyFont="1" applyFill="1" applyBorder="1" applyAlignment="1">
      <alignment horizontal="center" vertical="center" shrinkToFit="1"/>
    </xf>
    <xf numFmtId="181" fontId="53" fillId="0" borderId="24" xfId="4" applyNumberFormat="1" applyFont="1" applyBorder="1" applyAlignment="1">
      <alignment horizontal="right" vertical="center" shrinkToFit="1"/>
    </xf>
    <xf numFmtId="0" fontId="53" fillId="0" borderId="24" xfId="3" applyFont="1" applyBorder="1" applyAlignment="1">
      <alignment horizontal="left" vertical="center" shrinkToFit="1"/>
    </xf>
    <xf numFmtId="0" fontId="66" fillId="0" borderId="0" xfId="3" applyFont="1" applyAlignment="1">
      <alignment horizontal="center" vertical="center" wrapText="1"/>
    </xf>
    <xf numFmtId="0" fontId="56" fillId="11" borderId="24" xfId="3" applyFont="1" applyFill="1" applyBorder="1" applyAlignment="1">
      <alignment horizontal="left" vertical="center"/>
    </xf>
    <xf numFmtId="49" fontId="54" fillId="0" borderId="1" xfId="3" applyNumberFormat="1" applyFont="1" applyBorder="1" applyAlignment="1">
      <alignment horizontal="center" vertical="center" wrapText="1"/>
    </xf>
    <xf numFmtId="49" fontId="45" fillId="12" borderId="18" xfId="3" applyNumberFormat="1" applyFont="1" applyFill="1" applyBorder="1" applyAlignment="1">
      <alignment horizontal="center" vertical="center" shrinkToFit="1"/>
    </xf>
    <xf numFmtId="49" fontId="54" fillId="11" borderId="1" xfId="3" applyNumberFormat="1" applyFont="1" applyFill="1" applyBorder="1" applyAlignment="1">
      <alignment horizontal="center" vertical="center" wrapText="1"/>
    </xf>
    <xf numFmtId="49" fontId="53" fillId="0" borderId="24" xfId="3" applyNumberFormat="1" applyFont="1" applyBorder="1" applyAlignment="1">
      <alignment horizontal="right" vertical="center" shrinkToFit="1"/>
    </xf>
    <xf numFmtId="49" fontId="53" fillId="11" borderId="25" xfId="3" applyNumberFormat="1" applyFont="1" applyFill="1" applyBorder="1" applyAlignment="1">
      <alignment horizontal="center" vertical="center" shrinkToFit="1"/>
    </xf>
    <xf numFmtId="49" fontId="45" fillId="0" borderId="12" xfId="3" applyNumberFormat="1" applyFont="1" applyBorder="1" applyAlignment="1">
      <alignment horizontal="center" vertical="center" wrapText="1"/>
    </xf>
    <xf numFmtId="49" fontId="54" fillId="0" borderId="52" xfId="3" applyNumberFormat="1" applyFont="1" applyBorder="1" applyAlignment="1">
      <alignment horizontal="center" vertical="center" wrapText="1"/>
    </xf>
    <xf numFmtId="0" fontId="54" fillId="12" borderId="52" xfId="3" applyFont="1" applyFill="1" applyBorder="1" applyAlignment="1">
      <alignment horizontal="center" vertical="center" wrapText="1"/>
    </xf>
    <xf numFmtId="0" fontId="54" fillId="0" borderId="52" xfId="3" applyFont="1" applyBorder="1" applyAlignment="1">
      <alignment horizontal="center" vertical="center" wrapText="1"/>
    </xf>
    <xf numFmtId="49" fontId="70" fillId="7" borderId="1" xfId="1" applyNumberFormat="1" applyFont="1" applyFill="1" applyBorder="1" applyAlignment="1">
      <alignment vertical="center"/>
    </xf>
    <xf numFmtId="0" fontId="71" fillId="0" borderId="1" xfId="0" applyFont="1" applyBorder="1"/>
    <xf numFmtId="49" fontId="72" fillId="0" borderId="1" xfId="1" applyNumberFormat="1" applyFont="1" applyBorder="1"/>
    <xf numFmtId="49" fontId="73" fillId="8" borderId="8" xfId="1" applyNumberFormat="1" applyFont="1" applyFill="1" applyBorder="1" applyAlignment="1">
      <alignment vertical="center"/>
    </xf>
    <xf numFmtId="49" fontId="73" fillId="8" borderId="9" xfId="1" applyNumberFormat="1" applyFont="1" applyFill="1" applyBorder="1" applyAlignment="1">
      <alignment vertical="center"/>
    </xf>
    <xf numFmtId="49" fontId="70" fillId="7" borderId="12" xfId="1" applyNumberFormat="1" applyFont="1" applyFill="1" applyBorder="1" applyAlignment="1">
      <alignment vertical="center"/>
    </xf>
    <xf numFmtId="178" fontId="70" fillId="7" borderId="1" xfId="1" applyNumberFormat="1" applyFont="1" applyFill="1" applyBorder="1" applyAlignment="1">
      <alignment horizontal="left" vertical="center"/>
    </xf>
    <xf numFmtId="49" fontId="13" fillId="4" borderId="3" xfId="1" applyNumberFormat="1" applyFont="1" applyFill="1" applyBorder="1" applyAlignment="1">
      <alignment horizontal="center" vertical="center"/>
    </xf>
    <xf numFmtId="49" fontId="13" fillId="4" borderId="4" xfId="1" applyNumberFormat="1" applyFont="1" applyFill="1" applyBorder="1" applyAlignment="1">
      <alignment horizontal="center" vertical="center"/>
    </xf>
    <xf numFmtId="49" fontId="17" fillId="6" borderId="7" xfId="1" applyNumberFormat="1" applyFont="1" applyFill="1" applyBorder="1" applyAlignment="1">
      <alignment horizontal="center" vertical="center" wrapText="1"/>
    </xf>
    <xf numFmtId="49" fontId="22" fillId="6" borderId="10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19" fillId="8" borderId="2" xfId="1" applyNumberFormat="1" applyFont="1" applyFill="1" applyBorder="1" applyAlignment="1">
      <alignment horizontal="left" vertical="center" wrapText="1"/>
    </xf>
    <xf numFmtId="49" fontId="19" fillId="8" borderId="11" xfId="1" applyNumberFormat="1" applyFont="1" applyFill="1" applyBorder="1" applyAlignment="1">
      <alignment horizontal="left" vertical="center" wrapText="1"/>
    </xf>
    <xf numFmtId="49" fontId="20" fillId="7" borderId="3" xfId="1" applyNumberFormat="1" applyFont="1" applyFill="1" applyBorder="1" applyAlignment="1">
      <alignment horizontal="center" vertical="center"/>
    </xf>
    <xf numFmtId="49" fontId="20" fillId="7" borderId="4" xfId="1" applyNumberFormat="1" applyFont="1" applyFill="1" applyBorder="1" applyAlignment="1">
      <alignment horizontal="center" vertical="center"/>
    </xf>
    <xf numFmtId="49" fontId="20" fillId="7" borderId="13" xfId="1" applyNumberFormat="1" applyFont="1" applyFill="1" applyBorder="1" applyAlignment="1">
      <alignment horizontal="center" vertical="center"/>
    </xf>
    <xf numFmtId="49" fontId="20" fillId="7" borderId="14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 wrapText="1"/>
    </xf>
    <xf numFmtId="49" fontId="22" fillId="6" borderId="10" xfId="1" applyNumberFormat="1" applyFont="1" applyFill="1" applyBorder="1" applyAlignment="1">
      <alignment horizontal="center" vertical="center" wrapText="1"/>
    </xf>
    <xf numFmtId="49" fontId="22" fillId="6" borderId="15" xfId="1" applyNumberFormat="1" applyFont="1" applyFill="1" applyBorder="1" applyAlignment="1">
      <alignment horizontal="center" vertical="center" wrapText="1"/>
    </xf>
    <xf numFmtId="0" fontId="28" fillId="6" borderId="2" xfId="1" applyFont="1" applyFill="1" applyBorder="1" applyAlignment="1">
      <alignment horizontal="center" vertical="center" wrapText="1"/>
    </xf>
    <xf numFmtId="0" fontId="28" fillId="6" borderId="10" xfId="1" applyFont="1" applyFill="1" applyBorder="1" applyAlignment="1">
      <alignment horizontal="center" vertical="center" wrapText="1"/>
    </xf>
    <xf numFmtId="0" fontId="28" fillId="6" borderId="15" xfId="1" applyFont="1" applyFill="1" applyBorder="1" applyAlignment="1">
      <alignment horizontal="center" vertical="center" wrapText="1"/>
    </xf>
    <xf numFmtId="0" fontId="46" fillId="4" borderId="17" xfId="1" applyFont="1" applyFill="1" applyBorder="1" applyAlignment="1">
      <alignment horizontal="center" vertical="center"/>
    </xf>
    <xf numFmtId="0" fontId="46" fillId="4" borderId="21" xfId="1" applyFont="1" applyFill="1" applyBorder="1" applyAlignment="1">
      <alignment horizontal="center" vertical="center"/>
    </xf>
    <xf numFmtId="0" fontId="17" fillId="6" borderId="2" xfId="1" applyFont="1" applyFill="1" applyBorder="1" applyAlignment="1">
      <alignment horizontal="center" vertical="center" wrapText="1"/>
    </xf>
    <xf numFmtId="0" fontId="30" fillId="6" borderId="10" xfId="1" applyFont="1" applyFill="1" applyBorder="1" applyAlignment="1">
      <alignment horizontal="center" vertical="center" wrapText="1"/>
    </xf>
    <xf numFmtId="0" fontId="30" fillId="6" borderId="15" xfId="1" applyFont="1" applyFill="1" applyBorder="1" applyAlignment="1">
      <alignment horizontal="center" vertical="center" wrapText="1"/>
    </xf>
    <xf numFmtId="0" fontId="30" fillId="6" borderId="22" xfId="1" applyFont="1" applyFill="1" applyBorder="1" applyAlignment="1">
      <alignment horizontal="center" vertical="center" wrapText="1"/>
    </xf>
    <xf numFmtId="0" fontId="20" fillId="7" borderId="18" xfId="0" applyNumberFormat="1" applyFont="1" applyFill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6" fontId="7" fillId="0" borderId="1" xfId="0" applyNumberFormat="1" applyFont="1" applyBorder="1" applyAlignment="1">
      <alignment horizontal="center" vertical="center"/>
    </xf>
  </cellXfs>
  <cellStyles count="5">
    <cellStyle name="20% - 강조색5" xfId="2" builtinId="46"/>
    <cellStyle name="백분율 2" xfId="4" xr:uid="{E8CECC02-5A16-43D3-A949-27D794B3593B}"/>
    <cellStyle name="표준" xfId="0" builtinId="0"/>
    <cellStyle name="표준 2" xfId="3" xr:uid="{D2F826AE-ACFD-4E60-8DC9-EBEA7863D3A1}"/>
    <cellStyle name="표준 3" xfId="1" xr:uid="{B096432B-CCB6-4C9D-987D-447E2CAB2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ung%20sukhee\Audit\08.&#48372;&#51312;&#44552;%20&#44048;&#49324;\00.&#49328;&#50629;&#51064;&#47141;&#44277;&#45800;\&#52397;&#45380;&#52828;&#54868;&#54805;%20&#44592;&#50629;%20ESG&#51648;&#50896;&#49324;&#50629;\(&#51473;&#51221;)&#54532;&#47196;&#44536;&#47016;%20&#49548;&#50836;&#48708;&#50857;(&#50696;&#49328;)%20&#49328;&#52636;&#45236;&#50669;&#49436;_&#49436;&#49885;_&#45800;&#46021;&#52280;&#50668;&#54805;_&#49688;&#512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사업비항목"/>
      <sheetName val="조정내역표"/>
      <sheetName val="프로그램 예산 산출내역"/>
      <sheetName val="예산비목설명"/>
    </sheetNames>
    <sheetDataSet>
      <sheetData sheetId="0">
        <row r="35">
          <cell r="C35" t="str">
            <v>자체수행</v>
          </cell>
        </row>
        <row r="36">
          <cell r="C36" t="str">
            <v>위탁수행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6"/>
  <sheetViews>
    <sheetView tabSelected="1" workbookViewId="0">
      <selection activeCell="O18" sqref="O18"/>
    </sheetView>
  </sheetViews>
  <sheetFormatPr defaultRowHeight="16.5"/>
  <cols>
    <col min="1" max="1" width="4.25" bestFit="1" customWidth="1"/>
    <col min="2" max="2" width="10.25" bestFit="1" customWidth="1"/>
    <col min="3" max="3" width="23.875" customWidth="1"/>
    <col min="4" max="4" width="12.875" bestFit="1" customWidth="1"/>
    <col min="5" max="5" width="8.875" bestFit="1" customWidth="1"/>
    <col min="6" max="9" width="8.875" customWidth="1"/>
    <col min="10" max="10" width="7" bestFit="1" customWidth="1"/>
    <col min="11" max="11" width="31.875" bestFit="1" customWidth="1"/>
    <col min="12" max="12" width="5.625" bestFit="1" customWidth="1"/>
    <col min="13" max="13" width="12.125" bestFit="1" customWidth="1"/>
    <col min="14" max="14" width="11.125" bestFit="1" customWidth="1"/>
    <col min="15" max="15" width="21.75" bestFit="1" customWidth="1"/>
    <col min="16" max="16" width="11.125" bestFit="1" customWidth="1"/>
    <col min="17" max="17" width="4.25" bestFit="1" customWidth="1"/>
    <col min="18" max="18" width="10.25" bestFit="1" customWidth="1"/>
    <col min="19" max="19" width="15.875" bestFit="1" customWidth="1"/>
    <col min="20" max="20" width="12.75" bestFit="1" customWidth="1"/>
    <col min="21" max="21" width="64.625" bestFit="1" customWidth="1"/>
    <col min="22" max="22" width="9.625" bestFit="1" customWidth="1"/>
    <col min="23" max="24" width="30.75" bestFit="1" customWidth="1"/>
    <col min="25" max="25" width="5.25" bestFit="1" customWidth="1"/>
    <col min="28" max="28" width="7.75" bestFit="1" customWidth="1"/>
    <col min="29" max="29" width="7.125" bestFit="1" customWidth="1"/>
  </cols>
  <sheetData>
    <row r="1" spans="1:29">
      <c r="A1" s="82" t="s">
        <v>1</v>
      </c>
      <c r="B1" s="82" t="s">
        <v>0</v>
      </c>
      <c r="C1" s="82" t="s">
        <v>103</v>
      </c>
      <c r="D1" s="82" t="s">
        <v>19</v>
      </c>
      <c r="E1" s="82" t="s">
        <v>20</v>
      </c>
      <c r="F1" s="82" t="s">
        <v>142</v>
      </c>
      <c r="G1" s="82" t="s">
        <v>155</v>
      </c>
      <c r="H1" s="82" t="s">
        <v>371</v>
      </c>
      <c r="I1" s="82" t="s">
        <v>372</v>
      </c>
      <c r="J1" s="82" t="s">
        <v>158</v>
      </c>
      <c r="K1" s="82" t="s">
        <v>110</v>
      </c>
      <c r="L1" s="82" t="s">
        <v>2</v>
      </c>
      <c r="M1" s="82" t="s">
        <v>21</v>
      </c>
      <c r="N1" s="82" t="s">
        <v>22</v>
      </c>
      <c r="O1" s="82" t="s">
        <v>23</v>
      </c>
      <c r="P1" s="82" t="s">
        <v>24</v>
      </c>
      <c r="Q1" s="82" t="s">
        <v>3</v>
      </c>
      <c r="R1" s="82" t="s">
        <v>25</v>
      </c>
      <c r="S1" s="82" t="s">
        <v>26</v>
      </c>
      <c r="T1" s="82" t="s">
        <v>4</v>
      </c>
      <c r="U1" s="82" t="s">
        <v>27</v>
      </c>
      <c r="V1" s="82" t="s">
        <v>5</v>
      </c>
      <c r="W1" s="82" t="s">
        <v>6</v>
      </c>
      <c r="X1" s="83" t="s">
        <v>7</v>
      </c>
      <c r="Y1" s="83" t="s">
        <v>8</v>
      </c>
      <c r="Z1" s="83" t="s">
        <v>9</v>
      </c>
      <c r="AA1" s="83" t="s">
        <v>10</v>
      </c>
      <c r="AB1" s="84" t="s">
        <v>28</v>
      </c>
      <c r="AC1" s="83" t="s">
        <v>11</v>
      </c>
    </row>
    <row r="2" spans="1:29">
      <c r="A2" s="1">
        <v>1</v>
      </c>
      <c r="B2" s="1"/>
      <c r="C2" s="1" t="s">
        <v>104</v>
      </c>
      <c r="D2" s="1" t="s">
        <v>29</v>
      </c>
      <c r="E2" s="1" t="s">
        <v>30</v>
      </c>
      <c r="F2" s="1" t="s">
        <v>157</v>
      </c>
      <c r="G2" s="1" t="s">
        <v>156</v>
      </c>
      <c r="H2" s="214" t="str">
        <f>'사전직무,운영기관,일경험 정보'!$C$46</f>
        <v>2024.12.31</v>
      </c>
      <c r="I2" s="213">
        <f>'사전직무,운영기관,일경험 정보'!$C$47</f>
        <v>0</v>
      </c>
      <c r="J2" s="1" t="s">
        <v>270</v>
      </c>
      <c r="K2" s="1" t="s">
        <v>105</v>
      </c>
      <c r="L2" s="1" t="s">
        <v>160</v>
      </c>
      <c r="M2" s="1" t="s">
        <v>175</v>
      </c>
      <c r="N2" s="1" t="s">
        <v>176</v>
      </c>
      <c r="O2" s="1" t="s">
        <v>177</v>
      </c>
      <c r="P2" s="1" t="s">
        <v>12</v>
      </c>
      <c r="Q2" s="1">
        <v>3</v>
      </c>
      <c r="R2" s="1" t="s">
        <v>13</v>
      </c>
      <c r="S2" s="1" t="s">
        <v>220</v>
      </c>
      <c r="T2" s="1"/>
      <c r="U2" s="48" t="s">
        <v>221</v>
      </c>
      <c r="V2" s="49" t="s">
        <v>17</v>
      </c>
      <c r="W2" s="50" t="s">
        <v>222</v>
      </c>
      <c r="X2" s="51" t="str">
        <f t="shared" ref="X2:X16" si="0">V2&amp; "/" &amp;W2</f>
        <v>우리은행/1002-263-075614</v>
      </c>
      <c r="Y2" s="51" t="str">
        <f>IF(OR(MID(M2, 8, 1) = "3", MOD(MID(M2, 8, 1), 2) = 1), "남", "여")</f>
        <v>남</v>
      </c>
      <c r="Z2" s="51" t="str">
        <f>LEFT(M2, 6)</f>
        <v>980515</v>
      </c>
      <c r="AA2" s="51" t="str">
        <f>IF(VALUE(MID(M2, 8, 1)) &lt;= 2, "19" &amp; LEFT(M2, 2), "20" &amp; LEFT(M2, 2))</f>
        <v>1998</v>
      </c>
      <c r="AB2" s="51">
        <f ca="1">YEAR(TODAY()) - VALUE(IF(VALUE(MID(M2, 8, 1)) &lt;= 2, "19" &amp; LEFT(M2, 2), "20" &amp; LEFT(M2, 2)))</f>
        <v>27</v>
      </c>
      <c r="AC2" s="51" t="str">
        <f>IF(OR(ISNUMBER(SEARCH("서울", U2)), ISNUMBER(SEARCH("인천", U2)), ISNUMBER(SEARCH("경기", U2))), "수도권",
   IF(OR(ISNUMBER(SEARCH("부산", U2)), ISNUMBER(SEARCH("대구", U2)), ISNUMBER(SEARCH("울산", U2)), ISNUMBER(SEARCH("경북", U2)), ISNUMBER(SEARCH("경남", U2)), ISNUMBER(SEARCH("양산", U2)), ISNUMBER(SEARCH("김해", U2)), ISNUMBER(SEARCH("창원", U2)), ISNUMBER(SEARCH("경상북도", U2)), ISNUMBER(SEARCH("경상남도", U2))), "경상권",
   IF(OR(ISNUMBER(SEARCH("광주", U2)), ISNUMBER(SEARCH("전북", U2)), ISNUMBER(SEARCH("전남", U2)), ISNUMBER(SEARCH("전라북도", U2)), ISNUMBER(SEARCH("전라남도", U2))), "호남권",
   IF(OR(ISNUMBER(SEARCH("대전", U2)), ISNUMBER(SEARCH("충북", U2)), ISNUMBER(SEARCH("세종", U2)), ISNUMBER(SEARCH("충남", U2)), ISNUMBER(SEARCH("충청북도", U2)), ISNUMBER(SEARCH("충청남도", U2))), "충청권",
   IF(ISNUMBER(SEARCH("강원", U2)), "강원권",
   IF(ISNUMBER(SEARCH("제주", U2)), "제주"))))))</f>
        <v>경상권</v>
      </c>
    </row>
    <row r="3" spans="1:29">
      <c r="A3" s="1">
        <v>2</v>
      </c>
      <c r="B3" s="1"/>
      <c r="C3" s="1" t="s">
        <v>104</v>
      </c>
      <c r="D3" s="1" t="s">
        <v>29</v>
      </c>
      <c r="E3" s="1" t="s">
        <v>30</v>
      </c>
      <c r="F3" s="1" t="s">
        <v>157</v>
      </c>
      <c r="G3" s="214" t="s">
        <v>156</v>
      </c>
      <c r="H3" s="214" t="str">
        <f>'사전직무,운영기관,일경험 정보'!$C$46</f>
        <v>2024.12.31</v>
      </c>
      <c r="I3" s="213">
        <f>'사전직무,운영기관,일경험 정보'!$C$47</f>
        <v>0</v>
      </c>
      <c r="J3" s="1" t="s">
        <v>270</v>
      </c>
      <c r="K3" s="1" t="s">
        <v>105</v>
      </c>
      <c r="L3" s="1" t="s">
        <v>161</v>
      </c>
      <c r="M3" s="1" t="s">
        <v>178</v>
      </c>
      <c r="N3" s="1" t="s">
        <v>179</v>
      </c>
      <c r="O3" s="1" t="s">
        <v>180</v>
      </c>
      <c r="P3" s="1" t="s">
        <v>16</v>
      </c>
      <c r="Q3" s="1" t="s">
        <v>265</v>
      </c>
      <c r="R3" s="1" t="s">
        <v>13</v>
      </c>
      <c r="S3" s="1" t="s">
        <v>223</v>
      </c>
      <c r="T3" s="1" t="s">
        <v>224</v>
      </c>
      <c r="U3" s="48" t="s">
        <v>225</v>
      </c>
      <c r="V3" s="49" t="s">
        <v>14</v>
      </c>
      <c r="W3" s="50" t="s">
        <v>226</v>
      </c>
      <c r="X3" s="51" t="str">
        <f t="shared" si="0"/>
        <v>신한은행/110-309-305274</v>
      </c>
      <c r="Y3" s="51" t="str">
        <f t="shared" ref="Y3:Y16" si="1">IF(OR(MID(M3, 8, 1) = "3", MOD(MID(M3, 8, 1), 2) = 1), "남", "여")</f>
        <v>남</v>
      </c>
      <c r="Z3" s="51" t="str">
        <f t="shared" ref="Z3:Z16" si="2">LEFT(M3, 6)</f>
        <v>911212</v>
      </c>
      <c r="AA3" s="51" t="str">
        <f t="shared" ref="AA3:AA16" si="3">IF(VALUE(MID(M3, 8, 1)) &lt;= 2, "19" &amp; LEFT(M3, 2), "20" &amp; LEFT(M3, 2))</f>
        <v>1991</v>
      </c>
      <c r="AB3" s="51">
        <f t="shared" ref="AB3:AB16" ca="1" si="4">YEAR(TODAY()) - VALUE(IF(VALUE(MID(M3, 8, 1)) &lt;= 2, "19" &amp; LEFT(M3, 2), "20" &amp; LEFT(M3, 2)))</f>
        <v>34</v>
      </c>
      <c r="AC3" s="51" t="str">
        <f t="shared" ref="AC3:AC16" si="5">IF(OR(ISNUMBER(SEARCH("서울", U3)), ISNUMBER(SEARCH("인천", U3)), ISNUMBER(SEARCH("경기", U3))), "수도권",
   IF(OR(ISNUMBER(SEARCH("부산", U3)), ISNUMBER(SEARCH("대구", U3)), ISNUMBER(SEARCH("울산", U3)), ISNUMBER(SEARCH("경북", U3)), ISNUMBER(SEARCH("경남", U3)), ISNUMBER(SEARCH("양산", U3)), ISNUMBER(SEARCH("김해", U3)), ISNUMBER(SEARCH("창원", U3)), ISNUMBER(SEARCH("경상북도", U3)), ISNUMBER(SEARCH("경상남도", U3))), "경상권",
   IF(OR(ISNUMBER(SEARCH("광주", U3)), ISNUMBER(SEARCH("전북", U3)), ISNUMBER(SEARCH("전남", U3)), ISNUMBER(SEARCH("전라북도", U3)), ISNUMBER(SEARCH("전라남도", U3))), "호남권",
   IF(OR(ISNUMBER(SEARCH("대전", U3)), ISNUMBER(SEARCH("충북", U3)), ISNUMBER(SEARCH("세종", U3)), ISNUMBER(SEARCH("충남", U3)), ISNUMBER(SEARCH("충청북도", U3)), ISNUMBER(SEARCH("충청남도", U3))), "충청권",
   IF(ISNUMBER(SEARCH("강원", U3)), "강원권",
   IF(ISNUMBER(SEARCH("제주", U3)), "제주"))))))</f>
        <v>경상권</v>
      </c>
    </row>
    <row r="4" spans="1:29">
      <c r="A4" s="1">
        <v>3</v>
      </c>
      <c r="B4" s="1"/>
      <c r="C4" s="1" t="s">
        <v>104</v>
      </c>
      <c r="D4" s="1" t="s">
        <v>29</v>
      </c>
      <c r="E4" s="1" t="s">
        <v>30</v>
      </c>
      <c r="F4" s="1" t="s">
        <v>157</v>
      </c>
      <c r="G4" s="1" t="s">
        <v>156</v>
      </c>
      <c r="H4" s="214" t="str">
        <f>'사전직무,운영기관,일경험 정보'!$C$46</f>
        <v>2024.12.31</v>
      </c>
      <c r="I4" s="213">
        <f>'사전직무,운영기관,일경험 정보'!$C$47</f>
        <v>0</v>
      </c>
      <c r="J4" s="1" t="s">
        <v>270</v>
      </c>
      <c r="K4" s="1" t="s">
        <v>105</v>
      </c>
      <c r="L4" s="1" t="s">
        <v>162</v>
      </c>
      <c r="M4" s="1" t="s">
        <v>181</v>
      </c>
      <c r="N4" s="1" t="s">
        <v>182</v>
      </c>
      <c r="O4" s="1" t="s">
        <v>183</v>
      </c>
      <c r="P4" s="1" t="s">
        <v>16</v>
      </c>
      <c r="Q4" s="1" t="s">
        <v>265</v>
      </c>
      <c r="R4" s="1" t="s">
        <v>13</v>
      </c>
      <c r="S4" s="1" t="s">
        <v>227</v>
      </c>
      <c r="T4" s="1" t="s">
        <v>228</v>
      </c>
      <c r="U4" s="48" t="s">
        <v>229</v>
      </c>
      <c r="V4" s="49" t="s">
        <v>15</v>
      </c>
      <c r="W4" s="50" t="s">
        <v>230</v>
      </c>
      <c r="X4" s="51" t="str">
        <f t="shared" si="0"/>
        <v>국민은행/876701-01-175499</v>
      </c>
      <c r="Y4" s="51" t="str">
        <f>IF(OR(MID(M4, 8, 1) = "3", MOD(MID(M4, 8, 1), 2) = 1), "남", "여")</f>
        <v>남</v>
      </c>
      <c r="Z4" s="51" t="str">
        <f t="shared" si="2"/>
        <v>960322</v>
      </c>
      <c r="AA4" s="51" t="str">
        <f t="shared" si="3"/>
        <v>1996</v>
      </c>
      <c r="AB4" s="51">
        <f t="shared" ca="1" si="4"/>
        <v>29</v>
      </c>
      <c r="AC4" s="51" t="str">
        <f t="shared" si="5"/>
        <v>경상권</v>
      </c>
    </row>
    <row r="5" spans="1:29">
      <c r="A5" s="1">
        <v>4</v>
      </c>
      <c r="B5" s="1"/>
      <c r="C5" s="1" t="s">
        <v>104</v>
      </c>
      <c r="D5" s="1" t="s">
        <v>29</v>
      </c>
      <c r="E5" s="1" t="s">
        <v>30</v>
      </c>
      <c r="F5" s="1" t="s">
        <v>157</v>
      </c>
      <c r="G5" s="1" t="s">
        <v>156</v>
      </c>
      <c r="H5" s="214" t="str">
        <f>'사전직무,운영기관,일경험 정보'!$C$46</f>
        <v>2024.12.31</v>
      </c>
      <c r="I5" s="213">
        <f>'사전직무,운영기관,일경험 정보'!$C$47</f>
        <v>0</v>
      </c>
      <c r="J5" s="1" t="s">
        <v>270</v>
      </c>
      <c r="K5" s="1" t="s">
        <v>105</v>
      </c>
      <c r="L5" s="1" t="s">
        <v>163</v>
      </c>
      <c r="M5" s="1" t="s">
        <v>184</v>
      </c>
      <c r="N5" s="1" t="s">
        <v>185</v>
      </c>
      <c r="O5" s="1" t="s">
        <v>186</v>
      </c>
      <c r="P5" s="1" t="s">
        <v>18</v>
      </c>
      <c r="Q5" s="1" t="s">
        <v>266</v>
      </c>
      <c r="R5" s="1" t="s">
        <v>13</v>
      </c>
      <c r="S5" s="1" t="s">
        <v>231</v>
      </c>
      <c r="T5" s="1" t="s">
        <v>232</v>
      </c>
      <c r="U5" s="48" t="s">
        <v>233</v>
      </c>
      <c r="V5" s="49" t="s">
        <v>234</v>
      </c>
      <c r="W5" s="50" t="s">
        <v>235</v>
      </c>
      <c r="X5" s="51" t="str">
        <f t="shared" si="0"/>
        <v>IBK기업은행/982-002303-01-016</v>
      </c>
      <c r="Y5" s="51" t="str">
        <f t="shared" si="1"/>
        <v>남</v>
      </c>
      <c r="Z5" s="51" t="str">
        <f t="shared" si="2"/>
        <v>961222</v>
      </c>
      <c r="AA5" s="51" t="str">
        <f t="shared" si="3"/>
        <v>1996</v>
      </c>
      <c r="AB5" s="51">
        <f t="shared" ca="1" si="4"/>
        <v>29</v>
      </c>
      <c r="AC5" s="51" t="str">
        <f t="shared" si="5"/>
        <v>경상권</v>
      </c>
    </row>
    <row r="6" spans="1:29">
      <c r="A6" s="1">
        <v>5</v>
      </c>
      <c r="B6" s="1"/>
      <c r="C6" s="1" t="s">
        <v>104</v>
      </c>
      <c r="D6" s="1" t="s">
        <v>29</v>
      </c>
      <c r="E6" s="1" t="s">
        <v>30</v>
      </c>
      <c r="F6" s="1" t="s">
        <v>157</v>
      </c>
      <c r="G6" s="1" t="s">
        <v>156</v>
      </c>
      <c r="H6" s="214" t="str">
        <f>'사전직무,운영기관,일경험 정보'!$C$46</f>
        <v>2024.12.31</v>
      </c>
      <c r="I6" s="213">
        <f>'사전직무,운영기관,일경험 정보'!$C$47</f>
        <v>0</v>
      </c>
      <c r="J6" s="1" t="s">
        <v>270</v>
      </c>
      <c r="K6" s="1" t="s">
        <v>105</v>
      </c>
      <c r="L6" s="1" t="s">
        <v>164</v>
      </c>
      <c r="M6" s="1" t="s">
        <v>187</v>
      </c>
      <c r="N6" s="1" t="s">
        <v>188</v>
      </c>
      <c r="O6" s="1" t="s">
        <v>189</v>
      </c>
      <c r="P6" s="1" t="s">
        <v>16</v>
      </c>
      <c r="Q6" s="1" t="s">
        <v>267</v>
      </c>
      <c r="R6" s="1" t="s">
        <v>268</v>
      </c>
      <c r="S6" s="1" t="s">
        <v>236</v>
      </c>
      <c r="T6" s="1" t="s">
        <v>237</v>
      </c>
      <c r="U6" s="48" t="s">
        <v>238</v>
      </c>
      <c r="V6" s="49" t="s">
        <v>239</v>
      </c>
      <c r="W6" s="50" t="s">
        <v>240</v>
      </c>
      <c r="X6" s="51" t="str">
        <f t="shared" si="0"/>
        <v>부산은행/112-2187-0758-08</v>
      </c>
      <c r="Y6" s="51" t="str">
        <f t="shared" si="1"/>
        <v>여</v>
      </c>
      <c r="Z6" s="51" t="str">
        <f t="shared" si="2"/>
        <v>030320</v>
      </c>
      <c r="AA6" s="51" t="str">
        <f t="shared" si="3"/>
        <v>2003</v>
      </c>
      <c r="AB6" s="51">
        <f t="shared" ca="1" si="4"/>
        <v>22</v>
      </c>
      <c r="AC6" s="51" t="str">
        <f t="shared" si="5"/>
        <v>경상권</v>
      </c>
    </row>
    <row r="7" spans="1:29">
      <c r="A7" s="1">
        <v>6</v>
      </c>
      <c r="B7" s="1"/>
      <c r="C7" s="1" t="s">
        <v>104</v>
      </c>
      <c r="D7" s="1" t="s">
        <v>29</v>
      </c>
      <c r="E7" s="1" t="s">
        <v>30</v>
      </c>
      <c r="F7" s="1" t="s">
        <v>157</v>
      </c>
      <c r="G7" s="1" t="s">
        <v>156</v>
      </c>
      <c r="H7" s="214" t="str">
        <f>'사전직무,운영기관,일경험 정보'!$C$46</f>
        <v>2024.12.31</v>
      </c>
      <c r="I7" s="213">
        <f>'사전직무,운영기관,일경험 정보'!$C$47</f>
        <v>0</v>
      </c>
      <c r="J7" s="1" t="s">
        <v>271</v>
      </c>
      <c r="K7" s="1" t="s">
        <v>105</v>
      </c>
      <c r="L7" s="1" t="s">
        <v>165</v>
      </c>
      <c r="M7" s="1" t="s">
        <v>190</v>
      </c>
      <c r="N7" s="1" t="s">
        <v>191</v>
      </c>
      <c r="O7" s="1" t="s">
        <v>192</v>
      </c>
      <c r="P7" s="1" t="s">
        <v>16</v>
      </c>
      <c r="Q7" s="1" t="s">
        <v>266</v>
      </c>
      <c r="R7" s="1" t="s">
        <v>268</v>
      </c>
      <c r="S7" s="1" t="s">
        <v>106</v>
      </c>
      <c r="T7" s="1" t="s">
        <v>107</v>
      </c>
      <c r="U7" s="48" t="s">
        <v>241</v>
      </c>
      <c r="V7" s="49" t="s">
        <v>109</v>
      </c>
      <c r="W7" s="50" t="s">
        <v>242</v>
      </c>
      <c r="X7" s="51" t="str">
        <f t="shared" si="0"/>
        <v>카카오뱅크/3333-28-1012968</v>
      </c>
      <c r="Y7" s="51" t="str">
        <f t="shared" si="1"/>
        <v>여</v>
      </c>
      <c r="Z7" s="51" t="str">
        <f t="shared" si="2"/>
        <v>050330</v>
      </c>
      <c r="AA7" s="51" t="str">
        <f t="shared" si="3"/>
        <v>2005</v>
      </c>
      <c r="AB7" s="51">
        <f t="shared" ca="1" si="4"/>
        <v>20</v>
      </c>
      <c r="AC7" s="51" t="str">
        <f t="shared" si="5"/>
        <v>경상권</v>
      </c>
    </row>
    <row r="8" spans="1:29">
      <c r="A8" s="1">
        <v>7</v>
      </c>
      <c r="B8" s="1"/>
      <c r="C8" s="1" t="s">
        <v>104</v>
      </c>
      <c r="D8" s="1" t="s">
        <v>29</v>
      </c>
      <c r="E8" s="1" t="s">
        <v>30</v>
      </c>
      <c r="F8" s="1" t="s">
        <v>157</v>
      </c>
      <c r="G8" s="1" t="s">
        <v>156</v>
      </c>
      <c r="H8" s="214" t="str">
        <f>'사전직무,운영기관,일경험 정보'!$C$46</f>
        <v>2024.12.31</v>
      </c>
      <c r="I8" s="213">
        <f>'사전직무,운영기관,일경험 정보'!$C$47</f>
        <v>0</v>
      </c>
      <c r="J8" s="1" t="s">
        <v>271</v>
      </c>
      <c r="K8" s="1" t="s">
        <v>105</v>
      </c>
      <c r="L8" s="1" t="s">
        <v>166</v>
      </c>
      <c r="M8" s="1" t="s">
        <v>193</v>
      </c>
      <c r="N8" s="1" t="s">
        <v>194</v>
      </c>
      <c r="O8" s="1" t="s">
        <v>195</v>
      </c>
      <c r="P8" s="1" t="s">
        <v>16</v>
      </c>
      <c r="Q8" s="1" t="s">
        <v>267</v>
      </c>
      <c r="R8" s="1" t="s">
        <v>268</v>
      </c>
      <c r="S8" s="1" t="s">
        <v>106</v>
      </c>
      <c r="T8" s="1" t="s">
        <v>107</v>
      </c>
      <c r="U8" s="48" t="s">
        <v>243</v>
      </c>
      <c r="V8" s="49" t="s">
        <v>244</v>
      </c>
      <c r="W8" s="50" t="s">
        <v>245</v>
      </c>
      <c r="X8" s="51" t="str">
        <f t="shared" si="0"/>
        <v>토스뱅크/1000-6732-6365</v>
      </c>
      <c r="Y8" s="51" t="str">
        <f t="shared" si="1"/>
        <v>여</v>
      </c>
      <c r="Z8" s="51" t="str">
        <f t="shared" si="2"/>
        <v>030113</v>
      </c>
      <c r="AA8" s="51" t="str">
        <f t="shared" si="3"/>
        <v>2003</v>
      </c>
      <c r="AB8" s="51">
        <f t="shared" ca="1" si="4"/>
        <v>22</v>
      </c>
      <c r="AC8" s="51" t="str">
        <f t="shared" si="5"/>
        <v>경상권</v>
      </c>
    </row>
    <row r="9" spans="1:29">
      <c r="A9" s="1">
        <v>8</v>
      </c>
      <c r="B9" s="1"/>
      <c r="C9" s="1" t="s">
        <v>104</v>
      </c>
      <c r="D9" s="1" t="s">
        <v>29</v>
      </c>
      <c r="E9" s="1" t="s">
        <v>30</v>
      </c>
      <c r="F9" s="1" t="s">
        <v>157</v>
      </c>
      <c r="G9" s="1" t="s">
        <v>156</v>
      </c>
      <c r="H9" s="214" t="str">
        <f>'사전직무,운영기관,일경험 정보'!$C$46</f>
        <v>2024.12.31</v>
      </c>
      <c r="I9" s="213">
        <f>'사전직무,운영기관,일경험 정보'!$C$47</f>
        <v>0</v>
      </c>
      <c r="J9" s="1" t="s">
        <v>271</v>
      </c>
      <c r="K9" s="1" t="s">
        <v>105</v>
      </c>
      <c r="L9" s="1" t="s">
        <v>167</v>
      </c>
      <c r="M9" s="1" t="s">
        <v>196</v>
      </c>
      <c r="N9" s="1" t="s">
        <v>197</v>
      </c>
      <c r="O9" s="1" t="s">
        <v>198</v>
      </c>
      <c r="P9" s="1" t="s">
        <v>16</v>
      </c>
      <c r="Q9" s="1" t="s">
        <v>266</v>
      </c>
      <c r="R9" s="1" t="s">
        <v>268</v>
      </c>
      <c r="S9" s="1" t="s">
        <v>106</v>
      </c>
      <c r="T9" s="1" t="s">
        <v>107</v>
      </c>
      <c r="U9" s="48" t="s">
        <v>246</v>
      </c>
      <c r="V9" s="49" t="s">
        <v>108</v>
      </c>
      <c r="W9" s="50" t="s">
        <v>247</v>
      </c>
      <c r="X9" s="51" t="str">
        <f t="shared" si="0"/>
        <v>NH농협/302-1901-2348-31</v>
      </c>
      <c r="Y9" s="51" t="str">
        <f t="shared" si="1"/>
        <v>여</v>
      </c>
      <c r="Z9" s="51" t="str">
        <f t="shared" si="2"/>
        <v>030617</v>
      </c>
      <c r="AA9" s="51" t="str">
        <f t="shared" si="3"/>
        <v>2003</v>
      </c>
      <c r="AB9" s="51">
        <f t="shared" ca="1" si="4"/>
        <v>22</v>
      </c>
      <c r="AC9" s="51" t="str">
        <f t="shared" si="5"/>
        <v>경상권</v>
      </c>
    </row>
    <row r="10" spans="1:29">
      <c r="A10" s="1">
        <v>9</v>
      </c>
      <c r="B10" s="1"/>
      <c r="C10" s="1" t="s">
        <v>104</v>
      </c>
      <c r="D10" s="1" t="s">
        <v>29</v>
      </c>
      <c r="E10" s="1" t="s">
        <v>30</v>
      </c>
      <c r="F10" s="1" t="s">
        <v>157</v>
      </c>
      <c r="G10" s="1" t="s">
        <v>156</v>
      </c>
      <c r="H10" s="214" t="str">
        <f>'사전직무,운영기관,일경험 정보'!$C$46</f>
        <v>2024.12.31</v>
      </c>
      <c r="I10" s="213">
        <f>'사전직무,운영기관,일경험 정보'!$C$47</f>
        <v>0</v>
      </c>
      <c r="J10" s="1" t="s">
        <v>271</v>
      </c>
      <c r="K10" s="1" t="s">
        <v>105</v>
      </c>
      <c r="L10" s="1" t="s">
        <v>168</v>
      </c>
      <c r="M10" s="1" t="s">
        <v>199</v>
      </c>
      <c r="N10" s="1" t="s">
        <v>200</v>
      </c>
      <c r="O10" s="1" t="s">
        <v>201</v>
      </c>
      <c r="P10" s="1" t="s">
        <v>16</v>
      </c>
      <c r="Q10" s="1" t="s">
        <v>267</v>
      </c>
      <c r="R10" s="1" t="s">
        <v>268</v>
      </c>
      <c r="S10" s="1" t="s">
        <v>106</v>
      </c>
      <c r="T10" s="1" t="s">
        <v>107</v>
      </c>
      <c r="U10" s="48" t="s">
        <v>248</v>
      </c>
      <c r="V10" s="49" t="s">
        <v>249</v>
      </c>
      <c r="W10" s="50" t="s">
        <v>250</v>
      </c>
      <c r="X10" s="51" t="str">
        <f t="shared" si="0"/>
        <v>케이뱅크/100-114-310196</v>
      </c>
      <c r="Y10" s="51" t="str">
        <f t="shared" si="1"/>
        <v>남</v>
      </c>
      <c r="Z10" s="51" t="str">
        <f t="shared" si="2"/>
        <v>021012</v>
      </c>
      <c r="AA10" s="51" t="str">
        <f t="shared" si="3"/>
        <v>2002</v>
      </c>
      <c r="AB10" s="51">
        <f t="shared" ca="1" si="4"/>
        <v>23</v>
      </c>
      <c r="AC10" s="51" t="str">
        <f t="shared" si="5"/>
        <v>경상권</v>
      </c>
    </row>
    <row r="11" spans="1:29">
      <c r="A11" s="1">
        <v>10</v>
      </c>
      <c r="B11" s="1"/>
      <c r="C11" s="1" t="s">
        <v>104</v>
      </c>
      <c r="D11" s="1" t="s">
        <v>29</v>
      </c>
      <c r="E11" s="1" t="s">
        <v>30</v>
      </c>
      <c r="F11" s="1" t="s">
        <v>157</v>
      </c>
      <c r="G11" s="1" t="s">
        <v>156</v>
      </c>
      <c r="H11" s="214" t="str">
        <f>'사전직무,운영기관,일경험 정보'!$C$46</f>
        <v>2024.12.31</v>
      </c>
      <c r="I11" s="213">
        <f>'사전직무,운영기관,일경험 정보'!$C$47</f>
        <v>0</v>
      </c>
      <c r="J11" s="1" t="s">
        <v>271</v>
      </c>
      <c r="K11" s="1" t="s">
        <v>105</v>
      </c>
      <c r="L11" s="1" t="s">
        <v>169</v>
      </c>
      <c r="M11" s="1" t="s">
        <v>202</v>
      </c>
      <c r="N11" s="1" t="s">
        <v>203</v>
      </c>
      <c r="O11" s="1" t="s">
        <v>204</v>
      </c>
      <c r="P11" s="1" t="s">
        <v>16</v>
      </c>
      <c r="Q11" s="1" t="s">
        <v>267</v>
      </c>
      <c r="R11" s="1" t="s">
        <v>268</v>
      </c>
      <c r="S11" s="1" t="s">
        <v>106</v>
      </c>
      <c r="T11" s="1" t="s">
        <v>107</v>
      </c>
      <c r="U11" s="48" t="s">
        <v>269</v>
      </c>
      <c r="V11" s="49" t="s">
        <v>234</v>
      </c>
      <c r="W11" s="50" t="s">
        <v>251</v>
      </c>
      <c r="X11" s="51" t="str">
        <f t="shared" si="0"/>
        <v>IBK기업은행/256-125982-01-011</v>
      </c>
      <c r="Y11" s="51" t="str">
        <f t="shared" si="1"/>
        <v>남</v>
      </c>
      <c r="Z11" s="51" t="str">
        <f t="shared" si="2"/>
        <v>990327</v>
      </c>
      <c r="AA11" s="51" t="str">
        <f t="shared" si="3"/>
        <v>1999</v>
      </c>
      <c r="AB11" s="51">
        <f t="shared" ca="1" si="4"/>
        <v>26</v>
      </c>
      <c r="AC11" s="51" t="str">
        <f t="shared" si="5"/>
        <v>경상권</v>
      </c>
    </row>
    <row r="12" spans="1:29">
      <c r="A12" s="1">
        <v>11</v>
      </c>
      <c r="B12" s="1"/>
      <c r="C12" s="1" t="s">
        <v>104</v>
      </c>
      <c r="D12" s="1" t="s">
        <v>29</v>
      </c>
      <c r="E12" s="1" t="s">
        <v>30</v>
      </c>
      <c r="F12" s="1" t="s">
        <v>157</v>
      </c>
      <c r="G12" s="1" t="s">
        <v>156</v>
      </c>
      <c r="H12" s="214" t="str">
        <f>'사전직무,운영기관,일경험 정보'!$C$46</f>
        <v>2024.12.31</v>
      </c>
      <c r="I12" s="213">
        <f>'사전직무,운영기관,일경험 정보'!$C$47</f>
        <v>0</v>
      </c>
      <c r="J12" s="1" t="s">
        <v>271</v>
      </c>
      <c r="K12" s="1" t="s">
        <v>105</v>
      </c>
      <c r="L12" s="1" t="s">
        <v>170</v>
      </c>
      <c r="M12" s="1" t="s">
        <v>205</v>
      </c>
      <c r="N12" s="1" t="s">
        <v>206</v>
      </c>
      <c r="O12" s="1" t="s">
        <v>207</v>
      </c>
      <c r="P12" s="1" t="s">
        <v>16</v>
      </c>
      <c r="Q12" s="1" t="s">
        <v>266</v>
      </c>
      <c r="R12" s="1" t="s">
        <v>268</v>
      </c>
      <c r="S12" s="1" t="s">
        <v>106</v>
      </c>
      <c r="T12" s="1" t="s">
        <v>107</v>
      </c>
      <c r="U12" s="49" t="s">
        <v>252</v>
      </c>
      <c r="V12" s="49" t="s">
        <v>108</v>
      </c>
      <c r="W12" s="50" t="s">
        <v>253</v>
      </c>
      <c r="X12" s="51" t="str">
        <f t="shared" si="0"/>
        <v>NH농협/352-1943-8746-53</v>
      </c>
      <c r="Y12" s="51" t="str">
        <f t="shared" si="1"/>
        <v>남</v>
      </c>
      <c r="Z12" s="51" t="str">
        <f t="shared" si="2"/>
        <v>031018</v>
      </c>
      <c r="AA12" s="51" t="str">
        <f t="shared" si="3"/>
        <v>2003</v>
      </c>
      <c r="AB12" s="51">
        <f t="shared" ca="1" si="4"/>
        <v>22</v>
      </c>
      <c r="AC12" s="51" t="str">
        <f t="shared" si="5"/>
        <v>경상권</v>
      </c>
    </row>
    <row r="13" spans="1:29">
      <c r="A13" s="1">
        <v>12</v>
      </c>
      <c r="B13" s="1"/>
      <c r="C13" s="1" t="s">
        <v>104</v>
      </c>
      <c r="D13" s="1" t="s">
        <v>29</v>
      </c>
      <c r="E13" s="1" t="s">
        <v>30</v>
      </c>
      <c r="F13" s="1" t="s">
        <v>157</v>
      </c>
      <c r="G13" s="1" t="s">
        <v>156</v>
      </c>
      <c r="H13" s="214" t="str">
        <f>'사전직무,운영기관,일경험 정보'!$C$46</f>
        <v>2024.12.31</v>
      </c>
      <c r="I13" s="213">
        <f>'사전직무,운영기관,일경험 정보'!$C$47</f>
        <v>0</v>
      </c>
      <c r="J13" s="1" t="s">
        <v>271</v>
      </c>
      <c r="K13" s="1" t="s">
        <v>105</v>
      </c>
      <c r="L13" s="1" t="s">
        <v>171</v>
      </c>
      <c r="M13" s="1" t="s">
        <v>208</v>
      </c>
      <c r="N13" s="1" t="s">
        <v>209</v>
      </c>
      <c r="O13" s="1" t="s">
        <v>210</v>
      </c>
      <c r="P13" s="1" t="s">
        <v>16</v>
      </c>
      <c r="Q13" s="1" t="s">
        <v>267</v>
      </c>
      <c r="R13" s="1" t="s">
        <v>268</v>
      </c>
      <c r="S13" s="1" t="s">
        <v>106</v>
      </c>
      <c r="T13" s="1" t="s">
        <v>107</v>
      </c>
      <c r="U13" s="52" t="s">
        <v>254</v>
      </c>
      <c r="V13" s="49" t="s">
        <v>108</v>
      </c>
      <c r="W13" s="50" t="s">
        <v>255</v>
      </c>
      <c r="X13" s="51" t="str">
        <f t="shared" si="0"/>
        <v>NH농협/302-1336-779511</v>
      </c>
      <c r="Y13" s="51" t="str">
        <f t="shared" si="1"/>
        <v>여</v>
      </c>
      <c r="Z13" s="51" t="str">
        <f t="shared" si="2"/>
        <v>030316</v>
      </c>
      <c r="AA13" s="51" t="str">
        <f t="shared" si="3"/>
        <v>2003</v>
      </c>
      <c r="AB13" s="51">
        <f ca="1">YEAR(TODAY()) - VALUE(IF(VALUE(MID(M13, 8, 1)) &lt;= 2, "19" &amp; LEFT(M13, 2), "20" &amp; LEFT(M13, 2)))</f>
        <v>22</v>
      </c>
      <c r="AC13" s="51" t="str">
        <f t="shared" si="5"/>
        <v>경상권</v>
      </c>
    </row>
    <row r="14" spans="1:29">
      <c r="A14" s="1">
        <v>13</v>
      </c>
      <c r="B14" s="1"/>
      <c r="C14" s="1" t="s">
        <v>104</v>
      </c>
      <c r="D14" s="1" t="s">
        <v>29</v>
      </c>
      <c r="E14" s="1" t="s">
        <v>30</v>
      </c>
      <c r="F14" s="1" t="s">
        <v>157</v>
      </c>
      <c r="G14" s="1" t="s">
        <v>156</v>
      </c>
      <c r="H14" s="214" t="str">
        <f>'사전직무,운영기관,일경험 정보'!$C$46</f>
        <v>2024.12.31</v>
      </c>
      <c r="I14" s="213">
        <f>'사전직무,운영기관,일경험 정보'!$C$47</f>
        <v>0</v>
      </c>
      <c r="J14" s="1" t="s">
        <v>271</v>
      </c>
      <c r="K14" s="1" t="s">
        <v>105</v>
      </c>
      <c r="L14" s="1" t="s">
        <v>172</v>
      </c>
      <c r="M14" s="1" t="s">
        <v>211</v>
      </c>
      <c r="N14" s="1" t="s">
        <v>212</v>
      </c>
      <c r="O14" s="1" t="s">
        <v>213</v>
      </c>
      <c r="P14" s="1" t="s">
        <v>16</v>
      </c>
      <c r="Q14" s="1" t="s">
        <v>267</v>
      </c>
      <c r="R14" s="1" t="s">
        <v>268</v>
      </c>
      <c r="S14" s="1" t="s">
        <v>106</v>
      </c>
      <c r="T14" s="1" t="s">
        <v>107</v>
      </c>
      <c r="U14" s="49" t="s">
        <v>256</v>
      </c>
      <c r="V14" s="49" t="s">
        <v>239</v>
      </c>
      <c r="W14" s="50" t="s">
        <v>257</v>
      </c>
      <c r="X14" s="51" t="str">
        <f t="shared" si="0"/>
        <v>부산은행/112-2259-0331-02</v>
      </c>
      <c r="Y14" s="51" t="str">
        <f t="shared" si="1"/>
        <v>여</v>
      </c>
      <c r="Z14" s="51" t="str">
        <f t="shared" si="2"/>
        <v>030922</v>
      </c>
      <c r="AA14" s="51" t="str">
        <f t="shared" si="3"/>
        <v>2003</v>
      </c>
      <c r="AB14" s="51">
        <f t="shared" ca="1" si="4"/>
        <v>22</v>
      </c>
      <c r="AC14" s="51" t="str">
        <f t="shared" si="5"/>
        <v>경상권</v>
      </c>
    </row>
    <row r="15" spans="1:29">
      <c r="A15" s="1">
        <v>14</v>
      </c>
      <c r="B15" s="1"/>
      <c r="C15" s="1" t="s">
        <v>104</v>
      </c>
      <c r="D15" s="1" t="s">
        <v>29</v>
      </c>
      <c r="E15" s="1" t="s">
        <v>30</v>
      </c>
      <c r="F15" s="1" t="s">
        <v>157</v>
      </c>
      <c r="G15" s="1" t="s">
        <v>156</v>
      </c>
      <c r="H15" s="214" t="str">
        <f>'사전직무,운영기관,일경험 정보'!$C$46</f>
        <v>2024.12.31</v>
      </c>
      <c r="I15" s="213">
        <f>'사전직무,운영기관,일경험 정보'!$C$47</f>
        <v>0</v>
      </c>
      <c r="J15" s="1" t="s">
        <v>271</v>
      </c>
      <c r="K15" s="1" t="s">
        <v>105</v>
      </c>
      <c r="L15" s="1" t="s">
        <v>173</v>
      </c>
      <c r="M15" s="1" t="s">
        <v>214</v>
      </c>
      <c r="N15" s="1" t="s">
        <v>215</v>
      </c>
      <c r="O15" s="1" t="s">
        <v>216</v>
      </c>
      <c r="P15" s="1" t="s">
        <v>12</v>
      </c>
      <c r="Q15" s="1" t="s">
        <v>267</v>
      </c>
      <c r="R15" s="1" t="s">
        <v>258</v>
      </c>
      <c r="S15" s="1" t="s">
        <v>259</v>
      </c>
      <c r="T15" s="1"/>
      <c r="U15" s="48" t="s">
        <v>260</v>
      </c>
      <c r="V15" s="49" t="s">
        <v>15</v>
      </c>
      <c r="W15" s="50" t="s">
        <v>261</v>
      </c>
      <c r="X15" s="51" t="str">
        <f t="shared" si="0"/>
        <v>국민은행/202042580022</v>
      </c>
      <c r="Y15" s="51" t="str">
        <f t="shared" si="1"/>
        <v>남</v>
      </c>
      <c r="Z15" s="51" t="str">
        <f t="shared" si="2"/>
        <v>061231</v>
      </c>
      <c r="AA15" s="51" t="str">
        <f t="shared" si="3"/>
        <v>2006</v>
      </c>
      <c r="AB15" s="51">
        <f t="shared" ca="1" si="4"/>
        <v>19</v>
      </c>
      <c r="AC15" s="51" t="str">
        <f t="shared" si="5"/>
        <v>경상권</v>
      </c>
    </row>
    <row r="16" spans="1:29">
      <c r="A16" s="1">
        <v>15</v>
      </c>
      <c r="B16" s="1"/>
      <c r="C16" s="1" t="s">
        <v>104</v>
      </c>
      <c r="D16" s="1" t="s">
        <v>29</v>
      </c>
      <c r="E16" s="1" t="s">
        <v>30</v>
      </c>
      <c r="F16" s="1" t="s">
        <v>157</v>
      </c>
      <c r="G16" s="1" t="s">
        <v>156</v>
      </c>
      <c r="H16" s="214" t="str">
        <f>'사전직무,운영기관,일경험 정보'!$C$46</f>
        <v>2024.12.31</v>
      </c>
      <c r="I16" s="213">
        <f>'사전직무,운영기관,일경험 정보'!$C$47</f>
        <v>0</v>
      </c>
      <c r="J16" s="1" t="s">
        <v>271</v>
      </c>
      <c r="K16" s="1" t="s">
        <v>105</v>
      </c>
      <c r="L16" s="1" t="s">
        <v>174</v>
      </c>
      <c r="M16" s="1" t="s">
        <v>217</v>
      </c>
      <c r="N16" s="1" t="s">
        <v>218</v>
      </c>
      <c r="O16" s="1" t="s">
        <v>219</v>
      </c>
      <c r="P16" s="1" t="s">
        <v>12</v>
      </c>
      <c r="Q16" s="1" t="s">
        <v>267</v>
      </c>
      <c r="R16" s="1" t="s">
        <v>13</v>
      </c>
      <c r="S16" s="1" t="s">
        <v>262</v>
      </c>
      <c r="T16" s="1"/>
      <c r="U16" s="48" t="s">
        <v>263</v>
      </c>
      <c r="V16" s="49" t="s">
        <v>14</v>
      </c>
      <c r="W16" s="50" t="s">
        <v>264</v>
      </c>
      <c r="X16" s="51" t="str">
        <f t="shared" si="0"/>
        <v>신한은행/110512847475</v>
      </c>
      <c r="Y16" s="51" t="str">
        <f t="shared" si="1"/>
        <v>여</v>
      </c>
      <c r="Z16" s="51" t="str">
        <f t="shared" si="2"/>
        <v>030218</v>
      </c>
      <c r="AA16" s="51" t="str">
        <f t="shared" si="3"/>
        <v>2003</v>
      </c>
      <c r="AB16" s="51">
        <f t="shared" ca="1" si="4"/>
        <v>22</v>
      </c>
      <c r="AC16" s="51" t="str">
        <f t="shared" si="5"/>
        <v>경상권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5022-DAC0-4DA2-9CDC-4B4F6DAF85D5}">
  <sheetPr codeName="Sheet2"/>
  <dimension ref="A1:E31"/>
  <sheetViews>
    <sheetView showGridLines="0" workbookViewId="0">
      <selection activeCell="F17" sqref="F17"/>
    </sheetView>
  </sheetViews>
  <sheetFormatPr defaultRowHeight="16.5"/>
  <cols>
    <col min="1" max="1" width="16" style="53" bestFit="1" customWidth="1"/>
    <col min="2" max="2" width="25.5" style="53" customWidth="1"/>
    <col min="3" max="3" width="29.375" style="53" bestFit="1" customWidth="1"/>
    <col min="4" max="4" width="25.75" style="53" bestFit="1" customWidth="1"/>
    <col min="5" max="5" width="29.375" style="53" bestFit="1" customWidth="1"/>
    <col min="6" max="16384" width="9" style="53"/>
  </cols>
  <sheetData>
    <row r="1" spans="1:5" ht="26.25">
      <c r="A1" s="189" t="s">
        <v>31</v>
      </c>
      <c r="B1" s="190"/>
      <c r="C1" s="190"/>
      <c r="D1" s="190"/>
      <c r="E1" s="190"/>
    </row>
    <row r="2" spans="1:5" ht="18.75" thickBot="1">
      <c r="A2" s="54" t="s">
        <v>32</v>
      </c>
      <c r="B2" s="54" t="s">
        <v>33</v>
      </c>
      <c r="C2" s="54" t="s">
        <v>34</v>
      </c>
      <c r="D2" s="54" t="s">
        <v>33</v>
      </c>
      <c r="E2" s="55" t="s">
        <v>34</v>
      </c>
    </row>
    <row r="3" spans="1:5" ht="18" thickTop="1">
      <c r="A3" s="191" t="s">
        <v>144</v>
      </c>
      <c r="B3" s="56" t="s">
        <v>35</v>
      </c>
      <c r="C3" s="75" t="s">
        <v>146</v>
      </c>
      <c r="D3" s="56" t="s">
        <v>36</v>
      </c>
      <c r="E3" s="57">
        <v>45455</v>
      </c>
    </row>
    <row r="4" spans="1:5" ht="17.25">
      <c r="A4" s="192"/>
      <c r="B4" s="58" t="s">
        <v>51</v>
      </c>
      <c r="C4" s="76" t="s">
        <v>147</v>
      </c>
      <c r="D4" s="60"/>
      <c r="E4" s="61"/>
    </row>
    <row r="5" spans="1:5" ht="17.25">
      <c r="A5" s="192"/>
      <c r="B5" s="62" t="s">
        <v>368</v>
      </c>
      <c r="C5" s="59" t="s">
        <v>149</v>
      </c>
      <c r="D5" s="58"/>
      <c r="E5" s="61"/>
    </row>
    <row r="6" spans="1:5">
      <c r="A6" s="192"/>
      <c r="B6" s="58" t="s">
        <v>37</v>
      </c>
      <c r="C6" s="59"/>
      <c r="D6" s="60"/>
      <c r="E6" s="63"/>
    </row>
    <row r="7" spans="1:5" ht="17.25">
      <c r="A7" s="192"/>
      <c r="B7" s="60" t="s">
        <v>38</v>
      </c>
      <c r="C7" s="61"/>
      <c r="D7" s="64"/>
      <c r="E7" s="63"/>
    </row>
    <row r="8" spans="1:5">
      <c r="A8" s="192"/>
      <c r="B8" s="58" t="s">
        <v>52</v>
      </c>
      <c r="C8" s="59"/>
      <c r="D8" s="65"/>
      <c r="E8" s="61"/>
    </row>
    <row r="9" spans="1:5" ht="17.25">
      <c r="A9" s="192"/>
      <c r="B9" s="66" t="s">
        <v>145</v>
      </c>
      <c r="C9" s="77" t="s">
        <v>150</v>
      </c>
      <c r="D9" s="62" t="s">
        <v>78</v>
      </c>
      <c r="E9" s="67" t="s">
        <v>150</v>
      </c>
    </row>
    <row r="10" spans="1:5">
      <c r="A10" s="192"/>
      <c r="B10" s="60" t="s">
        <v>39</v>
      </c>
      <c r="C10" s="63" t="s">
        <v>151</v>
      </c>
      <c r="D10" s="60"/>
      <c r="E10" s="61"/>
    </row>
    <row r="11" spans="1:5" ht="17.25">
      <c r="A11" s="192"/>
      <c r="B11" s="64" t="s">
        <v>40</v>
      </c>
      <c r="C11" s="78" t="s">
        <v>152</v>
      </c>
      <c r="D11" s="60"/>
      <c r="E11" s="61"/>
    </row>
    <row r="12" spans="1:5" ht="17.25">
      <c r="A12" s="192"/>
      <c r="B12" s="58" t="s">
        <v>53</v>
      </c>
      <c r="C12" s="59" t="s">
        <v>41</v>
      </c>
      <c r="D12" s="64"/>
      <c r="E12" s="63"/>
    </row>
    <row r="13" spans="1:5" ht="17.25">
      <c r="A13" s="192"/>
      <c r="B13" s="62" t="s">
        <v>42</v>
      </c>
      <c r="C13" s="59" t="s">
        <v>43</v>
      </c>
      <c r="D13" s="60"/>
      <c r="E13" s="61"/>
    </row>
    <row r="14" spans="1:5" ht="17.25">
      <c r="A14" s="192"/>
      <c r="B14" s="64"/>
      <c r="C14" s="63"/>
      <c r="D14" s="60"/>
      <c r="E14" s="61"/>
    </row>
    <row r="15" spans="1:5" ht="16.5" customHeight="1">
      <c r="A15" s="192"/>
      <c r="B15" s="194" t="s">
        <v>44</v>
      </c>
      <c r="C15" s="196" t="s">
        <v>43</v>
      </c>
      <c r="D15" s="197"/>
      <c r="E15" s="197"/>
    </row>
    <row r="16" spans="1:5">
      <c r="A16" s="192"/>
      <c r="B16" s="195"/>
      <c r="C16" s="198"/>
      <c r="D16" s="199"/>
      <c r="E16" s="199"/>
    </row>
    <row r="17" spans="1:5">
      <c r="A17" s="192"/>
      <c r="B17" s="60" t="s">
        <v>45</v>
      </c>
      <c r="C17" s="61" t="s">
        <v>46</v>
      </c>
      <c r="D17" s="60"/>
      <c r="E17" s="61"/>
    </row>
    <row r="18" spans="1:5">
      <c r="A18" s="192"/>
      <c r="B18" s="60" t="s">
        <v>47</v>
      </c>
      <c r="C18" s="61" t="s">
        <v>48</v>
      </c>
      <c r="D18" s="60"/>
      <c r="E18" s="61"/>
    </row>
    <row r="19" spans="1:5">
      <c r="A19" s="192"/>
      <c r="B19" s="60" t="s">
        <v>49</v>
      </c>
      <c r="C19" s="61" t="s">
        <v>50</v>
      </c>
      <c r="D19" s="60"/>
      <c r="E19" s="61"/>
    </row>
    <row r="20" spans="1:5">
      <c r="A20" s="192"/>
      <c r="B20" s="60"/>
      <c r="C20" s="61"/>
      <c r="D20" s="60"/>
      <c r="E20" s="61"/>
    </row>
    <row r="21" spans="1:5" ht="17.25" thickBot="1">
      <c r="A21" s="193"/>
      <c r="B21" s="68"/>
      <c r="C21" s="69"/>
      <c r="D21" s="68"/>
      <c r="E21" s="69"/>
    </row>
    <row r="24" spans="1:5" ht="16.5" customHeight="1">
      <c r="A24" s="200" t="s">
        <v>54</v>
      </c>
      <c r="B24" s="58" t="s">
        <v>55</v>
      </c>
      <c r="C24" s="79" t="s">
        <v>272</v>
      </c>
      <c r="D24" s="70"/>
      <c r="E24" s="71"/>
    </row>
    <row r="25" spans="1:5" ht="16.5" customHeight="1">
      <c r="A25" s="201"/>
      <c r="B25" s="58" t="s">
        <v>56</v>
      </c>
      <c r="C25" s="79" t="s">
        <v>273</v>
      </c>
      <c r="D25" s="72"/>
      <c r="E25" s="61"/>
    </row>
    <row r="26" spans="1:5" ht="17.25" customHeight="1">
      <c r="A26" s="201"/>
      <c r="B26" s="58" t="s">
        <v>57</v>
      </c>
      <c r="C26" s="79" t="s">
        <v>154</v>
      </c>
      <c r="D26" s="72"/>
      <c r="E26" s="61"/>
    </row>
    <row r="27" spans="1:5" ht="17.25" customHeight="1">
      <c r="A27" s="201"/>
      <c r="B27" s="58" t="s">
        <v>58</v>
      </c>
      <c r="C27" s="59" t="s">
        <v>149</v>
      </c>
      <c r="D27" s="72"/>
      <c r="E27" s="61"/>
    </row>
    <row r="28" spans="1:5" ht="17.25" customHeight="1">
      <c r="A28" s="201"/>
      <c r="B28" s="73" t="s">
        <v>59</v>
      </c>
      <c r="C28" t="s">
        <v>275</v>
      </c>
      <c r="D28" s="72"/>
      <c r="E28" s="61"/>
    </row>
    <row r="29" spans="1:5" ht="16.5" customHeight="1">
      <c r="A29" s="201"/>
      <c r="B29" s="58" t="s">
        <v>60</v>
      </c>
      <c r="C29" s="59"/>
      <c r="D29" s="72"/>
      <c r="E29" s="61"/>
    </row>
    <row r="30" spans="1:5" ht="16.5" customHeight="1">
      <c r="A30" s="201"/>
      <c r="B30" s="85"/>
      <c r="C30" s="63"/>
      <c r="D30" s="72"/>
      <c r="E30" s="61"/>
    </row>
    <row r="31" spans="1:5" ht="17.25" customHeight="1" thickBot="1">
      <c r="A31" s="202"/>
      <c r="B31" s="74"/>
      <c r="C31" s="69"/>
      <c r="D31" s="74"/>
      <c r="E31" s="69"/>
    </row>
  </sheetData>
  <mergeCells count="5">
    <mergeCell ref="A1:E1"/>
    <mergeCell ref="A3:A21"/>
    <mergeCell ref="B15:B16"/>
    <mergeCell ref="C15:E16"/>
    <mergeCell ref="A24:A31"/>
  </mergeCells>
  <phoneticPr fontId="4" type="noConversion"/>
  <dataValidations count="3">
    <dataValidation type="list" allowBlank="1" showErrorMessage="1" sqref="E10" xr:uid="{DDCE7468-389F-48DE-84CA-263342FF0E11}">
      <formula1>"신기술·신성장유망기업,강소기업·청년친화강소기업,우수벤처기업,우수 중소기업(경영혁신형․기술혁신형 중소기업),사회적기업,기타 중소기업"</formula1>
    </dataValidation>
    <dataValidation type="list" allowBlank="1" showErrorMessage="1" sqref="C12" xr:uid="{4CA469BF-1A08-4E00-A573-28D339BDCA5A}">
      <formula1>"중소기업,중견기업,대기업,기타(비영리 법인 등)"</formula1>
    </dataValidation>
    <dataValidation allowBlank="1" showInputMessage="1" showErrorMessage="1" promptTitle="연락처" prompt="직통번호만 가능합니다._x000a_예)_x000a_1866-9999 (X)_x000a_051-000-0000 (0)_x000a_" sqref="C5" xr:uid="{7A0CBB50-1BE2-47F8-A368-3D9A263797B7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69C2-8F2E-4C81-8CA2-12DEF5E55EC9}">
  <dimension ref="A1:J3"/>
  <sheetViews>
    <sheetView workbookViewId="0">
      <selection activeCell="F3" sqref="F3"/>
    </sheetView>
  </sheetViews>
  <sheetFormatPr defaultRowHeight="16.5"/>
  <cols>
    <col min="2" max="2" width="7.75" bestFit="1" customWidth="1"/>
    <col min="3" max="3" width="11.875" bestFit="1" customWidth="1"/>
    <col min="4" max="4" width="5.75" bestFit="1" customWidth="1"/>
    <col min="5" max="5" width="14.625" bestFit="1" customWidth="1"/>
    <col min="6" max="6" width="25" bestFit="1" customWidth="1"/>
    <col min="7" max="7" width="9.75" bestFit="1" customWidth="1"/>
    <col min="8" max="8" width="17.75" bestFit="1" customWidth="1"/>
    <col min="9" max="9" width="11.625" bestFit="1" customWidth="1"/>
    <col min="10" max="10" width="18.375" bestFit="1" customWidth="1"/>
  </cols>
  <sheetData>
    <row r="1" spans="1:10" ht="17.25" thickTop="1">
      <c r="A1" s="185" t="s">
        <v>367</v>
      </c>
      <c r="B1" s="185" t="s">
        <v>360</v>
      </c>
      <c r="C1" s="185" t="s">
        <v>361</v>
      </c>
      <c r="D1" s="185" t="s">
        <v>362</v>
      </c>
      <c r="E1" s="185" t="s">
        <v>22</v>
      </c>
      <c r="F1" s="185" t="s">
        <v>23</v>
      </c>
      <c r="G1" s="185" t="s">
        <v>363</v>
      </c>
      <c r="H1" s="185" t="s">
        <v>364</v>
      </c>
      <c r="I1" s="185" t="s">
        <v>365</v>
      </c>
      <c r="J1" s="186" t="s">
        <v>366</v>
      </c>
    </row>
    <row r="2" spans="1:10" ht="17.25">
      <c r="A2" s="188">
        <v>1</v>
      </c>
      <c r="B2" s="182" t="s">
        <v>271</v>
      </c>
      <c r="C2" s="182" t="s">
        <v>154</v>
      </c>
      <c r="D2" s="182" t="s">
        <v>278</v>
      </c>
      <c r="E2" s="182" t="s">
        <v>149</v>
      </c>
      <c r="F2" s="183" t="s">
        <v>275</v>
      </c>
      <c r="G2" s="184"/>
      <c r="H2" s="184" t="s">
        <v>276</v>
      </c>
      <c r="I2" s="184" t="s">
        <v>279</v>
      </c>
      <c r="J2" s="187" t="s">
        <v>280</v>
      </c>
    </row>
    <row r="3" spans="1:10" ht="17.25">
      <c r="A3" s="188">
        <v>2</v>
      </c>
      <c r="B3" s="182" t="s">
        <v>270</v>
      </c>
      <c r="C3" s="182" t="s">
        <v>153</v>
      </c>
      <c r="D3" s="182" t="s">
        <v>277</v>
      </c>
      <c r="E3" s="182" t="s">
        <v>148</v>
      </c>
      <c r="F3" s="183" t="s">
        <v>274</v>
      </c>
      <c r="G3" s="184"/>
      <c r="H3" s="184" t="s">
        <v>281</v>
      </c>
      <c r="I3" s="184" t="s">
        <v>279</v>
      </c>
      <c r="J3" s="187" t="s">
        <v>282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A036-A738-4735-B900-5D4EBF9F9F0A}">
  <sheetPr codeName="Sheet3"/>
  <dimension ref="A1:E57"/>
  <sheetViews>
    <sheetView showGridLines="0" topLeftCell="A31" zoomScaleNormal="100" workbookViewId="0">
      <selection activeCell="C48" sqref="C48"/>
    </sheetView>
  </sheetViews>
  <sheetFormatPr defaultRowHeight="16.5"/>
  <cols>
    <col min="1" max="1" width="25.5" customWidth="1"/>
    <col min="2" max="2" width="23.375" bestFit="1" customWidth="1"/>
    <col min="3" max="3" width="55.875" customWidth="1"/>
    <col min="4" max="4" width="26.875" bestFit="1" customWidth="1"/>
    <col min="5" max="5" width="19.875" customWidth="1"/>
  </cols>
  <sheetData>
    <row r="1" spans="1:5" ht="26.25" thickBot="1">
      <c r="A1" s="206" t="s">
        <v>124</v>
      </c>
      <c r="B1" s="207"/>
      <c r="C1" s="207"/>
      <c r="D1" s="207"/>
      <c r="E1" s="207"/>
    </row>
    <row r="2" spans="1:5" ht="17.25" customHeight="1">
      <c r="A2" s="211" t="s">
        <v>123</v>
      </c>
      <c r="B2" s="24" t="s">
        <v>64</v>
      </c>
      <c r="C2" s="9" t="s">
        <v>65</v>
      </c>
      <c r="D2" s="27" t="s">
        <v>36</v>
      </c>
      <c r="E2" s="35" t="s">
        <v>117</v>
      </c>
    </row>
    <row r="3" spans="1:5" ht="17.25" customHeight="1">
      <c r="A3" s="209"/>
      <c r="B3" s="42" t="s">
        <v>119</v>
      </c>
      <c r="C3" s="9" t="s">
        <v>121</v>
      </c>
      <c r="D3" s="27" t="s">
        <v>125</v>
      </c>
      <c r="E3" s="41" t="s">
        <v>118</v>
      </c>
    </row>
    <row r="4" spans="1:5" ht="17.25" customHeight="1">
      <c r="A4" s="209"/>
      <c r="B4" s="24" t="s">
        <v>64</v>
      </c>
      <c r="C4" s="9" t="s">
        <v>65</v>
      </c>
      <c r="D4" s="27" t="s">
        <v>127</v>
      </c>
      <c r="E4" s="10" t="s">
        <v>63</v>
      </c>
    </row>
    <row r="5" spans="1:5" ht="17.25" customHeight="1">
      <c r="A5" s="209"/>
      <c r="B5" s="28" t="s">
        <v>115</v>
      </c>
      <c r="C5" s="9" t="s">
        <v>116</v>
      </c>
      <c r="D5" s="27" t="s">
        <v>128</v>
      </c>
      <c r="E5" s="10" t="s">
        <v>120</v>
      </c>
    </row>
    <row r="6" spans="1:5" ht="17.25" customHeight="1">
      <c r="A6" s="209"/>
      <c r="B6" s="28" t="s">
        <v>114</v>
      </c>
      <c r="C6" s="11">
        <f>COUNT(참여자명단!A2:A16)</f>
        <v>15</v>
      </c>
      <c r="D6" s="18"/>
      <c r="E6" s="6"/>
    </row>
    <row r="7" spans="1:5" ht="17.25" customHeight="1">
      <c r="A7" s="209"/>
      <c r="B7" s="28" t="s">
        <v>111</v>
      </c>
      <c r="C7" s="12" t="s">
        <v>66</v>
      </c>
      <c r="D7" s="18"/>
      <c r="E7" s="5"/>
    </row>
    <row r="8" spans="1:5" ht="17.25" customHeight="1">
      <c r="A8" s="209"/>
      <c r="B8" s="30" t="s">
        <v>20</v>
      </c>
      <c r="C8" s="13" t="s">
        <v>67</v>
      </c>
      <c r="D8" s="18"/>
      <c r="E8" s="7"/>
    </row>
    <row r="9" spans="1:5" ht="16.5" customHeight="1">
      <c r="A9" s="209"/>
      <c r="B9" s="25" t="s">
        <v>68</v>
      </c>
      <c r="C9" s="14" t="s">
        <v>69</v>
      </c>
      <c r="D9" s="18"/>
      <c r="E9" s="7"/>
    </row>
    <row r="10" spans="1:5" ht="17.25" customHeight="1">
      <c r="A10" s="209"/>
      <c r="B10" s="26" t="s">
        <v>71</v>
      </c>
      <c r="C10" s="14" t="s">
        <v>72</v>
      </c>
      <c r="D10" s="3" t="s">
        <v>70</v>
      </c>
      <c r="E10" s="15">
        <v>40</v>
      </c>
    </row>
    <row r="11" spans="1:5" ht="16.5" customHeight="1">
      <c r="A11" s="209"/>
      <c r="B11" s="29" t="s">
        <v>112</v>
      </c>
      <c r="C11" s="14" t="str">
        <f>C9&amp; "~" &amp; C10</f>
        <v>2024.12.23~2024.12.30</v>
      </c>
      <c r="D11" s="18"/>
      <c r="E11" s="7"/>
    </row>
    <row r="12" spans="1:5" ht="17.25" customHeight="1">
      <c r="A12" s="209"/>
      <c r="B12" s="36" t="s">
        <v>113</v>
      </c>
      <c r="C12" s="37" t="s">
        <v>73</v>
      </c>
      <c r="D12" s="19"/>
      <c r="E12" s="15"/>
    </row>
    <row r="13" spans="1:5" ht="17.25" customHeight="1">
      <c r="A13" s="209"/>
      <c r="B13" s="36"/>
      <c r="C13" s="37"/>
      <c r="D13" s="19"/>
      <c r="E13" s="15"/>
    </row>
    <row r="14" spans="1:5" ht="17.25" customHeight="1">
      <c r="A14" s="209"/>
      <c r="B14" s="36" t="s">
        <v>140</v>
      </c>
      <c r="C14" s="46">
        <v>20</v>
      </c>
      <c r="D14" s="19"/>
      <c r="E14" s="15"/>
    </row>
    <row r="15" spans="1:5" ht="16.5" customHeight="1">
      <c r="A15" s="209"/>
      <c r="B15" s="29" t="s">
        <v>139</v>
      </c>
      <c r="C15" s="14">
        <v>1</v>
      </c>
      <c r="D15" s="19"/>
      <c r="E15" s="15"/>
    </row>
    <row r="16" spans="1:5" ht="16.5" customHeight="1" thickBot="1">
      <c r="A16" s="210"/>
      <c r="B16" s="45" t="s">
        <v>141</v>
      </c>
      <c r="C16" s="47">
        <f>C14-C15</f>
        <v>19</v>
      </c>
      <c r="D16" s="40"/>
      <c r="E16" s="40"/>
    </row>
    <row r="17" spans="1:5" ht="16.5" customHeight="1">
      <c r="A17" s="16"/>
      <c r="B17" s="16"/>
      <c r="C17" s="16"/>
      <c r="D17" s="16"/>
      <c r="E17" s="17"/>
    </row>
    <row r="18" spans="1:5" ht="16.5" customHeight="1">
      <c r="A18" s="16"/>
      <c r="B18" s="16"/>
      <c r="C18" s="16"/>
      <c r="D18" s="16"/>
      <c r="E18" s="17"/>
    </row>
    <row r="19" spans="1:5" ht="16.5" customHeight="1">
      <c r="A19" s="208" t="s">
        <v>122</v>
      </c>
      <c r="B19" s="25" t="s">
        <v>61</v>
      </c>
      <c r="C19" s="13" t="s">
        <v>62</v>
      </c>
      <c r="D19" s="31" t="s">
        <v>126</v>
      </c>
      <c r="E19" s="43" t="s">
        <v>129</v>
      </c>
    </row>
    <row r="20" spans="1:5" ht="16.5" customHeight="1">
      <c r="A20" s="209"/>
      <c r="B20" s="44" t="s">
        <v>143</v>
      </c>
      <c r="C20" s="9" t="s">
        <v>130</v>
      </c>
      <c r="D20" s="27" t="s">
        <v>131</v>
      </c>
      <c r="E20" s="41" t="s">
        <v>130</v>
      </c>
    </row>
    <row r="21" spans="1:5" ht="16.5" customHeight="1">
      <c r="A21" s="209"/>
      <c r="B21" s="42"/>
      <c r="C21" s="212"/>
      <c r="D21" s="27" t="s">
        <v>132</v>
      </c>
      <c r="E21" s="10" t="s">
        <v>133</v>
      </c>
    </row>
    <row r="22" spans="1:5" ht="16.5" customHeight="1">
      <c r="A22" s="209"/>
      <c r="B22" s="42"/>
      <c r="C22" s="9"/>
      <c r="D22" s="10"/>
      <c r="E22" s="10"/>
    </row>
    <row r="23" spans="1:5" ht="19.5" customHeight="1">
      <c r="A23" s="209"/>
      <c r="B23" s="28"/>
      <c r="C23" s="9"/>
      <c r="D23" s="27"/>
      <c r="E23" s="6"/>
    </row>
    <row r="24" spans="1:5" ht="16.5" customHeight="1">
      <c r="A24" s="209"/>
      <c r="B24" s="28"/>
      <c r="C24" s="11"/>
      <c r="D24" s="18"/>
      <c r="E24" s="5"/>
    </row>
    <row r="25" spans="1:5" ht="16.5" customHeight="1">
      <c r="A25" s="209"/>
      <c r="B25" s="28"/>
      <c r="C25" s="12"/>
      <c r="D25" s="18"/>
      <c r="E25" s="7"/>
    </row>
    <row r="26" spans="1:5" ht="17.25">
      <c r="A26" s="209"/>
      <c r="B26" s="30"/>
      <c r="C26" s="13"/>
      <c r="D26" s="18"/>
      <c r="E26" s="7"/>
    </row>
    <row r="27" spans="1:5" ht="16.5" customHeight="1">
      <c r="A27" s="209"/>
      <c r="B27" s="25"/>
      <c r="C27" s="14"/>
      <c r="D27" s="14"/>
      <c r="E27" s="15"/>
    </row>
    <row r="28" spans="1:5" ht="16.5" customHeight="1">
      <c r="A28" s="209"/>
      <c r="B28" s="26"/>
      <c r="C28" s="14"/>
      <c r="D28" s="18"/>
      <c r="E28" s="7"/>
    </row>
    <row r="29" spans="1:5" ht="16.5" customHeight="1">
      <c r="A29" s="209"/>
      <c r="B29" s="29"/>
      <c r="C29" s="14"/>
      <c r="D29" s="19"/>
      <c r="E29" s="15"/>
    </row>
    <row r="30" spans="1:5" ht="16.5" customHeight="1">
      <c r="A30" s="209"/>
      <c r="B30" s="36"/>
      <c r="C30" s="37"/>
      <c r="D30" s="38"/>
      <c r="E30" s="38"/>
    </row>
    <row r="31" spans="1:5" ht="16.5" customHeight="1" thickBot="1">
      <c r="A31" s="210"/>
      <c r="B31" s="8"/>
      <c r="C31" s="39"/>
      <c r="D31" s="40"/>
      <c r="E31" s="40"/>
    </row>
    <row r="32" spans="1:5" ht="16.5" customHeight="1">
      <c r="A32" s="16"/>
      <c r="B32" s="16"/>
      <c r="C32" s="16"/>
      <c r="D32" s="16"/>
      <c r="E32" s="17"/>
    </row>
    <row r="33" spans="1:5" ht="16.5" customHeight="1">
      <c r="A33" s="16"/>
      <c r="B33" s="16"/>
      <c r="C33" s="16"/>
      <c r="D33" s="16"/>
      <c r="E33" s="17"/>
    </row>
    <row r="34" spans="1:5" ht="16.5" customHeight="1">
      <c r="A34" s="203" t="s">
        <v>74</v>
      </c>
      <c r="B34" s="30" t="s">
        <v>110</v>
      </c>
      <c r="C34" s="81" t="s">
        <v>370</v>
      </c>
      <c r="D34" s="21"/>
      <c r="E34" s="4"/>
    </row>
    <row r="35" spans="1:5" ht="19.5" customHeight="1">
      <c r="A35" s="204"/>
      <c r="B35" s="2" t="s">
        <v>75</v>
      </c>
      <c r="C35" s="20" t="s">
        <v>76</v>
      </c>
      <c r="D35" s="21"/>
      <c r="E35" s="4"/>
    </row>
    <row r="36" spans="1:5" ht="17.25" customHeight="1">
      <c r="A36" s="204"/>
      <c r="B36" s="31" t="s">
        <v>77</v>
      </c>
      <c r="C36" s="20">
        <v>1</v>
      </c>
      <c r="D36" s="21"/>
      <c r="E36" s="4"/>
    </row>
    <row r="37" spans="1:5" ht="16.5" customHeight="1">
      <c r="A37" s="204"/>
      <c r="B37" s="2" t="s">
        <v>78</v>
      </c>
      <c r="C37" s="81" t="str">
        <f>참여기업!E9</f>
        <v>부산광역시 연제구 반송로 30</v>
      </c>
      <c r="D37" s="21"/>
      <c r="E37" s="4"/>
    </row>
    <row r="38" spans="1:5" ht="16.5" customHeight="1">
      <c r="A38" s="204"/>
      <c r="B38" s="2" t="s">
        <v>79</v>
      </c>
      <c r="C38" s="20" t="s">
        <v>97</v>
      </c>
      <c r="D38" s="21"/>
      <c r="E38" s="4"/>
    </row>
    <row r="39" spans="1:5" ht="16.5" customHeight="1">
      <c r="A39" s="204"/>
      <c r="B39" s="2" t="s">
        <v>80</v>
      </c>
      <c r="C39" s="20" t="s">
        <v>98</v>
      </c>
      <c r="D39" s="21"/>
      <c r="E39" s="4"/>
    </row>
    <row r="40" spans="1:5" ht="17.25" customHeight="1">
      <c r="A40" s="204"/>
      <c r="B40" s="2" t="s">
        <v>81</v>
      </c>
      <c r="C40" s="80" t="s">
        <v>159</v>
      </c>
      <c r="D40" s="21"/>
      <c r="E40" s="4"/>
    </row>
    <row r="41" spans="1:5" ht="16.5" customHeight="1">
      <c r="A41" s="204"/>
      <c r="B41" s="28" t="s">
        <v>135</v>
      </c>
      <c r="C41" s="9" t="s">
        <v>137</v>
      </c>
      <c r="D41" s="21"/>
      <c r="E41" s="4"/>
    </row>
    <row r="42" spans="1:5" ht="16.5" customHeight="1">
      <c r="A42" s="204"/>
      <c r="B42" s="28" t="s">
        <v>136</v>
      </c>
      <c r="C42" s="11" t="s">
        <v>138</v>
      </c>
      <c r="D42" s="21"/>
      <c r="E42" s="4"/>
    </row>
    <row r="43" spans="1:5" ht="16.5" customHeight="1">
      <c r="A43" s="204"/>
      <c r="B43" s="28" t="s">
        <v>134</v>
      </c>
      <c r="C43" s="12" t="str">
        <f>C41&amp;"~"&amp;C42</f>
        <v>2024.12.31~2025.01.27</v>
      </c>
      <c r="D43" s="33" t="s">
        <v>369</v>
      </c>
      <c r="E43" s="4">
        <v>100</v>
      </c>
    </row>
    <row r="44" spans="1:5" ht="17.25" customHeight="1">
      <c r="A44" s="204"/>
      <c r="B44" s="2" t="s">
        <v>82</v>
      </c>
      <c r="C44" s="20" t="str">
        <f>$C$41&amp;"~"&amp;$C$42</f>
        <v>2024.12.31~2025.01.27</v>
      </c>
      <c r="D44" s="21"/>
      <c r="E44" s="4"/>
    </row>
    <row r="45" spans="1:5" ht="16.5" customHeight="1">
      <c r="A45" s="204"/>
      <c r="B45" s="2" t="s">
        <v>83</v>
      </c>
      <c r="C45" s="20"/>
      <c r="D45" s="21"/>
      <c r="E45" s="4"/>
    </row>
    <row r="46" spans="1:5" ht="16.5" customHeight="1">
      <c r="A46" s="204"/>
      <c r="B46" s="86" t="s">
        <v>283</v>
      </c>
      <c r="C46" s="20" t="str">
        <f>LEFT(C44, FIND("~", C44) - 1)</f>
        <v>2024.12.31</v>
      </c>
      <c r="D46" s="21"/>
      <c r="E46" s="4"/>
    </row>
    <row r="47" spans="1:5" ht="16.5" customHeight="1">
      <c r="A47" s="204"/>
      <c r="B47" s="2" t="s">
        <v>84</v>
      </c>
      <c r="C47" s="20"/>
      <c r="D47" s="21"/>
      <c r="E47" s="4"/>
    </row>
    <row r="48" spans="1:5" ht="16.5" customHeight="1">
      <c r="A48" s="204"/>
      <c r="B48" s="32" t="s">
        <v>85</v>
      </c>
      <c r="C48" s="20" t="s">
        <v>86</v>
      </c>
      <c r="D48" s="21"/>
      <c r="E48" s="4"/>
    </row>
    <row r="49" spans="1:5" ht="16.5" customHeight="1">
      <c r="A49" s="204"/>
      <c r="B49" s="32" t="s">
        <v>87</v>
      </c>
      <c r="C49" s="20" t="s">
        <v>88</v>
      </c>
      <c r="D49" s="21"/>
      <c r="E49" s="4"/>
    </row>
    <row r="50" spans="1:5" ht="16.5" customHeight="1">
      <c r="A50" s="204"/>
      <c r="B50" s="32" t="s">
        <v>89</v>
      </c>
      <c r="C50" s="20" t="s">
        <v>99</v>
      </c>
      <c r="D50" s="21"/>
      <c r="E50" s="4"/>
    </row>
    <row r="51" spans="1:5" ht="16.5" customHeight="1">
      <c r="A51" s="204"/>
      <c r="B51" s="32" t="s">
        <v>90</v>
      </c>
      <c r="C51" s="20" t="s">
        <v>100</v>
      </c>
      <c r="D51" s="21"/>
      <c r="E51" s="4"/>
    </row>
    <row r="52" spans="1:5" ht="16.5" customHeight="1">
      <c r="A52" s="204"/>
      <c r="B52" s="32" t="s">
        <v>91</v>
      </c>
      <c r="C52" s="20" t="s">
        <v>92</v>
      </c>
      <c r="D52" s="21"/>
      <c r="E52" s="4"/>
    </row>
    <row r="53" spans="1:5" ht="16.5" customHeight="1">
      <c r="A53" s="204"/>
      <c r="B53" s="32" t="s">
        <v>93</v>
      </c>
      <c r="C53" s="20" t="s">
        <v>94</v>
      </c>
      <c r="D53" s="21"/>
      <c r="E53" s="4"/>
    </row>
    <row r="54" spans="1:5" ht="16.5" customHeight="1">
      <c r="A54" s="204"/>
      <c r="B54" s="32" t="s">
        <v>95</v>
      </c>
      <c r="C54" s="20" t="s">
        <v>101</v>
      </c>
      <c r="D54" s="21"/>
      <c r="E54" s="4"/>
    </row>
    <row r="55" spans="1:5" ht="17.25" customHeight="1">
      <c r="A55" s="204"/>
      <c r="B55" s="32" t="s">
        <v>96</v>
      </c>
      <c r="C55" s="20" t="s">
        <v>102</v>
      </c>
      <c r="D55" s="21"/>
      <c r="E55" s="4"/>
    </row>
    <row r="56" spans="1:5">
      <c r="A56" s="204"/>
      <c r="B56" s="33"/>
      <c r="C56" s="20"/>
      <c r="D56" s="21"/>
      <c r="E56" s="4"/>
    </row>
    <row r="57" spans="1:5" ht="17.25" thickBot="1">
      <c r="A57" s="205"/>
      <c r="B57" s="34"/>
      <c r="C57" s="22"/>
      <c r="D57" s="23"/>
      <c r="E57" s="22"/>
    </row>
  </sheetData>
  <mergeCells count="4">
    <mergeCell ref="A1:E1"/>
    <mergeCell ref="A19:A31"/>
    <mergeCell ref="A2:A16"/>
    <mergeCell ref="A34:A57"/>
  </mergeCells>
  <phoneticPr fontId="4" type="noConversion"/>
  <dataValidations count="5">
    <dataValidation type="list" allowBlank="1" showInputMessage="1" showErrorMessage="1" sqref="C8 C26" xr:uid="{D8AF070D-BFCE-4540-B8D9-8237B909A31C}">
      <formula1>"광고 마케팅,IT,행정"</formula1>
    </dataValidation>
    <dataValidation type="list" allowBlank="1" showInputMessage="1" showErrorMessage="1" sqref="C30 C12:C13" xr:uid="{78F092DB-DFFF-4EEF-9CD5-749A723EF550}">
      <formula1>"IT  분야 일경험 프로그램 수행을 위해 필수적인 기초 소양 배양, 데이터 수집/전처리 기술 함양과 서비스를 개발 및 운영 인력 양성,마케팅 분야의 일경험 프로그램 수행을 위해 필수적인 기초 소양 배양"</formula1>
    </dataValidation>
    <dataValidation type="list" allowBlank="1" showInputMessage="1" showErrorMessage="1" sqref="C35" xr:uid="{5CAE1323-563C-4581-B313-24BF8D0FFC39}">
      <formula1>"인턴형,프로젝트형"</formula1>
    </dataValidation>
    <dataValidation type="list" allowBlank="1" showInputMessage="1" showErrorMessage="1" sqref="E34:E36 C36" xr:uid="{74331E6A-CEE7-4E27-B531-88E6D8B90375}">
      <formula1>"1,2,3,4,5,6"</formula1>
    </dataValidation>
    <dataValidation type="list" allowBlank="1" showInputMessage="1" showErrorMessage="1" sqref="C38" xr:uid="{0EDA80EA-DBCB-4C77-BBAB-459D5454DF7F}">
      <formula1>"광고마케팅,IT,행정,회계"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F4FE-32D2-4DC1-892F-74D2C7FE78E6}">
  <sheetPr>
    <tabColor theme="9" tint="-0.499984740745262"/>
  </sheetPr>
  <dimension ref="B1:S28"/>
  <sheetViews>
    <sheetView workbookViewId="0">
      <selection activeCell="F13" sqref="F13"/>
    </sheetView>
  </sheetViews>
  <sheetFormatPr defaultRowHeight="16.5"/>
  <cols>
    <col min="1" max="1" width="0.625" style="87" customWidth="1"/>
    <col min="2" max="2" width="3.5" style="87" customWidth="1"/>
    <col min="3" max="3" width="12.75" style="87" bestFit="1" customWidth="1"/>
    <col min="4" max="4" width="12.125" style="87" customWidth="1"/>
    <col min="5" max="5" width="20" style="87" customWidth="1"/>
    <col min="6" max="6" width="17.5" style="87" customWidth="1"/>
    <col min="7" max="7" width="14.625" style="87" customWidth="1"/>
    <col min="8" max="8" width="9.25" style="87" customWidth="1"/>
    <col min="9" max="10" width="17.5" style="87" bestFit="1" customWidth="1"/>
    <col min="11" max="12" width="12.125" style="87" bestFit="1" customWidth="1"/>
    <col min="13" max="13" width="11.125" style="87" bestFit="1" customWidth="1"/>
    <col min="14" max="14" width="12" style="87" customWidth="1"/>
    <col min="15" max="16384" width="9" style="87"/>
  </cols>
  <sheetData>
    <row r="1" spans="2:19" ht="5.45" customHeight="1"/>
    <row r="2" spans="2:19" ht="35.25">
      <c r="B2" s="130" t="s">
        <v>308</v>
      </c>
      <c r="C2" s="128"/>
    </row>
    <row r="3" spans="2:19" ht="19.5">
      <c r="B3" s="129" t="s">
        <v>307</v>
      </c>
      <c r="C3" s="128"/>
    </row>
    <row r="4" spans="2:19">
      <c r="B4" s="126" t="s">
        <v>306</v>
      </c>
      <c r="C4" s="126" t="s">
        <v>305</v>
      </c>
      <c r="D4" s="126" t="s">
        <v>304</v>
      </c>
      <c r="E4" s="126" t="s">
        <v>303</v>
      </c>
      <c r="F4" s="126"/>
      <c r="G4" s="126" t="s">
        <v>302</v>
      </c>
      <c r="H4" s="126" t="s">
        <v>301</v>
      </c>
      <c r="I4" s="126" t="s">
        <v>300</v>
      </c>
      <c r="J4" s="126" t="s">
        <v>299</v>
      </c>
      <c r="K4" s="126" t="s">
        <v>298</v>
      </c>
      <c r="L4" s="126" t="s">
        <v>297</v>
      </c>
      <c r="M4" s="126" t="s">
        <v>296</v>
      </c>
      <c r="N4" s="127" t="s">
        <v>295</v>
      </c>
      <c r="O4" s="127" t="s">
        <v>294</v>
      </c>
      <c r="P4" s="126" t="s">
        <v>293</v>
      </c>
      <c r="Q4" s="126" t="s">
        <v>292</v>
      </c>
      <c r="R4" s="126" t="s">
        <v>291</v>
      </c>
      <c r="S4" s="126" t="s">
        <v>290</v>
      </c>
    </row>
    <row r="5" spans="2:19">
      <c r="B5" s="93">
        <v>1</v>
      </c>
      <c r="C5" s="179" t="str" cm="1">
        <f t="array" ref="C5:C19">참여자명단!L2:L16</f>
        <v>김성재</v>
      </c>
      <c r="D5" s="174" t="str">
        <f>참여자명단!V2</f>
        <v>우리은행</v>
      </c>
      <c r="E5" s="125" t="str">
        <f>참여자명단!W2</f>
        <v>1002-263-075614</v>
      </c>
      <c r="F5" s="110" t="str">
        <f>D5&amp;" "&amp;E5</f>
        <v>우리은행 1002-263-075614</v>
      </c>
      <c r="G5" s="175" t="str">
        <f>참여자명단!M2</f>
        <v>980515-1861417</v>
      </c>
      <c r="H5" s="123">
        <f>'지원금(주기준산정-4주기준지급)'!AG10</f>
        <v>1400000</v>
      </c>
      <c r="I5" s="104" t="str">
        <f>'사전직무,운영기관,일경험 정보'!$C$9</f>
        <v>2024.12.23</v>
      </c>
      <c r="J5" s="103" t="str">
        <f>'사전직무,운영기관,일경험 정보'!$C$10</f>
        <v>2024.12.30</v>
      </c>
      <c r="K5" s="103">
        <f>'사전직무,운영기관,일경험 정보'!$C$23</f>
        <v>0</v>
      </c>
      <c r="L5" s="103">
        <f>'사전직무,운영기관,일경험 정보'!$C$24</f>
        <v>0</v>
      </c>
      <c r="M5" s="103"/>
      <c r="N5" s="106" t="str">
        <f>참여기업!$C$3</f>
        <v>㈜쇼우테크</v>
      </c>
      <c r="O5" s="176" t="str">
        <f>참여자명단!J2</f>
        <v>황강연</v>
      </c>
      <c r="P5" s="98"/>
      <c r="Q5" s="98"/>
      <c r="R5" s="98"/>
      <c r="S5" s="98"/>
    </row>
    <row r="6" spans="2:19">
      <c r="B6" s="93">
        <f t="shared" ref="B6:B26" si="0">B5+1</f>
        <v>2</v>
      </c>
      <c r="C6" s="180" t="str">
        <v>박동기</v>
      </c>
      <c r="D6" s="174" t="str">
        <f>참여자명단!V3</f>
        <v>신한은행</v>
      </c>
      <c r="E6" s="125" t="str">
        <f>참여자명단!W3</f>
        <v>110-309-305274</v>
      </c>
      <c r="F6" s="110" t="str">
        <f t="shared" ref="F6:F19" si="1">D6&amp;" "&amp;E6</f>
        <v>신한은행 110-309-305274</v>
      </c>
      <c r="G6" s="175" t="str">
        <f>참여자명단!M3</f>
        <v>911212-1105519</v>
      </c>
      <c r="H6" s="123">
        <f>'지원금(주기준산정-4주기준지급)'!AG11</f>
        <v>1400000</v>
      </c>
      <c r="I6" s="104" t="str">
        <f>'사전직무,운영기관,일경험 정보'!$C$9</f>
        <v>2024.12.23</v>
      </c>
      <c r="J6" s="103" t="str">
        <f>'사전직무,운영기관,일경험 정보'!$C$10</f>
        <v>2024.12.30</v>
      </c>
      <c r="K6" s="103">
        <f>'사전직무,운영기관,일경험 정보'!$C$23</f>
        <v>0</v>
      </c>
      <c r="L6" s="103">
        <f>'사전직무,운영기관,일경험 정보'!$C$24</f>
        <v>0</v>
      </c>
      <c r="M6" s="103"/>
      <c r="N6" s="106" t="str">
        <f>참여기업!$C$3</f>
        <v>㈜쇼우테크</v>
      </c>
      <c r="O6" s="176" t="str">
        <f>참여자명단!J3</f>
        <v>황강연</v>
      </c>
      <c r="P6" s="98"/>
      <c r="Q6" s="98"/>
      <c r="R6" s="98"/>
      <c r="S6" s="98"/>
    </row>
    <row r="7" spans="2:19">
      <c r="B7" s="93">
        <f t="shared" si="0"/>
        <v>3</v>
      </c>
      <c r="C7" s="180" t="str">
        <v>양승호</v>
      </c>
      <c r="D7" s="174" t="str">
        <f>참여자명단!V4</f>
        <v>국민은행</v>
      </c>
      <c r="E7" s="125" t="str">
        <f>참여자명단!W4</f>
        <v>876701-01-175499</v>
      </c>
      <c r="F7" s="110" t="str">
        <f t="shared" si="1"/>
        <v>국민은행 876701-01-175499</v>
      </c>
      <c r="G7" s="175" t="str">
        <f>참여자명단!M4</f>
        <v>960322-1114211</v>
      </c>
      <c r="H7" s="123">
        <f>'지원금(주기준산정-4주기준지급)'!AG12</f>
        <v>1400000</v>
      </c>
      <c r="I7" s="104" t="str">
        <f>'사전직무,운영기관,일경험 정보'!$C$9</f>
        <v>2024.12.23</v>
      </c>
      <c r="J7" s="103" t="str">
        <f>'사전직무,운영기관,일경험 정보'!$C$10</f>
        <v>2024.12.30</v>
      </c>
      <c r="K7" s="103">
        <f>'사전직무,운영기관,일경험 정보'!$C$23</f>
        <v>0</v>
      </c>
      <c r="L7" s="103">
        <f>'사전직무,운영기관,일경험 정보'!$C$24</f>
        <v>0</v>
      </c>
      <c r="M7" s="103"/>
      <c r="N7" s="106" t="str">
        <f>참여기업!$C$3</f>
        <v>㈜쇼우테크</v>
      </c>
      <c r="O7" s="176" t="str">
        <f>참여자명단!J4</f>
        <v>황강연</v>
      </c>
      <c r="P7" s="98"/>
      <c r="Q7" s="98"/>
      <c r="R7" s="98"/>
      <c r="S7" s="98"/>
    </row>
    <row r="8" spans="2:19">
      <c r="B8" s="93">
        <f t="shared" si="0"/>
        <v>4</v>
      </c>
      <c r="C8" s="180" t="str">
        <v>김정수</v>
      </c>
      <c r="D8" s="174" t="str">
        <f>참여자명단!V5</f>
        <v>IBK기업은행</v>
      </c>
      <c r="E8" s="125" t="str">
        <f>참여자명단!W5</f>
        <v>982-002303-01-016</v>
      </c>
      <c r="F8" s="110" t="str">
        <f t="shared" si="1"/>
        <v>IBK기업은행 982-002303-01-016</v>
      </c>
      <c r="G8" s="175" t="str">
        <f>참여자명단!M5</f>
        <v>961222-1125217</v>
      </c>
      <c r="H8" s="123">
        <f>'지원금(주기준산정-4주기준지급)'!AG13</f>
        <v>1400000</v>
      </c>
      <c r="I8" s="104" t="str">
        <f>'사전직무,운영기관,일경험 정보'!$C$9</f>
        <v>2024.12.23</v>
      </c>
      <c r="J8" s="103" t="str">
        <f>'사전직무,운영기관,일경험 정보'!$C$10</f>
        <v>2024.12.30</v>
      </c>
      <c r="K8" s="103">
        <f>'사전직무,운영기관,일경험 정보'!$C$23</f>
        <v>0</v>
      </c>
      <c r="L8" s="103">
        <f>'사전직무,운영기관,일경험 정보'!$C$24</f>
        <v>0</v>
      </c>
      <c r="M8" s="103"/>
      <c r="N8" s="106" t="str">
        <f>참여기업!$C$3</f>
        <v>㈜쇼우테크</v>
      </c>
      <c r="O8" s="176" t="str">
        <f>참여자명단!J5</f>
        <v>황강연</v>
      </c>
      <c r="P8" s="98"/>
      <c r="Q8" s="98"/>
      <c r="R8" s="98"/>
      <c r="S8" s="98"/>
    </row>
    <row r="9" spans="2:19">
      <c r="B9" s="93">
        <f t="shared" si="0"/>
        <v>5</v>
      </c>
      <c r="C9" s="180" t="str">
        <v>류예지</v>
      </c>
      <c r="D9" s="174" t="str">
        <f>참여자명단!V6</f>
        <v>부산은행</v>
      </c>
      <c r="E9" s="125" t="str">
        <f>참여자명단!W6</f>
        <v>112-2187-0758-08</v>
      </c>
      <c r="F9" s="110" t="str">
        <f t="shared" si="1"/>
        <v>부산은행 112-2187-0758-08</v>
      </c>
      <c r="G9" s="175" t="str">
        <f>참여자명단!M6</f>
        <v>030320-4119623</v>
      </c>
      <c r="H9" s="123">
        <f>'지원금(주기준산정-4주기준지급)'!AG14</f>
        <v>1400000</v>
      </c>
      <c r="I9" s="104" t="str">
        <f>'사전직무,운영기관,일경험 정보'!$C$9</f>
        <v>2024.12.23</v>
      </c>
      <c r="J9" s="103" t="str">
        <f>'사전직무,운영기관,일경험 정보'!$C$10</f>
        <v>2024.12.30</v>
      </c>
      <c r="K9" s="103">
        <f>'사전직무,운영기관,일경험 정보'!$C$23</f>
        <v>0</v>
      </c>
      <c r="L9" s="103">
        <f>'사전직무,운영기관,일경험 정보'!$C$24</f>
        <v>0</v>
      </c>
      <c r="M9" s="103"/>
      <c r="N9" s="106" t="str">
        <f>참여기업!$C$3</f>
        <v>㈜쇼우테크</v>
      </c>
      <c r="O9" s="176" t="str">
        <f>참여자명단!J6</f>
        <v>황강연</v>
      </c>
      <c r="P9" s="98"/>
      <c r="Q9" s="98"/>
      <c r="R9" s="98"/>
      <c r="S9" s="98"/>
    </row>
    <row r="10" spans="2:19">
      <c r="B10" s="93">
        <f t="shared" si="0"/>
        <v>6</v>
      </c>
      <c r="C10" s="180" t="str">
        <v>김나현</v>
      </c>
      <c r="D10" s="174" t="str">
        <f>참여자명단!V7</f>
        <v>카카오뱅크</v>
      </c>
      <c r="E10" s="125" t="str">
        <f>참여자명단!W7</f>
        <v>3333-28-1012968</v>
      </c>
      <c r="F10" s="110" t="str">
        <f t="shared" si="1"/>
        <v>카카오뱅크 3333-28-1012968</v>
      </c>
      <c r="G10" s="175" t="str">
        <f>참여자명단!M7</f>
        <v>050330-4095216</v>
      </c>
      <c r="H10" s="123">
        <f>'지원금(주기준산정-4주기준지급)'!AG15</f>
        <v>1400000</v>
      </c>
      <c r="I10" s="104" t="str">
        <f>'사전직무,운영기관,일경험 정보'!$C$9</f>
        <v>2024.12.23</v>
      </c>
      <c r="J10" s="103" t="str">
        <f>'사전직무,운영기관,일경험 정보'!$C$10</f>
        <v>2024.12.30</v>
      </c>
      <c r="K10" s="103">
        <f>'사전직무,운영기관,일경험 정보'!$C$23</f>
        <v>0</v>
      </c>
      <c r="L10" s="103">
        <f>'사전직무,운영기관,일경험 정보'!$C$24</f>
        <v>0</v>
      </c>
      <c r="M10" s="103"/>
      <c r="N10" s="106" t="str">
        <f>참여기업!$C$3</f>
        <v>㈜쇼우테크</v>
      </c>
      <c r="O10" s="176" t="str">
        <f>참여자명단!J7</f>
        <v>이정구</v>
      </c>
      <c r="P10" s="98"/>
      <c r="Q10" s="98"/>
      <c r="R10" s="98"/>
      <c r="S10" s="98"/>
    </row>
    <row r="11" spans="2:19">
      <c r="B11" s="93">
        <f t="shared" si="0"/>
        <v>7</v>
      </c>
      <c r="C11" s="180" t="str">
        <v>김소정</v>
      </c>
      <c r="D11" s="174" t="str">
        <f>참여자명단!V8</f>
        <v>토스뱅크</v>
      </c>
      <c r="E11" s="125" t="str">
        <f>참여자명단!W8</f>
        <v>1000-6732-6365</v>
      </c>
      <c r="F11" s="110" t="str">
        <f t="shared" si="1"/>
        <v>토스뱅크 1000-6732-6365</v>
      </c>
      <c r="G11" s="175" t="str">
        <f>참여자명단!M8</f>
        <v>030113-4103110</v>
      </c>
      <c r="H11" s="123">
        <f>'지원금(주기준산정-4주기준지급)'!AG16</f>
        <v>1400000</v>
      </c>
      <c r="I11" s="104" t="str">
        <f>'사전직무,운영기관,일경험 정보'!$C$9</f>
        <v>2024.12.23</v>
      </c>
      <c r="J11" s="103" t="str">
        <f>'사전직무,운영기관,일경험 정보'!$C$10</f>
        <v>2024.12.30</v>
      </c>
      <c r="K11" s="103">
        <f>'사전직무,운영기관,일경험 정보'!$C$23</f>
        <v>0</v>
      </c>
      <c r="L11" s="103">
        <f>'사전직무,운영기관,일경험 정보'!$C$24</f>
        <v>0</v>
      </c>
      <c r="M11" s="103"/>
      <c r="N11" s="106" t="str">
        <f>참여기업!$C$3</f>
        <v>㈜쇼우테크</v>
      </c>
      <c r="O11" s="176" t="str">
        <f>참여자명단!J8</f>
        <v>이정구</v>
      </c>
      <c r="P11" s="98"/>
      <c r="Q11" s="98"/>
      <c r="R11" s="98"/>
      <c r="S11" s="98"/>
    </row>
    <row r="12" spans="2:19">
      <c r="B12" s="93">
        <f t="shared" si="0"/>
        <v>8</v>
      </c>
      <c r="C12" s="180" t="str">
        <v>박소희</v>
      </c>
      <c r="D12" s="174" t="str">
        <f>참여자명단!V9</f>
        <v>NH농협</v>
      </c>
      <c r="E12" s="125" t="str">
        <f>참여자명단!W9</f>
        <v>302-1901-2348-31</v>
      </c>
      <c r="F12" s="110" t="str">
        <f t="shared" si="1"/>
        <v>NH농협 302-1901-2348-31</v>
      </c>
      <c r="G12" s="175" t="str">
        <f>참여자명단!M9</f>
        <v>030617-4784115</v>
      </c>
      <c r="H12" s="123">
        <f>'지원금(주기준산정-4주기준지급)'!AG17</f>
        <v>1400000</v>
      </c>
      <c r="I12" s="104" t="str">
        <f>'사전직무,운영기관,일경험 정보'!$C$9</f>
        <v>2024.12.23</v>
      </c>
      <c r="J12" s="103" t="str">
        <f>'사전직무,운영기관,일경험 정보'!$C$10</f>
        <v>2024.12.30</v>
      </c>
      <c r="K12" s="103">
        <f>'사전직무,운영기관,일경험 정보'!$C$23</f>
        <v>0</v>
      </c>
      <c r="L12" s="103">
        <f>'사전직무,운영기관,일경험 정보'!$C$24</f>
        <v>0</v>
      </c>
      <c r="M12" s="103"/>
      <c r="N12" s="106" t="str">
        <f>참여기업!$C$3</f>
        <v>㈜쇼우테크</v>
      </c>
      <c r="O12" s="176" t="str">
        <f>참여자명단!J9</f>
        <v>이정구</v>
      </c>
      <c r="P12" s="98"/>
      <c r="Q12" s="98"/>
      <c r="R12" s="98"/>
      <c r="S12" s="98"/>
    </row>
    <row r="13" spans="2:19">
      <c r="B13" s="93">
        <f t="shared" si="0"/>
        <v>9</v>
      </c>
      <c r="C13" s="180" t="str">
        <v>신현수</v>
      </c>
      <c r="D13" s="174" t="str">
        <f>참여자명단!V10</f>
        <v>케이뱅크</v>
      </c>
      <c r="E13" s="125" t="str">
        <f>참여자명단!W10</f>
        <v>100-114-310196</v>
      </c>
      <c r="F13" s="110" t="str">
        <f t="shared" si="1"/>
        <v>케이뱅크 100-114-310196</v>
      </c>
      <c r="G13" s="175" t="str">
        <f>참여자명단!M10</f>
        <v>021012-3094811</v>
      </c>
      <c r="H13" s="123">
        <f>'지원금(주기준산정-4주기준지급)'!AG18</f>
        <v>1400000</v>
      </c>
      <c r="I13" s="104" t="str">
        <f>'사전직무,운영기관,일경험 정보'!$C$9</f>
        <v>2024.12.23</v>
      </c>
      <c r="J13" s="103" t="str">
        <f>'사전직무,운영기관,일경험 정보'!$C$10</f>
        <v>2024.12.30</v>
      </c>
      <c r="K13" s="103">
        <f>'사전직무,운영기관,일경험 정보'!$C$23</f>
        <v>0</v>
      </c>
      <c r="L13" s="103">
        <f>'사전직무,운영기관,일경험 정보'!$C$24</f>
        <v>0</v>
      </c>
      <c r="M13" s="103"/>
      <c r="N13" s="106" t="str">
        <f>참여기업!$C$3</f>
        <v>㈜쇼우테크</v>
      </c>
      <c r="O13" s="176" t="str">
        <f>참여자명단!J10</f>
        <v>이정구</v>
      </c>
      <c r="P13" s="98"/>
      <c r="Q13" s="98"/>
      <c r="R13" s="98"/>
      <c r="S13" s="98"/>
    </row>
    <row r="14" spans="2:19">
      <c r="B14" s="93">
        <f t="shared" si="0"/>
        <v>10</v>
      </c>
      <c r="C14" s="181" t="str">
        <v>이형덕</v>
      </c>
      <c r="D14" s="174" t="str">
        <f>참여자명단!V11</f>
        <v>IBK기업은행</v>
      </c>
      <c r="E14" s="125" t="str">
        <f>참여자명단!W11</f>
        <v>256-125982-01-011</v>
      </c>
      <c r="F14" s="110" t="str">
        <f t="shared" si="1"/>
        <v>IBK기업은행 256-125982-01-011</v>
      </c>
      <c r="G14" s="175" t="str">
        <f>참여자명단!M11</f>
        <v>990327-1865420</v>
      </c>
      <c r="H14" s="123">
        <f>'지원금(주기준산정-4주기준지급)'!AG19</f>
        <v>1400000</v>
      </c>
      <c r="I14" s="104" t="str">
        <f>'사전직무,운영기관,일경험 정보'!$C$9</f>
        <v>2024.12.23</v>
      </c>
      <c r="J14" s="103" t="str">
        <f>'사전직무,운영기관,일경험 정보'!$C$10</f>
        <v>2024.12.30</v>
      </c>
      <c r="K14" s="103">
        <f>'사전직무,운영기관,일경험 정보'!$C$23</f>
        <v>0</v>
      </c>
      <c r="L14" s="103">
        <f>'사전직무,운영기관,일경험 정보'!$C$24</f>
        <v>0</v>
      </c>
      <c r="M14" s="103"/>
      <c r="N14" s="106" t="str">
        <f>참여기업!$C$3</f>
        <v>㈜쇼우테크</v>
      </c>
      <c r="O14" s="176" t="str">
        <f>참여자명단!J11</f>
        <v>이정구</v>
      </c>
      <c r="P14" s="98"/>
      <c r="Q14" s="98"/>
      <c r="R14" s="98"/>
      <c r="S14" s="98"/>
    </row>
    <row r="15" spans="2:19">
      <c r="B15" s="93">
        <f t="shared" si="0"/>
        <v>11</v>
      </c>
      <c r="C15" s="181" t="str">
        <v>장효석</v>
      </c>
      <c r="D15" s="174" t="str">
        <f>참여자명단!V12</f>
        <v>NH농협</v>
      </c>
      <c r="E15" s="125" t="str">
        <f>참여자명단!W12</f>
        <v>352-1943-8746-53</v>
      </c>
      <c r="F15" s="110" t="str">
        <f t="shared" si="1"/>
        <v>NH농협 352-1943-8746-53</v>
      </c>
      <c r="G15" s="175" t="str">
        <f>참여자명단!M12</f>
        <v>031018-3728424</v>
      </c>
      <c r="H15" s="123">
        <f>'지원금(주기준산정-4주기준지급)'!AG20</f>
        <v>1400000</v>
      </c>
      <c r="I15" s="104" t="str">
        <f>'사전직무,운영기관,일경험 정보'!$C$9</f>
        <v>2024.12.23</v>
      </c>
      <c r="J15" s="103" t="str">
        <f>'사전직무,운영기관,일경험 정보'!$C$10</f>
        <v>2024.12.30</v>
      </c>
      <c r="K15" s="103">
        <f>'사전직무,운영기관,일경험 정보'!$C$23</f>
        <v>0</v>
      </c>
      <c r="L15" s="103">
        <f>'사전직무,운영기관,일경험 정보'!$C$24</f>
        <v>0</v>
      </c>
      <c r="M15" s="103"/>
      <c r="N15" s="106" t="str">
        <f>참여기업!$C$3</f>
        <v>㈜쇼우테크</v>
      </c>
      <c r="O15" s="176" t="str">
        <f>참여자명단!J12</f>
        <v>이정구</v>
      </c>
      <c r="P15" s="98"/>
      <c r="Q15" s="98"/>
      <c r="R15" s="98"/>
      <c r="S15" s="98"/>
    </row>
    <row r="16" spans="2:19">
      <c r="B16" s="93">
        <f t="shared" si="0"/>
        <v>12</v>
      </c>
      <c r="C16" s="181" t="str">
        <v>이다은</v>
      </c>
      <c r="D16" s="174" t="str">
        <f>참여자명단!V13</f>
        <v>NH농협</v>
      </c>
      <c r="E16" s="125" t="str">
        <f>참여자명단!W13</f>
        <v>302-1336-779511</v>
      </c>
      <c r="F16" s="110" t="str">
        <f t="shared" si="1"/>
        <v>NH농협 302-1336-779511</v>
      </c>
      <c r="G16" s="175" t="str">
        <f>참여자명단!M13</f>
        <v>030316-4903917</v>
      </c>
      <c r="H16" s="123">
        <f>'지원금(주기준산정-4주기준지급)'!AG21</f>
        <v>1400000</v>
      </c>
      <c r="I16" s="104" t="str">
        <f>'사전직무,운영기관,일경험 정보'!$C$9</f>
        <v>2024.12.23</v>
      </c>
      <c r="J16" s="103" t="str">
        <f>'사전직무,운영기관,일경험 정보'!$C$10</f>
        <v>2024.12.30</v>
      </c>
      <c r="K16" s="103">
        <f>'사전직무,운영기관,일경험 정보'!$C$23</f>
        <v>0</v>
      </c>
      <c r="L16" s="103">
        <f>'사전직무,운영기관,일경험 정보'!$C$24</f>
        <v>0</v>
      </c>
      <c r="M16" s="103"/>
      <c r="N16" s="106" t="str">
        <f>참여기업!$C$3</f>
        <v>㈜쇼우테크</v>
      </c>
      <c r="O16" s="176" t="str">
        <f>참여자명단!J13</f>
        <v>이정구</v>
      </c>
      <c r="P16" s="98"/>
      <c r="Q16" s="98"/>
      <c r="R16" s="98"/>
      <c r="S16" s="98"/>
    </row>
    <row r="17" spans="2:19">
      <c r="B17" s="93">
        <f t="shared" si="0"/>
        <v>13</v>
      </c>
      <c r="C17" s="181" t="str">
        <v>박수정</v>
      </c>
      <c r="D17" s="174" t="str">
        <f>참여자명단!V14</f>
        <v>부산은행</v>
      </c>
      <c r="E17" s="125" t="str">
        <f>참여자명단!W14</f>
        <v>112-2259-0331-02</v>
      </c>
      <c r="F17" s="110" t="str">
        <f t="shared" si="1"/>
        <v>부산은행 112-2259-0331-02</v>
      </c>
      <c r="G17" s="175" t="str">
        <f>참여자명단!M14</f>
        <v>030922-411341</v>
      </c>
      <c r="H17" s="123">
        <f>'지원금(주기준산정-4주기준지급)'!AG22</f>
        <v>1400000</v>
      </c>
      <c r="I17" s="104" t="str">
        <f>'사전직무,운영기관,일경험 정보'!$C$9</f>
        <v>2024.12.23</v>
      </c>
      <c r="J17" s="103" t="str">
        <f>'사전직무,운영기관,일경험 정보'!$C$10</f>
        <v>2024.12.30</v>
      </c>
      <c r="K17" s="103">
        <f>'사전직무,운영기관,일경험 정보'!$C$23</f>
        <v>0</v>
      </c>
      <c r="L17" s="103">
        <f>'사전직무,운영기관,일경험 정보'!$C$24</f>
        <v>0</v>
      </c>
      <c r="M17" s="103"/>
      <c r="N17" s="106" t="str">
        <f>참여기업!$C$3</f>
        <v>㈜쇼우테크</v>
      </c>
      <c r="O17" s="176" t="str">
        <f>참여자명단!J14</f>
        <v>이정구</v>
      </c>
      <c r="P17" s="107"/>
      <c r="Q17" s="98"/>
      <c r="R17" s="98"/>
      <c r="S17" s="98"/>
    </row>
    <row r="18" spans="2:19">
      <c r="B18" s="93">
        <f t="shared" si="0"/>
        <v>14</v>
      </c>
      <c r="C18" s="180" t="str">
        <v>김진우</v>
      </c>
      <c r="D18" s="174" t="str">
        <f>참여자명단!V15</f>
        <v>국민은행</v>
      </c>
      <c r="E18" s="125" t="str">
        <f>참여자명단!W15</f>
        <v>202042580022</v>
      </c>
      <c r="F18" s="110" t="str">
        <f t="shared" si="1"/>
        <v>국민은행 202042580022</v>
      </c>
      <c r="G18" s="175" t="str">
        <f>참여자명단!M15</f>
        <v>061231-3124212</v>
      </c>
      <c r="H18" s="123">
        <f>'지원금(주기준산정-4주기준지급)'!AG23</f>
        <v>1400000</v>
      </c>
      <c r="I18" s="104" t="str">
        <f>'사전직무,운영기관,일경험 정보'!$C$9</f>
        <v>2024.12.23</v>
      </c>
      <c r="J18" s="103" t="str">
        <f>'사전직무,운영기관,일경험 정보'!$C$10</f>
        <v>2024.12.30</v>
      </c>
      <c r="K18" s="103">
        <f>'사전직무,운영기관,일경험 정보'!$C$23</f>
        <v>0</v>
      </c>
      <c r="L18" s="103">
        <f>'사전직무,운영기관,일경험 정보'!$C$24</f>
        <v>0</v>
      </c>
      <c r="M18" s="103"/>
      <c r="N18" s="106" t="str">
        <f>참여기업!$C$3</f>
        <v>㈜쇼우테크</v>
      </c>
      <c r="O18" s="176" t="str">
        <f>참여자명단!J15</f>
        <v>이정구</v>
      </c>
      <c r="P18" s="107"/>
      <c r="Q18" s="98"/>
      <c r="R18" s="98"/>
      <c r="S18" s="98"/>
    </row>
    <row r="19" spans="2:19">
      <c r="B19" s="93">
        <f t="shared" si="0"/>
        <v>15</v>
      </c>
      <c r="C19" s="180" t="str">
        <v>서민영</v>
      </c>
      <c r="D19" s="174" t="str">
        <f>참여자명단!V16</f>
        <v>신한은행</v>
      </c>
      <c r="E19" s="125" t="str">
        <f>참여자명단!W16</f>
        <v>110512847475</v>
      </c>
      <c r="F19" s="110" t="str">
        <f t="shared" si="1"/>
        <v>신한은행 110512847475</v>
      </c>
      <c r="G19" s="175" t="str">
        <f>참여자명단!M16</f>
        <v>030218-4109310</v>
      </c>
      <c r="H19" s="123">
        <f>'지원금(주기준산정-4주기준지급)'!AG24</f>
        <v>1400000</v>
      </c>
      <c r="I19" s="104" t="str">
        <f>'사전직무,운영기관,일경험 정보'!$C$9</f>
        <v>2024.12.23</v>
      </c>
      <c r="J19" s="103" t="str">
        <f>'사전직무,운영기관,일경험 정보'!$C$10</f>
        <v>2024.12.30</v>
      </c>
      <c r="K19" s="103">
        <f>'사전직무,운영기관,일경험 정보'!$C$23</f>
        <v>0</v>
      </c>
      <c r="L19" s="103">
        <f>'사전직무,운영기관,일경험 정보'!$C$24</f>
        <v>0</v>
      </c>
      <c r="M19" s="103"/>
      <c r="N19" s="106" t="str">
        <f>참여기업!$C$3</f>
        <v>㈜쇼우테크</v>
      </c>
      <c r="O19" s="176" t="str">
        <f>참여자명단!J16</f>
        <v>이정구</v>
      </c>
      <c r="P19" s="124"/>
      <c r="Q19" s="98"/>
      <c r="R19" s="98"/>
      <c r="S19" s="98"/>
    </row>
    <row r="20" spans="2:19">
      <c r="B20" s="93">
        <f t="shared" si="0"/>
        <v>16</v>
      </c>
      <c r="C20" s="122"/>
      <c r="D20" s="121"/>
      <c r="E20" s="120"/>
      <c r="F20" s="110" t="str">
        <f>D20&amp;" "&amp;E20</f>
        <v xml:space="preserve"> </v>
      </c>
      <c r="G20" s="119"/>
      <c r="H20" s="123"/>
      <c r="I20" s="117"/>
      <c r="J20" s="103"/>
      <c r="K20" s="103"/>
      <c r="L20" s="103"/>
      <c r="M20" s="103"/>
      <c r="N20" s="103"/>
      <c r="O20" s="107"/>
      <c r="P20" s="114"/>
      <c r="Q20" s="98"/>
      <c r="R20" s="98"/>
      <c r="S20" s="98"/>
    </row>
    <row r="21" spans="2:19">
      <c r="B21" s="93">
        <f t="shared" si="0"/>
        <v>17</v>
      </c>
      <c r="C21" s="122"/>
      <c r="D21" s="121"/>
      <c r="E21" s="120"/>
      <c r="F21" s="110"/>
      <c r="G21" s="119"/>
      <c r="H21" s="118"/>
      <c r="I21" s="117"/>
      <c r="J21" s="103"/>
      <c r="K21" s="103"/>
      <c r="L21" s="103"/>
      <c r="M21" s="116"/>
      <c r="N21" s="115"/>
      <c r="O21" s="101"/>
      <c r="P21" s="114"/>
      <c r="Q21" s="98"/>
      <c r="R21" s="98"/>
      <c r="S21" s="98"/>
    </row>
    <row r="22" spans="2:19">
      <c r="B22" s="93">
        <f t="shared" si="0"/>
        <v>18</v>
      </c>
      <c r="C22" s="106" t="str">
        <f>참여기업!C3</f>
        <v>㈜쇼우테크</v>
      </c>
      <c r="D22" s="106" t="str">
        <f>참여기업!C17</f>
        <v>00은행</v>
      </c>
      <c r="E22" s="107" t="str">
        <f>참여기업!C18</f>
        <v>00-000-0000</v>
      </c>
      <c r="F22" s="110" t="str">
        <f>D22&amp;" "&amp;E22</f>
        <v>00은행 00-000-0000</v>
      </c>
      <c r="G22" s="94"/>
      <c r="H22" s="105">
        <v>2780000</v>
      </c>
      <c r="I22" s="104" t="str">
        <f>'사전직무,운영기관,일경험 정보'!$C$9</f>
        <v>2024.12.23</v>
      </c>
      <c r="J22" s="103" t="str">
        <f>'사전직무,운영기관,일경험 정보'!$C$10</f>
        <v>2024.12.30</v>
      </c>
      <c r="K22" s="103">
        <f>'사전직무,운영기관,일경험 정보'!$C$23</f>
        <v>0</v>
      </c>
      <c r="L22" s="103">
        <f>'사전직무,운영기관,일경험 정보'!$C$24</f>
        <v>0</v>
      </c>
      <c r="M22" s="103">
        <v>45575</v>
      </c>
      <c r="N22" s="113"/>
      <c r="O22" s="112"/>
      <c r="P22" s="111" t="s">
        <v>289</v>
      </c>
      <c r="Q22" s="98"/>
      <c r="R22" s="98"/>
      <c r="S22" s="98"/>
    </row>
    <row r="23" spans="2:19">
      <c r="B23" s="93">
        <f t="shared" si="0"/>
        <v>19</v>
      </c>
      <c r="C23" s="106" t="str">
        <f>'참여기업 멘토'!B2</f>
        <v>이정구</v>
      </c>
      <c r="D23" s="178" t="str">
        <f>'참여기업 멘토'!I2</f>
        <v>카카오뱅크</v>
      </c>
      <c r="E23" s="106" t="str">
        <f>'참여기업 멘토'!J2</f>
        <v>3333-02-0025926</v>
      </c>
      <c r="F23" s="110" t="str">
        <f>D23&amp;" "&amp;E23</f>
        <v>카카오뱅크 3333-02-0025926</v>
      </c>
      <c r="G23" s="177" t="str">
        <f>'참여기업 멘토'!H2</f>
        <v>820101-1347519</v>
      </c>
      <c r="H23" s="108">
        <v>1050000</v>
      </c>
      <c r="I23" s="104" t="str">
        <f>'사전직무,운영기관,일경험 정보'!$C$9</f>
        <v>2024.12.23</v>
      </c>
      <c r="J23" s="103" t="str">
        <f>'사전직무,운영기관,일경험 정보'!$C$10</f>
        <v>2024.12.30</v>
      </c>
      <c r="K23" s="103">
        <f>'사전직무,운영기관,일경험 정보'!$C$23</f>
        <v>0</v>
      </c>
      <c r="L23" s="103">
        <f>'사전직무,운영기관,일경험 정보'!$C$24</f>
        <v>0</v>
      </c>
      <c r="M23" s="103">
        <v>45575</v>
      </c>
      <c r="N23" s="102" t="s">
        <v>288</v>
      </c>
      <c r="O23" s="101"/>
      <c r="P23" s="100" t="s">
        <v>287</v>
      </c>
      <c r="Q23" s="109"/>
      <c r="R23" s="98"/>
      <c r="S23" s="98"/>
    </row>
    <row r="24" spans="2:19">
      <c r="B24" s="93">
        <f t="shared" si="0"/>
        <v>20</v>
      </c>
      <c r="C24" s="106" t="str">
        <f>'참여기업 멘토'!B3</f>
        <v>황강연</v>
      </c>
      <c r="D24" s="178" t="str">
        <f>'참여기업 멘토'!I3</f>
        <v>카카오뱅크</v>
      </c>
      <c r="E24" s="106" t="str">
        <f>'참여기업 멘토'!J3</f>
        <v>3333-02-4507450</v>
      </c>
      <c r="F24" s="94" t="str">
        <f>D24&amp;" "&amp;E24</f>
        <v>카카오뱅크 3333-02-4507450</v>
      </c>
      <c r="G24" s="177" t="str">
        <f>'참여기업 멘토'!H3</f>
        <v>750921-1120012</v>
      </c>
      <c r="H24" s="105">
        <v>1027500</v>
      </c>
      <c r="I24" s="104" t="str">
        <f>'사전직무,운영기관,일경험 정보'!$C$9</f>
        <v>2024.12.23</v>
      </c>
      <c r="J24" s="103" t="str">
        <f>'사전직무,운영기관,일경험 정보'!$C$10</f>
        <v>2024.12.30</v>
      </c>
      <c r="K24" s="103">
        <f>'사전직무,운영기관,일경험 정보'!$C$23</f>
        <v>0</v>
      </c>
      <c r="L24" s="103">
        <f>'사전직무,운영기관,일경험 정보'!$C$24</f>
        <v>0</v>
      </c>
      <c r="M24" s="103">
        <v>45575</v>
      </c>
      <c r="N24" s="102" t="s">
        <v>288</v>
      </c>
      <c r="O24" s="101"/>
      <c r="P24" s="100" t="s">
        <v>287</v>
      </c>
      <c r="Q24" s="99"/>
      <c r="R24" s="98"/>
      <c r="S24" s="98"/>
    </row>
    <row r="25" spans="2:19">
      <c r="B25" s="93">
        <f t="shared" si="0"/>
        <v>21</v>
      </c>
      <c r="C25" s="107"/>
      <c r="D25" s="107"/>
      <c r="E25" s="106"/>
      <c r="F25" s="94"/>
      <c r="G25" s="95"/>
      <c r="H25" s="108"/>
      <c r="I25" s="104"/>
      <c r="J25" s="103"/>
      <c r="K25" s="103"/>
      <c r="L25" s="103"/>
      <c r="M25" s="103"/>
      <c r="N25" s="102"/>
      <c r="O25" s="101"/>
      <c r="P25" s="100"/>
      <c r="Q25" s="99"/>
      <c r="R25" s="98"/>
      <c r="S25" s="98"/>
    </row>
    <row r="26" spans="2:19">
      <c r="B26" s="93">
        <f t="shared" si="0"/>
        <v>22</v>
      </c>
      <c r="C26" s="107"/>
      <c r="D26" s="107"/>
      <c r="E26" s="106"/>
      <c r="F26" s="94"/>
      <c r="G26" s="94"/>
      <c r="H26" s="105"/>
      <c r="I26" s="104"/>
      <c r="J26" s="103"/>
      <c r="K26" s="103"/>
      <c r="L26" s="103"/>
      <c r="M26" s="103"/>
      <c r="N26" s="102"/>
      <c r="O26" s="101"/>
      <c r="P26" s="100"/>
      <c r="Q26" s="99"/>
      <c r="R26" s="98"/>
      <c r="S26" s="98"/>
    </row>
    <row r="27" spans="2:19">
      <c r="B27" s="97"/>
      <c r="C27" s="94"/>
      <c r="D27" s="94"/>
      <c r="E27" s="96" t="s">
        <v>286</v>
      </c>
      <c r="F27" s="94"/>
      <c r="G27" s="94"/>
      <c r="H27" s="94"/>
      <c r="I27" s="94"/>
      <c r="J27" s="94"/>
      <c r="K27" s="94"/>
      <c r="L27" s="94"/>
      <c r="M27" s="94"/>
      <c r="N27" s="95"/>
      <c r="O27" s="95"/>
      <c r="P27" s="95"/>
      <c r="Q27" s="94"/>
      <c r="R27" s="89"/>
      <c r="S27" s="89"/>
    </row>
    <row r="28" spans="2:19">
      <c r="B28" s="93" t="s">
        <v>285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2"/>
      <c r="O28" s="91"/>
      <c r="P28" s="90"/>
      <c r="Q28" s="90"/>
      <c r="R28" s="89">
        <f>SUM(R5:R27)</f>
        <v>0</v>
      </c>
      <c r="S28" s="88" t="s">
        <v>284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7A37-3515-44F1-903A-8249F1F47939}">
  <sheetPr>
    <tabColor theme="9" tint="-0.499984740745262"/>
    <pageSetUpPr fitToPage="1"/>
  </sheetPr>
  <dimension ref="B1:AV31"/>
  <sheetViews>
    <sheetView showGridLines="0" zoomScaleNormal="100" workbookViewId="0">
      <pane xSplit="4" ySplit="9" topLeftCell="E10" activePane="bottomRight" state="frozen"/>
      <selection pane="topRight" activeCell="E1" sqref="E1"/>
      <selection pane="bottomLeft" activeCell="A7" sqref="A7"/>
      <selection pane="bottomRight" activeCell="C25" sqref="C25"/>
    </sheetView>
  </sheetViews>
  <sheetFormatPr defaultRowHeight="16.5"/>
  <cols>
    <col min="1" max="1" width="0.625" style="87" customWidth="1"/>
    <col min="2" max="2" width="3.5" style="87" customWidth="1"/>
    <col min="3" max="3" width="12" style="87" bestFit="1" customWidth="1"/>
    <col min="4" max="4" width="14.5" style="87" customWidth="1"/>
    <col min="5" max="7" width="6.25" style="87" customWidth="1"/>
    <col min="8" max="11" width="8.25" style="87" customWidth="1"/>
    <col min="12" max="12" width="7.25" style="87" customWidth="1"/>
    <col min="13" max="14" width="6.25" style="87" customWidth="1"/>
    <col min="15" max="16" width="10.75" style="87" customWidth="1"/>
    <col min="17" max="18" width="8.25" style="87" customWidth="1"/>
    <col min="19" max="19" width="6.25" style="87" customWidth="1"/>
    <col min="20" max="20" width="9.375" style="87" customWidth="1"/>
    <col min="21" max="21" width="10.25" style="87" customWidth="1"/>
    <col min="22" max="25" width="8.25" style="87" customWidth="1"/>
    <col min="26" max="28" width="6.25" style="87" customWidth="1"/>
    <col min="29" max="32" width="8.25" style="87" customWidth="1"/>
    <col min="33" max="34" width="12.625" style="87" customWidth="1"/>
    <col min="35" max="35" width="24.5" style="87" customWidth="1"/>
    <col min="36" max="36" width="11.25" style="87" customWidth="1"/>
    <col min="37" max="37" width="11.625" style="87" customWidth="1"/>
    <col min="38" max="38" width="16.125" style="87" customWidth="1"/>
    <col min="39" max="39" width="11.375" style="131" customWidth="1"/>
    <col min="40" max="41" width="9" style="87"/>
    <col min="42" max="42" width="2.375" style="87" customWidth="1"/>
    <col min="43" max="43" width="25.5" style="87" customWidth="1"/>
    <col min="44" max="44" width="10.5" style="87" customWidth="1"/>
    <col min="45" max="46" width="12.5" style="87" customWidth="1"/>
    <col min="47" max="47" width="12.25" style="87" customWidth="1"/>
    <col min="48" max="48" width="12" style="87" customWidth="1"/>
    <col min="49" max="49" width="8.75" style="87" bestFit="1" customWidth="1"/>
    <col min="50" max="50" width="14" style="87" customWidth="1"/>
    <col min="51" max="51" width="9.5" style="87" bestFit="1" customWidth="1"/>
    <col min="52" max="16384" width="9" style="87"/>
  </cols>
  <sheetData>
    <row r="1" spans="2:48" ht="5.45" customHeight="1" thickBot="1"/>
    <row r="2" spans="2:48" ht="35.25">
      <c r="B2" s="130" t="s">
        <v>309</v>
      </c>
      <c r="C2" s="128"/>
      <c r="AQ2" s="132" t="s">
        <v>310</v>
      </c>
      <c r="AR2" s="133" t="s">
        <v>311</v>
      </c>
      <c r="AS2" s="134" t="s">
        <v>312</v>
      </c>
      <c r="AT2" s="135" t="s">
        <v>313</v>
      </c>
      <c r="AU2" s="136" t="s">
        <v>314</v>
      </c>
      <c r="AV2" s="137" t="s">
        <v>315</v>
      </c>
    </row>
    <row r="3" spans="2:48" ht="18" customHeight="1">
      <c r="B3" s="129" t="s">
        <v>316</v>
      </c>
      <c r="C3" s="128"/>
      <c r="AQ3" s="138" t="s">
        <v>317</v>
      </c>
      <c r="AR3" s="139">
        <v>0.8</v>
      </c>
      <c r="AS3" s="140">
        <v>35</v>
      </c>
      <c r="AT3" s="141">
        <v>5</v>
      </c>
      <c r="AU3" s="142">
        <v>5</v>
      </c>
      <c r="AV3" s="143">
        <v>37500</v>
      </c>
    </row>
    <row r="4" spans="2:48" ht="18" customHeight="1">
      <c r="C4" s="128" t="s">
        <v>318</v>
      </c>
      <c r="D4" s="144" t="s">
        <v>319</v>
      </c>
      <c r="E4" s="144"/>
      <c r="F4" s="144"/>
      <c r="G4" s="144"/>
      <c r="H4" s="144"/>
      <c r="I4" s="144"/>
      <c r="M4" s="128" t="s">
        <v>320</v>
      </c>
      <c r="N4" s="144" t="s">
        <v>321</v>
      </c>
      <c r="O4" s="144"/>
      <c r="P4" s="144"/>
      <c r="S4" s="128" t="s">
        <v>322</v>
      </c>
      <c r="T4" s="145">
        <f>AS3*10000</f>
        <v>350000</v>
      </c>
      <c r="U4" s="87" t="s">
        <v>323</v>
      </c>
      <c r="AA4" s="128" t="s">
        <v>324</v>
      </c>
      <c r="AB4" s="144">
        <v>4</v>
      </c>
      <c r="AC4" s="87" t="s">
        <v>325</v>
      </c>
      <c r="AI4" s="128"/>
      <c r="AJ4" s="146"/>
      <c r="AQ4" s="138" t="s">
        <v>326</v>
      </c>
      <c r="AR4" s="139">
        <v>0.7</v>
      </c>
      <c r="AS4" s="140">
        <v>31</v>
      </c>
      <c r="AT4" s="141">
        <v>0</v>
      </c>
      <c r="AU4" s="142">
        <v>5</v>
      </c>
      <c r="AV4" s="143">
        <v>33200</v>
      </c>
    </row>
    <row r="5" spans="2:48" ht="18" customHeight="1">
      <c r="C5" s="128" t="s">
        <v>327</v>
      </c>
      <c r="D5" s="144" t="s">
        <v>328</v>
      </c>
      <c r="E5" s="144"/>
      <c r="F5" s="144"/>
      <c r="G5" s="144"/>
      <c r="H5" s="144"/>
      <c r="I5" s="144"/>
      <c r="M5" s="128" t="s">
        <v>329</v>
      </c>
      <c r="N5" s="144"/>
      <c r="O5" s="144"/>
      <c r="P5" s="144"/>
      <c r="S5" s="128" t="s">
        <v>330</v>
      </c>
      <c r="T5" s="145">
        <f>AU3*10000</f>
        <v>50000</v>
      </c>
      <c r="U5" s="87" t="s">
        <v>323</v>
      </c>
      <c r="AA5" s="128" t="s">
        <v>331</v>
      </c>
      <c r="AB5" s="144" t="s">
        <v>332</v>
      </c>
      <c r="AC5" s="144"/>
      <c r="AD5" s="144"/>
      <c r="AE5" s="144"/>
      <c r="AF5" s="144"/>
      <c r="AG5" s="144"/>
      <c r="AH5" s="144"/>
      <c r="AQ5" s="138" t="s">
        <v>333</v>
      </c>
      <c r="AR5" s="139">
        <v>0.6</v>
      </c>
      <c r="AS5" s="140">
        <v>24</v>
      </c>
      <c r="AT5" s="141">
        <v>0</v>
      </c>
      <c r="AU5" s="142">
        <v>4</v>
      </c>
      <c r="AV5" s="143">
        <v>25700</v>
      </c>
    </row>
    <row r="6" spans="2:48" ht="21.75" customHeight="1" thickBot="1">
      <c r="B6" s="147"/>
      <c r="S6" s="128" t="s">
        <v>334</v>
      </c>
      <c r="T6" s="145">
        <f>AT3*10000</f>
        <v>50000</v>
      </c>
      <c r="U6" s="87" t="s">
        <v>323</v>
      </c>
      <c r="AQ6" s="138" t="s">
        <v>335</v>
      </c>
      <c r="AR6" s="139">
        <v>0.5</v>
      </c>
      <c r="AS6" s="140">
        <v>21</v>
      </c>
      <c r="AT6" s="141">
        <v>0</v>
      </c>
      <c r="AU6" s="142">
        <v>4</v>
      </c>
      <c r="AV6" s="143">
        <v>22500</v>
      </c>
    </row>
    <row r="7" spans="2:48" ht="21.75" customHeight="1" thickTop="1" thickBot="1">
      <c r="D7" s="148" t="s">
        <v>336</v>
      </c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50">
        <v>33460000</v>
      </c>
      <c r="P7" s="150"/>
      <c r="Q7" s="151" t="s">
        <v>336</v>
      </c>
      <c r="R7" s="151"/>
      <c r="S7" s="151"/>
      <c r="T7" s="151"/>
      <c r="U7" s="152">
        <v>5300000</v>
      </c>
      <c r="Z7" s="153" t="s">
        <v>337</v>
      </c>
      <c r="AA7" s="154" t="b">
        <f>AG31=O7</f>
        <v>0</v>
      </c>
      <c r="AB7" s="154" t="b">
        <f>AJ31=U7</f>
        <v>0</v>
      </c>
      <c r="AQ7" s="138" t="s">
        <v>338</v>
      </c>
      <c r="AR7" s="139">
        <v>0.4</v>
      </c>
      <c r="AS7" s="140">
        <v>18</v>
      </c>
      <c r="AT7" s="141">
        <v>0</v>
      </c>
      <c r="AU7" s="142">
        <v>3</v>
      </c>
      <c r="AV7" s="143">
        <v>19200</v>
      </c>
    </row>
    <row r="8" spans="2:48" ht="23.25" customHeight="1" thickTop="1" thickBot="1">
      <c r="E8" s="155" t="s">
        <v>339</v>
      </c>
      <c r="F8" s="155"/>
      <c r="G8" s="155"/>
      <c r="H8" s="155"/>
      <c r="I8" s="155"/>
      <c r="J8" s="155"/>
      <c r="K8" s="155"/>
      <c r="L8" s="155" t="s">
        <v>340</v>
      </c>
      <c r="M8" s="155"/>
      <c r="N8" s="155"/>
      <c r="O8" s="155"/>
      <c r="P8" s="155"/>
      <c r="Q8" s="155"/>
      <c r="R8" s="155"/>
      <c r="S8" s="155" t="s">
        <v>341</v>
      </c>
      <c r="T8" s="155"/>
      <c r="U8" s="155"/>
      <c r="V8" s="155"/>
      <c r="W8" s="155"/>
      <c r="X8" s="155"/>
      <c r="Y8" s="155"/>
      <c r="Z8" s="155" t="s">
        <v>342</v>
      </c>
      <c r="AA8" s="155"/>
      <c r="AB8" s="155"/>
      <c r="AC8" s="155"/>
      <c r="AD8" s="155"/>
      <c r="AE8" s="155"/>
      <c r="AF8" s="155"/>
      <c r="AG8" s="155" t="s">
        <v>343</v>
      </c>
      <c r="AH8" s="155"/>
      <c r="AI8" s="155"/>
      <c r="AJ8" s="155"/>
      <c r="AK8" s="155"/>
      <c r="AL8" s="155"/>
      <c r="AM8" s="156"/>
      <c r="AQ8" s="157" t="s">
        <v>344</v>
      </c>
      <c r="AR8" s="158">
        <v>0.2</v>
      </c>
      <c r="AS8" s="159">
        <v>14</v>
      </c>
      <c r="AT8" s="160">
        <v>0</v>
      </c>
      <c r="AU8" s="161">
        <v>3</v>
      </c>
      <c r="AV8" s="162">
        <v>15000</v>
      </c>
    </row>
    <row r="9" spans="2:48">
      <c r="B9" s="126" t="s">
        <v>306</v>
      </c>
      <c r="C9" s="126" t="s">
        <v>345</v>
      </c>
      <c r="D9" s="126" t="s">
        <v>346</v>
      </c>
      <c r="E9" s="163" t="s">
        <v>347</v>
      </c>
      <c r="F9" s="163" t="s">
        <v>348</v>
      </c>
      <c r="G9" s="163" t="s">
        <v>349</v>
      </c>
      <c r="H9" s="163" t="s">
        <v>350</v>
      </c>
      <c r="I9" s="163" t="s">
        <v>313</v>
      </c>
      <c r="J9" s="163" t="s">
        <v>351</v>
      </c>
      <c r="K9" s="163" t="s">
        <v>352</v>
      </c>
      <c r="L9" s="163" t="s">
        <v>347</v>
      </c>
      <c r="M9" s="163" t="s">
        <v>348</v>
      </c>
      <c r="N9" s="163" t="s">
        <v>349</v>
      </c>
      <c r="O9" s="163" t="s">
        <v>350</v>
      </c>
      <c r="P9" s="163" t="s">
        <v>313</v>
      </c>
      <c r="Q9" s="163" t="s">
        <v>351</v>
      </c>
      <c r="R9" s="163" t="s">
        <v>352</v>
      </c>
      <c r="S9" s="163" t="s">
        <v>347</v>
      </c>
      <c r="T9" s="163" t="s">
        <v>348</v>
      </c>
      <c r="U9" s="163" t="s">
        <v>349</v>
      </c>
      <c r="V9" s="163" t="s">
        <v>350</v>
      </c>
      <c r="W9" s="163" t="s">
        <v>313</v>
      </c>
      <c r="X9" s="163" t="s">
        <v>351</v>
      </c>
      <c r="Y9" s="163" t="s">
        <v>352</v>
      </c>
      <c r="Z9" s="163" t="s">
        <v>347</v>
      </c>
      <c r="AA9" s="163" t="s">
        <v>348</v>
      </c>
      <c r="AB9" s="163" t="s">
        <v>349</v>
      </c>
      <c r="AC9" s="163" t="s">
        <v>350</v>
      </c>
      <c r="AD9" s="163" t="s">
        <v>313</v>
      </c>
      <c r="AE9" s="163" t="s">
        <v>351</v>
      </c>
      <c r="AF9" s="163" t="s">
        <v>352</v>
      </c>
      <c r="AG9" s="126" t="s">
        <v>353</v>
      </c>
      <c r="AH9" s="163" t="s">
        <v>313</v>
      </c>
      <c r="AI9" s="126" t="s">
        <v>354</v>
      </c>
      <c r="AJ9" s="126" t="s">
        <v>355</v>
      </c>
      <c r="AK9" s="126" t="s">
        <v>356</v>
      </c>
      <c r="AL9" s="163" t="s">
        <v>357</v>
      </c>
      <c r="AM9" s="163" t="s">
        <v>352</v>
      </c>
      <c r="AN9" s="126" t="s">
        <v>358</v>
      </c>
      <c r="AO9" s="126" t="s">
        <v>359</v>
      </c>
    </row>
    <row r="10" spans="2:48">
      <c r="B10" s="93">
        <v>1</v>
      </c>
      <c r="C10" s="173" t="str">
        <f>계좌!C5</f>
        <v>김성재</v>
      </c>
      <c r="D10" s="107" t="str">
        <f>계좌!N5</f>
        <v>㈜쇼우테크</v>
      </c>
      <c r="E10" s="107">
        <v>25</v>
      </c>
      <c r="F10" s="107">
        <v>25</v>
      </c>
      <c r="G10" s="164">
        <f>IFERROR(E10/F10, 0)</f>
        <v>1</v>
      </c>
      <c r="H10" s="165">
        <f t="shared" ref="H10:H29" si="0">IF($G10&gt;=$AR$3,$AS$3,IF($G10&gt;=$AR$4,$AS$4,IF($G10&gt;=$AR$5,$AS$5,IF($G10&gt;=$AR$6,$AS$6,IF($G10&gt;=$AR$7,$AS$7,IF($G10&gt;=$AR$8,$AS$8,0))))))*10000</f>
        <v>350000</v>
      </c>
      <c r="I10" s="165">
        <f>IF(AND(COUNTIFS(계좌!C:C, C10, 계좌!P:P, "체류비") &gt; 0),
    IF($G10&gt;=$AR$3,$AT$3,IF($G10&gt;=$AR$4,$AT$4,IF($G10&gt;=$AR$5,$AT$5,IF($G10&gt;=$AR$6,$AT$6,IF($G10&gt;=$AR$7,$AT$7,IF($G10&gt;=$AR$8,$AT$8,0))))))*10000,
    0)</f>
        <v>0</v>
      </c>
      <c r="J10" s="165">
        <f>IF($G10&gt;=$AR$3,$AU$3,IF($G10&gt;=$AR$4,$AU$4,IF($G10&gt;=$AR$5,$AU$5,IF($G10&gt;=$AR$6,$AU$6,IF($G10&gt;=$AR$7,$AU$7,IF($G10&gt;=$AR$8,$AU$8,0))))))*10000</f>
        <v>50000</v>
      </c>
      <c r="K10" s="165">
        <f>IF(G10&gt;=$AR$3,$AV$3,IF(G10&gt;=$AR$4,$AV$4,IF(G10&gt;=$AR$5,$AV$5,IF(G10&gt;=$AR$6,$AV$6,IF(G10&gt;=$AR$7,$AV$7,IF(G10&gt;=$AR$8,$AV$8,0))))))</f>
        <v>37500</v>
      </c>
      <c r="L10" s="107">
        <v>25</v>
      </c>
      <c r="M10" s="107">
        <v>25</v>
      </c>
      <c r="N10" s="164">
        <f>IFERROR(L10/M10, 0)</f>
        <v>1</v>
      </c>
      <c r="O10" s="165">
        <f t="shared" ref="O10:O29" si="1">IF($N10&gt;=$AR$3,$AS$3,IF($N10&gt;=$AR$4,$AS$4,IF($N10&gt;=$AR$5,$AS$5,IF($N10&gt;=$AR$6,$AS$6,IF($N10&gt;=$AR$7,$AS$7,IF($N10&gt;=$AR$8,$AS$8,0))))))*10000</f>
        <v>350000</v>
      </c>
      <c r="P10" s="165">
        <f>IF(AND(COUNTIFS(계좌!C:C, C10, 계좌!P:P, "체류비") &gt; 0),
    IF($N10&gt;=$AR$3,$AT$3,IF($N10&gt;=$AR$4,$AT$4,IF($N10&gt;=$AR$5,$AT$5,IF($N10&gt;=$AR$6,$AT$6,IF($N10&gt;=$AR$7,$AT$7,IF($N10&gt;=$AR$8,$AT$8,0))))))*10000,
    0)</f>
        <v>0</v>
      </c>
      <c r="Q10" s="165">
        <f t="shared" ref="Q10:Q29" si="2">IF($N10&gt;=$AR$3,$AU$3,IF($N10&gt;=$AR$4,$AU$4,IF($N10&gt;=$AR$5,$AU$5,IF($N10&gt;=$AR$6,$AU$6,IF($N10&gt;=$AR$7,$AU$7,IF($N10&gt;=$AR$8,$AU$8,0))))))*10000</f>
        <v>50000</v>
      </c>
      <c r="R10" s="165">
        <f>IF(N10&gt;=$AR$3,$AV$3,IF(N10&gt;=$AR$4,$AV$4,IF(N10&gt;=$AR$5,$AV$5,IF(N10&gt;=$AR$6,$AV$6,IF(N10&gt;=$AR$7,$AV$7,IF(N10&gt;=$AR$8,$AV$8,0))))))</f>
        <v>37500</v>
      </c>
      <c r="S10" s="107">
        <v>25</v>
      </c>
      <c r="T10" s="107">
        <v>25</v>
      </c>
      <c r="U10" s="164">
        <f>IFERROR(S10/T10, 0)</f>
        <v>1</v>
      </c>
      <c r="V10" s="165">
        <f t="shared" ref="V10:V29" si="3">IF($U10&gt;=$AR$3,$AS$3,IF($U10&gt;=$AR$4,$AS$4,IF($U10&gt;=$AR$5,$AS$5,IF($U10&gt;=$AR$6,$AS$6,IF($U10&gt;=$AR$7,$AS$7,IF($U10&gt;=$AR$8,$AS$8,0))))))*10000</f>
        <v>350000</v>
      </c>
      <c r="W10" s="165">
        <f>IF(AND(COUNTIFS(계좌!C:C, C10, 계좌!P:P, "체류비") &gt; 0),
    IF($U10&gt;=$AR$3,$AT$3,IF($U10&gt;=$AR$4,$AT$4,IF($U10&gt;=$AR$5,$AT$5,IF($U10&gt;=$AR$6,$AT$6,IF($U10&gt;=$AR$7,$AT$7,IF($U10&gt;=$AR$8,$AT$8,0))))))*10000,
    0)</f>
        <v>0</v>
      </c>
      <c r="X10" s="165">
        <f t="shared" ref="X10:X29" si="4">IF($U10&gt;=$AR$3,$AU$3,IF($U10&gt;=$AR$4,$AU$4,IF($U10&gt;=$AR$5,$AU$5,IF($U10&gt;=$AR$6,$AU$6,IF($U10&gt;=$AR$7,$AU$7,IF($U10&gt;=$AR$8,$AU$8,0))))))*10000</f>
        <v>50000</v>
      </c>
      <c r="Y10" s="165">
        <f>IF(U10&gt;=$AR$3,$AV$3,IF(U10&gt;=$AR$4,$AV$4,IF(U10&gt;=$AR$5,$AV$5,IF(U10&gt;=$AR$6,$AV$6,IF(U10&gt;=$AR$7,$AV$7,IF(U10&gt;=$AR$8,$AV$8,0))))))</f>
        <v>37500</v>
      </c>
      <c r="Z10" s="107">
        <v>25</v>
      </c>
      <c r="AA10" s="107">
        <v>25</v>
      </c>
      <c r="AB10" s="164">
        <f>IFERROR(Z10/AA10, 0)</f>
        <v>1</v>
      </c>
      <c r="AC10" s="165">
        <f t="shared" ref="AC10:AC29" si="5">IF($AB10&gt;=$AR$3,$AS$3,IF($AB10&gt;=$AR$4,$AS$4,IF($AB10&gt;=$AR$5,$AS$5,IF($AB10&gt;=$AR$6,$AS$6,IF($AB10&gt;=$AR$7,$AS$7,IF($AB10&gt;=$AR$8,$AS$8,0))))))*10000</f>
        <v>350000</v>
      </c>
      <c r="AD10" s="165">
        <f>IF(AND(COUNTIFS(계좌!C:C, C10, 계좌!P:P, "체류비") &gt; 0),
    IF($AB10&gt;=$AR$3,$AT$3,IF($AB10&gt;=$AR$4,$AT$4,IF($AB10&gt;=$AR$5,$AT$5,IF($AB10&gt;=$AR$6,$AT$6,IF($AB10&gt;=$AR$7,$AT$7,IF($AB10&gt;=$AR$8,$AT$8,0))))))*10000,
    0)</f>
        <v>0</v>
      </c>
      <c r="AE10" s="165">
        <f t="shared" ref="AE10:AE29" si="6">IF($AB10&gt;=$AR$3,$AU$3,IF($AB10&gt;=$AR$4,$AU$4,IF($AB10&gt;=$AR$5,$AU$5,IF($AB10&gt;=$AR$6,$AU$6,IF($AB10&gt;=$AR$7,$AU$7,IF($AB10&gt;=$AR$8,$AU$8,0))))))*10000</f>
        <v>50000</v>
      </c>
      <c r="AF10" s="165">
        <f>IF(AB10&gt;=$AR$3,$AV$3,IF(AB10&gt;=$AR$4,$AV$4,IF(AB10&gt;=$AR$5,$AV$5,IF(AB10&gt;=$AR$6,$AV$6,IF(AB10&gt;=$AR$7,$AV$7,IF(AB10&gt;=$AR$8,$AV$8,0))))))</f>
        <v>37500</v>
      </c>
      <c r="AG10" s="165">
        <f>SUM(H10,O10,V10,AC10)</f>
        <v>1400000</v>
      </c>
      <c r="AH10" s="166">
        <f>SUM(I10,P10,W10,AD10)</f>
        <v>0</v>
      </c>
      <c r="AI10" s="167" t="str">
        <f>VLOOKUP($C10,계좌!$C$5:$F$19,4,0)</f>
        <v>우리은행 1002-263-075614</v>
      </c>
      <c r="AJ10" s="165">
        <f>SUM(J10,Q10,X10,AE10)</f>
        <v>200000</v>
      </c>
      <c r="AK10" s="165">
        <f t="shared" ref="AK10:AK29" si="7">SUMIF($D$10:$D$30,$D10,$AJ$10:$AJ$30)</f>
        <v>3000000</v>
      </c>
      <c r="AL10" s="167" t="str">
        <f>VLOOKUP($D10,계좌!$C$22:$F$26,4,0)</f>
        <v>00은행 00-000-0000</v>
      </c>
      <c r="AM10" s="168">
        <f>SUM(K10,R10,Y10,AF10)</f>
        <v>150000</v>
      </c>
      <c r="AN10" s="169">
        <f>SUM(E10,L10,S10,Z10)/SUM(F10,M10,T10,AA10)</f>
        <v>1</v>
      </c>
      <c r="AO10" s="170"/>
    </row>
    <row r="11" spans="2:48" ht="16.5" customHeight="1">
      <c r="B11" s="93">
        <v>2</v>
      </c>
      <c r="C11" s="173" t="str">
        <f>계좌!C6</f>
        <v>박동기</v>
      </c>
      <c r="D11" s="107" t="str">
        <f>계좌!N6</f>
        <v>㈜쇼우테크</v>
      </c>
      <c r="E11" s="107">
        <v>25</v>
      </c>
      <c r="F11" s="94">
        <f>$F$10</f>
        <v>25</v>
      </c>
      <c r="G11" s="164">
        <f t="shared" ref="G11:G14" si="8">IFERROR(E11/F11, 0)</f>
        <v>1</v>
      </c>
      <c r="H11" s="165">
        <f t="shared" si="0"/>
        <v>350000</v>
      </c>
      <c r="I11" s="165">
        <f>IF(AND(COUNTIFS(계좌!C:C, C11, 계좌!P:P, "체류비") &gt; 0),
    IF($G11&gt;=$AR$3,$AT$3,IF($G11&gt;=$AR$4,$AT$4,IF($G11&gt;=$AR$5,$AT$5,IF($G11&gt;=$AR$6,$AT$6,IF($G11&gt;=$AR$7,$AT$7,IF($G11&gt;=$AR$8,$AT$8,0))))))*10000,
    0)</f>
        <v>0</v>
      </c>
      <c r="J11" s="165">
        <f t="shared" ref="J11:J16" si="9">IF($G11&gt;=$AR$3,$AU$3,IF($G11&gt;=$AR$4,$AU$4,IF($G11&gt;=$AR$5,$AU$5,IF($G11&gt;=$AR$6,$AU$6,IF($G11&gt;=$AR$7,$AU$7,IF($G11&gt;=$AR$8,$AU$8,0))))))*10000</f>
        <v>50000</v>
      </c>
      <c r="K11" s="165">
        <f t="shared" ref="K11:K16" si="10">IF($G11&gt;=$AR$3,$AV$3,IF($G11&gt;=$AR$4,$AV$4,IF($G11&gt;=$AR$5,$AV$5,IF($G11&gt;=$AR$6,$AV$6,IF($G11&gt;=$AR$7,$AV$7,IF($G11&gt;=$AR$8,$AV$8,0))))))</f>
        <v>37500</v>
      </c>
      <c r="L11" s="107">
        <v>25</v>
      </c>
      <c r="M11" s="94">
        <f>$F$10</f>
        <v>25</v>
      </c>
      <c r="N11" s="164">
        <f t="shared" ref="N11:N16" si="11">IFERROR(L11/M11, 0)</f>
        <v>1</v>
      </c>
      <c r="O11" s="165">
        <f t="shared" si="1"/>
        <v>350000</v>
      </c>
      <c r="P11" s="165">
        <f>IF(AND(COUNTIFS(계좌!C:C, C11, 계좌!P:P, "체류비") &gt; 0),
    IF($N11&gt;=$AR$3,$AT$3,IF($N11&gt;=$AR$4,$AT$4,IF($N11&gt;=$AR$5,$AT$5,IF($N11&gt;=$AR$6,$AT$6,IF($N11&gt;=$AR$7,$AT$7,IF($N11&gt;=$AR$8,$AT$8,0))))))*10000,
    0)</f>
        <v>0</v>
      </c>
      <c r="Q11" s="165">
        <f t="shared" si="2"/>
        <v>50000</v>
      </c>
      <c r="R11" s="165">
        <f t="shared" ref="R11:R16" si="12">IF(N11&gt;=$AR$3,$AV$3,IF(N11&gt;=$AR$4,$AV$4,IF(N11&gt;=$AR$5,$AV$5,IF(N11&gt;=$AR$6,$AV$6,IF(N11&gt;=$AR$7,$AV$7,IF(N11&gt;=$AR$8,$AV$8,0))))))</f>
        <v>37500</v>
      </c>
      <c r="S11" s="107">
        <v>25</v>
      </c>
      <c r="T11" s="94">
        <f t="shared" ref="T11:T29" si="13">$F$10</f>
        <v>25</v>
      </c>
      <c r="U11" s="164">
        <f>IFERROR(S11/T11, 0)</f>
        <v>1</v>
      </c>
      <c r="V11" s="165">
        <f t="shared" si="3"/>
        <v>350000</v>
      </c>
      <c r="W11" s="165">
        <f>IF(AND(COUNTIFS(계좌!C:C, C11, 계좌!P:P, "체류비") &gt; 0),
    IF($U11&gt;=$AR$3,$AT$3,IF($U11&gt;=$AR$4,$AT$4,IF($U11&gt;=$AR$5,$AT$5,IF($U11&gt;=$AR$6,$AT$6,IF($U11&gt;=$AR$7,$AT$7,IF($U11&gt;=$AR$8,$AT$8,0))))))*10000,
    0)</f>
        <v>0</v>
      </c>
      <c r="X11" s="165">
        <f>IF($U11&gt;=$AR$3,$AU$3,IF($U11&gt;=$AR$4,$AU$4,IF($U11&gt;=$AR$5,$AU$5,IF($U11&gt;=$AR$6,$AU$6,IF($U11&gt;=$AR$7,$AU$7,IF($U11&gt;=$AR$8,$AU$8,0))))))*10000</f>
        <v>50000</v>
      </c>
      <c r="Y11" s="165">
        <f t="shared" ref="Y11:Y16" si="14">IF(U11&gt;=$AR$3,$AV$3,IF(U11&gt;=$AR$4,$AV$4,IF(U11&gt;=$AR$5,$AV$5,IF(U11&gt;=$AR$6,$AV$6,IF(U11&gt;=$AR$7,$AV$7,IF(U11&gt;=$AR$8,$AV$8,0))))))</f>
        <v>37500</v>
      </c>
      <c r="Z11" s="107">
        <v>25</v>
      </c>
      <c r="AA11" s="94">
        <f t="shared" ref="AA11:AA29" si="15">$F$10</f>
        <v>25</v>
      </c>
      <c r="AB11" s="164">
        <f t="shared" ref="AB11:AB16" si="16">IFERROR(Z11/AA11, 0)</f>
        <v>1</v>
      </c>
      <c r="AC11" s="165">
        <f t="shared" si="5"/>
        <v>350000</v>
      </c>
      <c r="AD11" s="165">
        <f>IF(AND(COUNTIFS(계좌!C:C, C11, 계좌!P:P, "체류비") &gt; 0),
    IF($AB11&gt;=$AR$3,$AT$3,IF($AB11&gt;=$AR$4,$AT$4,IF($AB11&gt;=$AR$5,$AT$5,IF($AB11&gt;=$AR$6,$AT$6,IF($AB11&gt;=$AR$7,$AT$7,IF($AB11&gt;=$AR$8,$AT$8,0))))))*10000,
    0)</f>
        <v>0</v>
      </c>
      <c r="AE11" s="165">
        <f t="shared" si="6"/>
        <v>50000</v>
      </c>
      <c r="AF11" s="165">
        <f t="shared" ref="AF11:AF16" si="17">IF(AB11&gt;=$AR$3,$AV$3,IF(AB11&gt;=$AR$4,$AV$4,IF(AB11&gt;=$AR$5,$AV$5,IF(AB11&gt;=$AR$6,$AV$6,IF(AB11&gt;=$AR$7,$AV$7,IF(AB11&gt;=$AR$8,$AV$8,0))))))</f>
        <v>37500</v>
      </c>
      <c r="AG11" s="165">
        <f t="shared" ref="AG11:AG16" si="18">SUM(H11,O11,V11,AC11)</f>
        <v>1400000</v>
      </c>
      <c r="AH11" s="166">
        <f t="shared" ref="AH11:AH16" si="19">SUM(I11,P11,W11,AD11)</f>
        <v>0</v>
      </c>
      <c r="AI11" s="167" t="str">
        <f>VLOOKUP($C11,계좌!$C$5:$F$19,4,0)</f>
        <v>신한은행 110-309-305274</v>
      </c>
      <c r="AJ11" s="165">
        <f t="shared" ref="AJ11:AJ16" si="20">SUM(J11,Q11,X11,AE11)</f>
        <v>200000</v>
      </c>
      <c r="AK11" s="165">
        <f t="shared" si="7"/>
        <v>3000000</v>
      </c>
      <c r="AL11" s="167" t="str">
        <f>VLOOKUP($D11,계좌!$C$20:$F$26,4,0)</f>
        <v>00은행 00-000-0000</v>
      </c>
      <c r="AM11" s="168">
        <f t="shared" ref="AM11:AM16" si="21">SUM(K11,R11,Y11,AF11)</f>
        <v>150000</v>
      </c>
      <c r="AN11" s="169">
        <f t="shared" ref="AN11:AN16" si="22">SUM(E11,L11,S11,Z11)/SUM(F11,M11,T11,AA11)</f>
        <v>1</v>
      </c>
      <c r="AO11" s="170"/>
      <c r="AV11" s="171"/>
    </row>
    <row r="12" spans="2:48">
      <c r="B12" s="93">
        <v>3</v>
      </c>
      <c r="C12" s="173" t="str">
        <f>계좌!C7</f>
        <v>양승호</v>
      </c>
      <c r="D12" s="107" t="str">
        <f>계좌!N7</f>
        <v>㈜쇼우테크</v>
      </c>
      <c r="E12" s="107">
        <v>25</v>
      </c>
      <c r="F12" s="94">
        <f t="shared" ref="F12:F29" si="23">$F$10</f>
        <v>25</v>
      </c>
      <c r="G12" s="164">
        <f t="shared" si="8"/>
        <v>1</v>
      </c>
      <c r="H12" s="165">
        <f t="shared" si="0"/>
        <v>350000</v>
      </c>
      <c r="I12" s="165">
        <f>IF(AND(COUNTIFS(계좌!C:C, C12, 계좌!P:P, "체류비") &gt; 0),
    IF($G12&gt;=$AR$3,$AT$3,IF($G12&gt;=$AR$4,$AT$4,IF($G12&gt;=$AR$5,$AT$5,IF($G12&gt;=$AR$6,$AT$6,IF($G12&gt;=$AR$7,$AT$7,IF($G12&gt;=$AR$8,$AT$8,0))))))*10000,
    0)</f>
        <v>0</v>
      </c>
      <c r="J12" s="165">
        <f t="shared" si="9"/>
        <v>50000</v>
      </c>
      <c r="K12" s="165">
        <f t="shared" si="10"/>
        <v>37500</v>
      </c>
      <c r="L12" s="107">
        <v>25</v>
      </c>
      <c r="M12" s="94">
        <f t="shared" ref="M12:M29" si="24">$F$10</f>
        <v>25</v>
      </c>
      <c r="N12" s="164">
        <f t="shared" si="11"/>
        <v>1</v>
      </c>
      <c r="O12" s="165">
        <f t="shared" si="1"/>
        <v>350000</v>
      </c>
      <c r="P12" s="165">
        <f>IF(AND(COUNTIFS(계좌!C:C, C12, 계좌!P:P, "체류비") &gt; 0),
    IF($N12&gt;=$AR$3,$AT$3,IF($N12&gt;=$AR$4,$AT$4,IF($N12&gt;=$AR$5,$AT$5,IF($N12&gt;=$AR$6,$AT$6,IF($N12&gt;=$AR$7,$AT$7,IF($N12&gt;=$AR$8,$AT$8,0))))))*10000,
    0)</f>
        <v>0</v>
      </c>
      <c r="Q12" s="165">
        <f t="shared" si="2"/>
        <v>50000</v>
      </c>
      <c r="R12" s="165">
        <f t="shared" si="12"/>
        <v>37500</v>
      </c>
      <c r="S12" s="107">
        <v>25</v>
      </c>
      <c r="T12" s="94">
        <f t="shared" si="13"/>
        <v>25</v>
      </c>
      <c r="U12" s="164">
        <f t="shared" ref="U12:U16" si="25">IFERROR(S12/T12, 0)</f>
        <v>1</v>
      </c>
      <c r="V12" s="165">
        <f t="shared" si="3"/>
        <v>350000</v>
      </c>
      <c r="W12" s="165">
        <f>IF(AND(COUNTIFS(계좌!C:C, C12, 계좌!P:P, "체류비") &gt; 0),
    IF($U12&gt;=$AR$3,$AT$3,IF($U12&gt;=$AR$4,$AT$4,IF($U12&gt;=$AR$5,$AT$5,IF($U12&gt;=$AR$6,$AT$6,IF($U12&gt;=$AR$7,$AT$7,IF($U12&gt;=$AR$8,$AT$8,0))))))*10000,
    0)</f>
        <v>0</v>
      </c>
      <c r="X12" s="165">
        <f t="shared" si="4"/>
        <v>50000</v>
      </c>
      <c r="Y12" s="165">
        <f t="shared" si="14"/>
        <v>37500</v>
      </c>
      <c r="Z12" s="107">
        <v>25</v>
      </c>
      <c r="AA12" s="94">
        <f t="shared" si="15"/>
        <v>25</v>
      </c>
      <c r="AB12" s="164">
        <f t="shared" si="16"/>
        <v>1</v>
      </c>
      <c r="AC12" s="165">
        <f t="shared" si="5"/>
        <v>350000</v>
      </c>
      <c r="AD12" s="165">
        <f>IF(AND(COUNTIFS(계좌!C:C, C12, 계좌!P:P, "체류비") &gt; 0),
    IF($AB12&gt;=$AR$3,$AT$3,IF($AB12&gt;=$AR$4,$AT$4,IF($AB12&gt;=$AR$5,$AT$5,IF($AB12&gt;=$AR$6,$AT$6,IF($AB12&gt;=$AR$7,$AT$7,IF($AB12&gt;=$AR$8,$AT$8,0))))))*10000,
    0)</f>
        <v>0</v>
      </c>
      <c r="AE12" s="165">
        <f t="shared" si="6"/>
        <v>50000</v>
      </c>
      <c r="AF12" s="165">
        <f t="shared" si="17"/>
        <v>37500</v>
      </c>
      <c r="AG12" s="165">
        <f t="shared" si="18"/>
        <v>1400000</v>
      </c>
      <c r="AH12" s="166">
        <f t="shared" si="19"/>
        <v>0</v>
      </c>
      <c r="AI12" s="167" t="str">
        <f>VLOOKUP($C12,계좌!$C$5:$F$19,4,0)</f>
        <v>국민은행 876701-01-175499</v>
      </c>
      <c r="AJ12" s="165">
        <f t="shared" si="20"/>
        <v>200000</v>
      </c>
      <c r="AK12" s="165">
        <f t="shared" si="7"/>
        <v>3000000</v>
      </c>
      <c r="AL12" s="167" t="str">
        <f>VLOOKUP($D12,계좌!$C$20:$F$26,4,0)</f>
        <v>00은행 00-000-0000</v>
      </c>
      <c r="AM12" s="168">
        <f t="shared" si="21"/>
        <v>150000</v>
      </c>
      <c r="AN12" s="169">
        <f t="shared" si="22"/>
        <v>1</v>
      </c>
      <c r="AO12" s="98"/>
      <c r="AV12" s="171"/>
    </row>
    <row r="13" spans="2:48">
      <c r="B13" s="93">
        <v>4</v>
      </c>
      <c r="C13" s="173" t="str">
        <f>계좌!C8</f>
        <v>김정수</v>
      </c>
      <c r="D13" s="107" t="str">
        <f>계좌!N8</f>
        <v>㈜쇼우테크</v>
      </c>
      <c r="E13" s="107">
        <v>25</v>
      </c>
      <c r="F13" s="94">
        <f t="shared" si="23"/>
        <v>25</v>
      </c>
      <c r="G13" s="164">
        <f t="shared" si="8"/>
        <v>1</v>
      </c>
      <c r="H13" s="165">
        <f t="shared" si="0"/>
        <v>350000</v>
      </c>
      <c r="I13" s="165">
        <f>IF(AND(COUNTIFS(계좌!C:C, C13, 계좌!P:P, "체류비") &gt; 0),
    IF($G13&gt;=$AR$3,$AT$3,IF($G13&gt;=$AR$4,$AT$4,IF($G13&gt;=$AR$5,$AT$5,IF($G13&gt;=$AR$6,$AT$6,IF($G13&gt;=$AR$7,$AT$7,IF($G13&gt;=$AR$8,$AT$8,0))))))*10000,
    0)</f>
        <v>0</v>
      </c>
      <c r="J13" s="165">
        <f t="shared" si="9"/>
        <v>50000</v>
      </c>
      <c r="K13" s="165">
        <f t="shared" si="10"/>
        <v>37500</v>
      </c>
      <c r="L13" s="107">
        <v>25</v>
      </c>
      <c r="M13" s="94">
        <f t="shared" si="24"/>
        <v>25</v>
      </c>
      <c r="N13" s="164">
        <f t="shared" si="11"/>
        <v>1</v>
      </c>
      <c r="O13" s="165">
        <f t="shared" si="1"/>
        <v>350000</v>
      </c>
      <c r="P13" s="165">
        <f>IF(AND(COUNTIFS(계좌!C:C, C13, 계좌!P:P, "체류비") &gt; 0),
    IF($N13&gt;=$AR$3,$AT$3,IF($N13&gt;=$AR$4,$AT$4,IF($N13&gt;=$AR$5,$AT$5,IF($N13&gt;=$AR$6,$AT$6,IF($N13&gt;=$AR$7,$AT$7,IF($N13&gt;=$AR$8,$AT$8,0))))))*10000,
    0)</f>
        <v>0</v>
      </c>
      <c r="Q13" s="165">
        <f t="shared" si="2"/>
        <v>50000</v>
      </c>
      <c r="R13" s="165">
        <f t="shared" si="12"/>
        <v>37500</v>
      </c>
      <c r="S13" s="107">
        <v>25</v>
      </c>
      <c r="T13" s="94">
        <f t="shared" si="13"/>
        <v>25</v>
      </c>
      <c r="U13" s="164">
        <f t="shared" si="25"/>
        <v>1</v>
      </c>
      <c r="V13" s="165">
        <f t="shared" si="3"/>
        <v>350000</v>
      </c>
      <c r="W13" s="165">
        <f>IF(AND(COUNTIFS(계좌!C:C, C13, 계좌!P:P, "체류비") &gt; 0),
    IF($U13&gt;=$AR$3,$AT$3,IF($U13&gt;=$AR$4,$AT$4,IF($U13&gt;=$AR$5,$AT$5,IF($U13&gt;=$AR$6,$AT$6,IF($U13&gt;=$AR$7,$AT$7,IF($U13&gt;=$AR$8,$AT$8,0))))))*10000,
    0)</f>
        <v>0</v>
      </c>
      <c r="X13" s="165">
        <f t="shared" si="4"/>
        <v>50000</v>
      </c>
      <c r="Y13" s="165">
        <f t="shared" si="14"/>
        <v>37500</v>
      </c>
      <c r="Z13" s="107">
        <v>25</v>
      </c>
      <c r="AA13" s="94">
        <f t="shared" si="15"/>
        <v>25</v>
      </c>
      <c r="AB13" s="164">
        <f t="shared" si="16"/>
        <v>1</v>
      </c>
      <c r="AC13" s="165">
        <f t="shared" si="5"/>
        <v>350000</v>
      </c>
      <c r="AD13" s="165">
        <f>IF(AND(COUNTIFS(계좌!C:C, C13, 계좌!P:P, "체류비") &gt; 0),
    IF($AB13&gt;=$AR$3,$AT$3,IF($AB13&gt;=$AR$4,$AT$4,IF($AB13&gt;=$AR$5,$AT$5,IF($AB13&gt;=$AR$6,$AT$6,IF($AB13&gt;=$AR$7,$AT$7,IF($AB13&gt;=$AR$8,$AT$8,0))))))*10000,
    0)</f>
        <v>0</v>
      </c>
      <c r="AE13" s="165">
        <f t="shared" si="6"/>
        <v>50000</v>
      </c>
      <c r="AF13" s="165">
        <f t="shared" si="17"/>
        <v>37500</v>
      </c>
      <c r="AG13" s="165">
        <f t="shared" si="18"/>
        <v>1400000</v>
      </c>
      <c r="AH13" s="166">
        <f t="shared" si="19"/>
        <v>0</v>
      </c>
      <c r="AI13" s="167" t="str">
        <f>VLOOKUP($C13,계좌!$C$5:$F$19,4,0)</f>
        <v>IBK기업은행 982-002303-01-016</v>
      </c>
      <c r="AJ13" s="165">
        <f t="shared" si="20"/>
        <v>200000</v>
      </c>
      <c r="AK13" s="165">
        <f t="shared" si="7"/>
        <v>3000000</v>
      </c>
      <c r="AL13" s="167" t="str">
        <f>VLOOKUP($D13,계좌!$C$20:$F$26,4,0)</f>
        <v>00은행 00-000-0000</v>
      </c>
      <c r="AM13" s="168">
        <f t="shared" si="21"/>
        <v>150000</v>
      </c>
      <c r="AN13" s="169">
        <f t="shared" si="22"/>
        <v>1</v>
      </c>
      <c r="AO13" s="98"/>
      <c r="AV13" s="171"/>
    </row>
    <row r="14" spans="2:48">
      <c r="B14" s="93">
        <v>5</v>
      </c>
      <c r="C14" s="173" t="str">
        <f>계좌!C9</f>
        <v>류예지</v>
      </c>
      <c r="D14" s="107" t="str">
        <f>계좌!N9</f>
        <v>㈜쇼우테크</v>
      </c>
      <c r="E14" s="107">
        <v>25</v>
      </c>
      <c r="F14" s="94">
        <f t="shared" si="23"/>
        <v>25</v>
      </c>
      <c r="G14" s="164">
        <f t="shared" si="8"/>
        <v>1</v>
      </c>
      <c r="H14" s="165">
        <f t="shared" si="0"/>
        <v>350000</v>
      </c>
      <c r="I14" s="165">
        <f>IF(AND(COUNTIFS(계좌!C:C, C14, 계좌!P:P, "체류비") &gt; 0),
    IF($G14&gt;=$AR$3,$AT$3,IF($G14&gt;=$AR$4,$AT$4,IF($G14&gt;=$AR$5,$AT$5,IF($G14&gt;=$AR$6,$AT$6,IF($G14&gt;=$AR$7,$AT$7,IF($G14&gt;=$AR$8,$AT$8,0))))))*10000,
    0)</f>
        <v>0</v>
      </c>
      <c r="J14" s="165">
        <f t="shared" si="9"/>
        <v>50000</v>
      </c>
      <c r="K14" s="165">
        <f t="shared" si="10"/>
        <v>37500</v>
      </c>
      <c r="L14" s="107">
        <v>25</v>
      </c>
      <c r="M14" s="94">
        <f t="shared" si="24"/>
        <v>25</v>
      </c>
      <c r="N14" s="164">
        <f t="shared" si="11"/>
        <v>1</v>
      </c>
      <c r="O14" s="165">
        <f t="shared" si="1"/>
        <v>350000</v>
      </c>
      <c r="P14" s="165">
        <f>IF(AND(COUNTIFS(계좌!C:C, C14, 계좌!P:P, "체류비") &gt; 0),
    IF($N14&gt;=$AR$3,$AT$3,IF($N14&gt;=$AR$4,$AT$4,IF($N14&gt;=$AR$5,$AT$5,IF($N14&gt;=$AR$6,$AT$6,IF($N14&gt;=$AR$7,$AT$7,IF($N14&gt;=$AR$8,$AT$8,0))))))*10000,
    0)</f>
        <v>0</v>
      </c>
      <c r="Q14" s="165">
        <f t="shared" si="2"/>
        <v>50000</v>
      </c>
      <c r="R14" s="165">
        <f t="shared" si="12"/>
        <v>37500</v>
      </c>
      <c r="S14" s="107">
        <v>25</v>
      </c>
      <c r="T14" s="94">
        <f t="shared" si="13"/>
        <v>25</v>
      </c>
      <c r="U14" s="164">
        <f t="shared" si="25"/>
        <v>1</v>
      </c>
      <c r="V14" s="165">
        <f t="shared" si="3"/>
        <v>350000</v>
      </c>
      <c r="W14" s="165">
        <f>IF(AND(COUNTIFS(계좌!C:C, C14, 계좌!P:P, "체류비") &gt; 0),
    IF($U14&gt;=$AR$3,$AT$3,IF($U14&gt;=$AR$4,$AT$4,IF($U14&gt;=$AR$5,$AT$5,IF($U14&gt;=$AR$6,$AT$6,IF($U14&gt;=$AR$7,$AT$7,IF($U14&gt;=$AR$8,$AT$8,0))))))*10000,
    0)</f>
        <v>0</v>
      </c>
      <c r="X14" s="165">
        <f t="shared" si="4"/>
        <v>50000</v>
      </c>
      <c r="Y14" s="165">
        <f t="shared" si="14"/>
        <v>37500</v>
      </c>
      <c r="Z14" s="107">
        <v>25</v>
      </c>
      <c r="AA14" s="94">
        <f t="shared" si="15"/>
        <v>25</v>
      </c>
      <c r="AB14" s="164">
        <f t="shared" si="16"/>
        <v>1</v>
      </c>
      <c r="AC14" s="165">
        <f t="shared" si="5"/>
        <v>350000</v>
      </c>
      <c r="AD14" s="165">
        <f>IF(AND(COUNTIFS(계좌!C:C, C14, 계좌!P:P, "체류비") &gt; 0),
    IF($AB14&gt;=$AR$3,$AT$3,IF($AB14&gt;=$AR$4,$AT$4,IF($AB14&gt;=$AR$5,$AT$5,IF($AB14&gt;=$AR$6,$AT$6,IF($AB14&gt;=$AR$7,$AT$7,IF($AB14&gt;=$AR$8,$AT$8,0))))))*10000,
    0)</f>
        <v>0</v>
      </c>
      <c r="AE14" s="165">
        <f t="shared" si="6"/>
        <v>50000</v>
      </c>
      <c r="AF14" s="165">
        <f t="shared" si="17"/>
        <v>37500</v>
      </c>
      <c r="AG14" s="165">
        <f t="shared" si="18"/>
        <v>1400000</v>
      </c>
      <c r="AH14" s="166">
        <f t="shared" si="19"/>
        <v>0</v>
      </c>
      <c r="AI14" s="167" t="str">
        <f>VLOOKUP($C14,계좌!$C$5:$F$19,4,0)</f>
        <v>부산은행 112-2187-0758-08</v>
      </c>
      <c r="AJ14" s="165">
        <f t="shared" si="20"/>
        <v>200000</v>
      </c>
      <c r="AK14" s="165">
        <f t="shared" si="7"/>
        <v>3000000</v>
      </c>
      <c r="AL14" s="167" t="str">
        <f>VLOOKUP($D14,계좌!$C$20:$F$26,4,0)</f>
        <v>00은행 00-000-0000</v>
      </c>
      <c r="AM14" s="168">
        <f t="shared" si="21"/>
        <v>150000</v>
      </c>
      <c r="AN14" s="169">
        <f t="shared" si="22"/>
        <v>1</v>
      </c>
      <c r="AO14" s="98"/>
      <c r="AV14" s="171"/>
    </row>
    <row r="15" spans="2:48">
      <c r="B15" s="93">
        <v>6</v>
      </c>
      <c r="C15" s="173" t="str">
        <f>계좌!C10</f>
        <v>김나현</v>
      </c>
      <c r="D15" s="107" t="str">
        <f>계좌!N10</f>
        <v>㈜쇼우테크</v>
      </c>
      <c r="E15" s="107">
        <v>25</v>
      </c>
      <c r="F15" s="94">
        <f t="shared" si="23"/>
        <v>25</v>
      </c>
      <c r="G15" s="164">
        <f>IFERROR(E15/F15, 0)</f>
        <v>1</v>
      </c>
      <c r="H15" s="165">
        <f t="shared" si="0"/>
        <v>350000</v>
      </c>
      <c r="I15" s="165">
        <f>IF(AND(COUNTIFS(계좌!C:C, C15, 계좌!P:P, "체류비") &gt; 0),
    IF($G15&gt;=$AR$3,$AT$3,IF($G15&gt;=$AR$4,$AT$4,IF($G15&gt;=$AR$5,$AT$5,IF($G15&gt;=$AR$6,$AT$6,IF($G15&gt;=$AR$7,$AT$7,IF($G15&gt;=$AR$8,$AT$8,0))))))*10000,
    0)</f>
        <v>0</v>
      </c>
      <c r="J15" s="165">
        <f t="shared" si="9"/>
        <v>50000</v>
      </c>
      <c r="K15" s="165">
        <f t="shared" si="10"/>
        <v>37500</v>
      </c>
      <c r="L15" s="107">
        <v>25</v>
      </c>
      <c r="M15" s="94">
        <f t="shared" si="24"/>
        <v>25</v>
      </c>
      <c r="N15" s="164">
        <f t="shared" si="11"/>
        <v>1</v>
      </c>
      <c r="O15" s="165">
        <f t="shared" si="1"/>
        <v>350000</v>
      </c>
      <c r="P15" s="165">
        <f>IF(AND(COUNTIFS(계좌!C:C, C15, 계좌!P:P, "체류비") &gt; 0),
    IF($N15&gt;=$AR$3,$AT$3,IF($N15&gt;=$AR$4,$AT$4,IF($N15&gt;=$AR$5,$AT$5,IF($N15&gt;=$AR$6,$AT$6,IF($N15&gt;=$AR$7,$AT$7,IF($N15&gt;=$AR$8,$AT$8,0))))))*10000,
    0)</f>
        <v>0</v>
      </c>
      <c r="Q15" s="165">
        <f t="shared" si="2"/>
        <v>50000</v>
      </c>
      <c r="R15" s="165">
        <f t="shared" si="12"/>
        <v>37500</v>
      </c>
      <c r="S15" s="107">
        <v>25</v>
      </c>
      <c r="T15" s="94">
        <f t="shared" si="13"/>
        <v>25</v>
      </c>
      <c r="U15" s="164">
        <f t="shared" si="25"/>
        <v>1</v>
      </c>
      <c r="V15" s="165">
        <f t="shared" si="3"/>
        <v>350000</v>
      </c>
      <c r="W15" s="165">
        <f>IF(AND(COUNTIFS(계좌!C:C, C15, 계좌!P:P, "체류비") &gt; 0),
    IF($U15&gt;=$AR$3,$AT$3,IF($U15&gt;=$AR$4,$AT$4,IF($U15&gt;=$AR$5,$AT$5,IF($U15&gt;=$AR$6,$AT$6,IF($U15&gt;=$AR$7,$AT$7,IF($U15&gt;=$AR$8,$AT$8,0))))))*10000,
    0)</f>
        <v>0</v>
      </c>
      <c r="X15" s="165">
        <f t="shared" si="4"/>
        <v>50000</v>
      </c>
      <c r="Y15" s="165">
        <f t="shared" si="14"/>
        <v>37500</v>
      </c>
      <c r="Z15" s="107">
        <v>25</v>
      </c>
      <c r="AA15" s="94">
        <f t="shared" si="15"/>
        <v>25</v>
      </c>
      <c r="AB15" s="164">
        <f t="shared" si="16"/>
        <v>1</v>
      </c>
      <c r="AC15" s="165">
        <f t="shared" si="5"/>
        <v>350000</v>
      </c>
      <c r="AD15" s="165">
        <f>IF(AND(COUNTIFS(계좌!C:C, C15, 계좌!P:P, "체류비") &gt; 0),
    IF($AB15&gt;=$AR$3,$AT$3,IF($AB15&gt;=$AR$4,$AT$4,IF($AB15&gt;=$AR$5,$AT$5,IF($AB15&gt;=$AR$6,$AT$6,IF($AB15&gt;=$AR$7,$AT$7,IF($AB15&gt;=$AR$8,$AT$8,0))))))*10000,
    0)</f>
        <v>0</v>
      </c>
      <c r="AE15" s="165">
        <f t="shared" si="6"/>
        <v>50000</v>
      </c>
      <c r="AF15" s="165">
        <f t="shared" si="17"/>
        <v>37500</v>
      </c>
      <c r="AG15" s="165">
        <f t="shared" si="18"/>
        <v>1400000</v>
      </c>
      <c r="AH15" s="166">
        <f t="shared" si="19"/>
        <v>0</v>
      </c>
      <c r="AI15" s="167" t="str">
        <f>VLOOKUP($C15,계좌!$C$5:$F$19,4,0)</f>
        <v>카카오뱅크 3333-28-1012968</v>
      </c>
      <c r="AJ15" s="165">
        <f t="shared" si="20"/>
        <v>200000</v>
      </c>
      <c r="AK15" s="165">
        <f t="shared" si="7"/>
        <v>3000000</v>
      </c>
      <c r="AL15" s="167" t="str">
        <f>VLOOKUP($D15,계좌!$C$20:$F$26,4,0)</f>
        <v>00은행 00-000-0000</v>
      </c>
      <c r="AM15" s="168">
        <f t="shared" si="21"/>
        <v>150000</v>
      </c>
      <c r="AN15" s="169">
        <f t="shared" si="22"/>
        <v>1</v>
      </c>
      <c r="AO15" s="98"/>
      <c r="AV15" s="171"/>
    </row>
    <row r="16" spans="2:48">
      <c r="B16" s="93">
        <v>7</v>
      </c>
      <c r="C16" s="173" t="str">
        <f>계좌!C11</f>
        <v>김소정</v>
      </c>
      <c r="D16" s="107" t="str">
        <f>계좌!N11</f>
        <v>㈜쇼우테크</v>
      </c>
      <c r="E16" s="107">
        <v>25</v>
      </c>
      <c r="F16" s="94">
        <f t="shared" si="23"/>
        <v>25</v>
      </c>
      <c r="G16" s="164">
        <f t="shared" ref="G16" si="26">IFERROR(E16/F16, 0)</f>
        <v>1</v>
      </c>
      <c r="H16" s="165">
        <f t="shared" si="0"/>
        <v>350000</v>
      </c>
      <c r="I16" s="165">
        <f>IF(AND(COUNTIFS(계좌!C:C, C16, 계좌!P:P, "체류비") &gt; 0),
    IF($G16&gt;=$AR$3,$AT$3,IF($G16&gt;=$AR$4,$AT$4,IF($G16&gt;=$AR$5,$AT$5,IF($G16&gt;=$AR$6,$AT$6,IF($G16&gt;=$AR$7,$AT$7,IF($G16&gt;=$AR$8,$AT$8,0))))))*10000,
    0)</f>
        <v>0</v>
      </c>
      <c r="J16" s="165">
        <f t="shared" si="9"/>
        <v>50000</v>
      </c>
      <c r="K16" s="165">
        <f t="shared" si="10"/>
        <v>37500</v>
      </c>
      <c r="L16" s="107">
        <v>25</v>
      </c>
      <c r="M16" s="94">
        <f t="shared" si="24"/>
        <v>25</v>
      </c>
      <c r="N16" s="164">
        <f t="shared" si="11"/>
        <v>1</v>
      </c>
      <c r="O16" s="165">
        <f t="shared" si="1"/>
        <v>350000</v>
      </c>
      <c r="P16" s="165">
        <f>IF(AND(COUNTIFS(계좌!C:C, C16, 계좌!P:P, "체류비") &gt; 0),
    IF($N16&gt;=$AR$3,$AT$3,IF($N16&gt;=$AR$4,$AT$4,IF($N16&gt;=$AR$5,$AT$5,IF($N16&gt;=$AR$6,$AT$6,IF($N16&gt;=$AR$7,$AT$7,IF($N16&gt;=$AR$8,$AT$8,0))))))*10000,
    0)</f>
        <v>0</v>
      </c>
      <c r="Q16" s="165">
        <f t="shared" si="2"/>
        <v>50000</v>
      </c>
      <c r="R16" s="165">
        <f t="shared" si="12"/>
        <v>37500</v>
      </c>
      <c r="S16" s="107">
        <v>25</v>
      </c>
      <c r="T16" s="94">
        <f t="shared" si="13"/>
        <v>25</v>
      </c>
      <c r="U16" s="164">
        <f t="shared" si="25"/>
        <v>1</v>
      </c>
      <c r="V16" s="165">
        <f t="shared" si="3"/>
        <v>350000</v>
      </c>
      <c r="W16" s="165">
        <f>IF(AND(COUNTIFS(계좌!C:C, C16, 계좌!P:P, "체류비") &gt; 0),
    IF($U16&gt;=$AR$3,$AT$3,IF($U16&gt;=$AR$4,$AT$4,IF($U16&gt;=$AR$5,$AT$5,IF($U16&gt;=$AR$6,$AT$6,IF($U16&gt;=$AR$7,$AT$7,IF($U16&gt;=$AR$8,$AT$8,0))))))*10000,
    0)</f>
        <v>0</v>
      </c>
      <c r="X16" s="165">
        <f t="shared" si="4"/>
        <v>50000</v>
      </c>
      <c r="Y16" s="165">
        <f t="shared" si="14"/>
        <v>37500</v>
      </c>
      <c r="Z16" s="107">
        <v>25</v>
      </c>
      <c r="AA16" s="94">
        <f t="shared" si="15"/>
        <v>25</v>
      </c>
      <c r="AB16" s="164">
        <f t="shared" si="16"/>
        <v>1</v>
      </c>
      <c r="AC16" s="165">
        <f t="shared" si="5"/>
        <v>350000</v>
      </c>
      <c r="AD16" s="165">
        <f>IF(AND(COUNTIFS(계좌!C:C, C16, 계좌!P:P, "체류비") &gt; 0),
    IF($AB16&gt;=$AR$3,$AT$3,IF($AB16&gt;=$AR$4,$AT$4,IF($AB16&gt;=$AR$5,$AT$5,IF($AB16&gt;=$AR$6,$AT$6,IF($AB16&gt;=$AR$7,$AT$7,IF($AB16&gt;=$AR$8,$AT$8,0))))))*10000,
    0)</f>
        <v>0</v>
      </c>
      <c r="AE16" s="165">
        <f t="shared" si="6"/>
        <v>50000</v>
      </c>
      <c r="AF16" s="165">
        <f t="shared" si="17"/>
        <v>37500</v>
      </c>
      <c r="AG16" s="165">
        <f t="shared" si="18"/>
        <v>1400000</v>
      </c>
      <c r="AH16" s="166">
        <f t="shared" si="19"/>
        <v>0</v>
      </c>
      <c r="AI16" s="167" t="str">
        <f>VLOOKUP($C16,계좌!$C$5:$F$19,4,0)</f>
        <v>토스뱅크 1000-6732-6365</v>
      </c>
      <c r="AJ16" s="165">
        <f t="shared" si="20"/>
        <v>200000</v>
      </c>
      <c r="AK16" s="165">
        <f t="shared" si="7"/>
        <v>3000000</v>
      </c>
      <c r="AL16" s="167" t="str">
        <f>VLOOKUP($D16,계좌!$C$20:$F$26,4,0)</f>
        <v>00은행 00-000-0000</v>
      </c>
      <c r="AM16" s="168">
        <f t="shared" si="21"/>
        <v>150000</v>
      </c>
      <c r="AN16" s="169">
        <f t="shared" si="22"/>
        <v>1</v>
      </c>
      <c r="AO16" s="98"/>
      <c r="AV16" s="171"/>
    </row>
    <row r="17" spans="2:48" ht="16.5" customHeight="1">
      <c r="B17" s="93">
        <v>8</v>
      </c>
      <c r="C17" s="173" t="str">
        <f>계좌!C12</f>
        <v>박소희</v>
      </c>
      <c r="D17" s="107" t="str">
        <f>계좌!N12</f>
        <v>㈜쇼우테크</v>
      </c>
      <c r="E17" s="107">
        <v>25</v>
      </c>
      <c r="F17" s="94">
        <f t="shared" si="23"/>
        <v>25</v>
      </c>
      <c r="G17" s="164">
        <f t="shared" ref="G17:G29" si="27">IFERROR(E17/F17, 0)</f>
        <v>1</v>
      </c>
      <c r="H17" s="165">
        <f t="shared" si="0"/>
        <v>350000</v>
      </c>
      <c r="I17" s="165">
        <f>IF(AND(COUNTIFS(계좌!C:C, C17, 계좌!P:P, "체류비") &gt; 0),
    IF($G17&gt;=$AR$3,$AT$3,IF($G17&gt;=$AR$4,$AT$4,IF($G17&gt;=$AR$5,$AT$5,IF($G17&gt;=$AR$6,$AT$6,IF($G17&gt;=$AR$7,$AT$7,IF($G17&gt;=$AR$8,$AT$8,0))))))*10000,
    0)</f>
        <v>0</v>
      </c>
      <c r="J17" s="165">
        <f t="shared" ref="J17:J29" si="28">IF($G17&gt;=$AR$3,$AU$3,IF($G17&gt;=$AR$4,$AU$4,IF($G17&gt;=$AR$5,$AU$5,IF($G17&gt;=$AR$6,$AU$6,IF($G17&gt;=$AR$7,$AU$7,IF($G17&gt;=$AR$8,$AU$8,0))))))*10000</f>
        <v>50000</v>
      </c>
      <c r="K17" s="165">
        <f t="shared" ref="K17:K29" si="29">IF($G17&gt;=$AR$3,$AV$3,IF($G17&gt;=$AR$4,$AV$4,IF($G17&gt;=$AR$5,$AV$5,IF($G17&gt;=$AR$6,$AV$6,IF($G17&gt;=$AR$7,$AV$7,IF($G17&gt;=$AR$8,$AV$8,0))))))</f>
        <v>37500</v>
      </c>
      <c r="L17" s="107">
        <v>25</v>
      </c>
      <c r="M17" s="94">
        <f t="shared" si="24"/>
        <v>25</v>
      </c>
      <c r="N17" s="164">
        <f t="shared" ref="N17:N29" si="30">IFERROR(L17/M17, 0)</f>
        <v>1</v>
      </c>
      <c r="O17" s="165">
        <f t="shared" si="1"/>
        <v>350000</v>
      </c>
      <c r="P17" s="165">
        <f>IF(AND(COUNTIFS(계좌!C:C, C17, 계좌!P:P, "체류비") &gt; 0),
    IF($N17&gt;=$AR$3,$AT$3,IF($N17&gt;=$AR$4,$AT$4,IF($N17&gt;=$AR$5,$AT$5,IF($N17&gt;=$AR$6,$AT$6,IF($N17&gt;=$AR$7,$AT$7,IF($N17&gt;=$AR$8,$AT$8,0))))))*10000,
    0)</f>
        <v>0</v>
      </c>
      <c r="Q17" s="165">
        <f t="shared" si="2"/>
        <v>50000</v>
      </c>
      <c r="R17" s="165">
        <f t="shared" ref="R17:R29" si="31">IF(N17&gt;=$AR$3,$AV$3,IF(N17&gt;=$AR$4,$AV$4,IF(N17&gt;=$AR$5,$AV$5,IF(N17&gt;=$AR$6,$AV$6,IF(N17&gt;=$AR$7,$AV$7,IF(N17&gt;=$AR$8,$AV$8,0))))))</f>
        <v>37500</v>
      </c>
      <c r="S17" s="107">
        <v>25</v>
      </c>
      <c r="T17" s="94">
        <f t="shared" si="13"/>
        <v>25</v>
      </c>
      <c r="U17" s="164">
        <f>IFERROR(S17/T17, 0)</f>
        <v>1</v>
      </c>
      <c r="V17" s="165">
        <f t="shared" si="3"/>
        <v>350000</v>
      </c>
      <c r="W17" s="165">
        <f>IF(AND(COUNTIFS(계좌!C:C, C17, 계좌!P:P, "체류비") &gt; 0),
    IF($U17&gt;=$AR$3,$AT$3,IF($U17&gt;=$AR$4,$AT$4,IF($U17&gt;=$AR$5,$AT$5,IF($U17&gt;=$AR$6,$AT$6,IF($U17&gt;=$AR$7,$AT$7,IF($U17&gt;=$AR$8,$AT$8,0))))))*10000,
    0)</f>
        <v>0</v>
      </c>
      <c r="X17" s="165">
        <f>IF($U17&gt;=$AR$3,$AU$3,IF($U17&gt;=$AR$4,$AU$4,IF($U17&gt;=$AR$5,$AU$5,IF($U17&gt;=$AR$6,$AU$6,IF($U17&gt;=$AR$7,$AU$7,IF($U17&gt;=$AR$8,$AU$8,0))))))*10000</f>
        <v>50000</v>
      </c>
      <c r="Y17" s="165">
        <f t="shared" ref="Y17:Y29" si="32">IF(U17&gt;=$AR$3,$AV$3,IF(U17&gt;=$AR$4,$AV$4,IF(U17&gt;=$AR$5,$AV$5,IF(U17&gt;=$AR$6,$AV$6,IF(U17&gt;=$AR$7,$AV$7,IF(U17&gt;=$AR$8,$AV$8,0))))))</f>
        <v>37500</v>
      </c>
      <c r="Z17" s="107">
        <v>25</v>
      </c>
      <c r="AA17" s="94">
        <f t="shared" si="15"/>
        <v>25</v>
      </c>
      <c r="AB17" s="164">
        <f t="shared" ref="AB17:AB29" si="33">IFERROR(Z17/AA17, 0)</f>
        <v>1</v>
      </c>
      <c r="AC17" s="165">
        <f t="shared" si="5"/>
        <v>350000</v>
      </c>
      <c r="AD17" s="165">
        <f>IF(AND(COUNTIFS(계좌!C:C, C17, 계좌!P:P, "체류비") &gt; 0),
    IF($AB17&gt;=$AR$3,$AT$3,IF($AB17&gt;=$AR$4,$AT$4,IF($AB17&gt;=$AR$5,$AT$5,IF($AB17&gt;=$AR$6,$AT$6,IF($AB17&gt;=$AR$7,$AT$7,IF($AB17&gt;=$AR$8,$AT$8,0))))))*10000,
    0)</f>
        <v>0</v>
      </c>
      <c r="AE17" s="165">
        <f t="shared" si="6"/>
        <v>50000</v>
      </c>
      <c r="AF17" s="165">
        <f t="shared" ref="AF17:AF29" si="34">IF(AB17&gt;=$AR$3,$AV$3,IF(AB17&gt;=$AR$4,$AV$4,IF(AB17&gt;=$AR$5,$AV$5,IF(AB17&gt;=$AR$6,$AV$6,IF(AB17&gt;=$AR$7,$AV$7,IF(AB17&gt;=$AR$8,$AV$8,0))))))</f>
        <v>37500</v>
      </c>
      <c r="AG17" s="165">
        <f t="shared" ref="AG17:AH29" si="35">SUM(H17,O17,V17,AC17)</f>
        <v>1400000</v>
      </c>
      <c r="AH17" s="166">
        <f t="shared" si="35"/>
        <v>0</v>
      </c>
      <c r="AI17" s="167" t="str">
        <f>VLOOKUP($C17,계좌!$C$5:$F$19,4,0)</f>
        <v>NH농협 302-1901-2348-31</v>
      </c>
      <c r="AJ17" s="165">
        <f t="shared" ref="AJ17:AJ29" si="36">SUM(J17,Q17,X17,AE17)</f>
        <v>200000</v>
      </c>
      <c r="AK17" s="165">
        <f t="shared" si="7"/>
        <v>3000000</v>
      </c>
      <c r="AL17" s="167" t="str">
        <f>VLOOKUP($D17,계좌!$C$20:$F$26,4,0)</f>
        <v>00은행 00-000-0000</v>
      </c>
      <c r="AM17" s="168">
        <f t="shared" ref="AM17:AM29" si="37">SUM(K17,R17,Y17,AF17)</f>
        <v>150000</v>
      </c>
      <c r="AN17" s="169">
        <f t="shared" ref="AN17:AN29" si="38">SUM(E17,L17,S17,Z17)/SUM(F17,M17,T17,AA17)</f>
        <v>1</v>
      </c>
      <c r="AO17" s="170"/>
      <c r="AV17" s="171"/>
    </row>
    <row r="18" spans="2:48">
      <c r="B18" s="93">
        <v>9</v>
      </c>
      <c r="C18" s="173" t="str">
        <f>계좌!C13</f>
        <v>신현수</v>
      </c>
      <c r="D18" s="107" t="str">
        <f>계좌!N13</f>
        <v>㈜쇼우테크</v>
      </c>
      <c r="E18" s="107">
        <v>25</v>
      </c>
      <c r="F18" s="94">
        <f t="shared" si="23"/>
        <v>25</v>
      </c>
      <c r="G18" s="164">
        <f t="shared" si="27"/>
        <v>1</v>
      </c>
      <c r="H18" s="165">
        <f t="shared" si="0"/>
        <v>350000</v>
      </c>
      <c r="I18" s="165">
        <f>IF(AND(COUNTIFS(계좌!C:C, C18, 계좌!P:P, "체류비") &gt; 0),
    IF($G18&gt;=$AR$3,$AT$3,IF($G18&gt;=$AR$4,$AT$4,IF($G18&gt;=$AR$5,$AT$5,IF($G18&gt;=$AR$6,$AT$6,IF($G18&gt;=$AR$7,$AT$7,IF($G18&gt;=$AR$8,$AT$8,0))))))*10000,
    0)</f>
        <v>0</v>
      </c>
      <c r="J18" s="165">
        <f t="shared" si="28"/>
        <v>50000</v>
      </c>
      <c r="K18" s="165">
        <f t="shared" si="29"/>
        <v>37500</v>
      </c>
      <c r="L18" s="107">
        <v>25</v>
      </c>
      <c r="M18" s="94">
        <f t="shared" si="24"/>
        <v>25</v>
      </c>
      <c r="N18" s="164">
        <f t="shared" si="30"/>
        <v>1</v>
      </c>
      <c r="O18" s="165">
        <f t="shared" si="1"/>
        <v>350000</v>
      </c>
      <c r="P18" s="165">
        <f>IF(AND(COUNTIFS(계좌!C:C, C18, 계좌!P:P, "체류비") &gt; 0),
    IF($N18&gt;=$AR$3,$AT$3,IF($N18&gt;=$AR$4,$AT$4,IF($N18&gt;=$AR$5,$AT$5,IF($N18&gt;=$AR$6,$AT$6,IF($N18&gt;=$AR$7,$AT$7,IF($N18&gt;=$AR$8,$AT$8,0))))))*10000,
    0)</f>
        <v>0</v>
      </c>
      <c r="Q18" s="165">
        <f t="shared" si="2"/>
        <v>50000</v>
      </c>
      <c r="R18" s="165">
        <f t="shared" si="31"/>
        <v>37500</v>
      </c>
      <c r="S18" s="107">
        <v>25</v>
      </c>
      <c r="T18" s="94">
        <f t="shared" si="13"/>
        <v>25</v>
      </c>
      <c r="U18" s="164">
        <f t="shared" ref="U18:U29" si="39">IFERROR(S18/T18, 0)</f>
        <v>1</v>
      </c>
      <c r="V18" s="165">
        <f t="shared" si="3"/>
        <v>350000</v>
      </c>
      <c r="W18" s="165">
        <f>IF(AND(COUNTIFS(계좌!C:C, C18, 계좌!P:P, "체류비") &gt; 0),
    IF($U18&gt;=$AR$3,$AT$3,IF($U18&gt;=$AR$4,$AT$4,IF($U18&gt;=$AR$5,$AT$5,IF($U18&gt;=$AR$6,$AT$6,IF($U18&gt;=$AR$7,$AT$7,IF($U18&gt;=$AR$8,$AT$8,0))))))*10000,
    0)</f>
        <v>0</v>
      </c>
      <c r="X18" s="165">
        <f t="shared" si="4"/>
        <v>50000</v>
      </c>
      <c r="Y18" s="165">
        <f t="shared" si="32"/>
        <v>37500</v>
      </c>
      <c r="Z18" s="107">
        <v>25</v>
      </c>
      <c r="AA18" s="94">
        <f t="shared" si="15"/>
        <v>25</v>
      </c>
      <c r="AB18" s="164">
        <f t="shared" si="33"/>
        <v>1</v>
      </c>
      <c r="AC18" s="165">
        <f t="shared" si="5"/>
        <v>350000</v>
      </c>
      <c r="AD18" s="165">
        <f>IF(AND(COUNTIFS(계좌!C:C, C18, 계좌!P:P, "체류비") &gt; 0),
    IF($AB18&gt;=$AR$3,$AT$3,IF($AB18&gt;=$AR$4,$AT$4,IF($AB18&gt;=$AR$5,$AT$5,IF($AB18&gt;=$AR$6,$AT$6,IF($AB18&gt;=$AR$7,$AT$7,IF($AB18&gt;=$AR$8,$AT$8,0))))))*10000,
    0)</f>
        <v>0</v>
      </c>
      <c r="AE18" s="165">
        <f t="shared" si="6"/>
        <v>50000</v>
      </c>
      <c r="AF18" s="165">
        <f t="shared" si="34"/>
        <v>37500</v>
      </c>
      <c r="AG18" s="165">
        <f t="shared" si="35"/>
        <v>1400000</v>
      </c>
      <c r="AH18" s="166">
        <f t="shared" si="35"/>
        <v>0</v>
      </c>
      <c r="AI18" s="167" t="str">
        <f>VLOOKUP($C18,계좌!$C$5:$F$19,4,0)</f>
        <v>케이뱅크 100-114-310196</v>
      </c>
      <c r="AJ18" s="165">
        <f t="shared" si="36"/>
        <v>200000</v>
      </c>
      <c r="AK18" s="165">
        <f t="shared" si="7"/>
        <v>3000000</v>
      </c>
      <c r="AL18" s="167" t="str">
        <f>VLOOKUP($D18,계좌!$C$20:$F$26,4,0)</f>
        <v>00은행 00-000-0000</v>
      </c>
      <c r="AM18" s="168">
        <f t="shared" si="37"/>
        <v>150000</v>
      </c>
      <c r="AN18" s="169">
        <f t="shared" si="38"/>
        <v>1</v>
      </c>
      <c r="AO18" s="98"/>
      <c r="AV18" s="171"/>
    </row>
    <row r="19" spans="2:48">
      <c r="B19" s="93">
        <v>10</v>
      </c>
      <c r="C19" s="173" t="str">
        <f>계좌!C14</f>
        <v>이형덕</v>
      </c>
      <c r="D19" s="107" t="str">
        <f>계좌!N14</f>
        <v>㈜쇼우테크</v>
      </c>
      <c r="E19" s="107">
        <v>25</v>
      </c>
      <c r="F19" s="94">
        <f t="shared" si="23"/>
        <v>25</v>
      </c>
      <c r="G19" s="164">
        <f t="shared" si="27"/>
        <v>1</v>
      </c>
      <c r="H19" s="165">
        <f t="shared" si="0"/>
        <v>350000</v>
      </c>
      <c r="I19" s="165">
        <f>IF(AND(COUNTIFS(계좌!C:C, C19, 계좌!P:P, "체류비") &gt; 0),
    IF($G19&gt;=$AR$3,$AT$3,IF($G19&gt;=$AR$4,$AT$4,IF($G19&gt;=$AR$5,$AT$5,IF($G19&gt;=$AR$6,$AT$6,IF($G19&gt;=$AR$7,$AT$7,IF($G19&gt;=$AR$8,$AT$8,0))))))*10000,
    0)</f>
        <v>0</v>
      </c>
      <c r="J19" s="165">
        <f t="shared" si="28"/>
        <v>50000</v>
      </c>
      <c r="K19" s="165">
        <f t="shared" si="29"/>
        <v>37500</v>
      </c>
      <c r="L19" s="107">
        <v>25</v>
      </c>
      <c r="M19" s="94">
        <f t="shared" si="24"/>
        <v>25</v>
      </c>
      <c r="N19" s="164">
        <f t="shared" si="30"/>
        <v>1</v>
      </c>
      <c r="O19" s="165">
        <f t="shared" si="1"/>
        <v>350000</v>
      </c>
      <c r="P19" s="165">
        <f>IF(AND(COUNTIFS(계좌!C:C, C19, 계좌!P:P, "체류비") &gt; 0),
    IF($N19&gt;=$AR$3,$AT$3,IF($N19&gt;=$AR$4,$AT$4,IF($N19&gt;=$AR$5,$AT$5,IF($N19&gt;=$AR$6,$AT$6,IF($N19&gt;=$AR$7,$AT$7,IF($N19&gt;=$AR$8,$AT$8,0))))))*10000,
    0)</f>
        <v>0</v>
      </c>
      <c r="Q19" s="165">
        <f t="shared" si="2"/>
        <v>50000</v>
      </c>
      <c r="R19" s="165">
        <f t="shared" si="31"/>
        <v>37500</v>
      </c>
      <c r="S19" s="107">
        <v>25</v>
      </c>
      <c r="T19" s="94">
        <f t="shared" si="13"/>
        <v>25</v>
      </c>
      <c r="U19" s="164">
        <f t="shared" si="39"/>
        <v>1</v>
      </c>
      <c r="V19" s="165">
        <f t="shared" si="3"/>
        <v>350000</v>
      </c>
      <c r="W19" s="165">
        <f>IF(AND(COUNTIFS(계좌!C:C, C19, 계좌!P:P, "체류비") &gt; 0),
    IF($U19&gt;=$AR$3,$AT$3,IF($U19&gt;=$AR$4,$AT$4,IF($U19&gt;=$AR$5,$AT$5,IF($U19&gt;=$AR$6,$AT$6,IF($U19&gt;=$AR$7,$AT$7,IF($U19&gt;=$AR$8,$AT$8,0))))))*10000,
    0)</f>
        <v>0</v>
      </c>
      <c r="X19" s="165">
        <f t="shared" si="4"/>
        <v>50000</v>
      </c>
      <c r="Y19" s="165">
        <f t="shared" si="32"/>
        <v>37500</v>
      </c>
      <c r="Z19" s="107">
        <v>25</v>
      </c>
      <c r="AA19" s="94">
        <f t="shared" si="15"/>
        <v>25</v>
      </c>
      <c r="AB19" s="164">
        <f t="shared" si="33"/>
        <v>1</v>
      </c>
      <c r="AC19" s="165">
        <f t="shared" si="5"/>
        <v>350000</v>
      </c>
      <c r="AD19" s="165">
        <f>IF(AND(COUNTIFS(계좌!C:C, C19, 계좌!P:P, "체류비") &gt; 0),
    IF($AB19&gt;=$AR$3,$AT$3,IF($AB19&gt;=$AR$4,$AT$4,IF($AB19&gt;=$AR$5,$AT$5,IF($AB19&gt;=$AR$6,$AT$6,IF($AB19&gt;=$AR$7,$AT$7,IF($AB19&gt;=$AR$8,$AT$8,0))))))*10000,
    0)</f>
        <v>0</v>
      </c>
      <c r="AE19" s="165">
        <f t="shared" si="6"/>
        <v>50000</v>
      </c>
      <c r="AF19" s="165">
        <f t="shared" si="34"/>
        <v>37500</v>
      </c>
      <c r="AG19" s="165">
        <f t="shared" si="35"/>
        <v>1400000</v>
      </c>
      <c r="AH19" s="166">
        <f t="shared" si="35"/>
        <v>0</v>
      </c>
      <c r="AI19" s="167" t="str">
        <f>VLOOKUP($C19,계좌!$C$5:$F$19,4,0)</f>
        <v>IBK기업은행 256-125982-01-011</v>
      </c>
      <c r="AJ19" s="165">
        <f t="shared" si="36"/>
        <v>200000</v>
      </c>
      <c r="AK19" s="165">
        <f t="shared" si="7"/>
        <v>3000000</v>
      </c>
      <c r="AL19" s="167" t="str">
        <f>VLOOKUP($D19,계좌!$C$20:$F$26,4,0)</f>
        <v>00은행 00-000-0000</v>
      </c>
      <c r="AM19" s="168">
        <f t="shared" si="37"/>
        <v>150000</v>
      </c>
      <c r="AN19" s="169">
        <f t="shared" si="38"/>
        <v>1</v>
      </c>
      <c r="AO19" s="98"/>
      <c r="AV19" s="171"/>
    </row>
    <row r="20" spans="2:48">
      <c r="B20" s="93">
        <v>11</v>
      </c>
      <c r="C20" s="173" t="str">
        <f>계좌!C15</f>
        <v>장효석</v>
      </c>
      <c r="D20" s="107" t="str">
        <f>계좌!N15</f>
        <v>㈜쇼우테크</v>
      </c>
      <c r="E20" s="107">
        <v>25</v>
      </c>
      <c r="F20" s="94">
        <f t="shared" si="23"/>
        <v>25</v>
      </c>
      <c r="G20" s="164">
        <f t="shared" si="27"/>
        <v>1</v>
      </c>
      <c r="H20" s="165">
        <f t="shared" si="0"/>
        <v>350000</v>
      </c>
      <c r="I20" s="165">
        <f>IF(AND(COUNTIFS(계좌!C:C, C20, 계좌!P:P, "체류비") &gt; 0),
    IF($G20&gt;=$AR$3,$AT$3,IF($G20&gt;=$AR$4,$AT$4,IF($G20&gt;=$AR$5,$AT$5,IF($G20&gt;=$AR$6,$AT$6,IF($G20&gt;=$AR$7,$AT$7,IF($G20&gt;=$AR$8,$AT$8,0))))))*10000,
    0)</f>
        <v>0</v>
      </c>
      <c r="J20" s="165">
        <f t="shared" si="28"/>
        <v>50000</v>
      </c>
      <c r="K20" s="165">
        <f t="shared" si="29"/>
        <v>37500</v>
      </c>
      <c r="L20" s="107">
        <v>25</v>
      </c>
      <c r="M20" s="94">
        <f t="shared" si="24"/>
        <v>25</v>
      </c>
      <c r="N20" s="164">
        <f t="shared" si="30"/>
        <v>1</v>
      </c>
      <c r="O20" s="165">
        <f t="shared" si="1"/>
        <v>350000</v>
      </c>
      <c r="P20" s="165">
        <f>IF(AND(COUNTIFS(계좌!C:C, C20, 계좌!P:P, "체류비") &gt; 0),
    IF($N20&gt;=$AR$3,$AT$3,IF($N20&gt;=$AR$4,$AT$4,IF($N20&gt;=$AR$5,$AT$5,IF($N20&gt;=$AR$6,$AT$6,IF($N20&gt;=$AR$7,$AT$7,IF($N20&gt;=$AR$8,$AT$8,0))))))*10000,
    0)</f>
        <v>0</v>
      </c>
      <c r="Q20" s="165">
        <f t="shared" si="2"/>
        <v>50000</v>
      </c>
      <c r="R20" s="165">
        <f t="shared" si="31"/>
        <v>37500</v>
      </c>
      <c r="S20" s="107">
        <v>25</v>
      </c>
      <c r="T20" s="94">
        <f t="shared" si="13"/>
        <v>25</v>
      </c>
      <c r="U20" s="164">
        <f t="shared" si="39"/>
        <v>1</v>
      </c>
      <c r="V20" s="165">
        <f t="shared" si="3"/>
        <v>350000</v>
      </c>
      <c r="W20" s="165">
        <f>IF(AND(COUNTIFS(계좌!C:C, C20, 계좌!P:P, "체류비") &gt; 0),
    IF($U20&gt;=$AR$3,$AT$3,IF($U20&gt;=$AR$4,$AT$4,IF($U20&gt;=$AR$5,$AT$5,IF($U20&gt;=$AR$6,$AT$6,IF($U20&gt;=$AR$7,$AT$7,IF($U20&gt;=$AR$8,$AT$8,0))))))*10000,
    0)</f>
        <v>0</v>
      </c>
      <c r="X20" s="165">
        <f t="shared" si="4"/>
        <v>50000</v>
      </c>
      <c r="Y20" s="165">
        <f t="shared" si="32"/>
        <v>37500</v>
      </c>
      <c r="Z20" s="107">
        <v>25</v>
      </c>
      <c r="AA20" s="94">
        <f t="shared" si="15"/>
        <v>25</v>
      </c>
      <c r="AB20" s="164">
        <f t="shared" si="33"/>
        <v>1</v>
      </c>
      <c r="AC20" s="165">
        <f t="shared" si="5"/>
        <v>350000</v>
      </c>
      <c r="AD20" s="165">
        <f>IF(AND(COUNTIFS(계좌!C:C, C20, 계좌!P:P, "체류비") &gt; 0),
    IF($AB20&gt;=$AR$3,$AT$3,IF($AB20&gt;=$AR$4,$AT$4,IF($AB20&gt;=$AR$5,$AT$5,IF($AB20&gt;=$AR$6,$AT$6,IF($AB20&gt;=$AR$7,$AT$7,IF($AB20&gt;=$AR$8,$AT$8,0))))))*10000,
    0)</f>
        <v>0</v>
      </c>
      <c r="AE20" s="165">
        <f t="shared" si="6"/>
        <v>50000</v>
      </c>
      <c r="AF20" s="165">
        <f t="shared" si="34"/>
        <v>37500</v>
      </c>
      <c r="AG20" s="165">
        <f t="shared" si="35"/>
        <v>1400000</v>
      </c>
      <c r="AH20" s="166">
        <f t="shared" si="35"/>
        <v>0</v>
      </c>
      <c r="AI20" s="167" t="str">
        <f>VLOOKUP($C20,계좌!$C$5:$F$19,4,0)</f>
        <v>NH농협 352-1943-8746-53</v>
      </c>
      <c r="AJ20" s="165">
        <f t="shared" si="36"/>
        <v>200000</v>
      </c>
      <c r="AK20" s="165">
        <f t="shared" si="7"/>
        <v>3000000</v>
      </c>
      <c r="AL20" s="167" t="str">
        <f>VLOOKUP($D20,계좌!$C$20:$F$26,4,0)</f>
        <v>00은행 00-000-0000</v>
      </c>
      <c r="AM20" s="168">
        <f t="shared" si="37"/>
        <v>150000</v>
      </c>
      <c r="AN20" s="169">
        <f t="shared" si="38"/>
        <v>1</v>
      </c>
      <c r="AO20" s="98"/>
      <c r="AV20" s="171"/>
    </row>
    <row r="21" spans="2:48">
      <c r="B21" s="93">
        <v>12</v>
      </c>
      <c r="C21" s="173" t="str">
        <f>계좌!C16</f>
        <v>이다은</v>
      </c>
      <c r="D21" s="107" t="str">
        <f>계좌!N16</f>
        <v>㈜쇼우테크</v>
      </c>
      <c r="E21" s="107">
        <v>25</v>
      </c>
      <c r="F21" s="94">
        <f t="shared" si="23"/>
        <v>25</v>
      </c>
      <c r="G21" s="164">
        <f>IFERROR(E21/F21, 0)</f>
        <v>1</v>
      </c>
      <c r="H21" s="165">
        <f t="shared" si="0"/>
        <v>350000</v>
      </c>
      <c r="I21" s="165">
        <f>IF(AND(COUNTIFS(계좌!C:C, C21, 계좌!P:P, "체류비") &gt; 0),
    IF($G21&gt;=$AR$3,$AT$3,IF($G21&gt;=$AR$4,$AT$4,IF($G21&gt;=$AR$5,$AT$5,IF($G21&gt;=$AR$6,$AT$6,IF($G21&gt;=$AR$7,$AT$7,IF($G21&gt;=$AR$8,$AT$8,0))))))*10000,
    0)</f>
        <v>0</v>
      </c>
      <c r="J21" s="165">
        <f t="shared" si="28"/>
        <v>50000</v>
      </c>
      <c r="K21" s="165">
        <f t="shared" si="29"/>
        <v>37500</v>
      </c>
      <c r="L21" s="107">
        <v>25</v>
      </c>
      <c r="M21" s="94">
        <f t="shared" si="24"/>
        <v>25</v>
      </c>
      <c r="N21" s="164">
        <f t="shared" si="30"/>
        <v>1</v>
      </c>
      <c r="O21" s="165">
        <f t="shared" si="1"/>
        <v>350000</v>
      </c>
      <c r="P21" s="165">
        <f>IF(AND(COUNTIFS(계좌!C:C, C21, 계좌!P:P, "체류비") &gt; 0),
    IF($N21&gt;=$AR$3,$AT$3,IF($N21&gt;=$AR$4,$AT$4,IF($N21&gt;=$AR$5,$AT$5,IF($N21&gt;=$AR$6,$AT$6,IF($N21&gt;=$AR$7,$AT$7,IF($N21&gt;=$AR$8,$AT$8,0))))))*10000,
    0)</f>
        <v>0</v>
      </c>
      <c r="Q21" s="165">
        <f t="shared" si="2"/>
        <v>50000</v>
      </c>
      <c r="R21" s="165">
        <f t="shared" si="31"/>
        <v>37500</v>
      </c>
      <c r="S21" s="107">
        <v>25</v>
      </c>
      <c r="T21" s="94">
        <f t="shared" si="13"/>
        <v>25</v>
      </c>
      <c r="U21" s="164">
        <f t="shared" si="39"/>
        <v>1</v>
      </c>
      <c r="V21" s="165">
        <f t="shared" si="3"/>
        <v>350000</v>
      </c>
      <c r="W21" s="165">
        <f>IF(AND(COUNTIFS(계좌!C:C, C21, 계좌!P:P, "체류비") &gt; 0),
    IF($U21&gt;=$AR$3,$AT$3,IF($U21&gt;=$AR$4,$AT$4,IF($U21&gt;=$AR$5,$AT$5,IF($U21&gt;=$AR$6,$AT$6,IF($U21&gt;=$AR$7,$AT$7,IF($U21&gt;=$AR$8,$AT$8,0))))))*10000,
    0)</f>
        <v>0</v>
      </c>
      <c r="X21" s="165">
        <f t="shared" si="4"/>
        <v>50000</v>
      </c>
      <c r="Y21" s="165">
        <f t="shared" si="32"/>
        <v>37500</v>
      </c>
      <c r="Z21" s="107">
        <v>25</v>
      </c>
      <c r="AA21" s="94">
        <f t="shared" si="15"/>
        <v>25</v>
      </c>
      <c r="AB21" s="164">
        <f t="shared" si="33"/>
        <v>1</v>
      </c>
      <c r="AC21" s="165">
        <f t="shared" si="5"/>
        <v>350000</v>
      </c>
      <c r="AD21" s="165">
        <f>IF(AND(COUNTIFS(계좌!C:C, C21, 계좌!P:P, "체류비") &gt; 0),
    IF($AB21&gt;=$AR$3,$AT$3,IF($AB21&gt;=$AR$4,$AT$4,IF($AB21&gt;=$AR$5,$AT$5,IF($AB21&gt;=$AR$6,$AT$6,IF($AB21&gt;=$AR$7,$AT$7,IF($AB21&gt;=$AR$8,$AT$8,0))))))*10000,
    0)</f>
        <v>0</v>
      </c>
      <c r="AE21" s="165">
        <f t="shared" si="6"/>
        <v>50000</v>
      </c>
      <c r="AF21" s="165">
        <f t="shared" si="34"/>
        <v>37500</v>
      </c>
      <c r="AG21" s="165">
        <f t="shared" si="35"/>
        <v>1400000</v>
      </c>
      <c r="AH21" s="166">
        <f t="shared" si="35"/>
        <v>0</v>
      </c>
      <c r="AI21" s="167" t="str">
        <f>VLOOKUP($C21,계좌!$C$5:$F$19,4,0)</f>
        <v>NH농협 302-1336-779511</v>
      </c>
      <c r="AJ21" s="165">
        <f t="shared" si="36"/>
        <v>200000</v>
      </c>
      <c r="AK21" s="165">
        <f t="shared" si="7"/>
        <v>3000000</v>
      </c>
      <c r="AL21" s="167" t="str">
        <f>VLOOKUP($D21,계좌!$C$20:$F$26,4,0)</f>
        <v>00은행 00-000-0000</v>
      </c>
      <c r="AM21" s="168">
        <f t="shared" si="37"/>
        <v>150000</v>
      </c>
      <c r="AN21" s="169">
        <f t="shared" si="38"/>
        <v>1</v>
      </c>
      <c r="AO21" s="98"/>
      <c r="AV21" s="171"/>
    </row>
    <row r="22" spans="2:48">
      <c r="B22" s="93">
        <v>13</v>
      </c>
      <c r="C22" s="173" t="str">
        <f>계좌!C17</f>
        <v>박수정</v>
      </c>
      <c r="D22" s="107" t="str">
        <f>계좌!N17</f>
        <v>㈜쇼우테크</v>
      </c>
      <c r="E22" s="107">
        <v>25</v>
      </c>
      <c r="F22" s="94">
        <f t="shared" si="23"/>
        <v>25</v>
      </c>
      <c r="G22" s="164">
        <f>IFERROR(E22/F22, 0)</f>
        <v>1</v>
      </c>
      <c r="H22" s="165">
        <f t="shared" si="0"/>
        <v>350000</v>
      </c>
      <c r="I22" s="165">
        <f>IF(AND(COUNTIFS(계좌!C:C, C22, 계좌!P:P, "체류비") &gt; 0),
    IF($G22&gt;=$AR$3,$AT$3,IF($G22&gt;=$AR$4,$AT$4,IF($G22&gt;=$AR$5,$AT$5,IF($G22&gt;=$AR$6,$AT$6,IF($G22&gt;=$AR$7,$AT$7,IF($G22&gt;=$AR$8,$AT$8,0))))))*10000,
    0)</f>
        <v>0</v>
      </c>
      <c r="J22" s="165">
        <f>IF($G22&gt;=$AR$3,$AU$3,IF($G22&gt;=$AR$4,$AU$4,IF($G22&gt;=$AR$5,$AU$5,IF($G22&gt;=$AR$6,$AU$6,IF($G22&gt;=$AR$7,$AU$7,IF($G22&gt;=$AR$8,$AU$8,0))))))*10000</f>
        <v>50000</v>
      </c>
      <c r="K22" s="165">
        <f>IF(G22&gt;=$AR$3,$AV$3,IF(G22&gt;=$AR$4,$AV$4,IF(G22&gt;=$AR$5,$AV$5,IF(G22&gt;=$AR$6,$AV$6,IF(G22&gt;=$AR$7,$AV$7,IF(G22&gt;=$AR$8,$AV$8,0))))))</f>
        <v>37500</v>
      </c>
      <c r="L22" s="107">
        <v>25</v>
      </c>
      <c r="M22" s="94">
        <f t="shared" si="24"/>
        <v>25</v>
      </c>
      <c r="N22" s="164">
        <f>IFERROR(L22/M22, 0)</f>
        <v>1</v>
      </c>
      <c r="O22" s="165">
        <f t="shared" si="1"/>
        <v>350000</v>
      </c>
      <c r="P22" s="165">
        <f>IF(AND(COUNTIFS(계좌!C:C, C22, 계좌!P:P, "체류비") &gt; 0),
    IF($N22&gt;=$AR$3,$AT$3,IF($N22&gt;=$AR$4,$AT$4,IF($N22&gt;=$AR$5,$AT$5,IF($N22&gt;=$AR$6,$AT$6,IF($N22&gt;=$AR$7,$AT$7,IF($N22&gt;=$AR$8,$AT$8,0))))))*10000,
    0)</f>
        <v>0</v>
      </c>
      <c r="Q22" s="165">
        <f t="shared" si="2"/>
        <v>50000</v>
      </c>
      <c r="R22" s="165">
        <f>IF(N22&gt;=$AR$3,$AV$3,IF(N22&gt;=$AR$4,$AV$4,IF(N22&gt;=$AR$5,$AV$5,IF(N22&gt;=$AR$6,$AV$6,IF(N22&gt;=$AR$7,$AV$7,IF(N22&gt;=$AR$8,$AV$8,0))))))</f>
        <v>37500</v>
      </c>
      <c r="S22" s="107">
        <v>25</v>
      </c>
      <c r="T22" s="94">
        <f t="shared" si="13"/>
        <v>25</v>
      </c>
      <c r="U22" s="164">
        <f>IFERROR(S22/T22, 0)</f>
        <v>1</v>
      </c>
      <c r="V22" s="165">
        <f t="shared" si="3"/>
        <v>350000</v>
      </c>
      <c r="W22" s="165">
        <f>IF(AND(COUNTIFS(계좌!C:C, C22, 계좌!P:P, "체류비") &gt; 0),
    IF($U22&gt;=$AR$3,$AT$3,IF($U22&gt;=$AR$4,$AT$4,IF($U22&gt;=$AR$5,$AT$5,IF($U22&gt;=$AR$6,$AT$6,IF($U22&gt;=$AR$7,$AT$7,IF($U22&gt;=$AR$8,$AT$8,0))))))*10000,
    0)</f>
        <v>0</v>
      </c>
      <c r="X22" s="165">
        <f t="shared" si="4"/>
        <v>50000</v>
      </c>
      <c r="Y22" s="165">
        <f>IF(U22&gt;=$AR$3,$AV$3,IF(U22&gt;=$AR$4,$AV$4,IF(U22&gt;=$AR$5,$AV$5,IF(U22&gt;=$AR$6,$AV$6,IF(U22&gt;=$AR$7,$AV$7,IF(U22&gt;=$AR$8,$AV$8,0))))))</f>
        <v>37500</v>
      </c>
      <c r="Z22" s="107">
        <v>25</v>
      </c>
      <c r="AA22" s="94">
        <f t="shared" si="15"/>
        <v>25</v>
      </c>
      <c r="AB22" s="164">
        <f>IFERROR(Z22/AA22, 0)</f>
        <v>1</v>
      </c>
      <c r="AC22" s="165">
        <f t="shared" si="5"/>
        <v>350000</v>
      </c>
      <c r="AD22" s="165">
        <f>IF(AND(COUNTIFS(계좌!C:C, C22, 계좌!P:P, "체류비") &gt; 0),
    IF($AB22&gt;=$AR$3,$AT$3,IF($AB22&gt;=$AR$4,$AT$4,IF($AB22&gt;=$AR$5,$AT$5,IF($AB22&gt;=$AR$6,$AT$6,IF($AB22&gt;=$AR$7,$AT$7,IF($AB22&gt;=$AR$8,$AT$8,0))))))*10000,
    0)</f>
        <v>0</v>
      </c>
      <c r="AE22" s="165">
        <f t="shared" si="6"/>
        <v>50000</v>
      </c>
      <c r="AF22" s="165">
        <f>IF(AB22&gt;=$AR$3,$AV$3,IF(AB22&gt;=$AR$4,$AV$4,IF(AB22&gt;=$AR$5,$AV$5,IF(AB22&gt;=$AR$6,$AV$6,IF(AB22&gt;=$AR$7,$AV$7,IF(AB22&gt;=$AR$8,$AV$8,0))))))</f>
        <v>37500</v>
      </c>
      <c r="AG22" s="165">
        <f>SUM(H22,O22,V22,AC22)</f>
        <v>1400000</v>
      </c>
      <c r="AH22" s="166">
        <f>SUM(I22,P22,W22,AD22)</f>
        <v>0</v>
      </c>
      <c r="AI22" s="167" t="str">
        <f>VLOOKUP($C22,계좌!$C$5:$F$19,4,0)</f>
        <v>부산은행 112-2259-0331-02</v>
      </c>
      <c r="AJ22" s="165">
        <f>SUM(J22,Q22,X22,AE22)</f>
        <v>200000</v>
      </c>
      <c r="AK22" s="165">
        <f t="shared" si="7"/>
        <v>3000000</v>
      </c>
      <c r="AL22" s="167" t="str">
        <f>VLOOKUP($D22,계좌!$C$22:$F$26,4,0)</f>
        <v>00은행 00-000-0000</v>
      </c>
      <c r="AM22" s="168">
        <f>SUM(K22,R22,Y22,AF22)</f>
        <v>150000</v>
      </c>
      <c r="AN22" s="169">
        <f>SUM(E22,L22,S22,Z22)/SUM(F22,M22,T22,AA22)</f>
        <v>1</v>
      </c>
      <c r="AO22" s="170"/>
    </row>
    <row r="23" spans="2:48" ht="16.5" customHeight="1">
      <c r="B23" s="93">
        <v>14</v>
      </c>
      <c r="C23" s="173" t="str">
        <f>계좌!C18</f>
        <v>김진우</v>
      </c>
      <c r="D23" s="107" t="str">
        <f>계좌!N18</f>
        <v>㈜쇼우테크</v>
      </c>
      <c r="E23" s="107">
        <v>25</v>
      </c>
      <c r="F23" s="94">
        <f t="shared" si="23"/>
        <v>25</v>
      </c>
      <c r="G23" s="164">
        <f t="shared" ref="G23:G26" si="40">IFERROR(E23/F23, 0)</f>
        <v>1</v>
      </c>
      <c r="H23" s="165">
        <f t="shared" si="0"/>
        <v>350000</v>
      </c>
      <c r="I23" s="165">
        <f>IF(AND(COUNTIFS(계좌!C:C, C23, 계좌!P:P, "체류비") &gt; 0),
    IF($G23&gt;=$AR$3,$AT$3,IF($G23&gt;=$AR$4,$AT$4,IF($G23&gt;=$AR$5,$AT$5,IF($G23&gt;=$AR$6,$AT$6,IF($G23&gt;=$AR$7,$AT$7,IF($G23&gt;=$AR$8,$AT$8,0))))))*10000,
    0)</f>
        <v>0</v>
      </c>
      <c r="J23" s="165">
        <f t="shared" ref="J23:J28" si="41">IF($G23&gt;=$AR$3,$AU$3,IF($G23&gt;=$AR$4,$AU$4,IF($G23&gt;=$AR$5,$AU$5,IF($G23&gt;=$AR$6,$AU$6,IF($G23&gt;=$AR$7,$AU$7,IF($G23&gt;=$AR$8,$AU$8,0))))))*10000</f>
        <v>50000</v>
      </c>
      <c r="K23" s="165">
        <f t="shared" ref="K23:K28" si="42">IF($G23&gt;=$AR$3,$AV$3,IF($G23&gt;=$AR$4,$AV$4,IF($G23&gt;=$AR$5,$AV$5,IF($G23&gt;=$AR$6,$AV$6,IF($G23&gt;=$AR$7,$AV$7,IF($G23&gt;=$AR$8,$AV$8,0))))))</f>
        <v>37500</v>
      </c>
      <c r="L23" s="107">
        <v>25</v>
      </c>
      <c r="M23" s="94">
        <f t="shared" si="24"/>
        <v>25</v>
      </c>
      <c r="N23" s="164">
        <f t="shared" ref="N23:N28" si="43">IFERROR(L23/M23, 0)</f>
        <v>1</v>
      </c>
      <c r="O23" s="165">
        <f t="shared" si="1"/>
        <v>350000</v>
      </c>
      <c r="P23" s="165">
        <f>IF(AND(COUNTIFS(계좌!C:C, C23, 계좌!P:P, "체류비") &gt; 0),
    IF($N23&gt;=$AR$3,$AT$3,IF($N23&gt;=$AR$4,$AT$4,IF($N23&gt;=$AR$5,$AT$5,IF($N23&gt;=$AR$6,$AT$6,IF($N23&gt;=$AR$7,$AT$7,IF($N23&gt;=$AR$8,$AT$8,0))))))*10000,
    0)</f>
        <v>0</v>
      </c>
      <c r="Q23" s="165">
        <f t="shared" si="2"/>
        <v>50000</v>
      </c>
      <c r="R23" s="165">
        <f t="shared" ref="R23:R28" si="44">IF(N23&gt;=$AR$3,$AV$3,IF(N23&gt;=$AR$4,$AV$4,IF(N23&gt;=$AR$5,$AV$5,IF(N23&gt;=$AR$6,$AV$6,IF(N23&gt;=$AR$7,$AV$7,IF(N23&gt;=$AR$8,$AV$8,0))))))</f>
        <v>37500</v>
      </c>
      <c r="S23" s="107">
        <v>25</v>
      </c>
      <c r="T23" s="94">
        <f t="shared" si="13"/>
        <v>25</v>
      </c>
      <c r="U23" s="164">
        <f>IFERROR(S23/T23, 0)</f>
        <v>1</v>
      </c>
      <c r="V23" s="165">
        <f t="shared" si="3"/>
        <v>350000</v>
      </c>
      <c r="W23" s="165">
        <f>IF(AND(COUNTIFS(계좌!C:C, C23, 계좌!P:P, "체류비") &gt; 0),
    IF($U23&gt;=$AR$3,$AT$3,IF($U23&gt;=$AR$4,$AT$4,IF($U23&gt;=$AR$5,$AT$5,IF($U23&gt;=$AR$6,$AT$6,IF($U23&gt;=$AR$7,$AT$7,IF($U23&gt;=$AR$8,$AT$8,0))))))*10000,
    0)</f>
        <v>0</v>
      </c>
      <c r="X23" s="165">
        <f>IF($U23&gt;=$AR$3,$AU$3,IF($U23&gt;=$AR$4,$AU$4,IF($U23&gt;=$AR$5,$AU$5,IF($U23&gt;=$AR$6,$AU$6,IF($U23&gt;=$AR$7,$AU$7,IF($U23&gt;=$AR$8,$AU$8,0))))))*10000</f>
        <v>50000</v>
      </c>
      <c r="Y23" s="165">
        <f t="shared" ref="Y23:Y28" si="45">IF(U23&gt;=$AR$3,$AV$3,IF(U23&gt;=$AR$4,$AV$4,IF(U23&gt;=$AR$5,$AV$5,IF(U23&gt;=$AR$6,$AV$6,IF(U23&gt;=$AR$7,$AV$7,IF(U23&gt;=$AR$8,$AV$8,0))))))</f>
        <v>37500</v>
      </c>
      <c r="Z23" s="107">
        <v>25</v>
      </c>
      <c r="AA23" s="94">
        <f t="shared" si="15"/>
        <v>25</v>
      </c>
      <c r="AB23" s="164">
        <f t="shared" ref="AB23:AB28" si="46">IFERROR(Z23/AA23, 0)</f>
        <v>1</v>
      </c>
      <c r="AC23" s="165">
        <f t="shared" si="5"/>
        <v>350000</v>
      </c>
      <c r="AD23" s="165">
        <f>IF(AND(COUNTIFS(계좌!C:C, C23, 계좌!P:P, "체류비") &gt; 0),
    IF($AB23&gt;=$AR$3,$AT$3,IF($AB23&gt;=$AR$4,$AT$4,IF($AB23&gt;=$AR$5,$AT$5,IF($AB23&gt;=$AR$6,$AT$6,IF($AB23&gt;=$AR$7,$AT$7,IF($AB23&gt;=$AR$8,$AT$8,0))))))*10000,
    0)</f>
        <v>0</v>
      </c>
      <c r="AE23" s="165">
        <f t="shared" si="6"/>
        <v>50000</v>
      </c>
      <c r="AF23" s="165">
        <f t="shared" ref="AF23:AF28" si="47">IF(AB23&gt;=$AR$3,$AV$3,IF(AB23&gt;=$AR$4,$AV$4,IF(AB23&gt;=$AR$5,$AV$5,IF(AB23&gt;=$AR$6,$AV$6,IF(AB23&gt;=$AR$7,$AV$7,IF(AB23&gt;=$AR$8,$AV$8,0))))))</f>
        <v>37500</v>
      </c>
      <c r="AG23" s="165">
        <f t="shared" ref="AG23:AG28" si="48">SUM(H23,O23,V23,AC23)</f>
        <v>1400000</v>
      </c>
      <c r="AH23" s="166">
        <f t="shared" ref="AH23:AH28" si="49">SUM(I23,P23,W23,AD23)</f>
        <v>0</v>
      </c>
      <c r="AI23" s="167" t="str">
        <f>VLOOKUP($C23,계좌!$C$5:$F$19,4,0)</f>
        <v>국민은행 202042580022</v>
      </c>
      <c r="AJ23" s="165">
        <f t="shared" ref="AJ23:AJ28" si="50">SUM(J23,Q23,X23,AE23)</f>
        <v>200000</v>
      </c>
      <c r="AK23" s="165">
        <f t="shared" si="7"/>
        <v>3000000</v>
      </c>
      <c r="AL23" s="167" t="str">
        <f>VLOOKUP($D23,계좌!$C$20:$F$26,4,0)</f>
        <v>00은행 00-000-0000</v>
      </c>
      <c r="AM23" s="168">
        <f t="shared" ref="AM23:AM28" si="51">SUM(K23,R23,Y23,AF23)</f>
        <v>150000</v>
      </c>
      <c r="AN23" s="169">
        <f t="shared" ref="AN23:AN28" si="52">SUM(E23,L23,S23,Z23)/SUM(F23,M23,T23,AA23)</f>
        <v>1</v>
      </c>
      <c r="AO23" s="170"/>
      <c r="AV23" s="171"/>
    </row>
    <row r="24" spans="2:48">
      <c r="B24" s="93">
        <v>15</v>
      </c>
      <c r="C24" s="173" t="str">
        <f>계좌!C19</f>
        <v>서민영</v>
      </c>
      <c r="D24" s="107" t="str">
        <f>계좌!N19</f>
        <v>㈜쇼우테크</v>
      </c>
      <c r="E24" s="107">
        <v>25</v>
      </c>
      <c r="F24" s="94">
        <f t="shared" si="23"/>
        <v>25</v>
      </c>
      <c r="G24" s="164">
        <f t="shared" si="40"/>
        <v>1</v>
      </c>
      <c r="H24" s="165">
        <f t="shared" si="0"/>
        <v>350000</v>
      </c>
      <c r="I24" s="165">
        <f>IF(AND(COUNTIFS(계좌!C:C, C24, 계좌!P:P, "체류비") &gt; 0),
    IF($G24&gt;=$AR$3,$AT$3,IF($G24&gt;=$AR$4,$AT$4,IF($G24&gt;=$AR$5,$AT$5,IF($G24&gt;=$AR$6,$AT$6,IF($G24&gt;=$AR$7,$AT$7,IF($G24&gt;=$AR$8,$AT$8,0))))))*10000,
    0)</f>
        <v>0</v>
      </c>
      <c r="J24" s="165">
        <f t="shared" si="41"/>
        <v>50000</v>
      </c>
      <c r="K24" s="165">
        <f t="shared" si="42"/>
        <v>37500</v>
      </c>
      <c r="L24" s="107">
        <v>25</v>
      </c>
      <c r="M24" s="94">
        <f t="shared" si="24"/>
        <v>25</v>
      </c>
      <c r="N24" s="164">
        <f t="shared" si="43"/>
        <v>1</v>
      </c>
      <c r="O24" s="165">
        <f t="shared" si="1"/>
        <v>350000</v>
      </c>
      <c r="P24" s="165">
        <f>IF(AND(COUNTIFS(계좌!C:C, C24, 계좌!P:P, "체류비") &gt; 0),
    IF($N24&gt;=$AR$3,$AT$3,IF($N24&gt;=$AR$4,$AT$4,IF($N24&gt;=$AR$5,$AT$5,IF($N24&gt;=$AR$6,$AT$6,IF($N24&gt;=$AR$7,$AT$7,IF($N24&gt;=$AR$8,$AT$8,0))))))*10000,
    0)</f>
        <v>0</v>
      </c>
      <c r="Q24" s="165">
        <f t="shared" si="2"/>
        <v>50000</v>
      </c>
      <c r="R24" s="165">
        <f t="shared" si="44"/>
        <v>37500</v>
      </c>
      <c r="S24" s="107">
        <v>25</v>
      </c>
      <c r="T24" s="94">
        <f t="shared" si="13"/>
        <v>25</v>
      </c>
      <c r="U24" s="164">
        <f t="shared" ref="U24:U28" si="53">IFERROR(S24/T24, 0)</f>
        <v>1</v>
      </c>
      <c r="V24" s="165">
        <f t="shared" si="3"/>
        <v>350000</v>
      </c>
      <c r="W24" s="165">
        <f>IF(AND(COUNTIFS(계좌!C:C, C24, 계좌!P:P, "체류비") &gt; 0),
    IF($U24&gt;=$AR$3,$AT$3,IF($U24&gt;=$AR$4,$AT$4,IF($U24&gt;=$AR$5,$AT$5,IF($U24&gt;=$AR$6,$AT$6,IF($U24&gt;=$AR$7,$AT$7,IF($U24&gt;=$AR$8,$AT$8,0))))))*10000,
    0)</f>
        <v>0</v>
      </c>
      <c r="X24" s="165">
        <f t="shared" si="4"/>
        <v>50000</v>
      </c>
      <c r="Y24" s="165">
        <f t="shared" si="45"/>
        <v>37500</v>
      </c>
      <c r="Z24" s="107">
        <v>25</v>
      </c>
      <c r="AA24" s="94">
        <f t="shared" si="15"/>
        <v>25</v>
      </c>
      <c r="AB24" s="164">
        <f t="shared" si="46"/>
        <v>1</v>
      </c>
      <c r="AC24" s="165">
        <f t="shared" si="5"/>
        <v>350000</v>
      </c>
      <c r="AD24" s="165">
        <f>IF(AND(COUNTIFS(계좌!C:C, C24, 계좌!P:P, "체류비") &gt; 0),
    IF($AB24&gt;=$AR$3,$AT$3,IF($AB24&gt;=$AR$4,$AT$4,IF($AB24&gt;=$AR$5,$AT$5,IF($AB24&gt;=$AR$6,$AT$6,IF($AB24&gt;=$AR$7,$AT$7,IF($AB24&gt;=$AR$8,$AT$8,0))))))*10000,
    0)</f>
        <v>0</v>
      </c>
      <c r="AE24" s="165">
        <f t="shared" si="6"/>
        <v>50000</v>
      </c>
      <c r="AF24" s="165">
        <f t="shared" si="47"/>
        <v>37500</v>
      </c>
      <c r="AG24" s="165">
        <f t="shared" si="48"/>
        <v>1400000</v>
      </c>
      <c r="AH24" s="166">
        <f t="shared" si="49"/>
        <v>0</v>
      </c>
      <c r="AI24" s="167" t="str">
        <f>VLOOKUP($C24,계좌!$C$5:$F$19,4,0)</f>
        <v>신한은행 110512847475</v>
      </c>
      <c r="AJ24" s="165">
        <f t="shared" si="50"/>
        <v>200000</v>
      </c>
      <c r="AK24" s="165">
        <f t="shared" si="7"/>
        <v>3000000</v>
      </c>
      <c r="AL24" s="167" t="str">
        <f>VLOOKUP($D24,계좌!$C$20:$F$26,4,0)</f>
        <v>00은행 00-000-0000</v>
      </c>
      <c r="AM24" s="168">
        <f t="shared" si="51"/>
        <v>150000</v>
      </c>
      <c r="AN24" s="169">
        <f t="shared" si="52"/>
        <v>1</v>
      </c>
      <c r="AO24" s="98"/>
      <c r="AV24" s="171"/>
    </row>
    <row r="25" spans="2:48">
      <c r="B25" s="93">
        <v>16</v>
      </c>
      <c r="C25" s="173"/>
      <c r="D25" s="107"/>
      <c r="E25" s="107">
        <v>25</v>
      </c>
      <c r="F25" s="94">
        <f t="shared" si="23"/>
        <v>25</v>
      </c>
      <c r="G25" s="164">
        <f t="shared" si="40"/>
        <v>1</v>
      </c>
      <c r="H25" s="165">
        <f t="shared" si="0"/>
        <v>350000</v>
      </c>
      <c r="I25" s="165">
        <f>IF(AND(COUNTIFS(계좌!C:C, C25, 계좌!P:P, "체류비") &gt; 0),
    IF($G25&gt;=$AR$3,$AT$3,IF($G25&gt;=$AR$4,$AT$4,IF($G25&gt;=$AR$5,$AT$5,IF($G25&gt;=$AR$6,$AT$6,IF($G25&gt;=$AR$7,$AT$7,IF($G25&gt;=$AR$8,$AT$8,0))))))*10000,
    0)</f>
        <v>0</v>
      </c>
      <c r="J25" s="165">
        <f t="shared" si="41"/>
        <v>50000</v>
      </c>
      <c r="K25" s="165">
        <f t="shared" si="42"/>
        <v>37500</v>
      </c>
      <c r="L25" s="107">
        <v>25</v>
      </c>
      <c r="M25" s="94">
        <f t="shared" si="24"/>
        <v>25</v>
      </c>
      <c r="N25" s="164">
        <f t="shared" si="43"/>
        <v>1</v>
      </c>
      <c r="O25" s="165">
        <f t="shared" si="1"/>
        <v>350000</v>
      </c>
      <c r="P25" s="165">
        <f>IF(AND(COUNTIFS(계좌!C:C, C25, 계좌!P:P, "체류비") &gt; 0),
    IF($N25&gt;=$AR$3,$AT$3,IF($N25&gt;=$AR$4,$AT$4,IF($N25&gt;=$AR$5,$AT$5,IF($N25&gt;=$AR$6,$AT$6,IF($N25&gt;=$AR$7,$AT$7,IF($N25&gt;=$AR$8,$AT$8,0))))))*10000,
    0)</f>
        <v>0</v>
      </c>
      <c r="Q25" s="165">
        <f t="shared" si="2"/>
        <v>50000</v>
      </c>
      <c r="R25" s="165">
        <f t="shared" si="44"/>
        <v>37500</v>
      </c>
      <c r="S25" s="107">
        <v>25</v>
      </c>
      <c r="T25" s="94">
        <f t="shared" si="13"/>
        <v>25</v>
      </c>
      <c r="U25" s="164">
        <f t="shared" si="53"/>
        <v>1</v>
      </c>
      <c r="V25" s="165">
        <f t="shared" si="3"/>
        <v>350000</v>
      </c>
      <c r="W25" s="165">
        <f>IF(AND(COUNTIFS(계좌!C:C, C25, 계좌!P:P, "체류비") &gt; 0),
    IF($U25&gt;=$AR$3,$AT$3,IF($U25&gt;=$AR$4,$AT$4,IF($U25&gt;=$AR$5,$AT$5,IF($U25&gt;=$AR$6,$AT$6,IF($U25&gt;=$AR$7,$AT$7,IF($U25&gt;=$AR$8,$AT$8,0))))))*10000,
    0)</f>
        <v>0</v>
      </c>
      <c r="X25" s="165">
        <f t="shared" si="4"/>
        <v>50000</v>
      </c>
      <c r="Y25" s="165">
        <f t="shared" si="45"/>
        <v>37500</v>
      </c>
      <c r="Z25" s="107">
        <v>25</v>
      </c>
      <c r="AA25" s="94">
        <f t="shared" si="15"/>
        <v>25</v>
      </c>
      <c r="AB25" s="164">
        <f t="shared" si="46"/>
        <v>1</v>
      </c>
      <c r="AC25" s="165">
        <f t="shared" si="5"/>
        <v>350000</v>
      </c>
      <c r="AD25" s="165">
        <f>IF(AND(COUNTIFS(계좌!C:C, C25, 계좌!P:P, "체류비") &gt; 0),
    IF($AB25&gt;=$AR$3,$AT$3,IF($AB25&gt;=$AR$4,$AT$4,IF($AB25&gt;=$AR$5,$AT$5,IF($AB25&gt;=$AR$6,$AT$6,IF($AB25&gt;=$AR$7,$AT$7,IF($AB25&gt;=$AR$8,$AT$8,0))))))*10000,
    0)</f>
        <v>0</v>
      </c>
      <c r="AE25" s="165">
        <f t="shared" si="6"/>
        <v>50000</v>
      </c>
      <c r="AF25" s="165">
        <f t="shared" si="47"/>
        <v>37500</v>
      </c>
      <c r="AG25" s="165">
        <f t="shared" si="48"/>
        <v>1400000</v>
      </c>
      <c r="AH25" s="166">
        <f t="shared" si="49"/>
        <v>0</v>
      </c>
      <c r="AI25" s="167" t="e">
        <f>VLOOKUP($C25,계좌!$C$5:$F$19,4,0)</f>
        <v>#N/A</v>
      </c>
      <c r="AJ25" s="165">
        <f t="shared" si="50"/>
        <v>200000</v>
      </c>
      <c r="AK25" s="165">
        <f t="shared" si="7"/>
        <v>0</v>
      </c>
      <c r="AL25" s="167" t="e">
        <f>VLOOKUP($D25,계좌!$C$20:$F$26,4,0)</f>
        <v>#N/A</v>
      </c>
      <c r="AM25" s="168">
        <f t="shared" si="51"/>
        <v>150000</v>
      </c>
      <c r="AN25" s="169">
        <f t="shared" si="52"/>
        <v>1</v>
      </c>
      <c r="AO25" s="98"/>
      <c r="AV25" s="171"/>
    </row>
    <row r="26" spans="2:48">
      <c r="B26" s="93">
        <v>17</v>
      </c>
      <c r="C26" s="173"/>
      <c r="D26" s="107"/>
      <c r="E26" s="107">
        <v>25</v>
      </c>
      <c r="F26" s="94">
        <f t="shared" si="23"/>
        <v>25</v>
      </c>
      <c r="G26" s="164">
        <f t="shared" si="40"/>
        <v>1</v>
      </c>
      <c r="H26" s="165">
        <f t="shared" si="0"/>
        <v>350000</v>
      </c>
      <c r="I26" s="165">
        <f>IF(AND(COUNTIFS(계좌!C:C, C26, 계좌!P:P, "체류비") &gt; 0),
    IF($G26&gt;=$AR$3,$AT$3,IF($G26&gt;=$AR$4,$AT$4,IF($G26&gt;=$AR$5,$AT$5,IF($G26&gt;=$AR$6,$AT$6,IF($G26&gt;=$AR$7,$AT$7,IF($G26&gt;=$AR$8,$AT$8,0))))))*10000,
    0)</f>
        <v>0</v>
      </c>
      <c r="J26" s="165">
        <f t="shared" si="41"/>
        <v>50000</v>
      </c>
      <c r="K26" s="165">
        <f t="shared" si="42"/>
        <v>37500</v>
      </c>
      <c r="L26" s="107">
        <v>25</v>
      </c>
      <c r="M26" s="94">
        <f t="shared" si="24"/>
        <v>25</v>
      </c>
      <c r="N26" s="164">
        <f t="shared" si="43"/>
        <v>1</v>
      </c>
      <c r="O26" s="165">
        <f t="shared" si="1"/>
        <v>350000</v>
      </c>
      <c r="P26" s="165">
        <f>IF(AND(COUNTIFS(계좌!C:C, C26, 계좌!P:P, "체류비") &gt; 0),
    IF($N26&gt;=$AR$3,$AT$3,IF($N26&gt;=$AR$4,$AT$4,IF($N26&gt;=$AR$5,$AT$5,IF($N26&gt;=$AR$6,$AT$6,IF($N26&gt;=$AR$7,$AT$7,IF($N26&gt;=$AR$8,$AT$8,0))))))*10000,
    0)</f>
        <v>0</v>
      </c>
      <c r="Q26" s="165">
        <f t="shared" si="2"/>
        <v>50000</v>
      </c>
      <c r="R26" s="165">
        <f t="shared" si="44"/>
        <v>37500</v>
      </c>
      <c r="S26" s="107">
        <v>25</v>
      </c>
      <c r="T26" s="94">
        <f t="shared" si="13"/>
        <v>25</v>
      </c>
      <c r="U26" s="164">
        <f t="shared" si="53"/>
        <v>1</v>
      </c>
      <c r="V26" s="165">
        <f t="shared" si="3"/>
        <v>350000</v>
      </c>
      <c r="W26" s="165">
        <f>IF(AND(COUNTIFS(계좌!C:C, C26, 계좌!P:P, "체류비") &gt; 0),
    IF($U26&gt;=$AR$3,$AT$3,IF($U26&gt;=$AR$4,$AT$4,IF($U26&gt;=$AR$5,$AT$5,IF($U26&gt;=$AR$6,$AT$6,IF($U26&gt;=$AR$7,$AT$7,IF($U26&gt;=$AR$8,$AT$8,0))))))*10000,
    0)</f>
        <v>0</v>
      </c>
      <c r="X26" s="165">
        <f t="shared" si="4"/>
        <v>50000</v>
      </c>
      <c r="Y26" s="165">
        <f t="shared" si="45"/>
        <v>37500</v>
      </c>
      <c r="Z26" s="107">
        <v>25</v>
      </c>
      <c r="AA26" s="94">
        <f t="shared" si="15"/>
        <v>25</v>
      </c>
      <c r="AB26" s="164">
        <f t="shared" si="46"/>
        <v>1</v>
      </c>
      <c r="AC26" s="165">
        <f t="shared" si="5"/>
        <v>350000</v>
      </c>
      <c r="AD26" s="165">
        <f>IF(AND(COUNTIFS(계좌!C:C, C26, 계좌!P:P, "체류비") &gt; 0),
    IF($AB26&gt;=$AR$3,$AT$3,IF($AB26&gt;=$AR$4,$AT$4,IF($AB26&gt;=$AR$5,$AT$5,IF($AB26&gt;=$AR$6,$AT$6,IF($AB26&gt;=$AR$7,$AT$7,IF($AB26&gt;=$AR$8,$AT$8,0))))))*10000,
    0)</f>
        <v>0</v>
      </c>
      <c r="AE26" s="165">
        <f t="shared" si="6"/>
        <v>50000</v>
      </c>
      <c r="AF26" s="165">
        <f t="shared" si="47"/>
        <v>37500</v>
      </c>
      <c r="AG26" s="165">
        <f t="shared" si="48"/>
        <v>1400000</v>
      </c>
      <c r="AH26" s="166">
        <f t="shared" si="49"/>
        <v>0</v>
      </c>
      <c r="AI26" s="167" t="e">
        <f>VLOOKUP($C26,계좌!$C$5:$F$19,4,0)</f>
        <v>#N/A</v>
      </c>
      <c r="AJ26" s="165">
        <f t="shared" si="50"/>
        <v>200000</v>
      </c>
      <c r="AK26" s="165">
        <f t="shared" si="7"/>
        <v>0</v>
      </c>
      <c r="AL26" s="167" t="e">
        <f>VLOOKUP($D26,계좌!$C$20:$F$26,4,0)</f>
        <v>#N/A</v>
      </c>
      <c r="AM26" s="168">
        <f t="shared" si="51"/>
        <v>150000</v>
      </c>
      <c r="AN26" s="169">
        <f t="shared" si="52"/>
        <v>1</v>
      </c>
      <c r="AO26" s="98"/>
      <c r="AV26" s="171"/>
    </row>
    <row r="27" spans="2:48">
      <c r="B27" s="93">
        <v>18</v>
      </c>
      <c r="C27" s="173"/>
      <c r="D27" s="107"/>
      <c r="E27" s="107">
        <v>25</v>
      </c>
      <c r="F27" s="94">
        <f t="shared" si="23"/>
        <v>25</v>
      </c>
      <c r="G27" s="164">
        <f>IFERROR(E27/F27, 0)</f>
        <v>1</v>
      </c>
      <c r="H27" s="165">
        <f t="shared" si="0"/>
        <v>350000</v>
      </c>
      <c r="I27" s="165">
        <f>IF(AND(COUNTIFS(계좌!C:C, C27, 계좌!P:P, "체류비") &gt; 0),
    IF($G27&gt;=$AR$3,$AT$3,IF($G27&gt;=$AR$4,$AT$4,IF($G27&gt;=$AR$5,$AT$5,IF($G27&gt;=$AR$6,$AT$6,IF($G27&gt;=$AR$7,$AT$7,IF($G27&gt;=$AR$8,$AT$8,0))))))*10000,
    0)</f>
        <v>0</v>
      </c>
      <c r="J27" s="165">
        <f t="shared" si="41"/>
        <v>50000</v>
      </c>
      <c r="K27" s="165">
        <f t="shared" si="42"/>
        <v>37500</v>
      </c>
      <c r="L27" s="107">
        <v>25</v>
      </c>
      <c r="M27" s="94">
        <f t="shared" si="24"/>
        <v>25</v>
      </c>
      <c r="N27" s="164">
        <f t="shared" si="43"/>
        <v>1</v>
      </c>
      <c r="O27" s="165">
        <f t="shared" si="1"/>
        <v>350000</v>
      </c>
      <c r="P27" s="165">
        <f>IF(AND(COUNTIFS(계좌!C:C, C27, 계좌!P:P, "체류비") &gt; 0),
    IF($N27&gt;=$AR$3,$AT$3,IF($N27&gt;=$AR$4,$AT$4,IF($N27&gt;=$AR$5,$AT$5,IF($N27&gt;=$AR$6,$AT$6,IF($N27&gt;=$AR$7,$AT$7,IF($N27&gt;=$AR$8,$AT$8,0))))))*10000,
    0)</f>
        <v>0</v>
      </c>
      <c r="Q27" s="165">
        <f t="shared" si="2"/>
        <v>50000</v>
      </c>
      <c r="R27" s="165">
        <f t="shared" si="44"/>
        <v>37500</v>
      </c>
      <c r="S27" s="107">
        <v>25</v>
      </c>
      <c r="T27" s="94">
        <f t="shared" si="13"/>
        <v>25</v>
      </c>
      <c r="U27" s="164">
        <f t="shared" si="53"/>
        <v>1</v>
      </c>
      <c r="V27" s="165">
        <f t="shared" si="3"/>
        <v>350000</v>
      </c>
      <c r="W27" s="165">
        <f>IF(AND(COUNTIFS(계좌!C:C, C27, 계좌!P:P, "체류비") &gt; 0),
    IF($U27&gt;=$AR$3,$AT$3,IF($U27&gt;=$AR$4,$AT$4,IF($U27&gt;=$AR$5,$AT$5,IF($U27&gt;=$AR$6,$AT$6,IF($U27&gt;=$AR$7,$AT$7,IF($U27&gt;=$AR$8,$AT$8,0))))))*10000,
    0)</f>
        <v>0</v>
      </c>
      <c r="X27" s="165">
        <f t="shared" si="4"/>
        <v>50000</v>
      </c>
      <c r="Y27" s="165">
        <f t="shared" si="45"/>
        <v>37500</v>
      </c>
      <c r="Z27" s="107">
        <v>25</v>
      </c>
      <c r="AA27" s="94">
        <f t="shared" si="15"/>
        <v>25</v>
      </c>
      <c r="AB27" s="164">
        <f t="shared" si="46"/>
        <v>1</v>
      </c>
      <c r="AC27" s="165">
        <f t="shared" si="5"/>
        <v>350000</v>
      </c>
      <c r="AD27" s="165">
        <f>IF(AND(COUNTIFS(계좌!C:C, C27, 계좌!P:P, "체류비") &gt; 0),
    IF($AB27&gt;=$AR$3,$AT$3,IF($AB27&gt;=$AR$4,$AT$4,IF($AB27&gt;=$AR$5,$AT$5,IF($AB27&gt;=$AR$6,$AT$6,IF($AB27&gt;=$AR$7,$AT$7,IF($AB27&gt;=$AR$8,$AT$8,0))))))*10000,
    0)</f>
        <v>0</v>
      </c>
      <c r="AE27" s="165">
        <f t="shared" si="6"/>
        <v>50000</v>
      </c>
      <c r="AF27" s="165">
        <f t="shared" si="47"/>
        <v>37500</v>
      </c>
      <c r="AG27" s="165">
        <f t="shared" si="48"/>
        <v>1400000</v>
      </c>
      <c r="AH27" s="166">
        <f t="shared" si="49"/>
        <v>0</v>
      </c>
      <c r="AI27" s="167" t="e">
        <f>VLOOKUP($C27,계좌!$C$5:$F$19,4,0)</f>
        <v>#N/A</v>
      </c>
      <c r="AJ27" s="165">
        <f t="shared" si="50"/>
        <v>200000</v>
      </c>
      <c r="AK27" s="165">
        <f t="shared" si="7"/>
        <v>0</v>
      </c>
      <c r="AL27" s="167" t="e">
        <f>VLOOKUP($D27,계좌!$C$20:$F$26,4,0)</f>
        <v>#N/A</v>
      </c>
      <c r="AM27" s="168">
        <f t="shared" si="51"/>
        <v>150000</v>
      </c>
      <c r="AN27" s="169">
        <f t="shared" si="52"/>
        <v>1</v>
      </c>
      <c r="AO27" s="98"/>
      <c r="AV27" s="171"/>
    </row>
    <row r="28" spans="2:48">
      <c r="B28" s="93">
        <v>19</v>
      </c>
      <c r="C28" s="173"/>
      <c r="D28" s="107"/>
      <c r="E28" s="107">
        <v>25</v>
      </c>
      <c r="F28" s="94">
        <f t="shared" si="23"/>
        <v>25</v>
      </c>
      <c r="G28" s="164">
        <f t="shared" ref="G28" si="54">IFERROR(E28/F28, 0)</f>
        <v>1</v>
      </c>
      <c r="H28" s="165">
        <f t="shared" si="0"/>
        <v>350000</v>
      </c>
      <c r="I28" s="165">
        <f>IF(AND(COUNTIFS(계좌!C:C, C28, 계좌!P:P, "체류비") &gt; 0),
    IF($G28&gt;=$AR$3,$AT$3,IF($G28&gt;=$AR$4,$AT$4,IF($G28&gt;=$AR$5,$AT$5,IF($G28&gt;=$AR$6,$AT$6,IF($G28&gt;=$AR$7,$AT$7,IF($G28&gt;=$AR$8,$AT$8,0))))))*10000,
    0)</f>
        <v>0</v>
      </c>
      <c r="J28" s="165">
        <f t="shared" si="41"/>
        <v>50000</v>
      </c>
      <c r="K28" s="165">
        <f t="shared" si="42"/>
        <v>37500</v>
      </c>
      <c r="L28" s="107">
        <v>25</v>
      </c>
      <c r="M28" s="94">
        <f t="shared" si="24"/>
        <v>25</v>
      </c>
      <c r="N28" s="164">
        <f t="shared" si="43"/>
        <v>1</v>
      </c>
      <c r="O28" s="165">
        <f t="shared" si="1"/>
        <v>350000</v>
      </c>
      <c r="P28" s="165">
        <f>IF(AND(COUNTIFS(계좌!C:C, C28, 계좌!P:P, "체류비") &gt; 0),
    IF($N28&gt;=$AR$3,$AT$3,IF($N28&gt;=$AR$4,$AT$4,IF($N28&gt;=$AR$5,$AT$5,IF($N28&gt;=$AR$6,$AT$6,IF($N28&gt;=$AR$7,$AT$7,IF($N28&gt;=$AR$8,$AT$8,0))))))*10000,
    0)</f>
        <v>0</v>
      </c>
      <c r="Q28" s="165">
        <f t="shared" si="2"/>
        <v>50000</v>
      </c>
      <c r="R28" s="165">
        <f t="shared" si="44"/>
        <v>37500</v>
      </c>
      <c r="S28" s="107">
        <v>25</v>
      </c>
      <c r="T28" s="94">
        <f t="shared" si="13"/>
        <v>25</v>
      </c>
      <c r="U28" s="164">
        <f t="shared" si="53"/>
        <v>1</v>
      </c>
      <c r="V28" s="165">
        <f t="shared" si="3"/>
        <v>350000</v>
      </c>
      <c r="W28" s="165">
        <f>IF(AND(COUNTIFS(계좌!C:C, C28, 계좌!P:P, "체류비") &gt; 0),
    IF($U28&gt;=$AR$3,$AT$3,IF($U28&gt;=$AR$4,$AT$4,IF($U28&gt;=$AR$5,$AT$5,IF($U28&gt;=$AR$6,$AT$6,IF($U28&gt;=$AR$7,$AT$7,IF($U28&gt;=$AR$8,$AT$8,0))))))*10000,
    0)</f>
        <v>0</v>
      </c>
      <c r="X28" s="165">
        <f t="shared" si="4"/>
        <v>50000</v>
      </c>
      <c r="Y28" s="165">
        <f t="shared" si="45"/>
        <v>37500</v>
      </c>
      <c r="Z28" s="107">
        <v>25</v>
      </c>
      <c r="AA28" s="94">
        <f t="shared" si="15"/>
        <v>25</v>
      </c>
      <c r="AB28" s="164">
        <f t="shared" si="46"/>
        <v>1</v>
      </c>
      <c r="AC28" s="165">
        <f t="shared" si="5"/>
        <v>350000</v>
      </c>
      <c r="AD28" s="165">
        <f>IF(AND(COUNTIFS(계좌!C:C, C28, 계좌!P:P, "체류비") &gt; 0),
    IF($AB28&gt;=$AR$3,$AT$3,IF($AB28&gt;=$AR$4,$AT$4,IF($AB28&gt;=$AR$5,$AT$5,IF($AB28&gt;=$AR$6,$AT$6,IF($AB28&gt;=$AR$7,$AT$7,IF($AB28&gt;=$AR$8,$AT$8,0))))))*10000,
    0)</f>
        <v>0</v>
      </c>
      <c r="AE28" s="165">
        <f t="shared" si="6"/>
        <v>50000</v>
      </c>
      <c r="AF28" s="165">
        <f t="shared" si="47"/>
        <v>37500</v>
      </c>
      <c r="AG28" s="165">
        <f t="shared" si="48"/>
        <v>1400000</v>
      </c>
      <c r="AH28" s="166">
        <f t="shared" si="49"/>
        <v>0</v>
      </c>
      <c r="AI28" s="167" t="e">
        <f>VLOOKUP($C28,계좌!$C$5:$F$19,4,0)</f>
        <v>#N/A</v>
      </c>
      <c r="AJ28" s="165">
        <f t="shared" si="50"/>
        <v>200000</v>
      </c>
      <c r="AK28" s="165">
        <f t="shared" si="7"/>
        <v>0</v>
      </c>
      <c r="AL28" s="167" t="e">
        <f>VLOOKUP($D28,계좌!$C$20:$F$26,4,0)</f>
        <v>#N/A</v>
      </c>
      <c r="AM28" s="168">
        <f t="shared" si="51"/>
        <v>150000</v>
      </c>
      <c r="AN28" s="169">
        <f t="shared" si="52"/>
        <v>1</v>
      </c>
      <c r="AO28" s="98"/>
      <c r="AV28" s="171"/>
    </row>
    <row r="29" spans="2:48">
      <c r="B29" s="93">
        <v>20</v>
      </c>
      <c r="C29" s="173"/>
      <c r="D29" s="107"/>
      <c r="E29" s="107">
        <v>25</v>
      </c>
      <c r="F29" s="94">
        <f t="shared" si="23"/>
        <v>25</v>
      </c>
      <c r="G29" s="164">
        <f t="shared" si="27"/>
        <v>1</v>
      </c>
      <c r="H29" s="165">
        <f t="shared" si="0"/>
        <v>350000</v>
      </c>
      <c r="I29" s="165">
        <f>IF(AND(COUNTIFS(계좌!C:C, C29, 계좌!P:P, "체류비") &gt; 0),
    IF($G29&gt;=$AR$3,$AT$3,IF($G29&gt;=$AR$4,$AT$4,IF($G29&gt;=$AR$5,$AT$5,IF($G29&gt;=$AR$6,$AT$6,IF($G29&gt;=$AR$7,$AT$7,IF($G29&gt;=$AR$8,$AT$8,0))))))*10000,
    0)</f>
        <v>0</v>
      </c>
      <c r="J29" s="165">
        <f t="shared" si="28"/>
        <v>50000</v>
      </c>
      <c r="K29" s="165">
        <f t="shared" si="29"/>
        <v>37500</v>
      </c>
      <c r="L29" s="107">
        <v>25</v>
      </c>
      <c r="M29" s="94">
        <f t="shared" si="24"/>
        <v>25</v>
      </c>
      <c r="N29" s="164">
        <f t="shared" si="30"/>
        <v>1</v>
      </c>
      <c r="O29" s="165">
        <f t="shared" si="1"/>
        <v>350000</v>
      </c>
      <c r="P29" s="165">
        <f>IF(AND(COUNTIFS(계좌!C:C, C29, 계좌!P:P, "체류비") &gt; 0),
    IF($N29&gt;=$AR$3,$AT$3,IF($N29&gt;=$AR$4,$AT$4,IF($N29&gt;=$AR$5,$AT$5,IF($N29&gt;=$AR$6,$AT$6,IF($N29&gt;=$AR$7,$AT$7,IF($N29&gt;=$AR$8,$AT$8,0))))))*10000,
    0)</f>
        <v>0</v>
      </c>
      <c r="Q29" s="165">
        <f t="shared" si="2"/>
        <v>50000</v>
      </c>
      <c r="R29" s="165">
        <f t="shared" si="31"/>
        <v>37500</v>
      </c>
      <c r="S29" s="107">
        <v>25</v>
      </c>
      <c r="T29" s="94">
        <f t="shared" si="13"/>
        <v>25</v>
      </c>
      <c r="U29" s="164">
        <f t="shared" si="39"/>
        <v>1</v>
      </c>
      <c r="V29" s="165">
        <f t="shared" si="3"/>
        <v>350000</v>
      </c>
      <c r="W29" s="165">
        <f>IF(AND(COUNTIFS(계좌!C:C, C29, 계좌!P:P, "체류비") &gt; 0),
    IF($U29&gt;=$AR$3,$AT$3,IF($U29&gt;=$AR$4,$AT$4,IF($U29&gt;=$AR$5,$AT$5,IF($U29&gt;=$AR$6,$AT$6,IF($U29&gt;=$AR$7,$AT$7,IF($U29&gt;=$AR$8,$AT$8,0))))))*10000,
    0)</f>
        <v>0</v>
      </c>
      <c r="X29" s="165">
        <f t="shared" si="4"/>
        <v>50000</v>
      </c>
      <c r="Y29" s="165">
        <f t="shared" si="32"/>
        <v>37500</v>
      </c>
      <c r="Z29" s="107">
        <v>25</v>
      </c>
      <c r="AA29" s="94">
        <f t="shared" si="15"/>
        <v>25</v>
      </c>
      <c r="AB29" s="164">
        <f t="shared" si="33"/>
        <v>1</v>
      </c>
      <c r="AC29" s="165">
        <f t="shared" si="5"/>
        <v>350000</v>
      </c>
      <c r="AD29" s="165">
        <f>IF(AND(COUNTIFS(계좌!C:C, C29, 계좌!P:P, "체류비") &gt; 0),
    IF($AB29&gt;=$AR$3,$AT$3,IF($AB29&gt;=$AR$4,$AT$4,IF($AB29&gt;=$AR$5,$AT$5,IF($AB29&gt;=$AR$6,$AT$6,IF($AB29&gt;=$AR$7,$AT$7,IF($AB29&gt;=$AR$8,$AT$8,0))))))*10000,
    0)</f>
        <v>0</v>
      </c>
      <c r="AE29" s="165">
        <f t="shared" si="6"/>
        <v>50000</v>
      </c>
      <c r="AF29" s="165">
        <f t="shared" si="34"/>
        <v>37500</v>
      </c>
      <c r="AG29" s="165">
        <f t="shared" si="35"/>
        <v>1400000</v>
      </c>
      <c r="AH29" s="166">
        <f t="shared" si="35"/>
        <v>0</v>
      </c>
      <c r="AI29" s="167" t="e">
        <f>VLOOKUP($C29,계좌!$C$5:$F$19,4,0)</f>
        <v>#N/A</v>
      </c>
      <c r="AJ29" s="165">
        <f t="shared" si="36"/>
        <v>200000</v>
      </c>
      <c r="AK29" s="165">
        <f t="shared" si="7"/>
        <v>0</v>
      </c>
      <c r="AL29" s="167" t="e">
        <f>VLOOKUP($D29,계좌!$C$20:$F$26,4,0)</f>
        <v>#N/A</v>
      </c>
      <c r="AM29" s="168">
        <f t="shared" si="37"/>
        <v>150000</v>
      </c>
      <c r="AN29" s="169">
        <f t="shared" si="38"/>
        <v>1</v>
      </c>
      <c r="AO29" s="98"/>
      <c r="AV29" s="171"/>
    </row>
    <row r="30" spans="2:48">
      <c r="B30" s="97"/>
      <c r="C30" s="94"/>
      <c r="D30" s="172" t="s">
        <v>286</v>
      </c>
      <c r="E30" s="94"/>
      <c r="F30" s="94"/>
      <c r="G30" s="94"/>
      <c r="H30" s="89"/>
      <c r="I30" s="89"/>
      <c r="J30" s="89"/>
      <c r="K30" s="89"/>
      <c r="L30" s="94"/>
      <c r="M30" s="94"/>
      <c r="N30" s="94"/>
      <c r="O30" s="89"/>
      <c r="P30" s="89"/>
      <c r="Q30" s="89"/>
      <c r="R30" s="89"/>
      <c r="S30" s="94"/>
      <c r="T30" s="94"/>
      <c r="U30" s="94"/>
      <c r="V30" s="89"/>
      <c r="W30" s="89"/>
      <c r="X30" s="89"/>
      <c r="Y30" s="89"/>
      <c r="Z30" s="94"/>
      <c r="AA30" s="94"/>
      <c r="AB30" s="94"/>
      <c r="AC30" s="89"/>
      <c r="AD30" s="89"/>
      <c r="AE30" s="89"/>
      <c r="AF30" s="89"/>
      <c r="AG30" s="165"/>
      <c r="AH30" s="165"/>
      <c r="AI30" s="89"/>
      <c r="AJ30" s="165"/>
      <c r="AK30" s="89"/>
      <c r="AL30" s="89"/>
      <c r="AM30" s="94"/>
      <c r="AN30" s="89"/>
      <c r="AO30" s="89"/>
    </row>
    <row r="31" spans="2:48">
      <c r="B31" s="93" t="s">
        <v>285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165">
        <f>SUM(AG10:AG30)</f>
        <v>28000000</v>
      </c>
      <c r="AH31" s="165">
        <f>SUM(AH10:AH30)</f>
        <v>0</v>
      </c>
      <c r="AI31" s="90"/>
      <c r="AJ31" s="165">
        <f>SUM(AJ10:AJ30)</f>
        <v>4000000</v>
      </c>
      <c r="AK31" s="88" t="s">
        <v>284</v>
      </c>
      <c r="AL31" s="88"/>
      <c r="AM31" s="88"/>
      <c r="AN31" s="88"/>
      <c r="AO31" s="88"/>
    </row>
  </sheetData>
  <autoFilter ref="B9:AO31" xr:uid="{00000000-0009-0000-0000-000001000000}"/>
  <phoneticPr fontId="3" type="noConversion"/>
  <pageMargins left="0.15748031496062992" right="0.15748031496062992" top="0.74803149606299213" bottom="0.31496062992125984" header="0.31496062992125984" footer="0.15748031496062992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참여자명단</vt:lpstr>
      <vt:lpstr>참여기업</vt:lpstr>
      <vt:lpstr>참여기업 멘토</vt:lpstr>
      <vt:lpstr>사전직무,운영기관,일경험 정보</vt:lpstr>
      <vt:lpstr>계좌</vt:lpstr>
      <vt:lpstr>지원금(주기준산정-4주기준지급)</vt:lpstr>
      <vt:lpstr>'지원금(주기준산정-4주기준지급)'!Print_Area</vt:lpstr>
      <vt:lpstr>'지원금(주기준산정-4주기준지급)'!Print_Titles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juhyeok KIM</cp:lastModifiedBy>
  <cp:revision>1</cp:revision>
  <dcterms:created xsi:type="dcterms:W3CDTF">2019-10-09T00:00:00Z</dcterms:created>
  <dcterms:modified xsi:type="dcterms:W3CDTF">2024-12-31T16:51:49Z</dcterms:modified>
  <cp:version>1100.0100.01</cp:version>
</cp:coreProperties>
</file>