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Z:\2024일경험사업\인턴형_무선\콘텐츠마케팅 3기_6월 24일(월) 사전직무교육 시작_쇼우테크\3. 프로그램 운영\2. 프로그램 운영\2차 지원금서류\"/>
    </mc:Choice>
  </mc:AlternateContent>
  <xr:revisionPtr revIDLastSave="0" documentId="13_ncr:1_{2D2C6FD8-A0B8-4672-A6C4-8CE5A7079FD1}" xr6:coauthVersionLast="47" xr6:coauthVersionMax="47" xr10:uidLastSave="{00000000-0000-0000-0000-000000000000}"/>
  <bookViews>
    <workbookView xWindow="31200" yWindow="0" windowWidth="24270" windowHeight="15600" tabRatio="747" activeTab="1" xr2:uid="{00000000-000D-0000-FFFF-FFFF00000000}"/>
  </bookViews>
  <sheets>
    <sheet name="계좌" sheetId="14" r:id="rId1"/>
    <sheet name="지원금(주기준산정-4주기준지급)" sheetId="15" r:id="rId2"/>
  </sheets>
  <externalReferences>
    <externalReference r:id="rId3"/>
  </externalReferences>
  <definedNames>
    <definedName name="_xlnm._FilterDatabase" localSheetId="1" hidden="1">'지원금(주기준산정-4주기준지급)'!$B$9:$AO$27</definedName>
    <definedName name="_xlnm.Print_Area" localSheetId="1">'지원금(주기준산정-4주기준지급)'!$B$2:$AO$27</definedName>
    <definedName name="_xlnm.Print_Titles" localSheetId="1">'지원금(주기준산정-4주기준지급)'!$9:$9</definedName>
    <definedName name="운영형태">[1]사업비항목!$C$35:$C$36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5" l="1"/>
  <c r="AH11" i="15" s="1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10" i="15"/>
  <c r="AJ27" i="15"/>
  <c r="AG27" i="15"/>
  <c r="AN25" i="15"/>
  <c r="AM25" i="15"/>
  <c r="AL25" i="15"/>
  <c r="AK25" i="15"/>
  <c r="AJ25" i="15"/>
  <c r="AI25" i="15"/>
  <c r="AG25" i="15"/>
  <c r="AF25" i="15"/>
  <c r="AE25" i="15"/>
  <c r="AC25" i="15"/>
  <c r="AB25" i="15"/>
  <c r="AA25" i="15"/>
  <c r="Y25" i="15"/>
  <c r="X25" i="15"/>
  <c r="V25" i="15"/>
  <c r="U25" i="15"/>
  <c r="T25" i="15"/>
  <c r="R25" i="15"/>
  <c r="Q25" i="15"/>
  <c r="O25" i="15"/>
  <c r="N25" i="15"/>
  <c r="M25" i="15"/>
  <c r="K25" i="15"/>
  <c r="J25" i="15"/>
  <c r="H25" i="15"/>
  <c r="G25" i="15"/>
  <c r="F25" i="15"/>
  <c r="B25" i="15"/>
  <c r="AN24" i="15"/>
  <c r="AM24" i="15"/>
  <c r="AL24" i="15"/>
  <c r="AK24" i="15"/>
  <c r="AJ24" i="15"/>
  <c r="AI24" i="15"/>
  <c r="AG24" i="15"/>
  <c r="AF24" i="15"/>
  <c r="AE24" i="15"/>
  <c r="AC24" i="15"/>
  <c r="AB24" i="15"/>
  <c r="AA24" i="15"/>
  <c r="Y24" i="15"/>
  <c r="X24" i="15"/>
  <c r="V24" i="15"/>
  <c r="U24" i="15"/>
  <c r="T24" i="15"/>
  <c r="R24" i="15"/>
  <c r="Q24" i="15"/>
  <c r="O24" i="15"/>
  <c r="N24" i="15"/>
  <c r="M24" i="15"/>
  <c r="K24" i="15"/>
  <c r="J24" i="15"/>
  <c r="H24" i="15"/>
  <c r="G24" i="15"/>
  <c r="F24" i="15"/>
  <c r="B24" i="15"/>
  <c r="AN23" i="15"/>
  <c r="AM23" i="15"/>
  <c r="AL23" i="15"/>
  <c r="AK23" i="15"/>
  <c r="AJ23" i="15"/>
  <c r="AI23" i="15"/>
  <c r="AG23" i="15"/>
  <c r="AF23" i="15"/>
  <c r="AE23" i="15"/>
  <c r="AC23" i="15"/>
  <c r="AB23" i="15"/>
  <c r="AA23" i="15"/>
  <c r="Y23" i="15"/>
  <c r="X23" i="15"/>
  <c r="V23" i="15"/>
  <c r="U23" i="15"/>
  <c r="T23" i="15"/>
  <c r="R23" i="15"/>
  <c r="Q23" i="15"/>
  <c r="O23" i="15"/>
  <c r="N23" i="15"/>
  <c r="M23" i="15"/>
  <c r="K23" i="15"/>
  <c r="J23" i="15"/>
  <c r="H23" i="15"/>
  <c r="G23" i="15"/>
  <c r="F23" i="15"/>
  <c r="B23" i="15"/>
  <c r="AN22" i="15"/>
  <c r="AM22" i="15"/>
  <c r="AL22" i="15"/>
  <c r="AK22" i="15"/>
  <c r="AJ22" i="15"/>
  <c r="AI22" i="15"/>
  <c r="AH22" i="15"/>
  <c r="AG22" i="15"/>
  <c r="AF22" i="15"/>
  <c r="AE22" i="15"/>
  <c r="AC22" i="15"/>
  <c r="AB22" i="15"/>
  <c r="AA22" i="15"/>
  <c r="Y22" i="15"/>
  <c r="X22" i="15"/>
  <c r="V22" i="15"/>
  <c r="U22" i="15"/>
  <c r="T22" i="15"/>
  <c r="R22" i="15"/>
  <c r="Q22" i="15"/>
  <c r="O22" i="15"/>
  <c r="N22" i="15"/>
  <c r="M22" i="15"/>
  <c r="K22" i="15"/>
  <c r="J22" i="15"/>
  <c r="H22" i="15"/>
  <c r="G22" i="15"/>
  <c r="F22" i="15"/>
  <c r="B22" i="15"/>
  <c r="AN21" i="15"/>
  <c r="AM21" i="15"/>
  <c r="AL21" i="15"/>
  <c r="AK21" i="15"/>
  <c r="AJ21" i="15"/>
  <c r="AI21" i="15"/>
  <c r="AG21" i="15"/>
  <c r="AF21" i="15"/>
  <c r="AE21" i="15"/>
  <c r="AC21" i="15"/>
  <c r="AB21" i="15"/>
  <c r="AA21" i="15"/>
  <c r="Y21" i="15"/>
  <c r="X21" i="15"/>
  <c r="V21" i="15"/>
  <c r="U21" i="15"/>
  <c r="T21" i="15"/>
  <c r="R21" i="15"/>
  <c r="Q21" i="15"/>
  <c r="O21" i="15"/>
  <c r="N21" i="15"/>
  <c r="M21" i="15"/>
  <c r="K21" i="15"/>
  <c r="J21" i="15"/>
  <c r="H21" i="15"/>
  <c r="G21" i="15"/>
  <c r="F21" i="15"/>
  <c r="B21" i="15"/>
  <c r="AN20" i="15"/>
  <c r="AM20" i="15"/>
  <c r="AL20" i="15"/>
  <c r="AK20" i="15"/>
  <c r="AJ20" i="15"/>
  <c r="AI20" i="15"/>
  <c r="AG20" i="15"/>
  <c r="AF20" i="15"/>
  <c r="AE20" i="15"/>
  <c r="AC20" i="15"/>
  <c r="AB20" i="15"/>
  <c r="AA20" i="15"/>
  <c r="Y20" i="15"/>
  <c r="X20" i="15"/>
  <c r="V20" i="15"/>
  <c r="U20" i="15"/>
  <c r="T20" i="15"/>
  <c r="R20" i="15"/>
  <c r="Q20" i="15"/>
  <c r="O20" i="15"/>
  <c r="N20" i="15"/>
  <c r="M20" i="15"/>
  <c r="K20" i="15"/>
  <c r="J20" i="15"/>
  <c r="H20" i="15"/>
  <c r="G20" i="15"/>
  <c r="F20" i="15"/>
  <c r="B20" i="15"/>
  <c r="AN19" i="15"/>
  <c r="AM19" i="15"/>
  <c r="AL19" i="15"/>
  <c r="AK19" i="15"/>
  <c r="AJ19" i="15"/>
  <c r="AI19" i="15"/>
  <c r="AG19" i="15"/>
  <c r="AF19" i="15"/>
  <c r="AE19" i="15"/>
  <c r="AC19" i="15"/>
  <c r="AB19" i="15"/>
  <c r="AA19" i="15"/>
  <c r="Y19" i="15"/>
  <c r="X19" i="15"/>
  <c r="V19" i="15"/>
  <c r="U19" i="15"/>
  <c r="T19" i="15"/>
  <c r="R19" i="15"/>
  <c r="Q19" i="15"/>
  <c r="O19" i="15"/>
  <c r="N19" i="15"/>
  <c r="M19" i="15"/>
  <c r="K19" i="15"/>
  <c r="J19" i="15"/>
  <c r="H19" i="15"/>
  <c r="G19" i="15"/>
  <c r="F19" i="15"/>
  <c r="B19" i="15"/>
  <c r="AN18" i="15"/>
  <c r="AM18" i="15"/>
  <c r="AL18" i="15"/>
  <c r="AK18" i="15"/>
  <c r="AJ18" i="15"/>
  <c r="AI18" i="15"/>
  <c r="AG18" i="15"/>
  <c r="AF18" i="15"/>
  <c r="AE18" i="15"/>
  <c r="AC18" i="15"/>
  <c r="AB18" i="15"/>
  <c r="AA18" i="15"/>
  <c r="Y18" i="15"/>
  <c r="X18" i="15"/>
  <c r="V18" i="15"/>
  <c r="U18" i="15"/>
  <c r="T18" i="15"/>
  <c r="R18" i="15"/>
  <c r="Q18" i="15"/>
  <c r="O18" i="15"/>
  <c r="N18" i="15"/>
  <c r="M18" i="15"/>
  <c r="K18" i="15"/>
  <c r="J18" i="15"/>
  <c r="H18" i="15"/>
  <c r="G18" i="15"/>
  <c r="F18" i="15"/>
  <c r="B18" i="15"/>
  <c r="AN17" i="15"/>
  <c r="AM17" i="15"/>
  <c r="AL17" i="15"/>
  <c r="AK17" i="15"/>
  <c r="AJ17" i="15"/>
  <c r="AI17" i="15"/>
  <c r="AG17" i="15"/>
  <c r="AF17" i="15"/>
  <c r="AE17" i="15"/>
  <c r="AC17" i="15"/>
  <c r="AB17" i="15"/>
  <c r="AA17" i="15"/>
  <c r="Y17" i="15"/>
  <c r="X17" i="15"/>
  <c r="V17" i="15"/>
  <c r="U17" i="15"/>
  <c r="T17" i="15"/>
  <c r="R17" i="15"/>
  <c r="Q17" i="15"/>
  <c r="O17" i="15"/>
  <c r="N17" i="15"/>
  <c r="M17" i="15"/>
  <c r="K17" i="15"/>
  <c r="J17" i="15"/>
  <c r="H17" i="15"/>
  <c r="G17" i="15"/>
  <c r="F17" i="15"/>
  <c r="B17" i="15"/>
  <c r="AN16" i="15"/>
  <c r="AM16" i="15"/>
  <c r="AL16" i="15"/>
  <c r="AK16" i="15"/>
  <c r="AJ16" i="15"/>
  <c r="AI16" i="15"/>
  <c r="AH16" i="15"/>
  <c r="AG16" i="15"/>
  <c r="AF16" i="15"/>
  <c r="AE16" i="15"/>
  <c r="AC16" i="15"/>
  <c r="AB16" i="15"/>
  <c r="AA16" i="15"/>
  <c r="Y16" i="15"/>
  <c r="X16" i="15"/>
  <c r="V16" i="15"/>
  <c r="U16" i="15"/>
  <c r="T16" i="15"/>
  <c r="R16" i="15"/>
  <c r="Q16" i="15"/>
  <c r="O16" i="15"/>
  <c r="N16" i="15"/>
  <c r="M16" i="15"/>
  <c r="K16" i="15"/>
  <c r="J16" i="15"/>
  <c r="H16" i="15"/>
  <c r="G16" i="15"/>
  <c r="F16" i="15"/>
  <c r="B16" i="15"/>
  <c r="AN15" i="15"/>
  <c r="AM15" i="15"/>
  <c r="AL15" i="15"/>
  <c r="AK15" i="15"/>
  <c r="AJ15" i="15"/>
  <c r="AI15" i="15"/>
  <c r="AG15" i="15"/>
  <c r="AF15" i="15"/>
  <c r="AE15" i="15"/>
  <c r="AC15" i="15"/>
  <c r="AB15" i="15"/>
  <c r="AA15" i="15"/>
  <c r="Y15" i="15"/>
  <c r="X15" i="15"/>
  <c r="V15" i="15"/>
  <c r="U15" i="15"/>
  <c r="T15" i="15"/>
  <c r="R15" i="15"/>
  <c r="Q15" i="15"/>
  <c r="O15" i="15"/>
  <c r="N15" i="15"/>
  <c r="M15" i="15"/>
  <c r="K15" i="15"/>
  <c r="J15" i="15"/>
  <c r="H15" i="15"/>
  <c r="G15" i="15"/>
  <c r="F15" i="15"/>
  <c r="B15" i="15"/>
  <c r="AN14" i="15"/>
  <c r="AM14" i="15"/>
  <c r="AL14" i="15"/>
  <c r="AK14" i="15"/>
  <c r="AJ14" i="15"/>
  <c r="AI14" i="15"/>
  <c r="AG14" i="15"/>
  <c r="AF14" i="15"/>
  <c r="AE14" i="15"/>
  <c r="AC14" i="15"/>
  <c r="AB14" i="15"/>
  <c r="AA14" i="15"/>
  <c r="Y14" i="15"/>
  <c r="X14" i="15"/>
  <c r="V14" i="15"/>
  <c r="U14" i="15"/>
  <c r="T14" i="15"/>
  <c r="R14" i="15"/>
  <c r="Q14" i="15"/>
  <c r="O14" i="15"/>
  <c r="N14" i="15"/>
  <c r="M14" i="15"/>
  <c r="K14" i="15"/>
  <c r="J14" i="15"/>
  <c r="H14" i="15"/>
  <c r="G14" i="15"/>
  <c r="F14" i="15"/>
  <c r="B14" i="15"/>
  <c r="AM13" i="15"/>
  <c r="AL13" i="15"/>
  <c r="AK13" i="15"/>
  <c r="AJ13" i="15"/>
  <c r="AI13" i="15"/>
  <c r="AG13" i="15"/>
  <c r="AF13" i="15"/>
  <c r="AE13" i="15"/>
  <c r="AC13" i="15"/>
  <c r="AB13" i="15"/>
  <c r="Y13" i="15"/>
  <c r="X13" i="15"/>
  <c r="V13" i="15"/>
  <c r="U13" i="15"/>
  <c r="R13" i="15"/>
  <c r="Q13" i="15"/>
  <c r="O13" i="15"/>
  <c r="N13" i="15"/>
  <c r="M13" i="15"/>
  <c r="K13" i="15"/>
  <c r="J13" i="15"/>
  <c r="H13" i="15"/>
  <c r="G13" i="15"/>
  <c r="F13" i="15"/>
  <c r="B13" i="15"/>
  <c r="AN12" i="15"/>
  <c r="AM12" i="15"/>
  <c r="AL12" i="15"/>
  <c r="AK12" i="15"/>
  <c r="AJ12" i="15"/>
  <c r="AI12" i="15"/>
  <c r="AG12" i="15"/>
  <c r="AF12" i="15"/>
  <c r="AE12" i="15"/>
  <c r="AC12" i="15"/>
  <c r="AB12" i="15"/>
  <c r="AA12" i="15"/>
  <c r="Y12" i="15"/>
  <c r="X12" i="15"/>
  <c r="V12" i="15"/>
  <c r="U12" i="15"/>
  <c r="T12" i="15"/>
  <c r="R12" i="15"/>
  <c r="Q12" i="15"/>
  <c r="O12" i="15"/>
  <c r="N12" i="15"/>
  <c r="M12" i="15"/>
  <c r="K12" i="15"/>
  <c r="J12" i="15"/>
  <c r="H12" i="15"/>
  <c r="G12" i="15"/>
  <c r="F12" i="15"/>
  <c r="B12" i="15"/>
  <c r="AM11" i="15"/>
  <c r="AL11" i="15"/>
  <c r="AK11" i="15"/>
  <c r="AJ11" i="15"/>
  <c r="AI11" i="15"/>
  <c r="AG11" i="15"/>
  <c r="AF11" i="15"/>
  <c r="AE11" i="15"/>
  <c r="AC11" i="15"/>
  <c r="AB11" i="15"/>
  <c r="Y11" i="15"/>
  <c r="X11" i="15"/>
  <c r="V11" i="15"/>
  <c r="U11" i="15"/>
  <c r="R11" i="15"/>
  <c r="Q11" i="15"/>
  <c r="O11" i="15"/>
  <c r="N11" i="15"/>
  <c r="M11" i="15"/>
  <c r="K11" i="15"/>
  <c r="J11" i="15"/>
  <c r="H11" i="15"/>
  <c r="G11" i="15"/>
  <c r="F11" i="15"/>
  <c r="B11" i="15"/>
  <c r="AN10" i="15"/>
  <c r="AM10" i="15"/>
  <c r="AL10" i="15"/>
  <c r="AK10" i="15"/>
  <c r="AJ10" i="15"/>
  <c r="AI10" i="15"/>
  <c r="AG10" i="15"/>
  <c r="AF10" i="15"/>
  <c r="AE10" i="15"/>
  <c r="AC10" i="15"/>
  <c r="AB10" i="15"/>
  <c r="Y10" i="15"/>
  <c r="X10" i="15"/>
  <c r="V10" i="15"/>
  <c r="U10" i="15"/>
  <c r="R10" i="15"/>
  <c r="Q10" i="15"/>
  <c r="O10" i="15"/>
  <c r="N10" i="15"/>
  <c r="K10" i="15"/>
  <c r="J10" i="15"/>
  <c r="H10" i="15"/>
  <c r="G10" i="15"/>
  <c r="AB7" i="15"/>
  <c r="AA7" i="15"/>
  <c r="T6" i="15"/>
  <c r="T5" i="15"/>
  <c r="T4" i="15"/>
  <c r="R28" i="14"/>
  <c r="H26" i="14"/>
  <c r="F26" i="14"/>
  <c r="B26" i="14"/>
  <c r="H25" i="14"/>
  <c r="F25" i="14"/>
  <c r="B25" i="14"/>
  <c r="F24" i="14"/>
  <c r="B24" i="14"/>
  <c r="F23" i="14"/>
  <c r="B23" i="14"/>
  <c r="H22" i="14"/>
  <c r="B22" i="14"/>
  <c r="B21" i="14"/>
  <c r="F20" i="14"/>
  <c r="B20" i="14"/>
  <c r="F19" i="14"/>
  <c r="B19" i="14"/>
  <c r="F18" i="14"/>
  <c r="B18" i="14"/>
  <c r="F17" i="14"/>
  <c r="B17" i="14"/>
  <c r="F16" i="14"/>
  <c r="B16" i="14"/>
  <c r="F15" i="14"/>
  <c r="B15" i="14"/>
  <c r="F14" i="14"/>
  <c r="B14" i="14"/>
  <c r="F13" i="14"/>
  <c r="B13" i="14"/>
  <c r="F12" i="14"/>
  <c r="B12" i="14"/>
  <c r="F11" i="14"/>
  <c r="B11" i="14"/>
  <c r="F10" i="14"/>
  <c r="B10" i="14"/>
  <c r="F9" i="14"/>
  <c r="B9" i="14"/>
  <c r="F8" i="14"/>
  <c r="B8" i="14"/>
  <c r="F7" i="14"/>
  <c r="B7" i="14"/>
  <c r="F6" i="14"/>
  <c r="B6" i="14"/>
  <c r="F5" i="14"/>
  <c r="AH21" i="15" l="1"/>
  <c r="AH19" i="15"/>
  <c r="AH18" i="15"/>
  <c r="AH20" i="15"/>
  <c r="AH17" i="15"/>
  <c r="AH15" i="15"/>
  <c r="AH14" i="15"/>
  <c r="AH25" i="15"/>
  <c r="AH13" i="15"/>
  <c r="AH24" i="15"/>
  <c r="AH12" i="15"/>
  <c r="AH23" i="15"/>
  <c r="AH10" i="15"/>
  <c r="AH27" i="15" l="1"/>
</calcChain>
</file>

<file path=xl/sharedStrings.xml><?xml version="1.0" encoding="utf-8"?>
<sst xmlns="http://schemas.openxmlformats.org/spreadsheetml/2006/main" count="233" uniqueCount="151">
  <si>
    <t>인턴십</t>
    <phoneticPr fontId="1" type="noConversion"/>
  </si>
  <si>
    <t>합계</t>
    <phoneticPr fontId="1" type="noConversion"/>
  </si>
  <si>
    <t>No</t>
    <phoneticPr fontId="1" type="noConversion"/>
  </si>
  <si>
    <t>기관명 :</t>
    <phoneticPr fontId="1" type="noConversion"/>
  </si>
  <si>
    <t>사업유형:</t>
    <phoneticPr fontId="1" type="noConversion"/>
  </si>
  <si>
    <t>필요시 이 줄 위에서 삽입</t>
    <phoneticPr fontId="1" type="noConversion"/>
  </si>
  <si>
    <t>수행기간:</t>
    <phoneticPr fontId="1" type="noConversion"/>
  </si>
  <si>
    <t>업무명:</t>
    <phoneticPr fontId="1" type="noConversion"/>
  </si>
  <si>
    <t>일경험</t>
    <phoneticPr fontId="1" type="noConversion"/>
  </si>
  <si>
    <t>참여청년</t>
    <phoneticPr fontId="1" type="noConversion"/>
  </si>
  <si>
    <t>매칭기업</t>
    <phoneticPr fontId="1" type="noConversion"/>
  </si>
  <si>
    <t>(청년)계좌번호</t>
    <phoneticPr fontId="1" type="noConversion"/>
  </si>
  <si>
    <t>N/A(해당없음)</t>
    <phoneticPr fontId="1" type="noConversion"/>
  </si>
  <si>
    <t>출석시간</t>
    <phoneticPr fontId="1" type="noConversion"/>
  </si>
  <si>
    <t>총시간</t>
    <phoneticPr fontId="1" type="noConversion"/>
  </si>
  <si>
    <t>출석률</t>
    <phoneticPr fontId="1" type="noConversion"/>
  </si>
  <si>
    <t>수행차수:</t>
    <phoneticPr fontId="1" type="noConversion"/>
  </si>
  <si>
    <t>계좌번호 관리</t>
    <phoneticPr fontId="1" type="noConversion"/>
  </si>
  <si>
    <t>성명 or 기업명</t>
    <phoneticPr fontId="1" type="noConversion"/>
  </si>
  <si>
    <t>은행명</t>
    <phoneticPr fontId="1" type="noConversion"/>
  </si>
  <si>
    <t>은행명(변경전)</t>
    <phoneticPr fontId="1" type="noConversion"/>
  </si>
  <si>
    <t>계좌번호</t>
    <phoneticPr fontId="1" type="noConversion"/>
  </si>
  <si>
    <t>은행명(계좌번호)</t>
    <phoneticPr fontId="1" type="noConversion"/>
  </si>
  <si>
    <t>특이사항</t>
    <phoneticPr fontId="1" type="noConversion"/>
  </si>
  <si>
    <t>비고(변경일등 기재)</t>
    <phoneticPr fontId="1" type="noConversion"/>
  </si>
  <si>
    <t>(*) 주의사항 : 계좌번호가 변경된 경우에도 변경전 계좌번호도 따로 관리하면 좋음.</t>
    <phoneticPr fontId="1" type="noConversion"/>
  </si>
  <si>
    <t>(기업)계좌번호</t>
    <phoneticPr fontId="1" type="noConversion"/>
  </si>
  <si>
    <t>기업별 합계</t>
    <phoneticPr fontId="1" type="noConversion"/>
  </si>
  <si>
    <t>1주 청년지원금</t>
    <phoneticPr fontId="1" type="noConversion"/>
  </si>
  <si>
    <t>1주 기업지원금</t>
    <phoneticPr fontId="1" type="noConversion"/>
  </si>
  <si>
    <r>
      <t>(*) 주의사항 : 열을 삽입하는 경우 삽입한 열의 바로 윗 열의 내용을 복사하여 삽입한 열 전체에 붙여넣습니다.</t>
    </r>
    <r>
      <rPr>
        <b/>
        <i/>
        <u/>
        <sz val="13"/>
        <color rgb="FFFF0000"/>
        <rFont val="맑은 고딕"/>
        <family val="3"/>
        <charset val="129"/>
        <scheme val="minor"/>
      </rPr>
      <t>(표안 음영이 없는 부분은 실제 Data 기재 필요)</t>
    </r>
    <phoneticPr fontId="1" type="noConversion"/>
  </si>
  <si>
    <t>(*) 사업별로 지원금 차이 있음</t>
    <phoneticPr fontId="1" type="noConversion"/>
  </si>
  <si>
    <t>청년-적용단가</t>
    <phoneticPr fontId="1" type="noConversion"/>
  </si>
  <si>
    <t xml:space="preserve">프로그램 출석률* </t>
  </si>
  <si>
    <t>청년</t>
  </si>
  <si>
    <t>기업</t>
  </si>
  <si>
    <t>80% 이상 출석</t>
  </si>
  <si>
    <t>기업-적용단가</t>
    <phoneticPr fontId="1" type="noConversion"/>
  </si>
  <si>
    <t>%</t>
    <phoneticPr fontId="1" type="noConversion"/>
  </si>
  <si>
    <t>70% 이상~80% 미만 출석</t>
  </si>
  <si>
    <t>60% 이상~70% 미만 출석</t>
  </si>
  <si>
    <t>50% 이상~60% 미만 출석</t>
  </si>
  <si>
    <t>40% 이상~50% 미만 출석</t>
  </si>
  <si>
    <t>20% 이상~40% 미만 출석</t>
  </si>
  <si>
    <t>지출금액 합계 검증</t>
    <phoneticPr fontId="1" type="noConversion"/>
  </si>
  <si>
    <t>청년지원금 회차별 지출금액 합계</t>
    <phoneticPr fontId="1" type="noConversion"/>
  </si>
  <si>
    <t>청년지원금 회차별 지출금액 합계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</si>
  <si>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</si>
  <si>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</si>
  <si>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</si>
  <si>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</si>
  <si>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청년 지원금(월)</t>
    <phoneticPr fontId="1" type="noConversion"/>
  </si>
  <si>
    <t>기업 지원금(월)</t>
    <phoneticPr fontId="1" type="noConversion"/>
  </si>
  <si>
    <t>월-합계</t>
    <phoneticPr fontId="1" type="noConversion"/>
  </si>
  <si>
    <t>비고</t>
    <phoneticPr fontId="1" type="noConversion"/>
  </si>
  <si>
    <t>총출석률</t>
    <phoneticPr fontId="1" type="noConversion"/>
  </si>
  <si>
    <t>수행 주수:</t>
    <phoneticPr fontId="1" type="noConversion"/>
  </si>
  <si>
    <t>주</t>
    <phoneticPr fontId="1" type="noConversion"/>
  </si>
  <si>
    <r>
      <t>일경험프로그램 참여결과</t>
    </r>
    <r>
      <rPr>
        <b/>
        <i/>
        <sz val="17"/>
        <color rgb="FFFF0000"/>
        <rFont val="맑은 고딕"/>
        <family val="3"/>
        <charset val="129"/>
        <scheme val="minor"/>
      </rPr>
      <t>(계좌는 1개의 Sheet로 관리, 참여결과는 회차별로 작성)</t>
    </r>
    <phoneticPr fontId="1" type="noConversion"/>
  </si>
  <si>
    <t>체류지원비</t>
    <phoneticPr fontId="1" type="noConversion"/>
  </si>
  <si>
    <t>1주 체류지원금(청년)</t>
    <phoneticPr fontId="1" type="noConversion"/>
  </si>
  <si>
    <t>주민등록번호</t>
    <phoneticPr fontId="1" type="noConversion"/>
  </si>
  <si>
    <t>지급비용</t>
    <phoneticPr fontId="1" type="noConversion"/>
  </si>
  <si>
    <t>사전직무교육 시작일</t>
    <phoneticPr fontId="1" type="noConversion"/>
  </si>
  <si>
    <t>사전직무교육 종료일</t>
    <phoneticPr fontId="1" type="noConversion"/>
  </si>
  <si>
    <t>일경험 시작일</t>
    <phoneticPr fontId="1" type="noConversion"/>
  </si>
  <si>
    <t>일경험 종료일</t>
    <phoneticPr fontId="1" type="noConversion"/>
  </si>
  <si>
    <t>요청일</t>
    <phoneticPr fontId="1" type="noConversion"/>
  </si>
  <si>
    <t>멘토명</t>
  </si>
  <si>
    <t>참여기업 명</t>
  </si>
  <si>
    <t>멘토 수당</t>
    <phoneticPr fontId="1" type="noConversion"/>
  </si>
  <si>
    <t>멘토수당</t>
    <phoneticPr fontId="1" type="noConversion"/>
  </si>
  <si>
    <t>한국무선인터넷솔루션협회</t>
    <phoneticPr fontId="1" type="noConversion"/>
  </si>
  <si>
    <t>이태규</t>
  </si>
  <si>
    <t>이영석</t>
  </si>
  <si>
    <t>신보해</t>
  </si>
  <si>
    <t>신영환</t>
  </si>
  <si>
    <t>김소윤</t>
  </si>
  <si>
    <t>이유화</t>
  </si>
  <si>
    <t>안태후</t>
  </si>
  <si>
    <t>심지민</t>
  </si>
  <si>
    <t>정관호</t>
  </si>
  <si>
    <t>박기태</t>
  </si>
  <si>
    <t>손가영</t>
  </si>
  <si>
    <t>장유나</t>
  </si>
  <si>
    <t>이유민</t>
  </si>
  <si>
    <t>김주애</t>
  </si>
  <si>
    <t>박유빈</t>
  </si>
  <si>
    <t>박혜빈</t>
  </si>
  <si>
    <t>농협</t>
    <phoneticPr fontId="21" type="noConversion"/>
  </si>
  <si>
    <t>312-0092-5057-11</t>
    <phoneticPr fontId="21" type="noConversion"/>
  </si>
  <si>
    <t>930604-1284511</t>
  </si>
  <si>
    <t>국민</t>
    <phoneticPr fontId="21" type="noConversion"/>
  </si>
  <si>
    <t xml:space="preserve"> 116602-04-203403</t>
    <phoneticPr fontId="21" type="noConversion"/>
  </si>
  <si>
    <t>930416-1114513</t>
  </si>
  <si>
    <t>신한</t>
    <phoneticPr fontId="21" type="noConversion"/>
  </si>
  <si>
    <t>110-388-206110</t>
    <phoneticPr fontId="21" type="noConversion"/>
  </si>
  <si>
    <t>940730-2067817</t>
  </si>
  <si>
    <t>110-453-570436</t>
    <phoneticPr fontId="21" type="noConversion"/>
  </si>
  <si>
    <t>000911-3171712</t>
  </si>
  <si>
    <t>토스</t>
    <phoneticPr fontId="21" type="noConversion"/>
  </si>
  <si>
    <t>카카오</t>
    <phoneticPr fontId="21" type="noConversion"/>
  </si>
  <si>
    <t xml:space="preserve"> 3333-08-0125647</t>
    <phoneticPr fontId="21" type="noConversion"/>
  </si>
  <si>
    <t>950118-2803210</t>
  </si>
  <si>
    <t>940728-2173529</t>
  </si>
  <si>
    <t xml:space="preserve"> 203101-04-263485</t>
    <phoneticPr fontId="21" type="noConversion"/>
  </si>
  <si>
    <t>990929-1115015</t>
  </si>
  <si>
    <t>1000-5069-8031</t>
    <phoneticPr fontId="21" type="noConversion"/>
  </si>
  <si>
    <t>030918-4114310</t>
  </si>
  <si>
    <t xml:space="preserve"> 939302-00-959242</t>
    <phoneticPr fontId="21" type="noConversion"/>
  </si>
  <si>
    <t>011222-3300117</t>
  </si>
  <si>
    <t>017002-04-485195</t>
    <phoneticPr fontId="21" type="noConversion"/>
  </si>
  <si>
    <t>951231-1114813</t>
  </si>
  <si>
    <t>하나</t>
    <phoneticPr fontId="21" type="noConversion"/>
  </si>
  <si>
    <t>512-910486-57407</t>
    <phoneticPr fontId="21" type="noConversion"/>
  </si>
  <si>
    <t>010218-4710714</t>
  </si>
  <si>
    <t>우리은행</t>
    <phoneticPr fontId="21" type="noConversion"/>
  </si>
  <si>
    <t>1002-852-046074</t>
    <phoneticPr fontId="21" type="noConversion"/>
  </si>
  <si>
    <t>940321-2127311</t>
  </si>
  <si>
    <t>352-0457-4400-73</t>
    <phoneticPr fontId="21" type="noConversion"/>
  </si>
  <si>
    <t>940717-1865415</t>
  </si>
  <si>
    <r>
      <t>IBK</t>
    </r>
    <r>
      <rPr>
        <sz val="11"/>
        <color rgb="FF000000"/>
        <rFont val="맑은 고딕"/>
        <family val="3"/>
        <charset val="129"/>
      </rPr>
      <t>기업</t>
    </r>
    <phoneticPr fontId="21" type="noConversion"/>
  </si>
  <si>
    <t>81-133676 -04-010</t>
    <phoneticPr fontId="21" type="noConversion"/>
  </si>
  <si>
    <t>971009-2159013</t>
  </si>
  <si>
    <r>
      <t>BNK</t>
    </r>
    <r>
      <rPr>
        <sz val="11"/>
        <color rgb="FF000000"/>
        <rFont val="맑은 고딕"/>
        <family val="3"/>
        <charset val="129"/>
      </rPr>
      <t>부산</t>
    </r>
    <phoneticPr fontId="21" type="noConversion"/>
  </si>
  <si>
    <t>112-2148-7588-03</t>
    <phoneticPr fontId="21" type="noConversion"/>
  </si>
  <si>
    <t>970318-2126510</t>
  </si>
  <si>
    <t>112-2148-7608-04</t>
    <phoneticPr fontId="21" type="noConversion"/>
  </si>
  <si>
    <t>970318-2126525</t>
  </si>
  <si>
    <t>㈜쇼우테크</t>
    <phoneticPr fontId="1" type="noConversion"/>
  </si>
  <si>
    <t>윤제현</t>
    <phoneticPr fontId="21" type="noConversion"/>
  </si>
  <si>
    <t>정종영</t>
    <phoneticPr fontId="21" type="noConversion"/>
  </si>
  <si>
    <t>1002-837-815880</t>
    <phoneticPr fontId="1" type="noConversion"/>
  </si>
  <si>
    <t>중도 포기</t>
    <phoneticPr fontId="1" type="noConversion"/>
  </si>
  <si>
    <t>중도포기</t>
    <phoneticPr fontId="1" type="noConversion"/>
  </si>
  <si>
    <t>체류비</t>
    <phoneticPr fontId="1" type="noConversion"/>
  </si>
  <si>
    <t>윤제현</t>
  </si>
  <si>
    <t>이태규</t>
    <phoneticPr fontId="1" type="noConversion"/>
  </si>
  <si>
    <t>신보해</t>
    <phoneticPr fontId="1" type="noConversion"/>
  </si>
  <si>
    <t>국민</t>
  </si>
  <si>
    <t>570201-01-270452</t>
    <phoneticPr fontId="1" type="noConversion"/>
  </si>
  <si>
    <t>정종영</t>
    <phoneticPr fontId="1" type="noConversion"/>
  </si>
  <si>
    <t>우리은행</t>
    <phoneticPr fontId="1" type="noConversion"/>
  </si>
  <si>
    <t xml:space="preserve">국민 </t>
    <phoneticPr fontId="1" type="noConversion"/>
  </si>
  <si>
    <t>357701-04-303493</t>
    <phoneticPr fontId="1" type="noConversion"/>
  </si>
  <si>
    <t>국민 357701-04-303493</t>
    <phoneticPr fontId="1" type="noConversion"/>
  </si>
  <si>
    <t>기업지원비</t>
    <phoneticPr fontId="1" type="noConversion"/>
  </si>
  <si>
    <t>멘토비</t>
    <phoneticPr fontId="1" type="noConversion"/>
  </si>
  <si>
    <t>761209-1108826</t>
    <phoneticPr fontId="1" type="noConversion"/>
  </si>
  <si>
    <t>821019-2113519</t>
    <phoneticPr fontId="1" type="noConversion"/>
  </si>
  <si>
    <t>2024. 8. 5(월) ~ 2024. 8. 30(금)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</si>
</sst>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&quot;만원&quot;"/>
    <numFmt numFmtId="177" formatCode="#,##0&quot;원&quot;"/>
    <numFmt numFmtId="178" formatCode="0.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23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b/>
      <i/>
      <u/>
      <sz val="13"/>
      <color rgb="FF00B0F0"/>
      <name val="맑은 고딕"/>
      <family val="3"/>
      <charset val="129"/>
      <scheme val="minor"/>
    </font>
    <font>
      <b/>
      <i/>
      <sz val="17"/>
      <color rgb="FFFF0000"/>
      <name val="맑은 고딕"/>
      <family val="3"/>
      <charset val="129"/>
      <scheme val="minor"/>
    </font>
    <font>
      <b/>
      <i/>
      <u/>
      <sz val="13"/>
      <color rgb="FFFF0000"/>
      <name val="맑은 고딕"/>
      <family val="3"/>
      <charset val="129"/>
      <scheme val="minor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999999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3" fillId="3" borderId="3" xfId="0" applyNumberFormat="1" applyFont="1" applyFill="1" applyBorder="1" applyAlignment="1">
      <alignment horizontal="right" vertical="center" shrinkToFit="1"/>
    </xf>
    <xf numFmtId="0" fontId="7" fillId="0" borderId="0" xfId="0" applyFont="1" applyAlignment="1">
      <alignment horizontal="right" vertical="center"/>
    </xf>
    <xf numFmtId="0" fontId="6" fillId="2" borderId="0" xfId="0" applyFont="1" applyFill="1">
      <alignment vertical="center"/>
    </xf>
    <xf numFmtId="0" fontId="9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Continuous" vertical="center" shrinkToFit="1"/>
    </xf>
    <xf numFmtId="0" fontId="3" fillId="3" borderId="3" xfId="0" applyFont="1" applyFill="1" applyBorder="1" applyAlignment="1">
      <alignment horizontal="right" vertical="center" shrinkToFit="1"/>
    </xf>
    <xf numFmtId="0" fontId="10" fillId="0" borderId="3" xfId="0" applyFont="1" applyBorder="1" applyAlignment="1">
      <alignment horizontal="center" vertical="center" shrinkToFit="1"/>
    </xf>
    <xf numFmtId="0" fontId="11" fillId="0" borderId="0" xfId="0" applyFont="1">
      <alignment vertical="center"/>
    </xf>
    <xf numFmtId="9" fontId="3" fillId="3" borderId="3" xfId="1" applyFont="1" applyFill="1" applyBorder="1" applyAlignment="1">
      <alignment horizontal="right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left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8" fillId="3" borderId="3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left" vertical="center" shrinkToFit="1"/>
    </xf>
    <xf numFmtId="3" fontId="6" fillId="2" borderId="0" xfId="0" applyNumberFormat="1" applyFont="1" applyFill="1">
      <alignment vertical="center"/>
    </xf>
    <xf numFmtId="0" fontId="15" fillId="0" borderId="0" xfId="0" applyFont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76" fontId="15" fillId="0" borderId="14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5" fillId="0" borderId="17" xfId="0" applyNumberFormat="1" applyFont="1" applyBorder="1" applyAlignment="1">
      <alignment horizontal="center" vertical="center" wrapText="1"/>
    </xf>
    <xf numFmtId="176" fontId="15" fillId="0" borderId="18" xfId="0" applyNumberFormat="1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9" fontId="15" fillId="3" borderId="5" xfId="0" applyNumberFormat="1" applyFont="1" applyFill="1" applyBorder="1" applyAlignment="1">
      <alignment horizontal="center" vertical="center" wrapText="1"/>
    </xf>
    <xf numFmtId="9" fontId="15" fillId="3" borderId="16" xfId="0" applyNumberFormat="1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right" vertical="center" shrinkToFit="1"/>
    </xf>
    <xf numFmtId="177" fontId="0" fillId="0" borderId="8" xfId="0" applyNumberFormat="1" applyBorder="1" applyAlignment="1">
      <alignment horizontal="right" vertical="center" shrinkToFit="1"/>
    </xf>
    <xf numFmtId="0" fontId="16" fillId="4" borderId="6" xfId="0" applyFont="1" applyFill="1" applyBorder="1" applyAlignment="1">
      <alignment horizontal="centerContinuous" vertical="center"/>
    </xf>
    <xf numFmtId="0" fontId="16" fillId="4" borderId="7" xfId="0" applyFont="1" applyFill="1" applyBorder="1" applyAlignment="1">
      <alignment horizontal="centerContinuous" vertical="center"/>
    </xf>
    <xf numFmtId="0" fontId="16" fillId="3" borderId="7" xfId="0" applyFont="1" applyFill="1" applyBorder="1" applyAlignment="1">
      <alignment horizontal="centerContinuous" vertical="center"/>
    </xf>
    <xf numFmtId="0" fontId="17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Continuous" vertical="center" shrinkToFit="1"/>
    </xf>
    <xf numFmtId="0" fontId="0" fillId="3" borderId="0" xfId="0" applyFill="1">
      <alignment vertical="center"/>
    </xf>
    <xf numFmtId="0" fontId="8" fillId="3" borderId="3" xfId="0" applyFont="1" applyFill="1" applyBorder="1" applyAlignment="1">
      <alignment horizontal="left" vertical="center"/>
    </xf>
    <xf numFmtId="178" fontId="3" fillId="0" borderId="3" xfId="1" applyNumberFormat="1" applyFont="1" applyBorder="1" applyAlignment="1">
      <alignment horizontal="right" vertical="center" shrinkToFit="1"/>
    </xf>
    <xf numFmtId="0" fontId="14" fillId="5" borderId="19" xfId="0" applyFont="1" applyFill="1" applyBorder="1" applyAlignment="1">
      <alignment horizontal="center" vertical="center" wrapText="1"/>
    </xf>
    <xf numFmtId="176" fontId="15" fillId="0" borderId="20" xfId="0" applyNumberFormat="1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right" vertical="center" shrinkToFit="1"/>
    </xf>
    <xf numFmtId="3" fontId="3" fillId="0" borderId="3" xfId="0" applyNumberFormat="1" applyFont="1" applyBorder="1" applyAlignment="1">
      <alignment horizontal="center" vertical="center" shrinkToFit="1"/>
    </xf>
    <xf numFmtId="0" fontId="20" fillId="8" borderId="1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vertical="center" shrinkToFit="1"/>
    </xf>
    <xf numFmtId="0" fontId="18" fillId="7" borderId="23" xfId="0" applyFont="1" applyFill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19" fillId="8" borderId="1" xfId="0" applyFont="1" applyFill="1" applyBorder="1" applyAlignment="1">
      <alignment vertical="center" shrinkToFit="1"/>
    </xf>
    <xf numFmtId="0" fontId="14" fillId="5" borderId="24" xfId="0" applyFont="1" applyFill="1" applyBorder="1" applyAlignment="1">
      <alignment horizontal="center" vertical="center" wrapText="1"/>
    </xf>
    <xf numFmtId="177" fontId="15" fillId="0" borderId="25" xfId="0" applyNumberFormat="1" applyFont="1" applyBorder="1" applyAlignment="1">
      <alignment horizontal="center" vertical="center" wrapText="1"/>
    </xf>
    <xf numFmtId="177" fontId="15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3" fontId="3" fillId="3" borderId="3" xfId="0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3" fontId="0" fillId="8" borderId="29" xfId="0" applyNumberFormat="1" applyFill="1" applyBorder="1" applyAlignment="1">
      <alignment horizontal="center" vertical="center" shrinkToFit="1"/>
    </xf>
    <xf numFmtId="14" fontId="0" fillId="8" borderId="5" xfId="0" applyNumberFormat="1" applyFill="1" applyBorder="1" applyAlignment="1">
      <alignment horizontal="center" vertical="center" shrinkToFit="1"/>
    </xf>
    <xf numFmtId="14" fontId="0" fillId="8" borderId="23" xfId="0" applyNumberFormat="1" applyFill="1" applyBorder="1" applyAlignment="1">
      <alignment horizontal="center" vertical="center" shrinkToFit="1"/>
    </xf>
    <xf numFmtId="14" fontId="0" fillId="8" borderId="3" xfId="0" applyNumberFormat="1" applyFill="1" applyBorder="1" applyAlignment="1">
      <alignment horizontal="center" vertical="center" shrinkToFit="1"/>
    </xf>
    <xf numFmtId="0" fontId="19" fillId="8" borderId="30" xfId="0" applyFont="1" applyFill="1" applyBorder="1" applyAlignment="1">
      <alignment vertical="center" shrinkToFit="1"/>
    </xf>
    <xf numFmtId="14" fontId="0" fillId="8" borderId="20" xfId="0" applyNumberFormat="1" applyFill="1" applyBorder="1" applyAlignment="1">
      <alignment horizontal="center" vertical="center" shrinkToFit="1"/>
    </xf>
    <xf numFmtId="0" fontId="20" fillId="8" borderId="3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3" fontId="3" fillId="0" borderId="35" xfId="0" applyNumberFormat="1" applyFont="1" applyBorder="1" applyAlignment="1">
      <alignment horizontal="center" vertical="center" wrapText="1"/>
    </xf>
    <xf numFmtId="3" fontId="3" fillId="0" borderId="36" xfId="0" applyNumberFormat="1" applyFont="1" applyBorder="1" applyAlignment="1">
      <alignment horizontal="center" vertical="center" wrapText="1"/>
    </xf>
    <xf numFmtId="3" fontId="3" fillId="0" borderId="37" xfId="0" applyNumberFormat="1" applyFont="1" applyBorder="1" applyAlignment="1">
      <alignment horizontal="center" vertical="center" wrapText="1"/>
    </xf>
    <xf numFmtId="0" fontId="2" fillId="9" borderId="28" xfId="2" applyBorder="1" applyAlignment="1">
      <alignment horizontal="center" vertical="center" shrinkToFit="1"/>
    </xf>
    <xf numFmtId="14" fontId="3" fillId="0" borderId="30" xfId="0" applyNumberFormat="1" applyFont="1" applyBorder="1" applyAlignment="1">
      <alignment vertical="center" shrinkToFit="1"/>
    </xf>
    <xf numFmtId="0" fontId="3" fillId="3" borderId="4" xfId="0" applyFont="1" applyFill="1" applyBorder="1" applyAlignment="1">
      <alignment horizontal="center" vertical="center" shrinkToFit="1"/>
    </xf>
    <xf numFmtId="3" fontId="3" fillId="0" borderId="4" xfId="0" applyNumberFormat="1" applyFont="1" applyBorder="1" applyAlignment="1">
      <alignment horizontal="center" vertical="center" shrinkToFit="1"/>
    </xf>
    <xf numFmtId="3" fontId="3" fillId="0" borderId="22" xfId="0" applyNumberFormat="1" applyFont="1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righ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1" xfId="0" applyFont="1" applyBorder="1" applyAlignment="1">
      <alignment vertical="center" shrinkToFit="1"/>
    </xf>
    <xf numFmtId="14" fontId="3" fillId="0" borderId="31" xfId="0" applyNumberFormat="1" applyFont="1" applyBorder="1" applyAlignment="1">
      <alignment horizontal="center" vertical="center" shrinkToFit="1"/>
    </xf>
    <xf numFmtId="14" fontId="3" fillId="0" borderId="32" xfId="0" applyNumberFormat="1" applyFont="1" applyBorder="1" applyAlignment="1">
      <alignment horizontal="center" vertical="center" shrinkToFit="1"/>
    </xf>
    <xf numFmtId="0" fontId="19" fillId="8" borderId="1" xfId="0" applyFont="1" applyFill="1" applyBorder="1" applyAlignment="1">
      <alignment horizontal="center" vertical="center" shrinkToFit="1"/>
    </xf>
    <xf numFmtId="0" fontId="19" fillId="8" borderId="33" xfId="0" applyFont="1" applyFill="1" applyBorder="1" applyAlignment="1">
      <alignment horizontal="center" vertical="center" shrinkToFit="1"/>
    </xf>
  </cellXfs>
  <cellStyles count="3">
    <cellStyle name="20% - 강조색5" xfId="2" builtinId="46"/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BEFD4"/>
      <color rgb="FFEFF3FB"/>
      <color rgb="FF0033CC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S28"/>
  <sheetViews>
    <sheetView workbookViewId="0">
      <selection activeCell="P23" sqref="P23:P24"/>
    </sheetView>
  </sheetViews>
  <sheetFormatPr defaultRowHeight="16.5" x14ac:dyDescent="0.3"/>
  <cols>
    <col min="1" max="1" width="0.625" customWidth="1"/>
    <col min="2" max="2" width="3.5" customWidth="1"/>
    <col min="3" max="3" width="21" customWidth="1"/>
    <col min="4" max="4" width="12.125" customWidth="1"/>
    <col min="5" max="5" width="20" customWidth="1"/>
    <col min="6" max="6" width="17.5" customWidth="1"/>
    <col min="7" max="7" width="14.625" customWidth="1"/>
    <col min="8" max="8" width="9.25" customWidth="1"/>
    <col min="9" max="9" width="17.5" bestFit="1" customWidth="1"/>
    <col min="10" max="10" width="11.125" customWidth="1"/>
    <col min="14" max="14" width="12" customWidth="1"/>
  </cols>
  <sheetData>
    <row r="1" spans="2:19" ht="5.45" customHeight="1" x14ac:dyDescent="0.3"/>
    <row r="2" spans="2:19" ht="35.25" x14ac:dyDescent="0.3">
      <c r="B2" s="5" t="s">
        <v>17</v>
      </c>
      <c r="C2" s="3"/>
    </row>
    <row r="3" spans="2:19" ht="19.5" x14ac:dyDescent="0.3">
      <c r="B3" s="14" t="s">
        <v>25</v>
      </c>
      <c r="C3" s="3"/>
    </row>
    <row r="4" spans="2:19" x14ac:dyDescent="0.3">
      <c r="B4" s="6" t="s">
        <v>2</v>
      </c>
      <c r="C4" s="6" t="s">
        <v>18</v>
      </c>
      <c r="D4" s="6" t="s">
        <v>19</v>
      </c>
      <c r="E4" s="6" t="s">
        <v>21</v>
      </c>
      <c r="F4" s="6"/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  <c r="M4" s="6" t="s">
        <v>67</v>
      </c>
      <c r="N4" s="54" t="s">
        <v>69</v>
      </c>
      <c r="O4" s="54" t="s">
        <v>68</v>
      </c>
      <c r="P4" s="6" t="s">
        <v>23</v>
      </c>
      <c r="Q4" s="6" t="s">
        <v>20</v>
      </c>
      <c r="R4" s="6" t="s">
        <v>22</v>
      </c>
      <c r="S4" s="6" t="s">
        <v>24</v>
      </c>
    </row>
    <row r="5" spans="2:19" x14ac:dyDescent="0.3">
      <c r="B5" s="7">
        <v>1</v>
      </c>
      <c r="C5" s="64" t="s">
        <v>73</v>
      </c>
      <c r="D5" s="67" t="s">
        <v>89</v>
      </c>
      <c r="E5" s="52" t="s">
        <v>90</v>
      </c>
      <c r="F5" s="87" t="str">
        <f t="shared" ref="F5:F20" si="0">D5&amp;" "&amp;E5</f>
        <v>농협 312-0092-5057-11</v>
      </c>
      <c r="G5" s="68" t="s">
        <v>91</v>
      </c>
      <c r="H5" s="84">
        <v>1400000</v>
      </c>
      <c r="I5" s="74">
        <v>45467</v>
      </c>
      <c r="J5" s="76">
        <v>45478</v>
      </c>
      <c r="K5" s="76">
        <v>45481</v>
      </c>
      <c r="L5" s="76">
        <v>45534</v>
      </c>
      <c r="M5" s="76">
        <v>45534</v>
      </c>
      <c r="N5" s="97" t="s">
        <v>129</v>
      </c>
      <c r="O5" s="99" t="s">
        <v>130</v>
      </c>
      <c r="P5" s="83"/>
      <c r="Q5" s="10"/>
      <c r="R5" s="10"/>
      <c r="S5" s="10"/>
    </row>
    <row r="6" spans="2:19" x14ac:dyDescent="0.3">
      <c r="B6" s="7">
        <f t="shared" ref="B6:B26" si="1">B5+1</f>
        <v>2</v>
      </c>
      <c r="C6" s="52" t="s">
        <v>74</v>
      </c>
      <c r="D6" s="67" t="s">
        <v>92</v>
      </c>
      <c r="E6" s="52" t="s">
        <v>93</v>
      </c>
      <c r="F6" s="87" t="str">
        <f t="shared" si="0"/>
        <v>국민  116602-04-203403</v>
      </c>
      <c r="G6" s="68" t="s">
        <v>94</v>
      </c>
      <c r="H6" s="84">
        <v>700000</v>
      </c>
      <c r="I6" s="74">
        <v>45467</v>
      </c>
      <c r="J6" s="76">
        <v>45478</v>
      </c>
      <c r="K6" s="76">
        <v>45481</v>
      </c>
      <c r="L6" s="76">
        <v>45534</v>
      </c>
      <c r="M6" s="76">
        <v>45534</v>
      </c>
      <c r="N6" s="98"/>
      <c r="O6" s="99"/>
      <c r="P6" s="83" t="s">
        <v>133</v>
      </c>
      <c r="Q6" s="10"/>
      <c r="R6" s="10"/>
      <c r="S6" s="10"/>
    </row>
    <row r="7" spans="2:19" x14ac:dyDescent="0.3">
      <c r="B7" s="7">
        <f t="shared" si="1"/>
        <v>3</v>
      </c>
      <c r="C7" s="52" t="s">
        <v>75</v>
      </c>
      <c r="D7" s="67" t="s">
        <v>95</v>
      </c>
      <c r="E7" s="52" t="s">
        <v>96</v>
      </c>
      <c r="F7" s="87" t="str">
        <f t="shared" si="0"/>
        <v>신한 110-388-206110</v>
      </c>
      <c r="G7" s="68" t="s">
        <v>97</v>
      </c>
      <c r="H7" s="84">
        <v>1400000</v>
      </c>
      <c r="I7" s="74">
        <v>45467</v>
      </c>
      <c r="J7" s="76">
        <v>45478</v>
      </c>
      <c r="K7" s="76">
        <v>45481</v>
      </c>
      <c r="L7" s="76">
        <v>45534</v>
      </c>
      <c r="M7" s="76">
        <v>45534</v>
      </c>
      <c r="N7" s="98"/>
      <c r="O7" s="99"/>
      <c r="P7" s="83"/>
      <c r="Q7" s="10"/>
      <c r="R7" s="10"/>
      <c r="S7" s="10"/>
    </row>
    <row r="8" spans="2:19" x14ac:dyDescent="0.3">
      <c r="B8" s="7">
        <f t="shared" si="1"/>
        <v>4</v>
      </c>
      <c r="C8" s="52" t="s">
        <v>76</v>
      </c>
      <c r="D8" s="67" t="s">
        <v>95</v>
      </c>
      <c r="E8" s="64" t="s">
        <v>98</v>
      </c>
      <c r="F8" s="87" t="str">
        <f t="shared" si="0"/>
        <v>신한 110-453-570436</v>
      </c>
      <c r="G8" s="68" t="s">
        <v>99</v>
      </c>
      <c r="H8" s="84">
        <v>700000</v>
      </c>
      <c r="I8" s="74">
        <v>45467</v>
      </c>
      <c r="J8" s="76">
        <v>45478</v>
      </c>
      <c r="K8" s="76">
        <v>45481</v>
      </c>
      <c r="L8" s="76">
        <v>45534</v>
      </c>
      <c r="M8" s="76">
        <v>45534</v>
      </c>
      <c r="N8" s="98"/>
      <c r="O8" s="99"/>
      <c r="P8" s="83" t="s">
        <v>134</v>
      </c>
      <c r="Q8" s="10"/>
      <c r="R8" s="10"/>
      <c r="S8" s="10"/>
    </row>
    <row r="9" spans="2:19" x14ac:dyDescent="0.3">
      <c r="B9" s="7">
        <f t="shared" si="1"/>
        <v>5</v>
      </c>
      <c r="C9" s="52" t="s">
        <v>77</v>
      </c>
      <c r="D9" s="67" t="s">
        <v>101</v>
      </c>
      <c r="E9" s="64" t="s">
        <v>102</v>
      </c>
      <c r="F9" s="87" t="str">
        <f t="shared" si="0"/>
        <v>카카오  3333-08-0125647</v>
      </c>
      <c r="G9" s="68" t="s">
        <v>103</v>
      </c>
      <c r="H9" s="84">
        <v>1400000</v>
      </c>
      <c r="I9" s="74">
        <v>45467</v>
      </c>
      <c r="J9" s="76">
        <v>45478</v>
      </c>
      <c r="K9" s="76">
        <v>45481</v>
      </c>
      <c r="L9" s="76">
        <v>45534</v>
      </c>
      <c r="M9" s="76">
        <v>45534</v>
      </c>
      <c r="N9" s="98"/>
      <c r="O9" s="99"/>
      <c r="P9" s="83"/>
      <c r="Q9" s="10"/>
      <c r="R9" s="10"/>
      <c r="S9" s="10"/>
    </row>
    <row r="10" spans="2:19" x14ac:dyDescent="0.3">
      <c r="B10" s="7">
        <f t="shared" si="1"/>
        <v>6</v>
      </c>
      <c r="C10" s="52" t="s">
        <v>78</v>
      </c>
      <c r="D10" s="67" t="s">
        <v>92</v>
      </c>
      <c r="E10" s="64">
        <v>93839736842</v>
      </c>
      <c r="F10" s="87" t="str">
        <f t="shared" si="0"/>
        <v>국민 93839736842</v>
      </c>
      <c r="G10" s="68" t="s">
        <v>104</v>
      </c>
      <c r="H10" s="84">
        <v>1190000</v>
      </c>
      <c r="I10" s="74">
        <v>45467</v>
      </c>
      <c r="J10" s="76">
        <v>45478</v>
      </c>
      <c r="K10" s="76">
        <v>45481</v>
      </c>
      <c r="L10" s="76">
        <v>45534</v>
      </c>
      <c r="M10" s="76">
        <v>45534</v>
      </c>
      <c r="N10" s="98"/>
      <c r="O10" s="99"/>
      <c r="P10" s="83"/>
      <c r="Q10" s="10"/>
      <c r="R10" s="10"/>
      <c r="S10" s="10"/>
    </row>
    <row r="11" spans="2:19" x14ac:dyDescent="0.3">
      <c r="B11" s="7">
        <f t="shared" si="1"/>
        <v>7</v>
      </c>
      <c r="C11" s="52" t="s">
        <v>79</v>
      </c>
      <c r="D11" s="67" t="s">
        <v>92</v>
      </c>
      <c r="E11" s="64" t="s">
        <v>105</v>
      </c>
      <c r="F11" s="87" t="str">
        <f t="shared" si="0"/>
        <v>국민  203101-04-263485</v>
      </c>
      <c r="G11" s="68" t="s">
        <v>106</v>
      </c>
      <c r="H11" s="84">
        <v>1400000</v>
      </c>
      <c r="I11" s="74">
        <v>45467</v>
      </c>
      <c r="J11" s="76">
        <v>45478</v>
      </c>
      <c r="K11" s="76">
        <v>45481</v>
      </c>
      <c r="L11" s="76">
        <v>45534</v>
      </c>
      <c r="M11" s="76">
        <v>45534</v>
      </c>
      <c r="N11" s="98"/>
      <c r="O11" s="99"/>
      <c r="P11" s="83"/>
      <c r="Q11" s="10"/>
      <c r="R11" s="10"/>
      <c r="S11" s="10"/>
    </row>
    <row r="12" spans="2:19" x14ac:dyDescent="0.3">
      <c r="B12" s="7">
        <f t="shared" si="1"/>
        <v>8</v>
      </c>
      <c r="C12" s="52" t="s">
        <v>80</v>
      </c>
      <c r="D12" s="67" t="s">
        <v>100</v>
      </c>
      <c r="E12" s="64" t="s">
        <v>107</v>
      </c>
      <c r="F12" s="87" t="str">
        <f t="shared" si="0"/>
        <v>토스 1000-5069-8031</v>
      </c>
      <c r="G12" s="68" t="s">
        <v>108</v>
      </c>
      <c r="H12" s="85">
        <v>1400000</v>
      </c>
      <c r="I12" s="74">
        <v>45467</v>
      </c>
      <c r="J12" s="76">
        <v>45478</v>
      </c>
      <c r="K12" s="76">
        <v>45481</v>
      </c>
      <c r="L12" s="76">
        <v>45534</v>
      </c>
      <c r="M12" s="76">
        <v>45534</v>
      </c>
      <c r="N12" s="98"/>
      <c r="O12" s="99"/>
      <c r="P12" s="83"/>
      <c r="Q12" s="10"/>
      <c r="R12" s="10"/>
      <c r="S12" s="10"/>
    </row>
    <row r="13" spans="2:19" x14ac:dyDescent="0.3">
      <c r="B13" s="7">
        <f t="shared" si="1"/>
        <v>9</v>
      </c>
      <c r="C13" s="52" t="s">
        <v>81</v>
      </c>
      <c r="D13" s="69" t="s">
        <v>92</v>
      </c>
      <c r="E13" s="64" t="s">
        <v>109</v>
      </c>
      <c r="F13" s="87" t="str">
        <f t="shared" si="0"/>
        <v>국민  939302-00-959242</v>
      </c>
      <c r="G13" s="68" t="s">
        <v>110</v>
      </c>
      <c r="H13" s="86">
        <v>1400000</v>
      </c>
      <c r="I13" s="74">
        <v>45467</v>
      </c>
      <c r="J13" s="76">
        <v>45478</v>
      </c>
      <c r="K13" s="76">
        <v>45481</v>
      </c>
      <c r="L13" s="76">
        <v>45534</v>
      </c>
      <c r="M13" s="76">
        <v>45534</v>
      </c>
      <c r="N13" s="98"/>
      <c r="O13" s="99"/>
      <c r="P13" s="83"/>
      <c r="Q13" s="10"/>
      <c r="R13" s="10"/>
      <c r="S13" s="10"/>
    </row>
    <row r="14" spans="2:19" x14ac:dyDescent="0.3">
      <c r="B14" s="7">
        <f t="shared" si="1"/>
        <v>10</v>
      </c>
      <c r="C14" s="65" t="s">
        <v>82</v>
      </c>
      <c r="D14" s="70" t="s">
        <v>92</v>
      </c>
      <c r="E14" s="64" t="s">
        <v>111</v>
      </c>
      <c r="F14" s="87" t="str">
        <f t="shared" si="0"/>
        <v>국민 017002-04-485195</v>
      </c>
      <c r="G14" s="68" t="s">
        <v>112</v>
      </c>
      <c r="H14" s="84">
        <v>1400000</v>
      </c>
      <c r="I14" s="74">
        <v>45467</v>
      </c>
      <c r="J14" s="76">
        <v>45478</v>
      </c>
      <c r="K14" s="76">
        <v>45481</v>
      </c>
      <c r="L14" s="76">
        <v>45534</v>
      </c>
      <c r="M14" s="76">
        <v>45534</v>
      </c>
      <c r="N14" s="98"/>
      <c r="O14" s="100" t="s">
        <v>131</v>
      </c>
      <c r="P14" s="8"/>
      <c r="Q14" s="10"/>
      <c r="R14" s="10"/>
      <c r="S14" s="10"/>
    </row>
    <row r="15" spans="2:19" x14ac:dyDescent="0.3">
      <c r="B15" s="7">
        <f t="shared" si="1"/>
        <v>11</v>
      </c>
      <c r="C15" s="65" t="s">
        <v>83</v>
      </c>
      <c r="D15" s="71" t="s">
        <v>113</v>
      </c>
      <c r="E15" s="64" t="s">
        <v>114</v>
      </c>
      <c r="F15" s="87" t="str">
        <f t="shared" si="0"/>
        <v>하나 512-910486-57407</v>
      </c>
      <c r="G15" s="68" t="s">
        <v>115</v>
      </c>
      <c r="H15" s="84">
        <v>1400000</v>
      </c>
      <c r="I15" s="74">
        <v>45467</v>
      </c>
      <c r="J15" s="76">
        <v>45478</v>
      </c>
      <c r="K15" s="76">
        <v>45481</v>
      </c>
      <c r="L15" s="76">
        <v>45534</v>
      </c>
      <c r="M15" s="76">
        <v>45534</v>
      </c>
      <c r="N15" s="98"/>
      <c r="O15" s="100"/>
      <c r="P15" s="8"/>
      <c r="Q15" s="10"/>
      <c r="R15" s="10"/>
      <c r="S15" s="10"/>
    </row>
    <row r="16" spans="2:19" x14ac:dyDescent="0.3">
      <c r="B16" s="7">
        <f t="shared" si="1"/>
        <v>12</v>
      </c>
      <c r="C16" s="65" t="s">
        <v>84</v>
      </c>
      <c r="D16" s="71" t="s">
        <v>116</v>
      </c>
      <c r="E16" s="64" t="s">
        <v>117</v>
      </c>
      <c r="F16" s="87" t="str">
        <f t="shared" si="0"/>
        <v>우리은행 1002-852-046074</v>
      </c>
      <c r="G16" s="68" t="s">
        <v>118</v>
      </c>
      <c r="H16" s="84">
        <v>1400000</v>
      </c>
      <c r="I16" s="75">
        <v>45467</v>
      </c>
      <c r="J16" s="76">
        <v>45478</v>
      </c>
      <c r="K16" s="76">
        <v>45481</v>
      </c>
      <c r="L16" s="76">
        <v>45534</v>
      </c>
      <c r="M16" s="76">
        <v>45534</v>
      </c>
      <c r="N16" s="98"/>
      <c r="O16" s="100"/>
      <c r="P16" s="8"/>
      <c r="Q16" s="10"/>
      <c r="R16" s="10"/>
      <c r="S16" s="10"/>
    </row>
    <row r="17" spans="2:19" x14ac:dyDescent="0.3">
      <c r="B17" s="7">
        <f t="shared" si="1"/>
        <v>13</v>
      </c>
      <c r="C17" s="65" t="s">
        <v>85</v>
      </c>
      <c r="D17" s="71" t="s">
        <v>89</v>
      </c>
      <c r="E17" s="64" t="s">
        <v>119</v>
      </c>
      <c r="F17" s="87" t="str">
        <f t="shared" si="0"/>
        <v>농협 352-0457-4400-73</v>
      </c>
      <c r="G17" s="68" t="s">
        <v>120</v>
      </c>
      <c r="H17" s="84">
        <v>1400000</v>
      </c>
      <c r="I17" s="75">
        <v>45467</v>
      </c>
      <c r="J17" s="76">
        <v>45478</v>
      </c>
      <c r="K17" s="76">
        <v>45481</v>
      </c>
      <c r="L17" s="76">
        <v>45534</v>
      </c>
      <c r="M17" s="76">
        <v>45534</v>
      </c>
      <c r="N17" s="98"/>
      <c r="O17" s="100"/>
      <c r="P17" s="8"/>
      <c r="Q17" s="10"/>
      <c r="R17" s="10"/>
      <c r="S17" s="10"/>
    </row>
    <row r="18" spans="2:19" x14ac:dyDescent="0.3">
      <c r="B18" s="7">
        <f t="shared" si="1"/>
        <v>14</v>
      </c>
      <c r="C18" s="66" t="s">
        <v>86</v>
      </c>
      <c r="D18" s="72" t="s">
        <v>121</v>
      </c>
      <c r="E18" s="64" t="s">
        <v>122</v>
      </c>
      <c r="F18" s="87" t="str">
        <f t="shared" si="0"/>
        <v>IBK기업 81-133676 -04-010</v>
      </c>
      <c r="G18" s="68" t="s">
        <v>123</v>
      </c>
      <c r="H18" s="84">
        <v>1400000</v>
      </c>
      <c r="I18" s="75">
        <v>45467</v>
      </c>
      <c r="J18" s="76">
        <v>45478</v>
      </c>
      <c r="K18" s="76">
        <v>45481</v>
      </c>
      <c r="L18" s="76">
        <v>45534</v>
      </c>
      <c r="M18" s="76">
        <v>45534</v>
      </c>
      <c r="N18" s="98"/>
      <c r="O18" s="100"/>
      <c r="P18" s="8"/>
      <c r="Q18" s="10"/>
      <c r="R18" s="10"/>
      <c r="S18" s="10"/>
    </row>
    <row r="19" spans="2:19" x14ac:dyDescent="0.3">
      <c r="B19" s="7">
        <f t="shared" si="1"/>
        <v>15</v>
      </c>
      <c r="C19" s="66" t="s">
        <v>87</v>
      </c>
      <c r="D19" s="72" t="s">
        <v>124</v>
      </c>
      <c r="E19" s="64" t="s">
        <v>125</v>
      </c>
      <c r="F19" s="87" t="str">
        <f t="shared" si="0"/>
        <v>BNK부산 112-2148-7588-03</v>
      </c>
      <c r="G19" s="68" t="s">
        <v>126</v>
      </c>
      <c r="H19" s="84">
        <v>1230000</v>
      </c>
      <c r="I19" s="75">
        <v>45467</v>
      </c>
      <c r="J19" s="76">
        <v>45478</v>
      </c>
      <c r="K19" s="76">
        <v>45481</v>
      </c>
      <c r="L19" s="76">
        <v>45534</v>
      </c>
      <c r="M19" s="76">
        <v>45534</v>
      </c>
      <c r="N19" s="98"/>
      <c r="O19" s="100"/>
      <c r="P19" s="82"/>
      <c r="Q19" s="10"/>
      <c r="R19" s="10"/>
      <c r="S19" s="10"/>
    </row>
    <row r="20" spans="2:19" x14ac:dyDescent="0.3">
      <c r="B20" s="7">
        <f t="shared" si="1"/>
        <v>16</v>
      </c>
      <c r="C20" s="66" t="s">
        <v>88</v>
      </c>
      <c r="D20" s="72" t="s">
        <v>124</v>
      </c>
      <c r="E20" s="64" t="s">
        <v>127</v>
      </c>
      <c r="F20" s="87" t="str">
        <f t="shared" si="0"/>
        <v>BNK부산 112-2148-7608-04</v>
      </c>
      <c r="G20" s="68" t="s">
        <v>128</v>
      </c>
      <c r="H20" s="84">
        <v>1230000</v>
      </c>
      <c r="I20" s="75">
        <v>45467</v>
      </c>
      <c r="J20" s="76">
        <v>45478</v>
      </c>
      <c r="K20" s="76">
        <v>45481</v>
      </c>
      <c r="L20" s="76">
        <v>45534</v>
      </c>
      <c r="M20" s="76">
        <v>45534</v>
      </c>
      <c r="N20" s="98"/>
      <c r="O20" s="100"/>
      <c r="P20" s="81"/>
      <c r="Q20" s="10"/>
      <c r="R20" s="10"/>
      <c r="S20" s="10"/>
    </row>
    <row r="21" spans="2:19" x14ac:dyDescent="0.3">
      <c r="B21" s="7">
        <f t="shared" si="1"/>
        <v>17</v>
      </c>
      <c r="C21" s="66"/>
      <c r="D21" s="72"/>
      <c r="E21" s="64"/>
      <c r="F21" s="87"/>
      <c r="G21" s="68"/>
      <c r="H21" s="73"/>
      <c r="I21" s="75"/>
      <c r="J21" s="76"/>
      <c r="K21" s="76"/>
      <c r="L21" s="76"/>
      <c r="M21" s="78"/>
      <c r="N21" s="80"/>
      <c r="O21" s="57"/>
      <c r="P21" s="81"/>
      <c r="Q21" s="10"/>
      <c r="R21" s="10"/>
      <c r="S21" s="10"/>
    </row>
    <row r="22" spans="2:19" x14ac:dyDescent="0.3">
      <c r="B22" s="7">
        <f t="shared" si="1"/>
        <v>18</v>
      </c>
      <c r="C22" s="8" t="s">
        <v>129</v>
      </c>
      <c r="D22" s="8" t="s">
        <v>143</v>
      </c>
      <c r="E22" s="55" t="s">
        <v>144</v>
      </c>
      <c r="F22" s="16" t="s">
        <v>145</v>
      </c>
      <c r="G22" s="89"/>
      <c r="H22" s="90">
        <f>'지원금(주기준산정-4주기준지급)'!AJ27</f>
        <v>2940000</v>
      </c>
      <c r="I22" s="74">
        <v>45467</v>
      </c>
      <c r="J22" s="76">
        <v>45478</v>
      </c>
      <c r="K22" s="76">
        <v>45481</v>
      </c>
      <c r="L22" s="76">
        <v>45534</v>
      </c>
      <c r="M22" s="78">
        <v>45507</v>
      </c>
      <c r="N22" s="88"/>
      <c r="O22" s="77"/>
      <c r="P22" s="93" t="s">
        <v>146</v>
      </c>
      <c r="Q22" s="10"/>
      <c r="R22" s="10"/>
      <c r="S22" s="10"/>
    </row>
    <row r="23" spans="2:19" x14ac:dyDescent="0.3">
      <c r="B23" s="7">
        <f t="shared" si="1"/>
        <v>19</v>
      </c>
      <c r="C23" s="8" t="s">
        <v>138</v>
      </c>
      <c r="D23" s="67" t="s">
        <v>95</v>
      </c>
      <c r="E23" s="52" t="s">
        <v>96</v>
      </c>
      <c r="F23" s="87" t="str">
        <f>D23&amp;" "&amp;E23</f>
        <v>신한 110-388-206110</v>
      </c>
      <c r="G23" s="68" t="s">
        <v>97</v>
      </c>
      <c r="H23" s="92">
        <v>200000</v>
      </c>
      <c r="I23" s="74">
        <v>45467</v>
      </c>
      <c r="J23" s="76">
        <v>45478</v>
      </c>
      <c r="K23" s="76">
        <v>45481</v>
      </c>
      <c r="L23" s="76">
        <v>45534</v>
      </c>
      <c r="M23" s="76">
        <v>45534</v>
      </c>
      <c r="N23" s="79" t="s">
        <v>129</v>
      </c>
      <c r="O23" s="77"/>
      <c r="P23" s="96" t="s">
        <v>135</v>
      </c>
      <c r="Q23" s="94"/>
      <c r="R23" s="10"/>
      <c r="S23" s="10"/>
    </row>
    <row r="24" spans="2:19" x14ac:dyDescent="0.3">
      <c r="B24" s="7">
        <f t="shared" si="1"/>
        <v>20</v>
      </c>
      <c r="C24" s="8" t="s">
        <v>137</v>
      </c>
      <c r="D24" s="67" t="s">
        <v>89</v>
      </c>
      <c r="E24" s="52" t="s">
        <v>90</v>
      </c>
      <c r="F24" s="87" t="str">
        <f>D24&amp;" "&amp;E24</f>
        <v>농협 312-0092-5057-11</v>
      </c>
      <c r="G24" s="68" t="s">
        <v>91</v>
      </c>
      <c r="H24" s="92">
        <v>200000</v>
      </c>
      <c r="I24" s="74">
        <v>45467</v>
      </c>
      <c r="J24" s="76">
        <v>45478</v>
      </c>
      <c r="K24" s="76">
        <v>45481</v>
      </c>
      <c r="L24" s="76">
        <v>45534</v>
      </c>
      <c r="M24" s="76">
        <v>45534</v>
      </c>
      <c r="N24" s="79" t="s">
        <v>129</v>
      </c>
      <c r="O24" s="57"/>
      <c r="P24" s="96" t="s">
        <v>135</v>
      </c>
      <c r="Q24" s="95"/>
      <c r="R24" s="10"/>
      <c r="S24" s="10"/>
    </row>
    <row r="25" spans="2:19" x14ac:dyDescent="0.3">
      <c r="B25" s="7">
        <f t="shared" si="1"/>
        <v>21</v>
      </c>
      <c r="C25" s="8" t="s">
        <v>136</v>
      </c>
      <c r="D25" s="8" t="s">
        <v>139</v>
      </c>
      <c r="E25" s="55" t="s">
        <v>140</v>
      </c>
      <c r="F25" s="16" t="str">
        <f>D25&amp;" "&amp;E25</f>
        <v>국민 570201-01-270452</v>
      </c>
      <c r="G25" s="56" t="s">
        <v>149</v>
      </c>
      <c r="H25" s="91">
        <f>SUM('지원금(주기준산정-4주기준지급)'!AM10:AM18)</f>
        <v>1177500</v>
      </c>
      <c r="I25" s="74">
        <v>45467</v>
      </c>
      <c r="J25" s="76">
        <v>45478</v>
      </c>
      <c r="K25" s="76">
        <v>45481</v>
      </c>
      <c r="L25" s="76">
        <v>45534</v>
      </c>
      <c r="M25" s="76">
        <v>45534</v>
      </c>
      <c r="N25" s="79" t="s">
        <v>129</v>
      </c>
      <c r="O25" s="57"/>
      <c r="P25" s="96" t="s">
        <v>147</v>
      </c>
      <c r="Q25" s="95"/>
      <c r="R25" s="10"/>
      <c r="S25" s="10"/>
    </row>
    <row r="26" spans="2:19" x14ac:dyDescent="0.3">
      <c r="B26" s="7">
        <f t="shared" si="1"/>
        <v>22</v>
      </c>
      <c r="C26" s="8" t="s">
        <v>141</v>
      </c>
      <c r="D26" s="8" t="s">
        <v>142</v>
      </c>
      <c r="E26" s="55" t="s">
        <v>132</v>
      </c>
      <c r="F26" s="16" t="str">
        <f>D26&amp;" "&amp;E26</f>
        <v>우리은행 1002-837-815880</v>
      </c>
      <c r="G26" s="16" t="s">
        <v>148</v>
      </c>
      <c r="H26" s="51">
        <f>SUM('지원금(주기준산정-4주기준지급)'!AM19:AM25)</f>
        <v>1013400</v>
      </c>
      <c r="I26" s="74">
        <v>45467</v>
      </c>
      <c r="J26" s="76">
        <v>45478</v>
      </c>
      <c r="K26" s="76">
        <v>45481</v>
      </c>
      <c r="L26" s="76">
        <v>45534</v>
      </c>
      <c r="M26" s="76">
        <v>45534</v>
      </c>
      <c r="N26" s="79" t="s">
        <v>129</v>
      </c>
      <c r="O26" s="57"/>
      <c r="P26" s="96" t="s">
        <v>147</v>
      </c>
      <c r="Q26" s="95"/>
      <c r="R26" s="10"/>
      <c r="S26" s="10"/>
    </row>
    <row r="27" spans="2:19" x14ac:dyDescent="0.3">
      <c r="B27" s="18"/>
      <c r="C27" s="16"/>
      <c r="D27" s="16"/>
      <c r="E27" s="19" t="s">
        <v>5</v>
      </c>
      <c r="F27" s="16"/>
      <c r="G27" s="16"/>
      <c r="H27" s="16"/>
      <c r="I27" s="16"/>
      <c r="J27" s="16"/>
      <c r="K27" s="16"/>
      <c r="L27" s="16"/>
      <c r="M27" s="16"/>
      <c r="N27" s="56"/>
      <c r="O27" s="56"/>
      <c r="P27" s="56"/>
      <c r="Q27" s="16"/>
      <c r="R27" s="12"/>
      <c r="S27" s="12"/>
    </row>
    <row r="28" spans="2:19" x14ac:dyDescent="0.3">
      <c r="B28" s="7" t="s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52"/>
      <c r="O28" s="53"/>
      <c r="P28" s="11"/>
      <c r="Q28" s="11"/>
      <c r="R28" s="12">
        <f>SUM(R5:R27)</f>
        <v>0</v>
      </c>
      <c r="S28" s="13" t="s">
        <v>12</v>
      </c>
    </row>
  </sheetData>
  <mergeCells count="3">
    <mergeCell ref="N5:N20"/>
    <mergeCell ref="O5:O13"/>
    <mergeCell ref="O14:O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B1:AV27"/>
  <sheetViews>
    <sheetView showGridLines="0" tabSelected="1" zoomScaleNormal="100" workbookViewId="0">
      <pane xSplit="4" ySplit="9" topLeftCell="AF10" activePane="bottomRight" state="frozen"/>
      <selection pane="topRight" activeCell="E1" sqref="E1"/>
      <selection pane="bottomLeft" activeCell="A7" sqref="A7"/>
      <selection pane="bottomRight" activeCell="AK8" sqref="AK8"/>
    </sheetView>
  </sheetViews>
  <sheetFormatPr defaultRowHeight="16.5" x14ac:dyDescent="0.3"/>
  <cols>
    <col min="1" max="1" width="0.625" customWidth="1"/>
    <col min="2" max="2" width="3.5" customWidth="1"/>
    <col min="3" max="3" width="12" bestFit="1" customWidth="1"/>
    <col min="4" max="4" width="14.5" customWidth="1"/>
    <col min="5" max="7" width="6.25" customWidth="1"/>
    <col min="8" max="11" width="8.25" customWidth="1"/>
    <col min="12" max="12" width="7.25" customWidth="1"/>
    <col min="13" max="14" width="6.25" customWidth="1"/>
    <col min="15" max="16" width="10.75" customWidth="1"/>
    <col min="17" max="18" width="8.25" customWidth="1"/>
    <col min="19" max="19" width="6.25" customWidth="1"/>
    <col min="20" max="20" width="9.375" customWidth="1"/>
    <col min="21" max="21" width="10.25" customWidth="1"/>
    <col min="22" max="25" width="8.25" customWidth="1"/>
    <col min="26" max="28" width="6.25" customWidth="1"/>
    <col min="29" max="32" width="8.25" customWidth="1"/>
    <col min="33" max="34" width="12.625" customWidth="1"/>
    <col min="35" max="35" width="24.5" customWidth="1"/>
    <col min="36" max="36" width="11.25" customWidth="1"/>
    <col min="37" max="37" width="11.625" customWidth="1"/>
    <col min="38" max="38" width="16.125" customWidth="1"/>
    <col min="39" max="39" width="11.375" style="61" customWidth="1"/>
    <col min="42" max="42" width="2.375" customWidth="1"/>
    <col min="43" max="43" width="25.5" customWidth="1"/>
    <col min="44" max="44" width="10.5" customWidth="1"/>
    <col min="45" max="46" width="12.5" customWidth="1"/>
    <col min="47" max="47" width="12.25" customWidth="1"/>
    <col min="48" max="48" width="12" customWidth="1"/>
    <col min="49" max="49" width="8.75" bestFit="1" customWidth="1"/>
    <col min="50" max="50" width="14" customWidth="1"/>
    <col min="51" max="51" width="9.5" bestFit="1" customWidth="1"/>
  </cols>
  <sheetData>
    <row r="1" spans="2:48" ht="5.45" customHeight="1" thickBot="1" x14ac:dyDescent="0.35"/>
    <row r="2" spans="2:48" ht="35.25" x14ac:dyDescent="0.3">
      <c r="B2" s="5" t="s">
        <v>58</v>
      </c>
      <c r="C2" s="3"/>
      <c r="AQ2" s="25" t="s">
        <v>33</v>
      </c>
      <c r="AR2" s="33" t="s">
        <v>38</v>
      </c>
      <c r="AS2" s="26" t="s">
        <v>34</v>
      </c>
      <c r="AT2" s="47" t="s">
        <v>59</v>
      </c>
      <c r="AU2" s="27" t="s">
        <v>35</v>
      </c>
      <c r="AV2" s="58" t="s">
        <v>70</v>
      </c>
    </row>
    <row r="3" spans="2:48" ht="18" customHeight="1" x14ac:dyDescent="0.3">
      <c r="B3" s="14" t="s">
        <v>30</v>
      </c>
      <c r="C3" s="3"/>
      <c r="AQ3" s="28" t="s">
        <v>36</v>
      </c>
      <c r="AR3" s="34">
        <v>0.8</v>
      </c>
      <c r="AS3" s="23">
        <v>35</v>
      </c>
      <c r="AT3" s="48">
        <v>5</v>
      </c>
      <c r="AU3" s="29">
        <v>5</v>
      </c>
      <c r="AV3" s="59">
        <v>37500</v>
      </c>
    </row>
    <row r="4" spans="2:48" ht="18" customHeight="1" x14ac:dyDescent="0.3">
      <c r="C4" s="3" t="s">
        <v>3</v>
      </c>
      <c r="D4" s="4" t="s">
        <v>72</v>
      </c>
      <c r="E4" s="4"/>
      <c r="F4" s="4"/>
      <c r="G4" s="4"/>
      <c r="H4" s="4"/>
      <c r="I4" s="4"/>
      <c r="M4" s="3" t="s">
        <v>4</v>
      </c>
      <c r="N4" s="4" t="s">
        <v>0</v>
      </c>
      <c r="O4" s="4"/>
      <c r="P4" s="4"/>
      <c r="S4" s="3" t="s">
        <v>28</v>
      </c>
      <c r="T4" s="21">
        <f>AS3*10000</f>
        <v>350000</v>
      </c>
      <c r="U4" t="s">
        <v>31</v>
      </c>
      <c r="AA4" s="3" t="s">
        <v>56</v>
      </c>
      <c r="AB4" s="4">
        <v>4</v>
      </c>
      <c r="AC4" t="s">
        <v>57</v>
      </c>
      <c r="AI4" s="3"/>
      <c r="AJ4" s="17"/>
      <c r="AQ4" s="28" t="s">
        <v>39</v>
      </c>
      <c r="AR4" s="34">
        <v>0.7</v>
      </c>
      <c r="AS4" s="23">
        <v>31</v>
      </c>
      <c r="AT4" s="48">
        <v>0</v>
      </c>
      <c r="AU4" s="29">
        <v>5</v>
      </c>
      <c r="AV4" s="59">
        <v>33200</v>
      </c>
    </row>
    <row r="5" spans="2:48" ht="18" customHeight="1" x14ac:dyDescent="0.3">
      <c r="C5" s="3" t="s">
        <v>7</v>
      </c>
      <c r="D5" s="4" t="s">
        <v>8</v>
      </c>
      <c r="E5" s="4"/>
      <c r="F5" s="4"/>
      <c r="G5" s="4"/>
      <c r="H5" s="4"/>
      <c r="I5" s="4"/>
      <c r="M5" s="3" t="s">
        <v>16</v>
      </c>
      <c r="N5" s="4"/>
      <c r="O5" s="4"/>
      <c r="P5" s="4"/>
      <c r="S5" s="3" t="s">
        <v>29</v>
      </c>
      <c r="T5" s="21">
        <f>AU3*10000</f>
        <v>50000</v>
      </c>
      <c r="U5" t="s">
        <v>31</v>
      </c>
      <c r="AA5" s="3" t="s">
        <v>6</v>
      </c>
      <c r="AB5" s="4" t="s">
        <v>150</v>
      </c>
      <c r="AC5" s="4"/>
      <c r="AD5" s="4"/>
      <c r="AE5" s="4"/>
      <c r="AF5" s="4"/>
      <c r="AG5" s="4"/>
      <c r="AH5" s="4"/>
      <c r="AQ5" s="28" t="s">
        <v>40</v>
      </c>
      <c r="AR5" s="34">
        <v>0.6</v>
      </c>
      <c r="AS5" s="23">
        <v>24</v>
      </c>
      <c r="AT5" s="48">
        <v>0</v>
      </c>
      <c r="AU5" s="29">
        <v>4</v>
      </c>
      <c r="AV5" s="59">
        <v>25700</v>
      </c>
    </row>
    <row r="6" spans="2:48" ht="21.75" customHeight="1" thickBot="1" x14ac:dyDescent="0.35">
      <c r="B6" s="41"/>
      <c r="S6" s="3" t="s">
        <v>60</v>
      </c>
      <c r="T6" s="21">
        <f>AT3*10000</f>
        <v>50000</v>
      </c>
      <c r="U6" t="s">
        <v>31</v>
      </c>
      <c r="AQ6" s="28" t="s">
        <v>41</v>
      </c>
      <c r="AR6" s="34">
        <v>0.5</v>
      </c>
      <c r="AS6" s="23">
        <v>21</v>
      </c>
      <c r="AT6" s="48">
        <v>0</v>
      </c>
      <c r="AU6" s="29">
        <v>4</v>
      </c>
      <c r="AV6" s="59">
        <v>22500</v>
      </c>
    </row>
    <row r="7" spans="2:48" ht="21.75" customHeight="1" thickTop="1" thickBot="1" x14ac:dyDescent="0.35">
      <c r="D7" s="38" t="s">
        <v>46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6">
        <v>33460000</v>
      </c>
      <c r="P7" s="36"/>
      <c r="Q7" s="40" t="s">
        <v>45</v>
      </c>
      <c r="R7" s="40"/>
      <c r="S7" s="40"/>
      <c r="T7" s="40"/>
      <c r="U7" s="37">
        <v>5300000</v>
      </c>
      <c r="Z7" s="1" t="s">
        <v>44</v>
      </c>
      <c r="AA7" s="44" t="b">
        <f>AG27=O7</f>
        <v>0</v>
      </c>
      <c r="AB7" s="44" t="b">
        <f>AJ27=U7</f>
        <v>0</v>
      </c>
      <c r="AQ7" s="28" t="s">
        <v>42</v>
      </c>
      <c r="AR7" s="34">
        <v>0.4</v>
      </c>
      <c r="AS7" s="23">
        <v>18</v>
      </c>
      <c r="AT7" s="48">
        <v>0</v>
      </c>
      <c r="AU7" s="29">
        <v>3</v>
      </c>
      <c r="AV7" s="59">
        <v>19200</v>
      </c>
    </row>
    <row r="8" spans="2:48" ht="23.25" customHeight="1" thickTop="1" thickBot="1" x14ac:dyDescent="0.35">
      <c r="E8" s="43" t="s">
        <v>47</v>
      </c>
      <c r="F8" s="43"/>
      <c r="G8" s="43"/>
      <c r="H8" s="43"/>
      <c r="I8" s="43"/>
      <c r="J8" s="43"/>
      <c r="K8" s="43"/>
      <c r="L8" s="43" t="s">
        <v>48</v>
      </c>
      <c r="M8" s="43"/>
      <c r="N8" s="43"/>
      <c r="O8" s="43"/>
      <c r="P8" s="43"/>
      <c r="Q8" s="43"/>
      <c r="R8" s="43"/>
      <c r="S8" s="43" t="s">
        <v>49</v>
      </c>
      <c r="T8" s="43"/>
      <c r="U8" s="43"/>
      <c r="V8" s="43"/>
      <c r="W8" s="43"/>
      <c r="X8" s="43"/>
      <c r="Y8" s="43"/>
      <c r="Z8" s="43" t="s">
        <v>50</v>
      </c>
      <c r="AA8" s="43"/>
      <c r="AB8" s="43"/>
      <c r="AC8" s="43"/>
      <c r="AD8" s="43"/>
      <c r="AE8" s="43"/>
      <c r="AF8" s="43"/>
      <c r="AG8" s="43" t="s">
        <v>53</v>
      </c>
      <c r="AH8" s="43"/>
      <c r="AI8" s="43"/>
      <c r="AJ8" s="43"/>
      <c r="AK8" s="43"/>
      <c r="AL8" s="43"/>
      <c r="AM8" s="62"/>
      <c r="AQ8" s="30" t="s">
        <v>43</v>
      </c>
      <c r="AR8" s="35">
        <v>0.2</v>
      </c>
      <c r="AS8" s="31">
        <v>14</v>
      </c>
      <c r="AT8" s="49">
        <v>0</v>
      </c>
      <c r="AU8" s="32">
        <v>3</v>
      </c>
      <c r="AV8" s="60">
        <v>15000</v>
      </c>
    </row>
    <row r="9" spans="2:48" x14ac:dyDescent="0.3">
      <c r="B9" s="6" t="s">
        <v>2</v>
      </c>
      <c r="C9" s="6" t="s">
        <v>9</v>
      </c>
      <c r="D9" s="6" t="s">
        <v>10</v>
      </c>
      <c r="E9" s="42" t="s">
        <v>13</v>
      </c>
      <c r="F9" s="42" t="s">
        <v>14</v>
      </c>
      <c r="G9" s="42" t="s">
        <v>15</v>
      </c>
      <c r="H9" s="42" t="s">
        <v>32</v>
      </c>
      <c r="I9" s="42" t="s">
        <v>59</v>
      </c>
      <c r="J9" s="42" t="s">
        <v>37</v>
      </c>
      <c r="K9" s="42" t="s">
        <v>71</v>
      </c>
      <c r="L9" s="42" t="s">
        <v>13</v>
      </c>
      <c r="M9" s="42" t="s">
        <v>14</v>
      </c>
      <c r="N9" s="42" t="s">
        <v>15</v>
      </c>
      <c r="O9" s="42" t="s">
        <v>32</v>
      </c>
      <c r="P9" s="42" t="s">
        <v>59</v>
      </c>
      <c r="Q9" s="42" t="s">
        <v>37</v>
      </c>
      <c r="R9" s="42" t="s">
        <v>71</v>
      </c>
      <c r="S9" s="42" t="s">
        <v>13</v>
      </c>
      <c r="T9" s="42" t="s">
        <v>14</v>
      </c>
      <c r="U9" s="42" t="s">
        <v>15</v>
      </c>
      <c r="V9" s="42" t="s">
        <v>32</v>
      </c>
      <c r="W9" s="42" t="s">
        <v>59</v>
      </c>
      <c r="X9" s="42" t="s">
        <v>37</v>
      </c>
      <c r="Y9" s="42" t="s">
        <v>71</v>
      </c>
      <c r="Z9" s="42" t="s">
        <v>13</v>
      </c>
      <c r="AA9" s="42" t="s">
        <v>14</v>
      </c>
      <c r="AB9" s="42" t="s">
        <v>15</v>
      </c>
      <c r="AC9" s="42" t="s">
        <v>32</v>
      </c>
      <c r="AD9" s="42" t="s">
        <v>59</v>
      </c>
      <c r="AE9" s="42" t="s">
        <v>37</v>
      </c>
      <c r="AF9" s="42" t="s">
        <v>71</v>
      </c>
      <c r="AG9" s="6" t="s">
        <v>51</v>
      </c>
      <c r="AH9" s="42" t="s">
        <v>59</v>
      </c>
      <c r="AI9" s="6" t="s">
        <v>11</v>
      </c>
      <c r="AJ9" s="6" t="s">
        <v>52</v>
      </c>
      <c r="AK9" s="6" t="s">
        <v>27</v>
      </c>
      <c r="AL9" s="42" t="s">
        <v>26</v>
      </c>
      <c r="AM9" s="42" t="s">
        <v>71</v>
      </c>
      <c r="AN9" s="6" t="s">
        <v>55</v>
      </c>
      <c r="AO9" s="6" t="s">
        <v>54</v>
      </c>
    </row>
    <row r="10" spans="2:48" x14ac:dyDescent="0.3">
      <c r="B10" s="7">
        <v>1</v>
      </c>
      <c r="C10" s="64" t="s">
        <v>73</v>
      </c>
      <c r="D10" s="8" t="s">
        <v>129</v>
      </c>
      <c r="E10" s="8">
        <v>25</v>
      </c>
      <c r="F10" s="8">
        <v>25</v>
      </c>
      <c r="G10" s="15">
        <f>IFERROR(E10/F10, 0)</f>
        <v>1</v>
      </c>
      <c r="H10" s="2">
        <f t="shared" ref="H10:H25" si="0">IF($G10&gt;=$AR$3,$AS$3,IF($G10&gt;=$AR$4,$AS$4,IF($G10&gt;=$AR$5,$AS$5,IF($G10&gt;=$AR$6,$AS$6,IF($G10&gt;=$AR$7,$AS$7,IF($G10&gt;=$AR$8,$AS$8,0))))))*10000</f>
        <v>350000</v>
      </c>
      <c r="I10" s="2">
        <f>IF(AND(COUNTIFS(계좌!C:C, C10, 계좌!P:P, "체류비") &gt; 0),
    IF($G10&gt;=$AR$3,$AT$3,IF($G10&gt;=$AR$4,$AT$4,IF($G10&gt;=$AR$5,$AT$5,IF($G10&gt;=$AR$6,$AT$6,IF($G10&gt;=$AR$7,$AT$7,IF($G10&gt;=$AR$8,$AT$8,0))))))*10000,
    0)</f>
        <v>50000</v>
      </c>
      <c r="J10" s="2">
        <f>IF($G10&gt;=$AR$3,$AU$3,IF($G10&gt;=$AR$4,$AU$4,IF($G10&gt;=$AR$5,$AU$5,IF($G10&gt;=$AR$6,$AU$6,IF($G10&gt;=$AR$7,$AU$7,IF($G10&gt;=$AR$8,$AU$8,0))))))*10000</f>
        <v>50000</v>
      </c>
      <c r="K10" s="2">
        <f>IF(G10&gt;=$AR$3,$AV$3,IF(G10&gt;=$AR$4,$AV$4,IF(G10&gt;=$AR$5,$AV$5,IF(G10&gt;=$AR$6,$AV$6,IF(G10&gt;=$AR$7,$AV$7,IF(G10&gt;=$AR$8,$AV$8,0))))))</f>
        <v>37500</v>
      </c>
      <c r="L10" s="8">
        <v>25</v>
      </c>
      <c r="M10" s="8">
        <v>25</v>
      </c>
      <c r="N10" s="15">
        <f>IFERROR(L10/M10, 0)</f>
        <v>1</v>
      </c>
      <c r="O10" s="2">
        <f t="shared" ref="O10:O25" si="1">IF($N10&gt;=$AR$3,$AS$3,IF($N10&gt;=$AR$4,$AS$4,IF($N10&gt;=$AR$5,$AS$5,IF($N10&gt;=$AR$6,$AS$6,IF($N10&gt;=$AR$7,$AS$7,IF($N10&gt;=$AR$8,$AS$8,0))))))*10000</f>
        <v>350000</v>
      </c>
      <c r="P10" s="2">
        <f>IF(AND(COUNTIFS(계좌!C:C, C10, 계좌!P:P, "체류비") &gt; 0),
    IF($N10&gt;=$AR$3,$AT$3,IF($N10&gt;=$AR$4,$AT$4,IF($N10&gt;=$AR$5,$AT$5,IF($N10&gt;=$AR$6,$AT$6,IF($N10&gt;=$AR$7,$AT$7,IF($N10&gt;=$AR$8,$AT$8,0))))))*10000,
    0)</f>
        <v>50000</v>
      </c>
      <c r="Q10" s="2">
        <f t="shared" ref="Q10:Q25" si="2">IF($N10&gt;=$AR$3,$AU$3,IF($N10&gt;=$AR$4,$AU$4,IF($N10&gt;=$AR$5,$AU$5,IF($N10&gt;=$AR$6,$AU$6,IF($N10&gt;=$AR$7,$AU$7,IF($N10&gt;=$AR$8,$AU$8,0))))))*10000</f>
        <v>50000</v>
      </c>
      <c r="R10" s="2">
        <f>IF(N10&gt;=$AR$3,$AV$3,IF(N10&gt;=$AR$4,$AV$4,IF(N10&gt;=$AR$5,$AV$5,IF(N10&gt;=$AR$6,$AV$6,IF(N10&gt;=$AR$7,$AV$7,IF(N10&gt;=$AR$8,$AV$8,0))))))</f>
        <v>37500</v>
      </c>
      <c r="S10" s="8">
        <v>25</v>
      </c>
      <c r="T10" s="8">
        <v>25</v>
      </c>
      <c r="U10" s="15">
        <f>IFERROR(S10/T10, 0)</f>
        <v>1</v>
      </c>
      <c r="V10" s="2">
        <f t="shared" ref="V10:V25" si="3">IF($U10&gt;=$AR$3,$AS$3,IF($U10&gt;=$AR$4,$AS$4,IF($U10&gt;=$AR$5,$AS$5,IF($U10&gt;=$AR$6,$AS$6,IF($U10&gt;=$AR$7,$AS$7,IF($U10&gt;=$AR$8,$AS$8,0))))))*10000</f>
        <v>350000</v>
      </c>
      <c r="W10" s="2">
        <f>IF(AND(COUNTIFS(계좌!C:C, C10, 계좌!P:P, "체류비") &gt; 0),
    IF($U10&gt;=$AR$3,$AT$3,IF($U10&gt;=$AR$4,$AT$4,IF($U10&gt;=$AR$5,$AT$5,IF($U10&gt;=$AR$6,$AT$6,IF($U10&gt;=$AR$7,$AT$7,IF($U10&gt;=$AR$8,$AT$8,0))))))*10000,
    0)</f>
        <v>50000</v>
      </c>
      <c r="X10" s="2">
        <f t="shared" ref="X10:X25" si="4">IF($U10&gt;=$AR$3,$AU$3,IF($U10&gt;=$AR$4,$AU$4,IF($U10&gt;=$AR$5,$AU$5,IF($U10&gt;=$AR$6,$AU$6,IF($U10&gt;=$AR$7,$AU$7,IF($U10&gt;=$AR$8,$AU$8,0))))))*10000</f>
        <v>50000</v>
      </c>
      <c r="Y10" s="2">
        <f>IF(U10&gt;=$AR$3,$AV$3,IF(U10&gt;=$AR$4,$AV$4,IF(U10&gt;=$AR$5,$AV$5,IF(U10&gt;=$AR$6,$AV$6,IF(U10&gt;=$AR$7,$AV$7,IF(U10&gt;=$AR$8,$AV$8,0))))))</f>
        <v>37500</v>
      </c>
      <c r="Z10" s="8">
        <v>25</v>
      </c>
      <c r="AA10" s="8">
        <v>25</v>
      </c>
      <c r="AB10" s="15">
        <f>IFERROR(Z10/AA10, 0)</f>
        <v>1</v>
      </c>
      <c r="AC10" s="2">
        <f t="shared" ref="AC10:AC25" si="5">IF($AB10&gt;=$AR$3,$AS$3,IF($AB10&gt;=$AR$4,$AS$4,IF($AB10&gt;=$AR$5,$AS$5,IF($AB10&gt;=$AR$6,$AS$6,IF($AB10&gt;=$AR$7,$AS$7,IF($AB10&gt;=$AR$8,$AS$8,0))))))*10000</f>
        <v>350000</v>
      </c>
      <c r="AD10" s="2">
        <f>IF(AND(COUNTIFS(계좌!C:C, C10, 계좌!P:P, "체류비") &gt; 0),
    IF($AB10&gt;=$AR$3,$AT$3,IF($AB10&gt;=$AR$4,$AT$4,IF($AB10&gt;=$AR$5,$AT$5,IF($AB10&gt;=$AR$6,$AT$6,IF($AB10&gt;=$AR$7,$AT$7,IF($AB10&gt;=$AR$8,$AT$8,0))))))*10000,
    0)</f>
        <v>50000</v>
      </c>
      <c r="AE10" s="2">
        <f t="shared" ref="AE10:AE25" si="6">IF($AB10&gt;=$AR$3,$AU$3,IF($AB10&gt;=$AR$4,$AU$4,IF($AB10&gt;=$AR$5,$AU$5,IF($AB10&gt;=$AR$6,$AU$6,IF($AB10&gt;=$AR$7,$AU$7,IF($AB10&gt;=$AR$8,$AU$8,0))))))*10000</f>
        <v>50000</v>
      </c>
      <c r="AF10" s="2">
        <f>IF(AB10&gt;=$AR$3,$AV$3,IF(AB10&gt;=$AR$4,$AV$4,IF(AB10&gt;=$AR$5,$AV$5,IF(AB10&gt;=$AR$6,$AV$6,IF(AB10&gt;=$AR$7,$AV$7,IF(AB10&gt;=$AR$8,$AV$8,0))))))</f>
        <v>37500</v>
      </c>
      <c r="AG10" s="2">
        <f>SUM(H10,O10,V10,AC10)</f>
        <v>1400000</v>
      </c>
      <c r="AH10" s="50">
        <f>SUM(I10,P10,W10,AD10)</f>
        <v>200000</v>
      </c>
      <c r="AI10" s="20" t="str">
        <f>VLOOKUP($C10,계좌!$C$5:$F$19,4,0)</f>
        <v>농협 312-0092-5057-11</v>
      </c>
      <c r="AJ10" s="2">
        <f>SUM(J10,Q10,X10,AE10)</f>
        <v>200000</v>
      </c>
      <c r="AK10" s="2">
        <f t="shared" ref="AK10:AK25" si="7">SUMIF($D$10:$D$26,$D10,$AJ$10:$AJ$26)</f>
        <v>2940000</v>
      </c>
      <c r="AL10" s="20" t="str">
        <f>VLOOKUP($D10,계좌!$C$22:$F$26,4,0)</f>
        <v>국민 357701-04-303493</v>
      </c>
      <c r="AM10" s="63">
        <f>SUM(K10,R10,Y10,AF10)</f>
        <v>150000</v>
      </c>
      <c r="AN10" s="46">
        <f>SUM(E10,L10,S10,Z10)/SUM(F10,M10,T10,AA10)</f>
        <v>1</v>
      </c>
      <c r="AO10" s="9"/>
    </row>
    <row r="11" spans="2:48" ht="16.5" customHeight="1" x14ac:dyDescent="0.3">
      <c r="B11" s="7">
        <f>B10+1</f>
        <v>2</v>
      </c>
      <c r="C11" s="52" t="s">
        <v>74</v>
      </c>
      <c r="D11" s="8" t="s">
        <v>129</v>
      </c>
      <c r="E11" s="8">
        <v>25</v>
      </c>
      <c r="F11" s="16">
        <f>$F$10</f>
        <v>25</v>
      </c>
      <c r="G11" s="15">
        <f t="shared" ref="G11:G25" si="8">IFERROR(E11/F11, 0)</f>
        <v>1</v>
      </c>
      <c r="H11" s="2">
        <f t="shared" si="0"/>
        <v>350000</v>
      </c>
      <c r="I11" s="2">
        <f>IF(AND(COUNTIFS(계좌!C:C, C11, 계좌!P:P, "체류비") &gt; 0),
    IF($G11&gt;=$AR$3,$AT$3,IF($G11&gt;=$AR$4,$AT$4,IF($G11&gt;=$AR$5,$AT$5,IF($G11&gt;=$AR$6,$AT$6,IF($G11&gt;=$AR$7,$AT$7,IF($G11&gt;=$AR$8,$AT$8,0))))))*10000,
    0)</f>
        <v>0</v>
      </c>
      <c r="J11" s="2">
        <f t="shared" ref="J11:J25" si="9">IF($G11&gt;=$AR$3,$AU$3,IF($G11&gt;=$AR$4,$AU$4,IF($G11&gt;=$AR$5,$AU$5,IF($G11&gt;=$AR$6,$AU$6,IF($G11&gt;=$AR$7,$AU$7,IF($G11&gt;=$AR$8,$AU$8,0))))))*10000</f>
        <v>50000</v>
      </c>
      <c r="K11" s="2">
        <f t="shared" ref="K11:K25" si="10">IF($G11&gt;=$AR$3,$AV$3,IF($G11&gt;=$AR$4,$AV$4,IF($G11&gt;=$AR$5,$AV$5,IF($G11&gt;=$AR$6,$AV$6,IF($G11&gt;=$AR$7,$AV$7,IF($G11&gt;=$AR$8,$AV$8,0))))))</f>
        <v>37500</v>
      </c>
      <c r="L11" s="8">
        <v>25</v>
      </c>
      <c r="M11" s="16">
        <f>$F$10</f>
        <v>25</v>
      </c>
      <c r="N11" s="15">
        <f t="shared" ref="N11:N25" si="11">IFERROR(L11/M11, 0)</f>
        <v>1</v>
      </c>
      <c r="O11" s="2">
        <f t="shared" si="1"/>
        <v>350000</v>
      </c>
      <c r="P11" s="2">
        <f>IF(AND(COUNTIFS(계좌!C:C, C11, 계좌!P:P, "체류비") &gt; 0),
    IF($N11&gt;=$AR$3,$AT$3,IF($N11&gt;=$AR$4,$AT$4,IF($N11&gt;=$AR$5,$AT$5,IF($N11&gt;=$AR$6,$AT$6,IF($N11&gt;=$AR$7,$AT$7,IF($N11&gt;=$AR$8,$AT$8,0))))))*10000,
    0)</f>
        <v>0</v>
      </c>
      <c r="Q11" s="2">
        <f t="shared" si="2"/>
        <v>50000</v>
      </c>
      <c r="R11" s="2">
        <f t="shared" ref="R11:R25" si="12">IF(N11&gt;=$AR$3,$AV$3,IF(N11&gt;=$AR$4,$AV$4,IF(N11&gt;=$AR$5,$AV$5,IF(N11&gt;=$AR$6,$AV$6,IF(N11&gt;=$AR$7,$AV$7,IF(N11&gt;=$AR$8,$AV$8,0))))))</f>
        <v>37500</v>
      </c>
      <c r="S11" s="8">
        <v>0</v>
      </c>
      <c r="T11" s="16">
        <v>0</v>
      </c>
      <c r="U11" s="15">
        <f>IFERROR(S11/T11, 0)</f>
        <v>0</v>
      </c>
      <c r="V11" s="2">
        <f t="shared" si="3"/>
        <v>0</v>
      </c>
      <c r="W11" s="2">
        <f>IF(AND(COUNTIFS(계좌!C:C, C11, 계좌!P:P, "체류비") &gt; 0),
    IF($U11&gt;=$AR$3,$AT$3,IF($U11&gt;=$AR$4,$AT$4,IF($U11&gt;=$AR$5,$AT$5,IF($U11&gt;=$AR$6,$AT$6,IF($U11&gt;=$AR$7,$AT$7,IF($U11&gt;=$AR$8,$AT$8,0))))))*10000,
    0)</f>
        <v>0</v>
      </c>
      <c r="X11" s="2">
        <f>IF($U11&gt;=$AR$3,$AU$3,IF($U11&gt;=$AR$4,$AU$4,IF($U11&gt;=$AR$5,$AU$5,IF($U11&gt;=$AR$6,$AU$6,IF($U11&gt;=$AR$7,$AU$7,IF($U11&gt;=$AR$8,$AU$8,0))))))*10000</f>
        <v>0</v>
      </c>
      <c r="Y11" s="2">
        <f t="shared" ref="Y11:Y25" si="13">IF(U11&gt;=$AR$3,$AV$3,IF(U11&gt;=$AR$4,$AV$4,IF(U11&gt;=$AR$5,$AV$5,IF(U11&gt;=$AR$6,$AV$6,IF(U11&gt;=$AR$7,$AV$7,IF(U11&gt;=$AR$8,$AV$8,0))))))</f>
        <v>0</v>
      </c>
      <c r="Z11" s="8">
        <v>0</v>
      </c>
      <c r="AA11" s="16">
        <v>0</v>
      </c>
      <c r="AB11" s="15">
        <f t="shared" ref="AB11:AB25" si="14">IFERROR(Z11/AA11, 0)</f>
        <v>0</v>
      </c>
      <c r="AC11" s="2">
        <f t="shared" si="5"/>
        <v>0</v>
      </c>
      <c r="AD11" s="2">
        <f>IF(AND(COUNTIFS(계좌!C:C, C11, 계좌!P:P, "체류비") &gt; 0),
    IF($AB11&gt;=$AR$3,$AT$3,IF($AB11&gt;=$AR$4,$AT$4,IF($AB11&gt;=$AR$5,$AT$5,IF($AB11&gt;=$AR$6,$AT$6,IF($AB11&gt;=$AR$7,$AT$7,IF($AB11&gt;=$AR$8,$AT$8,0))))))*10000,
    0)</f>
        <v>0</v>
      </c>
      <c r="AE11" s="2">
        <f t="shared" si="6"/>
        <v>0</v>
      </c>
      <c r="AF11" s="2">
        <f t="shared" ref="AF11:AF25" si="15">IF(AB11&gt;=$AR$3,$AV$3,IF(AB11&gt;=$AR$4,$AV$4,IF(AB11&gt;=$AR$5,$AV$5,IF(AB11&gt;=$AR$6,$AV$6,IF(AB11&gt;=$AR$7,$AV$7,IF(AB11&gt;=$AR$8,$AV$8,0))))))</f>
        <v>0</v>
      </c>
      <c r="AG11" s="2">
        <f t="shared" ref="AG11:AG24" si="16">SUM(H11,O11,V11,AC11)</f>
        <v>700000</v>
      </c>
      <c r="AH11" s="50">
        <f t="shared" ref="AH11:AH25" si="17">SUM(I11,P11,W11,AD11)</f>
        <v>0</v>
      </c>
      <c r="AI11" s="20" t="str">
        <f>VLOOKUP($C11,계좌!$C$5:$F$19,4,0)</f>
        <v>국민  116602-04-203403</v>
      </c>
      <c r="AJ11" s="2">
        <f t="shared" ref="AJ11:AJ24" si="18">SUM(J11,Q11,X11,AE11)</f>
        <v>100000</v>
      </c>
      <c r="AK11" s="2">
        <f t="shared" si="7"/>
        <v>2940000</v>
      </c>
      <c r="AL11" s="20" t="str">
        <f>VLOOKUP($D11,계좌!$C$20:$F$26,4,0)</f>
        <v>국민 357701-04-303493</v>
      </c>
      <c r="AM11" s="63">
        <f t="shared" ref="AM11:AM24" si="19">SUM(K11,R11,Y11,AF11)</f>
        <v>75000</v>
      </c>
      <c r="AN11" s="46">
        <v>0.5</v>
      </c>
      <c r="AO11" s="9"/>
      <c r="AV11" s="22"/>
    </row>
    <row r="12" spans="2:48" x14ac:dyDescent="0.3">
      <c r="B12" s="7">
        <f t="shared" ref="B12:B25" si="20">B11+1</f>
        <v>3</v>
      </c>
      <c r="C12" s="52" t="s">
        <v>75</v>
      </c>
      <c r="D12" s="8" t="s">
        <v>129</v>
      </c>
      <c r="E12" s="8">
        <v>25</v>
      </c>
      <c r="F12" s="16">
        <f t="shared" ref="F12:F25" si="21">$F$10</f>
        <v>25</v>
      </c>
      <c r="G12" s="15">
        <f t="shared" si="8"/>
        <v>1</v>
      </c>
      <c r="H12" s="2">
        <f t="shared" si="0"/>
        <v>350000</v>
      </c>
      <c r="I12" s="2">
        <f>IF(AND(COUNTIFS(계좌!C:C, C12, 계좌!P:P, "체류비") &gt; 0),
    IF($G12&gt;=$AR$3,$AT$3,IF($G12&gt;=$AR$4,$AT$4,IF($G12&gt;=$AR$5,$AT$5,IF($G12&gt;=$AR$6,$AT$6,IF($G12&gt;=$AR$7,$AT$7,IF($G12&gt;=$AR$8,$AT$8,0))))))*10000,
    0)</f>
        <v>50000</v>
      </c>
      <c r="J12" s="2">
        <f t="shared" si="9"/>
        <v>50000</v>
      </c>
      <c r="K12" s="2">
        <f t="shared" si="10"/>
        <v>37500</v>
      </c>
      <c r="L12" s="8">
        <v>25</v>
      </c>
      <c r="M12" s="16">
        <f t="shared" ref="M12:M24" si="22">$F$10</f>
        <v>25</v>
      </c>
      <c r="N12" s="15">
        <f t="shared" si="11"/>
        <v>1</v>
      </c>
      <c r="O12" s="2">
        <f t="shared" si="1"/>
        <v>350000</v>
      </c>
      <c r="P12" s="2">
        <f>IF(AND(COUNTIFS(계좌!C:C, C12, 계좌!P:P, "체류비") &gt; 0),
    IF($N12&gt;=$AR$3,$AT$3,IF($N12&gt;=$AR$4,$AT$4,IF($N12&gt;=$AR$5,$AT$5,IF($N12&gt;=$AR$6,$AT$6,IF($N12&gt;=$AR$7,$AT$7,IF($N12&gt;=$AR$8,$AT$8,0))))))*10000,
    0)</f>
        <v>50000</v>
      </c>
      <c r="Q12" s="2">
        <f t="shared" si="2"/>
        <v>50000</v>
      </c>
      <c r="R12" s="2">
        <f t="shared" si="12"/>
        <v>37500</v>
      </c>
      <c r="S12" s="8">
        <v>25</v>
      </c>
      <c r="T12" s="16">
        <f t="shared" ref="T12:T25" si="23">$F$10</f>
        <v>25</v>
      </c>
      <c r="U12" s="15">
        <f t="shared" ref="U12:U25" si="24">IFERROR(S12/T12, 0)</f>
        <v>1</v>
      </c>
      <c r="V12" s="2">
        <f t="shared" si="3"/>
        <v>350000</v>
      </c>
      <c r="W12" s="2">
        <f>IF(AND(COUNTIFS(계좌!C:C, C12, 계좌!P:P, "체류비") &gt; 0),
    IF($U12&gt;=$AR$3,$AT$3,IF($U12&gt;=$AR$4,$AT$4,IF($U12&gt;=$AR$5,$AT$5,IF($U12&gt;=$AR$6,$AT$6,IF($U12&gt;=$AR$7,$AT$7,IF($U12&gt;=$AR$8,$AT$8,0))))))*10000,
    0)</f>
        <v>50000</v>
      </c>
      <c r="X12" s="2">
        <f t="shared" si="4"/>
        <v>50000</v>
      </c>
      <c r="Y12" s="2">
        <f t="shared" si="13"/>
        <v>37500</v>
      </c>
      <c r="Z12" s="8">
        <v>25</v>
      </c>
      <c r="AA12" s="16">
        <f t="shared" ref="AA12:AA25" si="25">$F$10</f>
        <v>25</v>
      </c>
      <c r="AB12" s="15">
        <f t="shared" si="14"/>
        <v>1</v>
      </c>
      <c r="AC12" s="2">
        <f t="shared" si="5"/>
        <v>350000</v>
      </c>
      <c r="AD12" s="2">
        <f>IF(AND(COUNTIFS(계좌!C:C, C12, 계좌!P:P, "체류비") &gt; 0),
    IF($AB12&gt;=$AR$3,$AT$3,IF($AB12&gt;=$AR$4,$AT$4,IF($AB12&gt;=$AR$5,$AT$5,IF($AB12&gt;=$AR$6,$AT$6,IF($AB12&gt;=$AR$7,$AT$7,IF($AB12&gt;=$AR$8,$AT$8,0))))))*10000,
    0)</f>
        <v>50000</v>
      </c>
      <c r="AE12" s="2">
        <f t="shared" si="6"/>
        <v>50000</v>
      </c>
      <c r="AF12" s="2">
        <f t="shared" si="15"/>
        <v>37500</v>
      </c>
      <c r="AG12" s="2">
        <f t="shared" si="16"/>
        <v>1400000</v>
      </c>
      <c r="AH12" s="50">
        <f t="shared" si="17"/>
        <v>200000</v>
      </c>
      <c r="AI12" s="20" t="str">
        <f>VLOOKUP($C12,계좌!$C$5:$F$19,4,0)</f>
        <v>신한 110-388-206110</v>
      </c>
      <c r="AJ12" s="2">
        <f t="shared" si="18"/>
        <v>200000</v>
      </c>
      <c r="AK12" s="2">
        <f t="shared" si="7"/>
        <v>2940000</v>
      </c>
      <c r="AL12" s="20" t="str">
        <f>VLOOKUP($D12,계좌!$C$20:$F$26,4,0)</f>
        <v>국민 357701-04-303493</v>
      </c>
      <c r="AM12" s="63">
        <f t="shared" si="19"/>
        <v>150000</v>
      </c>
      <c r="AN12" s="46">
        <f t="shared" ref="AN12:AN24" si="26">SUM(E12,L12,S12,Z12)/SUM(F12,M12,T12,AA12)</f>
        <v>1</v>
      </c>
      <c r="AO12" s="10"/>
      <c r="AV12" s="22"/>
    </row>
    <row r="13" spans="2:48" x14ac:dyDescent="0.3">
      <c r="B13" s="7">
        <f t="shared" si="20"/>
        <v>4</v>
      </c>
      <c r="C13" s="52" t="s">
        <v>76</v>
      </c>
      <c r="D13" s="8" t="s">
        <v>129</v>
      </c>
      <c r="E13" s="8">
        <v>25</v>
      </c>
      <c r="F13" s="16">
        <f t="shared" si="21"/>
        <v>25</v>
      </c>
      <c r="G13" s="15">
        <f t="shared" si="8"/>
        <v>1</v>
      </c>
      <c r="H13" s="2">
        <f t="shared" si="0"/>
        <v>350000</v>
      </c>
      <c r="I13" s="2">
        <f>IF(AND(COUNTIFS(계좌!C:C, C13, 계좌!P:P, "체류비") &gt; 0),
    IF($G13&gt;=$AR$3,$AT$3,IF($G13&gt;=$AR$4,$AT$4,IF($G13&gt;=$AR$5,$AT$5,IF($G13&gt;=$AR$6,$AT$6,IF($G13&gt;=$AR$7,$AT$7,IF($G13&gt;=$AR$8,$AT$8,0))))))*10000,
    0)</f>
        <v>0</v>
      </c>
      <c r="J13" s="2">
        <f t="shared" si="9"/>
        <v>50000</v>
      </c>
      <c r="K13" s="2">
        <f t="shared" si="10"/>
        <v>37500</v>
      </c>
      <c r="L13" s="8">
        <v>25</v>
      </c>
      <c r="M13" s="16">
        <f t="shared" si="22"/>
        <v>25</v>
      </c>
      <c r="N13" s="15">
        <f t="shared" si="11"/>
        <v>1</v>
      </c>
      <c r="O13" s="2">
        <f t="shared" si="1"/>
        <v>350000</v>
      </c>
      <c r="P13" s="2">
        <f>IF(AND(COUNTIFS(계좌!C:C, C13, 계좌!P:P, "체류비") &gt; 0),
    IF($N13&gt;=$AR$3,$AT$3,IF($N13&gt;=$AR$4,$AT$4,IF($N13&gt;=$AR$5,$AT$5,IF($N13&gt;=$AR$6,$AT$6,IF($N13&gt;=$AR$7,$AT$7,IF($N13&gt;=$AR$8,$AT$8,0))))))*10000,
    0)</f>
        <v>0</v>
      </c>
      <c r="Q13" s="2">
        <f t="shared" si="2"/>
        <v>50000</v>
      </c>
      <c r="R13" s="2">
        <f t="shared" si="12"/>
        <v>37500</v>
      </c>
      <c r="S13" s="8">
        <v>0</v>
      </c>
      <c r="T13" s="16">
        <v>0</v>
      </c>
      <c r="U13" s="15">
        <f t="shared" si="24"/>
        <v>0</v>
      </c>
      <c r="V13" s="2">
        <f t="shared" si="3"/>
        <v>0</v>
      </c>
      <c r="W13" s="2">
        <f>IF(AND(COUNTIFS(계좌!C:C, C13, 계좌!P:P, "체류비") &gt; 0),
    IF($U13&gt;=$AR$3,$AT$3,IF($U13&gt;=$AR$4,$AT$4,IF($U13&gt;=$AR$5,$AT$5,IF($U13&gt;=$AR$6,$AT$6,IF($U13&gt;=$AR$7,$AT$7,IF($U13&gt;=$AR$8,$AT$8,0))))))*10000,
    0)</f>
        <v>0</v>
      </c>
      <c r="X13" s="2">
        <f t="shared" si="4"/>
        <v>0</v>
      </c>
      <c r="Y13" s="2">
        <f t="shared" si="13"/>
        <v>0</v>
      </c>
      <c r="Z13" s="8">
        <v>0</v>
      </c>
      <c r="AA13" s="16">
        <v>0</v>
      </c>
      <c r="AB13" s="15">
        <f t="shared" si="14"/>
        <v>0</v>
      </c>
      <c r="AC13" s="2">
        <f t="shared" si="5"/>
        <v>0</v>
      </c>
      <c r="AD13" s="2">
        <f>IF(AND(COUNTIFS(계좌!C:C, C13, 계좌!P:P, "체류비") &gt; 0),
    IF($AB13&gt;=$AR$3,$AT$3,IF($AB13&gt;=$AR$4,$AT$4,IF($AB13&gt;=$AR$5,$AT$5,IF($AB13&gt;=$AR$6,$AT$6,IF($AB13&gt;=$AR$7,$AT$7,IF($AB13&gt;=$AR$8,$AT$8,0))))))*10000,
    0)</f>
        <v>0</v>
      </c>
      <c r="AE13" s="2">
        <f t="shared" si="6"/>
        <v>0</v>
      </c>
      <c r="AF13" s="2">
        <f t="shared" si="15"/>
        <v>0</v>
      </c>
      <c r="AG13" s="2">
        <f t="shared" si="16"/>
        <v>700000</v>
      </c>
      <c r="AH13" s="50">
        <f t="shared" si="17"/>
        <v>0</v>
      </c>
      <c r="AI13" s="20" t="str">
        <f>VLOOKUP($C13,계좌!$C$5:$F$19,4,0)</f>
        <v>신한 110-453-570436</v>
      </c>
      <c r="AJ13" s="2">
        <f t="shared" si="18"/>
        <v>100000</v>
      </c>
      <c r="AK13" s="2">
        <f t="shared" si="7"/>
        <v>2940000</v>
      </c>
      <c r="AL13" s="20" t="str">
        <f>VLOOKUP($D13,계좌!$C$20:$F$26,4,0)</f>
        <v>국민 357701-04-303493</v>
      </c>
      <c r="AM13" s="63">
        <f t="shared" si="19"/>
        <v>75000</v>
      </c>
      <c r="AN13" s="46">
        <v>0.5</v>
      </c>
      <c r="AO13" s="10"/>
      <c r="AV13" s="22"/>
    </row>
    <row r="14" spans="2:48" x14ac:dyDescent="0.3">
      <c r="B14" s="7">
        <f t="shared" si="20"/>
        <v>5</v>
      </c>
      <c r="C14" s="52" t="s">
        <v>77</v>
      </c>
      <c r="D14" s="8" t="s">
        <v>129</v>
      </c>
      <c r="E14" s="8">
        <v>25</v>
      </c>
      <c r="F14" s="16">
        <f t="shared" si="21"/>
        <v>25</v>
      </c>
      <c r="G14" s="15">
        <f t="shared" si="8"/>
        <v>1</v>
      </c>
      <c r="H14" s="2">
        <f t="shared" si="0"/>
        <v>350000</v>
      </c>
      <c r="I14" s="2">
        <f>IF(AND(COUNTIFS(계좌!C:C, C14, 계좌!P:P, "체류비") &gt; 0),
    IF($G14&gt;=$AR$3,$AT$3,IF($G14&gt;=$AR$4,$AT$4,IF($G14&gt;=$AR$5,$AT$5,IF($G14&gt;=$AR$6,$AT$6,IF($G14&gt;=$AR$7,$AT$7,IF($G14&gt;=$AR$8,$AT$8,0))))))*10000,
    0)</f>
        <v>0</v>
      </c>
      <c r="J14" s="2">
        <f t="shared" si="9"/>
        <v>50000</v>
      </c>
      <c r="K14" s="2">
        <f t="shared" si="10"/>
        <v>37500</v>
      </c>
      <c r="L14" s="8">
        <v>25</v>
      </c>
      <c r="M14" s="16">
        <f t="shared" si="22"/>
        <v>25</v>
      </c>
      <c r="N14" s="15">
        <f t="shared" si="11"/>
        <v>1</v>
      </c>
      <c r="O14" s="2">
        <f t="shared" si="1"/>
        <v>350000</v>
      </c>
      <c r="P14" s="2">
        <f>IF(AND(COUNTIFS(계좌!C:C, C14, 계좌!P:P, "체류비") &gt; 0),
    IF($N14&gt;=$AR$3,$AT$3,IF($N14&gt;=$AR$4,$AT$4,IF($N14&gt;=$AR$5,$AT$5,IF($N14&gt;=$AR$6,$AT$6,IF($N14&gt;=$AR$7,$AT$7,IF($N14&gt;=$AR$8,$AT$8,0))))))*10000,
    0)</f>
        <v>0</v>
      </c>
      <c r="Q14" s="2">
        <f t="shared" si="2"/>
        <v>50000</v>
      </c>
      <c r="R14" s="2">
        <f t="shared" si="12"/>
        <v>37500</v>
      </c>
      <c r="S14" s="8">
        <v>25</v>
      </c>
      <c r="T14" s="16">
        <f t="shared" si="23"/>
        <v>25</v>
      </c>
      <c r="U14" s="15">
        <f t="shared" si="24"/>
        <v>1</v>
      </c>
      <c r="V14" s="2">
        <f t="shared" si="3"/>
        <v>350000</v>
      </c>
      <c r="W14" s="2">
        <f>IF(AND(COUNTIFS(계좌!C:C, C14, 계좌!P:P, "체류비") &gt; 0),
    IF($U14&gt;=$AR$3,$AT$3,IF($U14&gt;=$AR$4,$AT$4,IF($U14&gt;=$AR$5,$AT$5,IF($U14&gt;=$AR$6,$AT$6,IF($U14&gt;=$AR$7,$AT$7,IF($U14&gt;=$AR$8,$AT$8,0))))))*10000,
    0)</f>
        <v>0</v>
      </c>
      <c r="X14" s="2">
        <f t="shared" si="4"/>
        <v>50000</v>
      </c>
      <c r="Y14" s="2">
        <f t="shared" si="13"/>
        <v>37500</v>
      </c>
      <c r="Z14" s="8">
        <v>25</v>
      </c>
      <c r="AA14" s="16">
        <f t="shared" si="25"/>
        <v>25</v>
      </c>
      <c r="AB14" s="15">
        <f t="shared" si="14"/>
        <v>1</v>
      </c>
      <c r="AC14" s="2">
        <f t="shared" si="5"/>
        <v>350000</v>
      </c>
      <c r="AD14" s="2">
        <f>IF(AND(COUNTIFS(계좌!C:C, C14, 계좌!P:P, "체류비") &gt; 0),
    IF($AB14&gt;=$AR$3,$AT$3,IF($AB14&gt;=$AR$4,$AT$4,IF($AB14&gt;=$AR$5,$AT$5,IF($AB14&gt;=$AR$6,$AT$6,IF($AB14&gt;=$AR$7,$AT$7,IF($AB14&gt;=$AR$8,$AT$8,0))))))*10000,
    0)</f>
        <v>0</v>
      </c>
      <c r="AE14" s="2">
        <f t="shared" si="6"/>
        <v>50000</v>
      </c>
      <c r="AF14" s="2">
        <f t="shared" si="15"/>
        <v>37500</v>
      </c>
      <c r="AG14" s="2">
        <f t="shared" si="16"/>
        <v>1400000</v>
      </c>
      <c r="AH14" s="50">
        <f t="shared" si="17"/>
        <v>0</v>
      </c>
      <c r="AI14" s="20" t="str">
        <f>VLOOKUP($C14,계좌!$C$5:$F$19,4,0)</f>
        <v>카카오  3333-08-0125647</v>
      </c>
      <c r="AJ14" s="2">
        <f t="shared" si="18"/>
        <v>200000</v>
      </c>
      <c r="AK14" s="2">
        <f t="shared" si="7"/>
        <v>2940000</v>
      </c>
      <c r="AL14" s="20" t="str">
        <f>VLOOKUP($D14,계좌!$C$20:$F$26,4,0)</f>
        <v>국민 357701-04-303493</v>
      </c>
      <c r="AM14" s="63">
        <f t="shared" si="19"/>
        <v>150000</v>
      </c>
      <c r="AN14" s="46">
        <f t="shared" si="26"/>
        <v>1</v>
      </c>
      <c r="AO14" s="10"/>
      <c r="AV14" s="22"/>
    </row>
    <row r="15" spans="2:48" x14ac:dyDescent="0.3">
      <c r="B15" s="7">
        <f t="shared" si="20"/>
        <v>6</v>
      </c>
      <c r="C15" s="52" t="s">
        <v>78</v>
      </c>
      <c r="D15" s="8" t="s">
        <v>129</v>
      </c>
      <c r="E15" s="8">
        <v>5</v>
      </c>
      <c r="F15" s="16">
        <f t="shared" si="21"/>
        <v>25</v>
      </c>
      <c r="G15" s="15">
        <f>IFERROR(E15/F15, 0)</f>
        <v>0.2</v>
      </c>
      <c r="H15" s="2">
        <f t="shared" si="0"/>
        <v>140000</v>
      </c>
      <c r="I15" s="2">
        <f>IF(AND(COUNTIFS(계좌!C:C, C15, 계좌!P:P, "체류비") &gt; 0),
    IF($G15&gt;=$AR$3,$AT$3,IF($G15&gt;=$AR$4,$AT$4,IF($G15&gt;=$AR$5,$AT$5,IF($G15&gt;=$AR$6,$AT$6,IF($G15&gt;=$AR$7,$AT$7,IF($G15&gt;=$AR$8,$AT$8,0))))))*10000,
    0)</f>
        <v>0</v>
      </c>
      <c r="J15" s="2">
        <f t="shared" si="9"/>
        <v>30000</v>
      </c>
      <c r="K15" s="2">
        <f t="shared" si="10"/>
        <v>15000</v>
      </c>
      <c r="L15" s="8">
        <v>25</v>
      </c>
      <c r="M15" s="16">
        <f t="shared" si="22"/>
        <v>25</v>
      </c>
      <c r="N15" s="15">
        <f t="shared" si="11"/>
        <v>1</v>
      </c>
      <c r="O15" s="2">
        <f t="shared" si="1"/>
        <v>350000</v>
      </c>
      <c r="P15" s="2">
        <f>IF(AND(COUNTIFS(계좌!C:C, C15, 계좌!P:P, "체류비") &gt; 0),
    IF($N15&gt;=$AR$3,$AT$3,IF($N15&gt;=$AR$4,$AT$4,IF($N15&gt;=$AR$5,$AT$5,IF($N15&gt;=$AR$6,$AT$6,IF($N15&gt;=$AR$7,$AT$7,IF($N15&gt;=$AR$8,$AT$8,0))))))*10000,
    0)</f>
        <v>0</v>
      </c>
      <c r="Q15" s="2">
        <f t="shared" si="2"/>
        <v>50000</v>
      </c>
      <c r="R15" s="2">
        <f t="shared" si="12"/>
        <v>37500</v>
      </c>
      <c r="S15" s="8">
        <v>25</v>
      </c>
      <c r="T15" s="16">
        <f t="shared" si="23"/>
        <v>25</v>
      </c>
      <c r="U15" s="15">
        <f t="shared" si="24"/>
        <v>1</v>
      </c>
      <c r="V15" s="2">
        <f t="shared" si="3"/>
        <v>350000</v>
      </c>
      <c r="W15" s="2">
        <f>IF(AND(COUNTIFS(계좌!C:C, C15, 계좌!P:P, "체류비") &gt; 0),
    IF($U15&gt;=$AR$3,$AT$3,IF($U15&gt;=$AR$4,$AT$4,IF($U15&gt;=$AR$5,$AT$5,IF($U15&gt;=$AR$6,$AT$6,IF($U15&gt;=$AR$7,$AT$7,IF($U15&gt;=$AR$8,$AT$8,0))))))*10000,
    0)</f>
        <v>0</v>
      </c>
      <c r="X15" s="2">
        <f t="shared" si="4"/>
        <v>50000</v>
      </c>
      <c r="Y15" s="2">
        <f t="shared" si="13"/>
        <v>37500</v>
      </c>
      <c r="Z15" s="8">
        <v>25</v>
      </c>
      <c r="AA15" s="16">
        <f t="shared" si="25"/>
        <v>25</v>
      </c>
      <c r="AB15" s="15">
        <f t="shared" si="14"/>
        <v>1</v>
      </c>
      <c r="AC15" s="2">
        <f t="shared" si="5"/>
        <v>350000</v>
      </c>
      <c r="AD15" s="2">
        <f>IF(AND(COUNTIFS(계좌!C:C, C15, 계좌!P:P, "체류비") &gt; 0),
    IF($AB15&gt;=$AR$3,$AT$3,IF($AB15&gt;=$AR$4,$AT$4,IF($AB15&gt;=$AR$5,$AT$5,IF($AB15&gt;=$AR$6,$AT$6,IF($AB15&gt;=$AR$7,$AT$7,IF($AB15&gt;=$AR$8,$AT$8,0))))))*10000,
    0)</f>
        <v>0</v>
      </c>
      <c r="AE15" s="2">
        <f t="shared" si="6"/>
        <v>50000</v>
      </c>
      <c r="AF15" s="2">
        <f t="shared" si="15"/>
        <v>37500</v>
      </c>
      <c r="AG15" s="2">
        <f t="shared" si="16"/>
        <v>1190000</v>
      </c>
      <c r="AH15" s="50">
        <f t="shared" si="17"/>
        <v>0</v>
      </c>
      <c r="AI15" s="20" t="str">
        <f>VLOOKUP($C15,계좌!$C$5:$F$19,4,0)</f>
        <v>국민 93839736842</v>
      </c>
      <c r="AJ15" s="2">
        <f t="shared" si="18"/>
        <v>180000</v>
      </c>
      <c r="AK15" s="2">
        <f t="shared" si="7"/>
        <v>2940000</v>
      </c>
      <c r="AL15" s="20" t="str">
        <f>VLOOKUP($D15,계좌!$C$20:$F$26,4,0)</f>
        <v>국민 357701-04-303493</v>
      </c>
      <c r="AM15" s="63">
        <f t="shared" si="19"/>
        <v>127500</v>
      </c>
      <c r="AN15" s="46">
        <f t="shared" si="26"/>
        <v>0.8</v>
      </c>
      <c r="AO15" s="10"/>
      <c r="AV15" s="22"/>
    </row>
    <row r="16" spans="2:48" x14ac:dyDescent="0.3">
      <c r="B16" s="7">
        <f t="shared" si="20"/>
        <v>7</v>
      </c>
      <c r="C16" s="52" t="s">
        <v>79</v>
      </c>
      <c r="D16" s="8" t="s">
        <v>129</v>
      </c>
      <c r="E16" s="8">
        <v>25</v>
      </c>
      <c r="F16" s="16">
        <f t="shared" si="21"/>
        <v>25</v>
      </c>
      <c r="G16" s="15">
        <f t="shared" si="8"/>
        <v>1</v>
      </c>
      <c r="H16" s="2">
        <f t="shared" si="0"/>
        <v>350000</v>
      </c>
      <c r="I16" s="2">
        <f>IF(AND(COUNTIFS(계좌!C:C, C16, 계좌!P:P, "체류비") &gt; 0),
    IF($G16&gt;=$AR$3,$AT$3,IF($G16&gt;=$AR$4,$AT$4,IF($G16&gt;=$AR$5,$AT$5,IF($G16&gt;=$AR$6,$AT$6,IF($G16&gt;=$AR$7,$AT$7,IF($G16&gt;=$AR$8,$AT$8,0))))))*10000,
    0)</f>
        <v>0</v>
      </c>
      <c r="J16" s="2">
        <f t="shared" si="9"/>
        <v>50000</v>
      </c>
      <c r="K16" s="2">
        <f t="shared" si="10"/>
        <v>37500</v>
      </c>
      <c r="L16" s="8">
        <v>25</v>
      </c>
      <c r="M16" s="16">
        <f t="shared" si="22"/>
        <v>25</v>
      </c>
      <c r="N16" s="15">
        <f t="shared" si="11"/>
        <v>1</v>
      </c>
      <c r="O16" s="2">
        <f t="shared" si="1"/>
        <v>350000</v>
      </c>
      <c r="P16" s="2">
        <f>IF(AND(COUNTIFS(계좌!C:C, C16, 계좌!P:P, "체류비") &gt; 0),
    IF($N16&gt;=$AR$3,$AT$3,IF($N16&gt;=$AR$4,$AT$4,IF($N16&gt;=$AR$5,$AT$5,IF($N16&gt;=$AR$6,$AT$6,IF($N16&gt;=$AR$7,$AT$7,IF($N16&gt;=$AR$8,$AT$8,0))))))*10000,
    0)</f>
        <v>0</v>
      </c>
      <c r="Q16" s="2">
        <f t="shared" si="2"/>
        <v>50000</v>
      </c>
      <c r="R16" s="2">
        <f t="shared" si="12"/>
        <v>37500</v>
      </c>
      <c r="S16" s="8">
        <v>25</v>
      </c>
      <c r="T16" s="16">
        <f t="shared" si="23"/>
        <v>25</v>
      </c>
      <c r="U16" s="15">
        <f t="shared" si="24"/>
        <v>1</v>
      </c>
      <c r="V16" s="2">
        <f t="shared" si="3"/>
        <v>350000</v>
      </c>
      <c r="W16" s="2">
        <f>IF(AND(COUNTIFS(계좌!C:C, C16, 계좌!P:P, "체류비") &gt; 0),
    IF($U16&gt;=$AR$3,$AT$3,IF($U16&gt;=$AR$4,$AT$4,IF($U16&gt;=$AR$5,$AT$5,IF($U16&gt;=$AR$6,$AT$6,IF($U16&gt;=$AR$7,$AT$7,IF($U16&gt;=$AR$8,$AT$8,0))))))*10000,
    0)</f>
        <v>0</v>
      </c>
      <c r="X16" s="2">
        <f t="shared" si="4"/>
        <v>50000</v>
      </c>
      <c r="Y16" s="2">
        <f t="shared" si="13"/>
        <v>37500</v>
      </c>
      <c r="Z16" s="8">
        <v>25</v>
      </c>
      <c r="AA16" s="16">
        <f t="shared" si="25"/>
        <v>25</v>
      </c>
      <c r="AB16" s="15">
        <f t="shared" si="14"/>
        <v>1</v>
      </c>
      <c r="AC16" s="2">
        <f t="shared" si="5"/>
        <v>350000</v>
      </c>
      <c r="AD16" s="2">
        <f>IF(AND(COUNTIFS(계좌!C:C, C16, 계좌!P:P, "체류비") &gt; 0),
    IF($AB16&gt;=$AR$3,$AT$3,IF($AB16&gt;=$AR$4,$AT$4,IF($AB16&gt;=$AR$5,$AT$5,IF($AB16&gt;=$AR$6,$AT$6,IF($AB16&gt;=$AR$7,$AT$7,IF($AB16&gt;=$AR$8,$AT$8,0))))))*10000,
    0)</f>
        <v>0</v>
      </c>
      <c r="AE16" s="2">
        <f t="shared" si="6"/>
        <v>50000</v>
      </c>
      <c r="AF16" s="2">
        <f t="shared" si="15"/>
        <v>37500</v>
      </c>
      <c r="AG16" s="2">
        <f t="shared" si="16"/>
        <v>1400000</v>
      </c>
      <c r="AH16" s="50">
        <f t="shared" si="17"/>
        <v>0</v>
      </c>
      <c r="AI16" s="20" t="str">
        <f>VLOOKUP($C16,계좌!$C$5:$F$19,4,0)</f>
        <v>국민  203101-04-263485</v>
      </c>
      <c r="AJ16" s="2">
        <f t="shared" si="18"/>
        <v>200000</v>
      </c>
      <c r="AK16" s="2">
        <f t="shared" si="7"/>
        <v>2940000</v>
      </c>
      <c r="AL16" s="20" t="str">
        <f>VLOOKUP($D16,계좌!$C$20:$F$26,4,0)</f>
        <v>국민 357701-04-303493</v>
      </c>
      <c r="AM16" s="63">
        <f t="shared" si="19"/>
        <v>150000</v>
      </c>
      <c r="AN16" s="46">
        <f t="shared" si="26"/>
        <v>1</v>
      </c>
      <c r="AO16" s="10"/>
      <c r="AV16" s="22"/>
    </row>
    <row r="17" spans="2:48" x14ac:dyDescent="0.3">
      <c r="B17" s="7">
        <f t="shared" si="20"/>
        <v>8</v>
      </c>
      <c r="C17" s="52" t="s">
        <v>80</v>
      </c>
      <c r="D17" s="8" t="s">
        <v>129</v>
      </c>
      <c r="E17" s="8">
        <v>25</v>
      </c>
      <c r="F17" s="16">
        <f t="shared" si="21"/>
        <v>25</v>
      </c>
      <c r="G17" s="15">
        <f t="shared" si="8"/>
        <v>1</v>
      </c>
      <c r="H17" s="2">
        <f t="shared" si="0"/>
        <v>350000</v>
      </c>
      <c r="I17" s="2">
        <f>IF(AND(COUNTIFS(계좌!C:C, C17, 계좌!P:P, "체류비") &gt; 0),
    IF($G17&gt;=$AR$3,$AT$3,IF($G17&gt;=$AR$4,$AT$4,IF($G17&gt;=$AR$5,$AT$5,IF($G17&gt;=$AR$6,$AT$6,IF($G17&gt;=$AR$7,$AT$7,IF($G17&gt;=$AR$8,$AT$8,0))))))*10000,
    0)</f>
        <v>0</v>
      </c>
      <c r="J17" s="2">
        <f t="shared" si="9"/>
        <v>50000</v>
      </c>
      <c r="K17" s="2">
        <f t="shared" si="10"/>
        <v>37500</v>
      </c>
      <c r="L17" s="8">
        <v>25</v>
      </c>
      <c r="M17" s="16">
        <f t="shared" si="22"/>
        <v>25</v>
      </c>
      <c r="N17" s="15">
        <f t="shared" si="11"/>
        <v>1</v>
      </c>
      <c r="O17" s="2">
        <f t="shared" si="1"/>
        <v>350000</v>
      </c>
      <c r="P17" s="2">
        <f>IF(AND(COUNTIFS(계좌!C:C, C17, 계좌!P:P, "체류비") &gt; 0),
    IF($N17&gt;=$AR$3,$AT$3,IF($N17&gt;=$AR$4,$AT$4,IF($N17&gt;=$AR$5,$AT$5,IF($N17&gt;=$AR$6,$AT$6,IF($N17&gt;=$AR$7,$AT$7,IF($N17&gt;=$AR$8,$AT$8,0))))))*10000,
    0)</f>
        <v>0</v>
      </c>
      <c r="Q17" s="2">
        <f t="shared" si="2"/>
        <v>50000</v>
      </c>
      <c r="R17" s="2">
        <f t="shared" si="12"/>
        <v>37500</v>
      </c>
      <c r="S17" s="8">
        <v>25</v>
      </c>
      <c r="T17" s="16">
        <f t="shared" si="23"/>
        <v>25</v>
      </c>
      <c r="U17" s="15">
        <f t="shared" si="24"/>
        <v>1</v>
      </c>
      <c r="V17" s="2">
        <f t="shared" si="3"/>
        <v>350000</v>
      </c>
      <c r="W17" s="2">
        <f>IF(AND(COUNTIFS(계좌!C:C, C17, 계좌!P:P, "체류비") &gt; 0),
    IF($U17&gt;=$AR$3,$AT$3,IF($U17&gt;=$AR$4,$AT$4,IF($U17&gt;=$AR$5,$AT$5,IF($U17&gt;=$AR$6,$AT$6,IF($U17&gt;=$AR$7,$AT$7,IF($U17&gt;=$AR$8,$AT$8,0))))))*10000,
    0)</f>
        <v>0</v>
      </c>
      <c r="X17" s="2">
        <f t="shared" si="4"/>
        <v>50000</v>
      </c>
      <c r="Y17" s="2">
        <f t="shared" si="13"/>
        <v>37500</v>
      </c>
      <c r="Z17" s="8">
        <v>25</v>
      </c>
      <c r="AA17" s="16">
        <f t="shared" si="25"/>
        <v>25</v>
      </c>
      <c r="AB17" s="15">
        <f t="shared" si="14"/>
        <v>1</v>
      </c>
      <c r="AC17" s="2">
        <f t="shared" si="5"/>
        <v>350000</v>
      </c>
      <c r="AD17" s="2">
        <f>IF(AND(COUNTIFS(계좌!C:C, C17, 계좌!P:P, "체류비") &gt; 0),
    IF($AB17&gt;=$AR$3,$AT$3,IF($AB17&gt;=$AR$4,$AT$4,IF($AB17&gt;=$AR$5,$AT$5,IF($AB17&gt;=$AR$6,$AT$6,IF($AB17&gt;=$AR$7,$AT$7,IF($AB17&gt;=$AR$8,$AT$8,0))))))*10000,
    0)</f>
        <v>0</v>
      </c>
      <c r="AE17" s="2">
        <f t="shared" si="6"/>
        <v>50000</v>
      </c>
      <c r="AF17" s="2">
        <f t="shared" si="15"/>
        <v>37500</v>
      </c>
      <c r="AG17" s="2">
        <f t="shared" si="16"/>
        <v>1400000</v>
      </c>
      <c r="AH17" s="50">
        <f t="shared" si="17"/>
        <v>0</v>
      </c>
      <c r="AI17" s="20" t="str">
        <f>VLOOKUP($C17,계좌!$C$5:$F$19,4,0)</f>
        <v>토스 1000-5069-8031</v>
      </c>
      <c r="AJ17" s="2">
        <f t="shared" si="18"/>
        <v>200000</v>
      </c>
      <c r="AK17" s="2">
        <f t="shared" si="7"/>
        <v>2940000</v>
      </c>
      <c r="AL17" s="20" t="str">
        <f>VLOOKUP($D17,계좌!$C$20:$F$26,4,0)</f>
        <v>국민 357701-04-303493</v>
      </c>
      <c r="AM17" s="63">
        <f t="shared" si="19"/>
        <v>150000</v>
      </c>
      <c r="AN17" s="46">
        <f t="shared" si="26"/>
        <v>1</v>
      </c>
      <c r="AO17" s="10"/>
      <c r="AV17" s="22"/>
    </row>
    <row r="18" spans="2:48" x14ac:dyDescent="0.3">
      <c r="B18" s="7">
        <f t="shared" si="20"/>
        <v>9</v>
      </c>
      <c r="C18" s="52" t="s">
        <v>81</v>
      </c>
      <c r="D18" s="8" t="s">
        <v>129</v>
      </c>
      <c r="E18" s="8">
        <v>25</v>
      </c>
      <c r="F18" s="16">
        <f t="shared" si="21"/>
        <v>25</v>
      </c>
      <c r="G18" s="15">
        <f t="shared" si="8"/>
        <v>1</v>
      </c>
      <c r="H18" s="2">
        <f t="shared" si="0"/>
        <v>350000</v>
      </c>
      <c r="I18" s="2">
        <f>IF(AND(COUNTIFS(계좌!C:C, C18, 계좌!P:P, "체류비") &gt; 0),
    IF($G18&gt;=$AR$3,$AT$3,IF($G18&gt;=$AR$4,$AT$4,IF($G18&gt;=$AR$5,$AT$5,IF($G18&gt;=$AR$6,$AT$6,IF($G18&gt;=$AR$7,$AT$7,IF($G18&gt;=$AR$8,$AT$8,0))))))*10000,
    0)</f>
        <v>0</v>
      </c>
      <c r="J18" s="2">
        <f t="shared" si="9"/>
        <v>50000</v>
      </c>
      <c r="K18" s="2">
        <f t="shared" si="10"/>
        <v>37500</v>
      </c>
      <c r="L18" s="8">
        <v>25</v>
      </c>
      <c r="M18" s="16">
        <f t="shared" si="22"/>
        <v>25</v>
      </c>
      <c r="N18" s="15">
        <f t="shared" si="11"/>
        <v>1</v>
      </c>
      <c r="O18" s="2">
        <f t="shared" si="1"/>
        <v>350000</v>
      </c>
      <c r="P18" s="2">
        <f>IF(AND(COUNTIFS(계좌!C:C, C18, 계좌!P:P, "체류비") &gt; 0),
    IF($N18&gt;=$AR$3,$AT$3,IF($N18&gt;=$AR$4,$AT$4,IF($N18&gt;=$AR$5,$AT$5,IF($N18&gt;=$AR$6,$AT$6,IF($N18&gt;=$AR$7,$AT$7,IF($N18&gt;=$AR$8,$AT$8,0))))))*10000,
    0)</f>
        <v>0</v>
      </c>
      <c r="Q18" s="2">
        <f t="shared" si="2"/>
        <v>50000</v>
      </c>
      <c r="R18" s="2">
        <f t="shared" si="12"/>
        <v>37500</v>
      </c>
      <c r="S18" s="8">
        <v>25</v>
      </c>
      <c r="T18" s="16">
        <f t="shared" si="23"/>
        <v>25</v>
      </c>
      <c r="U18" s="15">
        <f t="shared" si="24"/>
        <v>1</v>
      </c>
      <c r="V18" s="2">
        <f t="shared" si="3"/>
        <v>350000</v>
      </c>
      <c r="W18" s="2">
        <f>IF(AND(COUNTIFS(계좌!C:C, C18, 계좌!P:P, "체류비") &gt; 0),
    IF($U18&gt;=$AR$3,$AT$3,IF($U18&gt;=$AR$4,$AT$4,IF($U18&gt;=$AR$5,$AT$5,IF($U18&gt;=$AR$6,$AT$6,IF($U18&gt;=$AR$7,$AT$7,IF($U18&gt;=$AR$8,$AT$8,0))))))*10000,
    0)</f>
        <v>0</v>
      </c>
      <c r="X18" s="2">
        <f t="shared" si="4"/>
        <v>50000</v>
      </c>
      <c r="Y18" s="2">
        <f t="shared" si="13"/>
        <v>37500</v>
      </c>
      <c r="Z18" s="8">
        <v>25</v>
      </c>
      <c r="AA18" s="16">
        <f t="shared" si="25"/>
        <v>25</v>
      </c>
      <c r="AB18" s="15">
        <f t="shared" si="14"/>
        <v>1</v>
      </c>
      <c r="AC18" s="2">
        <f t="shared" si="5"/>
        <v>350000</v>
      </c>
      <c r="AD18" s="2">
        <f>IF(AND(COUNTIFS(계좌!C:C, C18, 계좌!P:P, "체류비") &gt; 0),
    IF($AB18&gt;=$AR$3,$AT$3,IF($AB18&gt;=$AR$4,$AT$4,IF($AB18&gt;=$AR$5,$AT$5,IF($AB18&gt;=$AR$6,$AT$6,IF($AB18&gt;=$AR$7,$AT$7,IF($AB18&gt;=$AR$8,$AT$8,0))))))*10000,
    0)</f>
        <v>0</v>
      </c>
      <c r="AE18" s="2">
        <f t="shared" si="6"/>
        <v>50000</v>
      </c>
      <c r="AF18" s="2">
        <f t="shared" si="15"/>
        <v>37500</v>
      </c>
      <c r="AG18" s="2">
        <f t="shared" si="16"/>
        <v>1400000</v>
      </c>
      <c r="AH18" s="50">
        <f t="shared" si="17"/>
        <v>0</v>
      </c>
      <c r="AI18" s="20" t="str">
        <f>VLOOKUP($C18,계좌!$C$5:$F$19,4,0)</f>
        <v>국민  939302-00-959242</v>
      </c>
      <c r="AJ18" s="2">
        <f t="shared" si="18"/>
        <v>200000</v>
      </c>
      <c r="AK18" s="2">
        <f t="shared" si="7"/>
        <v>2940000</v>
      </c>
      <c r="AL18" s="20" t="str">
        <f>VLOOKUP($D18,계좌!$C$20:$F$26,4,0)</f>
        <v>국민 357701-04-303493</v>
      </c>
      <c r="AM18" s="63">
        <f t="shared" si="19"/>
        <v>150000</v>
      </c>
      <c r="AN18" s="46">
        <f t="shared" si="26"/>
        <v>1</v>
      </c>
      <c r="AO18" s="10"/>
      <c r="AV18" s="22"/>
    </row>
    <row r="19" spans="2:48" x14ac:dyDescent="0.3">
      <c r="B19" s="7">
        <f t="shared" si="20"/>
        <v>10</v>
      </c>
      <c r="C19" s="65" t="s">
        <v>82</v>
      </c>
      <c r="D19" s="8" t="s">
        <v>129</v>
      </c>
      <c r="E19" s="8">
        <v>25</v>
      </c>
      <c r="F19" s="16">
        <f t="shared" si="21"/>
        <v>25</v>
      </c>
      <c r="G19" s="15">
        <f t="shared" si="8"/>
        <v>1</v>
      </c>
      <c r="H19" s="2">
        <f t="shared" si="0"/>
        <v>350000</v>
      </c>
      <c r="I19" s="2">
        <f>IF(AND(COUNTIFS(계좌!C:C, C19, 계좌!P:P, "체류비") &gt; 0),
    IF($G19&gt;=$AR$3,$AT$3,IF($G19&gt;=$AR$4,$AT$4,IF($G19&gt;=$AR$5,$AT$5,IF($G19&gt;=$AR$6,$AT$6,IF($G19&gt;=$AR$7,$AT$7,IF($G19&gt;=$AR$8,$AT$8,0))))))*10000,
    0)</f>
        <v>0</v>
      </c>
      <c r="J19" s="2">
        <f t="shared" si="9"/>
        <v>50000</v>
      </c>
      <c r="K19" s="2">
        <f t="shared" si="10"/>
        <v>37500</v>
      </c>
      <c r="L19" s="8">
        <v>25</v>
      </c>
      <c r="M19" s="16">
        <f t="shared" si="22"/>
        <v>25</v>
      </c>
      <c r="N19" s="15">
        <f t="shared" si="11"/>
        <v>1</v>
      </c>
      <c r="O19" s="2">
        <f t="shared" si="1"/>
        <v>350000</v>
      </c>
      <c r="P19" s="2">
        <f>IF(AND(COUNTIFS(계좌!C:C, C19, 계좌!P:P, "체류비") &gt; 0),
    IF($N19&gt;=$AR$3,$AT$3,IF($N19&gt;=$AR$4,$AT$4,IF($N19&gt;=$AR$5,$AT$5,IF($N19&gt;=$AR$6,$AT$6,IF($N19&gt;=$AR$7,$AT$7,IF($N19&gt;=$AR$8,$AT$8,0))))))*10000,
    0)</f>
        <v>0</v>
      </c>
      <c r="Q19" s="2">
        <f t="shared" si="2"/>
        <v>50000</v>
      </c>
      <c r="R19" s="2">
        <f t="shared" si="12"/>
        <v>37500</v>
      </c>
      <c r="S19" s="8">
        <v>25</v>
      </c>
      <c r="T19" s="16">
        <f t="shared" si="23"/>
        <v>25</v>
      </c>
      <c r="U19" s="15">
        <f t="shared" si="24"/>
        <v>1</v>
      </c>
      <c r="V19" s="2">
        <f t="shared" si="3"/>
        <v>350000</v>
      </c>
      <c r="W19" s="2">
        <f>IF(AND(COUNTIFS(계좌!C:C, C19, 계좌!P:P, "체류비") &gt; 0),
    IF($U19&gt;=$AR$3,$AT$3,IF($U19&gt;=$AR$4,$AT$4,IF($U19&gt;=$AR$5,$AT$5,IF($U19&gt;=$AR$6,$AT$6,IF($U19&gt;=$AR$7,$AT$7,IF($U19&gt;=$AR$8,$AT$8,0))))))*10000,
    0)</f>
        <v>0</v>
      </c>
      <c r="X19" s="2">
        <f t="shared" si="4"/>
        <v>50000</v>
      </c>
      <c r="Y19" s="2">
        <f t="shared" si="13"/>
        <v>37500</v>
      </c>
      <c r="Z19" s="8">
        <v>25</v>
      </c>
      <c r="AA19" s="16">
        <f t="shared" si="25"/>
        <v>25</v>
      </c>
      <c r="AB19" s="15">
        <f t="shared" si="14"/>
        <v>1</v>
      </c>
      <c r="AC19" s="2">
        <f t="shared" si="5"/>
        <v>350000</v>
      </c>
      <c r="AD19" s="2">
        <f>IF(AND(COUNTIFS(계좌!C:C, C19, 계좌!P:P, "체류비") &gt; 0),
    IF($AB19&gt;=$AR$3,$AT$3,IF($AB19&gt;=$AR$4,$AT$4,IF($AB19&gt;=$AR$5,$AT$5,IF($AB19&gt;=$AR$6,$AT$6,IF($AB19&gt;=$AR$7,$AT$7,IF($AB19&gt;=$AR$8,$AT$8,0))))))*10000,
    0)</f>
        <v>0</v>
      </c>
      <c r="AE19" s="2">
        <f t="shared" si="6"/>
        <v>50000</v>
      </c>
      <c r="AF19" s="2">
        <f t="shared" si="15"/>
        <v>37500</v>
      </c>
      <c r="AG19" s="2">
        <f t="shared" si="16"/>
        <v>1400000</v>
      </c>
      <c r="AH19" s="50">
        <f t="shared" si="17"/>
        <v>0</v>
      </c>
      <c r="AI19" s="20" t="str">
        <f>VLOOKUP($C19,계좌!$C$5:$F$19,4,0)</f>
        <v>국민 017002-04-485195</v>
      </c>
      <c r="AJ19" s="2">
        <f t="shared" si="18"/>
        <v>200000</v>
      </c>
      <c r="AK19" s="2">
        <f t="shared" si="7"/>
        <v>2940000</v>
      </c>
      <c r="AL19" s="20" t="str">
        <f>VLOOKUP($D19,계좌!$C$20:$F$26,4,0)</f>
        <v>국민 357701-04-303493</v>
      </c>
      <c r="AM19" s="63">
        <f t="shared" si="19"/>
        <v>150000</v>
      </c>
      <c r="AN19" s="46">
        <f t="shared" si="26"/>
        <v>1</v>
      </c>
      <c r="AO19" s="10"/>
    </row>
    <row r="20" spans="2:48" x14ac:dyDescent="0.3">
      <c r="B20" s="7">
        <f t="shared" si="20"/>
        <v>11</v>
      </c>
      <c r="C20" s="65" t="s">
        <v>83</v>
      </c>
      <c r="D20" s="8" t="s">
        <v>129</v>
      </c>
      <c r="E20" s="8">
        <v>25</v>
      </c>
      <c r="F20" s="16">
        <f t="shared" si="21"/>
        <v>25</v>
      </c>
      <c r="G20" s="15">
        <f t="shared" si="8"/>
        <v>1</v>
      </c>
      <c r="H20" s="2">
        <f t="shared" si="0"/>
        <v>350000</v>
      </c>
      <c r="I20" s="2">
        <f>IF(AND(COUNTIFS(계좌!C:C, C20, 계좌!P:P, "체류비") &gt; 0),
    IF($G20&gt;=$AR$3,$AT$3,IF($G20&gt;=$AR$4,$AT$4,IF($G20&gt;=$AR$5,$AT$5,IF($G20&gt;=$AR$6,$AT$6,IF($G20&gt;=$AR$7,$AT$7,IF($G20&gt;=$AR$8,$AT$8,0))))))*10000,
    0)</f>
        <v>0</v>
      </c>
      <c r="J20" s="2">
        <f t="shared" si="9"/>
        <v>50000</v>
      </c>
      <c r="K20" s="2">
        <f t="shared" si="10"/>
        <v>37500</v>
      </c>
      <c r="L20" s="8">
        <v>25</v>
      </c>
      <c r="M20" s="16">
        <f t="shared" si="22"/>
        <v>25</v>
      </c>
      <c r="N20" s="15">
        <f t="shared" si="11"/>
        <v>1</v>
      </c>
      <c r="O20" s="2">
        <f t="shared" si="1"/>
        <v>350000</v>
      </c>
      <c r="P20" s="2">
        <f>IF(AND(COUNTIFS(계좌!C:C, C20, 계좌!P:P, "체류비") &gt; 0),
    IF($N20&gt;=$AR$3,$AT$3,IF($N20&gt;=$AR$4,$AT$4,IF($N20&gt;=$AR$5,$AT$5,IF($N20&gt;=$AR$6,$AT$6,IF($N20&gt;=$AR$7,$AT$7,IF($N20&gt;=$AR$8,$AT$8,0))))))*10000,
    0)</f>
        <v>0</v>
      </c>
      <c r="Q20" s="2">
        <f t="shared" si="2"/>
        <v>50000</v>
      </c>
      <c r="R20" s="2">
        <f t="shared" si="12"/>
        <v>37500</v>
      </c>
      <c r="S20" s="8">
        <v>25</v>
      </c>
      <c r="T20" s="16">
        <f t="shared" si="23"/>
        <v>25</v>
      </c>
      <c r="U20" s="15">
        <f t="shared" si="24"/>
        <v>1</v>
      </c>
      <c r="V20" s="2">
        <f t="shared" si="3"/>
        <v>350000</v>
      </c>
      <c r="W20" s="2">
        <f>IF(AND(COUNTIFS(계좌!C:C, C20, 계좌!P:P, "체류비") &gt; 0),
    IF($U20&gt;=$AR$3,$AT$3,IF($U20&gt;=$AR$4,$AT$4,IF($U20&gt;=$AR$5,$AT$5,IF($U20&gt;=$AR$6,$AT$6,IF($U20&gt;=$AR$7,$AT$7,IF($U20&gt;=$AR$8,$AT$8,0))))))*10000,
    0)</f>
        <v>0</v>
      </c>
      <c r="X20" s="2">
        <f t="shared" si="4"/>
        <v>50000</v>
      </c>
      <c r="Y20" s="2">
        <f t="shared" si="13"/>
        <v>37500</v>
      </c>
      <c r="Z20" s="8">
        <v>25</v>
      </c>
      <c r="AA20" s="16">
        <f t="shared" si="25"/>
        <v>25</v>
      </c>
      <c r="AB20" s="15">
        <f t="shared" si="14"/>
        <v>1</v>
      </c>
      <c r="AC20" s="2">
        <f t="shared" si="5"/>
        <v>350000</v>
      </c>
      <c r="AD20" s="2">
        <f>IF(AND(COUNTIFS(계좌!C:C, C20, 계좌!P:P, "체류비") &gt; 0),
    IF($AB20&gt;=$AR$3,$AT$3,IF($AB20&gt;=$AR$4,$AT$4,IF($AB20&gt;=$AR$5,$AT$5,IF($AB20&gt;=$AR$6,$AT$6,IF($AB20&gt;=$AR$7,$AT$7,IF($AB20&gt;=$AR$8,$AT$8,0))))))*10000,
    0)</f>
        <v>0</v>
      </c>
      <c r="AE20" s="2">
        <f t="shared" si="6"/>
        <v>50000</v>
      </c>
      <c r="AF20" s="2">
        <f t="shared" si="15"/>
        <v>37500</v>
      </c>
      <c r="AG20" s="2">
        <f t="shared" si="16"/>
        <v>1400000</v>
      </c>
      <c r="AH20" s="50">
        <f t="shared" si="17"/>
        <v>0</v>
      </c>
      <c r="AI20" s="20" t="str">
        <f>VLOOKUP($C20,계좌!$C$5:$F$19,4,0)</f>
        <v>하나 512-910486-57407</v>
      </c>
      <c r="AJ20" s="2">
        <f t="shared" si="18"/>
        <v>200000</v>
      </c>
      <c r="AK20" s="2">
        <f t="shared" si="7"/>
        <v>2940000</v>
      </c>
      <c r="AL20" s="20" t="str">
        <f>VLOOKUP($D20,계좌!$C$20:$F$26,4,0)</f>
        <v>국민 357701-04-303493</v>
      </c>
      <c r="AM20" s="63">
        <f>SUM(K20,R20,Y20,AF20)</f>
        <v>150000</v>
      </c>
      <c r="AN20" s="46">
        <f t="shared" si="26"/>
        <v>1</v>
      </c>
      <c r="AO20" s="10"/>
      <c r="AR20" s="24"/>
    </row>
    <row r="21" spans="2:48" x14ac:dyDescent="0.3">
      <c r="B21" s="7">
        <f t="shared" si="20"/>
        <v>12</v>
      </c>
      <c r="C21" s="65" t="s">
        <v>84</v>
      </c>
      <c r="D21" s="8" t="s">
        <v>129</v>
      </c>
      <c r="E21" s="8">
        <v>25</v>
      </c>
      <c r="F21" s="16">
        <f t="shared" si="21"/>
        <v>25</v>
      </c>
      <c r="G21" s="15">
        <f t="shared" si="8"/>
        <v>1</v>
      </c>
      <c r="H21" s="2">
        <f t="shared" si="0"/>
        <v>350000</v>
      </c>
      <c r="I21" s="2">
        <f>IF(AND(COUNTIFS(계좌!C:C, C21, 계좌!P:P, "체류비") &gt; 0),
    IF($G21&gt;=$AR$3,$AT$3,IF($G21&gt;=$AR$4,$AT$4,IF($G21&gt;=$AR$5,$AT$5,IF($G21&gt;=$AR$6,$AT$6,IF($G21&gt;=$AR$7,$AT$7,IF($G21&gt;=$AR$8,$AT$8,0))))))*10000,
    0)</f>
        <v>0</v>
      </c>
      <c r="J21" s="2">
        <f t="shared" si="9"/>
        <v>50000</v>
      </c>
      <c r="K21" s="2">
        <f t="shared" si="10"/>
        <v>37500</v>
      </c>
      <c r="L21" s="8">
        <v>25</v>
      </c>
      <c r="M21" s="16">
        <f t="shared" si="22"/>
        <v>25</v>
      </c>
      <c r="N21" s="15">
        <f t="shared" si="11"/>
        <v>1</v>
      </c>
      <c r="O21" s="2">
        <f t="shared" si="1"/>
        <v>350000</v>
      </c>
      <c r="P21" s="2">
        <f>IF(AND(COUNTIFS(계좌!C:C, C21, 계좌!P:P, "체류비") &gt; 0),
    IF($N21&gt;=$AR$3,$AT$3,IF($N21&gt;=$AR$4,$AT$4,IF($N21&gt;=$AR$5,$AT$5,IF($N21&gt;=$AR$6,$AT$6,IF($N21&gt;=$AR$7,$AT$7,IF($N21&gt;=$AR$8,$AT$8,0))))))*10000,
    0)</f>
        <v>0</v>
      </c>
      <c r="Q21" s="2">
        <f t="shared" si="2"/>
        <v>50000</v>
      </c>
      <c r="R21" s="2">
        <f t="shared" si="12"/>
        <v>37500</v>
      </c>
      <c r="S21" s="8">
        <v>25</v>
      </c>
      <c r="T21" s="16">
        <f t="shared" si="23"/>
        <v>25</v>
      </c>
      <c r="U21" s="15">
        <f t="shared" si="24"/>
        <v>1</v>
      </c>
      <c r="V21" s="2">
        <f t="shared" si="3"/>
        <v>350000</v>
      </c>
      <c r="W21" s="2">
        <f>IF(AND(COUNTIFS(계좌!C:C, C21, 계좌!P:P, "체류비") &gt; 0),
    IF($U21&gt;=$AR$3,$AT$3,IF($U21&gt;=$AR$4,$AT$4,IF($U21&gt;=$AR$5,$AT$5,IF($U21&gt;=$AR$6,$AT$6,IF($U21&gt;=$AR$7,$AT$7,IF($U21&gt;=$AR$8,$AT$8,0))))))*10000,
    0)</f>
        <v>0</v>
      </c>
      <c r="X21" s="2">
        <f t="shared" si="4"/>
        <v>50000</v>
      </c>
      <c r="Y21" s="2">
        <f t="shared" si="13"/>
        <v>37500</v>
      </c>
      <c r="Z21" s="8">
        <v>10</v>
      </c>
      <c r="AA21" s="16">
        <f t="shared" si="25"/>
        <v>25</v>
      </c>
      <c r="AB21" s="15">
        <f t="shared" si="14"/>
        <v>0.4</v>
      </c>
      <c r="AC21" s="2">
        <f t="shared" si="5"/>
        <v>180000</v>
      </c>
      <c r="AD21" s="2">
        <f>IF(AND(COUNTIFS(계좌!C:C, C21, 계좌!P:P, "체류비") &gt; 0),
    IF($AB21&gt;=$AR$3,$AT$3,IF($AB21&gt;=$AR$4,$AT$4,IF($AB21&gt;=$AR$5,$AT$5,IF($AB21&gt;=$AR$6,$AT$6,IF($AB21&gt;=$AR$7,$AT$7,IF($AB21&gt;=$AR$8,$AT$8,0))))))*10000,
    0)</f>
        <v>0</v>
      </c>
      <c r="AE21" s="2">
        <f t="shared" si="6"/>
        <v>30000</v>
      </c>
      <c r="AF21" s="2">
        <f t="shared" si="15"/>
        <v>19200</v>
      </c>
      <c r="AG21" s="2">
        <f t="shared" si="16"/>
        <v>1230000</v>
      </c>
      <c r="AH21" s="50">
        <f t="shared" si="17"/>
        <v>0</v>
      </c>
      <c r="AI21" s="20" t="str">
        <f>VLOOKUP($C21,계좌!$C$5:$F$19,4,0)</f>
        <v>우리은행 1002-852-046074</v>
      </c>
      <c r="AJ21" s="2">
        <f t="shared" si="18"/>
        <v>180000</v>
      </c>
      <c r="AK21" s="2">
        <f t="shared" si="7"/>
        <v>2940000</v>
      </c>
      <c r="AL21" s="20" t="str">
        <f>VLOOKUP($D21,계좌!$C$20:$F$26,4,0)</f>
        <v>국민 357701-04-303493</v>
      </c>
      <c r="AM21" s="63">
        <f t="shared" si="19"/>
        <v>131700</v>
      </c>
      <c r="AN21" s="46">
        <f t="shared" si="26"/>
        <v>0.85</v>
      </c>
      <c r="AO21" s="10"/>
    </row>
    <row r="22" spans="2:48" x14ac:dyDescent="0.3">
      <c r="B22" s="7">
        <f t="shared" si="20"/>
        <v>13</v>
      </c>
      <c r="C22" s="65" t="s">
        <v>85</v>
      </c>
      <c r="D22" s="8" t="s">
        <v>129</v>
      </c>
      <c r="E22" s="8">
        <v>25</v>
      </c>
      <c r="F22" s="16">
        <f t="shared" si="21"/>
        <v>25</v>
      </c>
      <c r="G22" s="15">
        <f t="shared" si="8"/>
        <v>1</v>
      </c>
      <c r="H22" s="2">
        <f t="shared" si="0"/>
        <v>350000</v>
      </c>
      <c r="I22" s="2">
        <f>IF(AND(COUNTIFS(계좌!C:C, C22, 계좌!P:P, "체류비") &gt; 0),
    IF($G22&gt;=$AR$3,$AT$3,IF($G22&gt;=$AR$4,$AT$4,IF($G22&gt;=$AR$5,$AT$5,IF($G22&gt;=$AR$6,$AT$6,IF($G22&gt;=$AR$7,$AT$7,IF($G22&gt;=$AR$8,$AT$8,0))))))*10000,
    0)</f>
        <v>0</v>
      </c>
      <c r="J22" s="2">
        <f t="shared" si="9"/>
        <v>50000</v>
      </c>
      <c r="K22" s="2">
        <f t="shared" si="10"/>
        <v>37500</v>
      </c>
      <c r="L22" s="8">
        <v>25</v>
      </c>
      <c r="M22" s="16">
        <f t="shared" si="22"/>
        <v>25</v>
      </c>
      <c r="N22" s="15">
        <f t="shared" si="11"/>
        <v>1</v>
      </c>
      <c r="O22" s="2">
        <f t="shared" si="1"/>
        <v>350000</v>
      </c>
      <c r="P22" s="2">
        <f>IF(AND(COUNTIFS(계좌!C:C, C22, 계좌!P:P, "체류비") &gt; 0),
    IF($N22&gt;=$AR$3,$AT$3,IF($N22&gt;=$AR$4,$AT$4,IF($N22&gt;=$AR$5,$AT$5,IF($N22&gt;=$AR$6,$AT$6,IF($N22&gt;=$AR$7,$AT$7,IF($N22&gt;=$AR$8,$AT$8,0))))))*10000,
    0)</f>
        <v>0</v>
      </c>
      <c r="Q22" s="2">
        <f t="shared" si="2"/>
        <v>50000</v>
      </c>
      <c r="R22" s="2">
        <f t="shared" si="12"/>
        <v>37500</v>
      </c>
      <c r="S22" s="8">
        <v>25</v>
      </c>
      <c r="T22" s="16">
        <f t="shared" si="23"/>
        <v>25</v>
      </c>
      <c r="U22" s="15">
        <f t="shared" si="24"/>
        <v>1</v>
      </c>
      <c r="V22" s="2">
        <f t="shared" si="3"/>
        <v>350000</v>
      </c>
      <c r="W22" s="2">
        <f>IF(AND(COUNTIFS(계좌!C:C, C22, 계좌!P:P, "체류비") &gt; 0),
    IF($U22&gt;=$AR$3,$AT$3,IF($U22&gt;=$AR$4,$AT$4,IF($U22&gt;=$AR$5,$AT$5,IF($U22&gt;=$AR$6,$AT$6,IF($U22&gt;=$AR$7,$AT$7,IF($U22&gt;=$AR$8,$AT$8,0))))))*10000,
    0)</f>
        <v>0</v>
      </c>
      <c r="X22" s="2">
        <f t="shared" si="4"/>
        <v>50000</v>
      </c>
      <c r="Y22" s="2">
        <f t="shared" si="13"/>
        <v>37500</v>
      </c>
      <c r="Z22" s="8">
        <v>10</v>
      </c>
      <c r="AA22" s="16">
        <f t="shared" si="25"/>
        <v>25</v>
      </c>
      <c r="AB22" s="15">
        <f t="shared" si="14"/>
        <v>0.4</v>
      </c>
      <c r="AC22" s="2">
        <f t="shared" si="5"/>
        <v>180000</v>
      </c>
      <c r="AD22" s="2">
        <f>IF(AND(COUNTIFS(계좌!C:C, C22, 계좌!P:P, "체류비") &gt; 0),
    IF($AB22&gt;=$AR$3,$AT$3,IF($AB22&gt;=$AR$4,$AT$4,IF($AB22&gt;=$AR$5,$AT$5,IF($AB22&gt;=$AR$6,$AT$6,IF($AB22&gt;=$AR$7,$AT$7,IF($AB22&gt;=$AR$8,$AT$8,0))))))*10000,
    0)</f>
        <v>0</v>
      </c>
      <c r="AE22" s="2">
        <f t="shared" si="6"/>
        <v>30000</v>
      </c>
      <c r="AF22" s="2">
        <f t="shared" si="15"/>
        <v>19200</v>
      </c>
      <c r="AG22" s="2">
        <f t="shared" si="16"/>
        <v>1230000</v>
      </c>
      <c r="AH22" s="50">
        <f t="shared" si="17"/>
        <v>0</v>
      </c>
      <c r="AI22" s="20" t="str">
        <f>VLOOKUP($C22,계좌!$C$5:$F$19,4,0)</f>
        <v>농협 352-0457-4400-73</v>
      </c>
      <c r="AJ22" s="2">
        <f t="shared" si="18"/>
        <v>180000</v>
      </c>
      <c r="AK22" s="2">
        <f t="shared" si="7"/>
        <v>2940000</v>
      </c>
      <c r="AL22" s="20" t="str">
        <f>VLOOKUP($D22,계좌!$C$20:$F$26,4,0)</f>
        <v>국민 357701-04-303493</v>
      </c>
      <c r="AM22" s="63">
        <f t="shared" si="19"/>
        <v>131700</v>
      </c>
      <c r="AN22" s="46">
        <f t="shared" si="26"/>
        <v>0.85</v>
      </c>
      <c r="AO22" s="10"/>
    </row>
    <row r="23" spans="2:48" x14ac:dyDescent="0.3">
      <c r="B23" s="7">
        <f t="shared" si="20"/>
        <v>14</v>
      </c>
      <c r="C23" s="66" t="s">
        <v>86</v>
      </c>
      <c r="D23" s="8" t="s">
        <v>129</v>
      </c>
      <c r="E23" s="8">
        <v>25</v>
      </c>
      <c r="F23" s="16">
        <f t="shared" si="21"/>
        <v>25</v>
      </c>
      <c r="G23" s="15">
        <f t="shared" si="8"/>
        <v>1</v>
      </c>
      <c r="H23" s="2">
        <f t="shared" si="0"/>
        <v>350000</v>
      </c>
      <c r="I23" s="2">
        <f>IF(AND(COUNTIFS(계좌!C:C, C23, 계좌!P:P, "체류비") &gt; 0),
    IF($G23&gt;=$AR$3,$AT$3,IF($G23&gt;=$AR$4,$AT$4,IF($G23&gt;=$AR$5,$AT$5,IF($G23&gt;=$AR$6,$AT$6,IF($G23&gt;=$AR$7,$AT$7,IF($G23&gt;=$AR$8,$AT$8,0))))))*10000,
    0)</f>
        <v>0</v>
      </c>
      <c r="J23" s="2">
        <f t="shared" si="9"/>
        <v>50000</v>
      </c>
      <c r="K23" s="2">
        <f t="shared" si="10"/>
        <v>37500</v>
      </c>
      <c r="L23" s="8">
        <v>25</v>
      </c>
      <c r="M23" s="16">
        <f t="shared" si="22"/>
        <v>25</v>
      </c>
      <c r="N23" s="15">
        <f t="shared" si="11"/>
        <v>1</v>
      </c>
      <c r="O23" s="2">
        <f t="shared" si="1"/>
        <v>350000</v>
      </c>
      <c r="P23" s="2">
        <f>IF(AND(COUNTIFS(계좌!C:C, C23, 계좌!P:P, "체류비") &gt; 0),
    IF($N23&gt;=$AR$3,$AT$3,IF($N23&gt;=$AR$4,$AT$4,IF($N23&gt;=$AR$5,$AT$5,IF($N23&gt;=$AR$6,$AT$6,IF($N23&gt;=$AR$7,$AT$7,IF($N23&gt;=$AR$8,$AT$8,0))))))*10000,
    0)</f>
        <v>0</v>
      </c>
      <c r="Q23" s="2">
        <f t="shared" si="2"/>
        <v>50000</v>
      </c>
      <c r="R23" s="2">
        <f t="shared" si="12"/>
        <v>37500</v>
      </c>
      <c r="S23" s="8">
        <v>25</v>
      </c>
      <c r="T23" s="16">
        <f t="shared" si="23"/>
        <v>25</v>
      </c>
      <c r="U23" s="15">
        <f t="shared" si="24"/>
        <v>1</v>
      </c>
      <c r="V23" s="2">
        <f t="shared" si="3"/>
        <v>350000</v>
      </c>
      <c r="W23" s="2">
        <f>IF(AND(COUNTIFS(계좌!C:C, C23, 계좌!P:P, "체류비") &gt; 0),
    IF($U23&gt;=$AR$3,$AT$3,IF($U23&gt;=$AR$4,$AT$4,IF($U23&gt;=$AR$5,$AT$5,IF($U23&gt;=$AR$6,$AT$6,IF($U23&gt;=$AR$7,$AT$7,IF($U23&gt;=$AR$8,$AT$8,0))))))*10000,
    0)</f>
        <v>0</v>
      </c>
      <c r="X23" s="2">
        <f t="shared" si="4"/>
        <v>50000</v>
      </c>
      <c r="Y23" s="2">
        <f t="shared" si="13"/>
        <v>37500</v>
      </c>
      <c r="Z23" s="8">
        <v>25</v>
      </c>
      <c r="AA23" s="16">
        <f t="shared" si="25"/>
        <v>25</v>
      </c>
      <c r="AB23" s="15">
        <f t="shared" si="14"/>
        <v>1</v>
      </c>
      <c r="AC23" s="2">
        <f t="shared" si="5"/>
        <v>350000</v>
      </c>
      <c r="AD23" s="2">
        <f>IF(AND(COUNTIFS(계좌!C:C, C23, 계좌!P:P, "체류비") &gt; 0),
    IF($AB23&gt;=$AR$3,$AT$3,IF($AB23&gt;=$AR$4,$AT$4,IF($AB23&gt;=$AR$5,$AT$5,IF($AB23&gt;=$AR$6,$AT$6,IF($AB23&gt;=$AR$7,$AT$7,IF($AB23&gt;=$AR$8,$AT$8,0))))))*10000,
    0)</f>
        <v>0</v>
      </c>
      <c r="AE23" s="2">
        <f t="shared" si="6"/>
        <v>50000</v>
      </c>
      <c r="AF23" s="2">
        <f t="shared" si="15"/>
        <v>37500</v>
      </c>
      <c r="AG23" s="2">
        <f t="shared" si="16"/>
        <v>1400000</v>
      </c>
      <c r="AH23" s="50">
        <f t="shared" si="17"/>
        <v>0</v>
      </c>
      <c r="AI23" s="20" t="str">
        <f>VLOOKUP($C23,계좌!$C$5:$F$19,4,0)</f>
        <v>IBK기업 81-133676 -04-010</v>
      </c>
      <c r="AJ23" s="2">
        <f t="shared" si="18"/>
        <v>200000</v>
      </c>
      <c r="AK23" s="2">
        <f t="shared" si="7"/>
        <v>2940000</v>
      </c>
      <c r="AL23" s="20" t="str">
        <f>VLOOKUP($D23,계좌!$C$20:$F$26,4,0)</f>
        <v>국민 357701-04-303493</v>
      </c>
      <c r="AM23" s="63">
        <f t="shared" si="19"/>
        <v>150000</v>
      </c>
      <c r="AN23" s="46">
        <f t="shared" si="26"/>
        <v>1</v>
      </c>
      <c r="AO23" s="10"/>
    </row>
    <row r="24" spans="2:48" x14ac:dyDescent="0.3">
      <c r="B24" s="7">
        <f t="shared" si="20"/>
        <v>15</v>
      </c>
      <c r="C24" s="66" t="s">
        <v>87</v>
      </c>
      <c r="D24" s="8" t="s">
        <v>129</v>
      </c>
      <c r="E24" s="8">
        <v>25</v>
      </c>
      <c r="F24" s="16">
        <f t="shared" si="21"/>
        <v>25</v>
      </c>
      <c r="G24" s="15">
        <f t="shared" si="8"/>
        <v>1</v>
      </c>
      <c r="H24" s="2">
        <f t="shared" si="0"/>
        <v>350000</v>
      </c>
      <c r="I24" s="2">
        <f>IF(AND(COUNTIFS(계좌!C:C, C24, 계좌!P:P, "체류비") &gt; 0),
    IF($G24&gt;=$AR$3,$AT$3,IF($G24&gt;=$AR$4,$AT$4,IF($G24&gt;=$AR$5,$AT$5,IF($G24&gt;=$AR$6,$AT$6,IF($G24&gt;=$AR$7,$AT$7,IF($G24&gt;=$AR$8,$AT$8,0))))))*10000,
    0)</f>
        <v>0</v>
      </c>
      <c r="J24" s="2">
        <f t="shared" si="9"/>
        <v>50000</v>
      </c>
      <c r="K24" s="2">
        <f t="shared" si="10"/>
        <v>37500</v>
      </c>
      <c r="L24" s="8">
        <v>25</v>
      </c>
      <c r="M24" s="16">
        <f t="shared" si="22"/>
        <v>25</v>
      </c>
      <c r="N24" s="15">
        <f t="shared" si="11"/>
        <v>1</v>
      </c>
      <c r="O24" s="2">
        <f t="shared" si="1"/>
        <v>350000</v>
      </c>
      <c r="P24" s="2">
        <f>IF(AND(COUNTIFS(계좌!C:C, C24, 계좌!P:P, "체류비") &gt; 0),
    IF($N24&gt;=$AR$3,$AT$3,IF($N24&gt;=$AR$4,$AT$4,IF($N24&gt;=$AR$5,$AT$5,IF($N24&gt;=$AR$6,$AT$6,IF($N24&gt;=$AR$7,$AT$7,IF($N24&gt;=$AR$8,$AT$8,0))))))*10000,
    0)</f>
        <v>0</v>
      </c>
      <c r="Q24" s="2">
        <f t="shared" si="2"/>
        <v>50000</v>
      </c>
      <c r="R24" s="2">
        <f t="shared" si="12"/>
        <v>37500</v>
      </c>
      <c r="S24" s="8">
        <v>25</v>
      </c>
      <c r="T24" s="16">
        <f t="shared" si="23"/>
        <v>25</v>
      </c>
      <c r="U24" s="15">
        <f t="shared" si="24"/>
        <v>1</v>
      </c>
      <c r="V24" s="2">
        <f t="shared" si="3"/>
        <v>350000</v>
      </c>
      <c r="W24" s="2">
        <f>IF(AND(COUNTIFS(계좌!C:C, C24, 계좌!P:P, "체류비") &gt; 0),
    IF($U24&gt;=$AR$3,$AT$3,IF($U24&gt;=$AR$4,$AT$4,IF($U24&gt;=$AR$5,$AT$5,IF($U24&gt;=$AR$6,$AT$6,IF($U24&gt;=$AR$7,$AT$7,IF($U24&gt;=$AR$8,$AT$8,0))))))*10000,
    0)</f>
        <v>0</v>
      </c>
      <c r="X24" s="2">
        <f t="shared" si="4"/>
        <v>50000</v>
      </c>
      <c r="Y24" s="2">
        <f t="shared" si="13"/>
        <v>37500</v>
      </c>
      <c r="Z24" s="8">
        <v>25</v>
      </c>
      <c r="AA24" s="16">
        <f t="shared" si="25"/>
        <v>25</v>
      </c>
      <c r="AB24" s="15">
        <f t="shared" si="14"/>
        <v>1</v>
      </c>
      <c r="AC24" s="2">
        <f t="shared" si="5"/>
        <v>350000</v>
      </c>
      <c r="AD24" s="2">
        <f>IF(AND(COUNTIFS(계좌!C:C, C24, 계좌!P:P, "체류비") &gt; 0),
    IF($AB24&gt;=$AR$3,$AT$3,IF($AB24&gt;=$AR$4,$AT$4,IF($AB24&gt;=$AR$5,$AT$5,IF($AB24&gt;=$AR$6,$AT$6,IF($AB24&gt;=$AR$7,$AT$7,IF($AB24&gt;=$AR$8,$AT$8,0))))))*10000,
    0)</f>
        <v>0</v>
      </c>
      <c r="AE24" s="2">
        <f t="shared" si="6"/>
        <v>50000</v>
      </c>
      <c r="AF24" s="2">
        <f t="shared" si="15"/>
        <v>37500</v>
      </c>
      <c r="AG24" s="2">
        <f t="shared" si="16"/>
        <v>1400000</v>
      </c>
      <c r="AH24" s="50">
        <f t="shared" si="17"/>
        <v>0</v>
      </c>
      <c r="AI24" s="20" t="str">
        <f>VLOOKUP($C24,계좌!$C$5:$F$19,4,0)</f>
        <v>BNK부산 112-2148-7588-03</v>
      </c>
      <c r="AJ24" s="2">
        <f t="shared" si="18"/>
        <v>200000</v>
      </c>
      <c r="AK24" s="2">
        <f t="shared" si="7"/>
        <v>2940000</v>
      </c>
      <c r="AL24" s="20" t="str">
        <f>VLOOKUP($D24,계좌!$C$20:$F$26,4,0)</f>
        <v>국민 357701-04-303493</v>
      </c>
      <c r="AM24" s="63">
        <f t="shared" si="19"/>
        <v>150000</v>
      </c>
      <c r="AN24" s="46">
        <f t="shared" si="26"/>
        <v>1</v>
      </c>
      <c r="AO24" s="10"/>
    </row>
    <row r="25" spans="2:48" x14ac:dyDescent="0.3">
      <c r="B25" s="7">
        <f t="shared" si="20"/>
        <v>16</v>
      </c>
      <c r="C25" s="66" t="s">
        <v>88</v>
      </c>
      <c r="D25" s="8" t="s">
        <v>129</v>
      </c>
      <c r="E25" s="8">
        <v>25</v>
      </c>
      <c r="F25" s="16">
        <f t="shared" si="21"/>
        <v>25</v>
      </c>
      <c r="G25" s="15">
        <f t="shared" si="8"/>
        <v>1</v>
      </c>
      <c r="H25" s="2">
        <f t="shared" si="0"/>
        <v>350000</v>
      </c>
      <c r="I25" s="2">
        <f>IF(AND(COUNTIFS(계좌!C:C, C25, 계좌!P:P, "체류비") &gt; 0),
    IF($G25&gt;=$AR$3,$AT$3,IF($G25&gt;=$AR$4,$AT$4,IF($G25&gt;=$AR$5,$AT$5,IF($G25&gt;=$AR$6,$AT$6,IF($G25&gt;=$AR$7,$AT$7,IF($G25&gt;=$AR$8,$AT$8,0))))))*10000,
    0)</f>
        <v>0</v>
      </c>
      <c r="J25" s="2">
        <f t="shared" si="9"/>
        <v>50000</v>
      </c>
      <c r="K25" s="2">
        <f t="shared" si="10"/>
        <v>37500</v>
      </c>
      <c r="L25" s="8">
        <v>25</v>
      </c>
      <c r="M25" s="16">
        <f>$F$10</f>
        <v>25</v>
      </c>
      <c r="N25" s="15">
        <f t="shared" si="11"/>
        <v>1</v>
      </c>
      <c r="O25" s="2">
        <f t="shared" si="1"/>
        <v>350000</v>
      </c>
      <c r="P25" s="2">
        <f>IF(AND(COUNTIFS(계좌!C:C, C25, 계좌!P:P, "체류비") &gt; 0),
    IF($N25&gt;=$AR$3,$AT$3,IF($N25&gt;=$AR$4,$AT$4,IF($N25&gt;=$AR$5,$AT$5,IF($N25&gt;=$AR$6,$AT$6,IF($N25&gt;=$AR$7,$AT$7,IF($N25&gt;=$AR$8,$AT$8,0))))))*10000,
    0)</f>
        <v>0</v>
      </c>
      <c r="Q25" s="2">
        <f t="shared" si="2"/>
        <v>50000</v>
      </c>
      <c r="R25" s="2">
        <f t="shared" si="12"/>
        <v>37500</v>
      </c>
      <c r="S25" s="8">
        <v>25</v>
      </c>
      <c r="T25" s="16">
        <f t="shared" si="23"/>
        <v>25</v>
      </c>
      <c r="U25" s="15">
        <f t="shared" si="24"/>
        <v>1</v>
      </c>
      <c r="V25" s="2">
        <f t="shared" si="3"/>
        <v>350000</v>
      </c>
      <c r="W25" s="2">
        <f>IF(AND(COUNTIFS(계좌!C:C, C25, 계좌!P:P, "체류비") &gt; 0),
    IF($U25&gt;=$AR$3,$AT$3,IF($U25&gt;=$AR$4,$AT$4,IF($U25&gt;=$AR$5,$AT$5,IF($U25&gt;=$AR$6,$AT$6,IF($U25&gt;=$AR$7,$AT$7,IF($U25&gt;=$AR$8,$AT$8,0))))))*10000,
    0)</f>
        <v>0</v>
      </c>
      <c r="X25" s="2">
        <f t="shared" si="4"/>
        <v>50000</v>
      </c>
      <c r="Y25" s="2">
        <f t="shared" si="13"/>
        <v>37500</v>
      </c>
      <c r="Z25" s="8">
        <v>25</v>
      </c>
      <c r="AA25" s="16">
        <f t="shared" si="25"/>
        <v>25</v>
      </c>
      <c r="AB25" s="15">
        <f t="shared" si="14"/>
        <v>1</v>
      </c>
      <c r="AC25" s="2">
        <f t="shared" si="5"/>
        <v>350000</v>
      </c>
      <c r="AD25" s="2">
        <f>IF(AND(COUNTIFS(계좌!C:C, C25, 계좌!P:P, "체류비") &gt; 0),
    IF($AB25&gt;=$AR$3,$AT$3,IF($AB25&gt;=$AR$4,$AT$4,IF($AB25&gt;=$AR$5,$AT$5,IF($AB25&gt;=$AR$6,$AT$6,IF($AB25&gt;=$AR$7,$AT$7,IF($AB25&gt;=$AR$8,$AT$8,0))))))*10000,
    0)</f>
        <v>0</v>
      </c>
      <c r="AE25" s="2">
        <f t="shared" si="6"/>
        <v>50000</v>
      </c>
      <c r="AF25" s="2">
        <f t="shared" si="15"/>
        <v>37500</v>
      </c>
      <c r="AG25" s="2">
        <f>SUM(H25,O25,V25,AC25)</f>
        <v>1400000</v>
      </c>
      <c r="AH25" s="50">
        <f t="shared" si="17"/>
        <v>0</v>
      </c>
      <c r="AI25" s="20" t="str">
        <f>VLOOKUP($C25,계좌!$C$5:$F$20,4,0)</f>
        <v>BNK부산 112-2148-7608-04</v>
      </c>
      <c r="AJ25" s="2">
        <f>SUM(J25,Q25,X25,AE25)</f>
        <v>200000</v>
      </c>
      <c r="AK25" s="2">
        <f t="shared" si="7"/>
        <v>2940000</v>
      </c>
      <c r="AL25" s="20" t="str">
        <f>VLOOKUP($D25,계좌!$C$20:$F$26,4,0)</f>
        <v>국민 357701-04-303493</v>
      </c>
      <c r="AM25" s="63">
        <f>SUM(K25,R25,Y25,AF25)</f>
        <v>150000</v>
      </c>
      <c r="AN25" s="46">
        <f>SUM(E25,L25,S25,Z25)/SUM(F25,M25,T25,AA25)</f>
        <v>1</v>
      </c>
      <c r="AO25" s="10"/>
    </row>
    <row r="26" spans="2:48" x14ac:dyDescent="0.3">
      <c r="B26" s="18"/>
      <c r="C26" s="16"/>
      <c r="D26" s="45" t="s">
        <v>5</v>
      </c>
      <c r="E26" s="16"/>
      <c r="F26" s="16"/>
      <c r="G26" s="16"/>
      <c r="H26" s="12"/>
      <c r="I26" s="12"/>
      <c r="J26" s="12"/>
      <c r="K26" s="12"/>
      <c r="L26" s="16"/>
      <c r="M26" s="16"/>
      <c r="N26" s="16"/>
      <c r="O26" s="12"/>
      <c r="P26" s="12"/>
      <c r="Q26" s="12"/>
      <c r="R26" s="12"/>
      <c r="S26" s="16"/>
      <c r="T26" s="16"/>
      <c r="U26" s="16"/>
      <c r="V26" s="12"/>
      <c r="W26" s="12"/>
      <c r="X26" s="12"/>
      <c r="Y26" s="12"/>
      <c r="Z26" s="16"/>
      <c r="AA26" s="16"/>
      <c r="AB26" s="16"/>
      <c r="AC26" s="12"/>
      <c r="AD26" s="12"/>
      <c r="AE26" s="12"/>
      <c r="AF26" s="12"/>
      <c r="AG26" s="2"/>
      <c r="AH26" s="2"/>
      <c r="AI26" s="12"/>
      <c r="AJ26" s="2"/>
      <c r="AK26" s="12"/>
      <c r="AL26" s="12"/>
      <c r="AM26" s="16"/>
      <c r="AN26" s="12"/>
      <c r="AO26" s="12"/>
    </row>
    <row r="27" spans="2:48" x14ac:dyDescent="0.3">
      <c r="B27" s="7" t="s">
        <v>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2">
        <f>SUM(AG10:AG26)</f>
        <v>20450000</v>
      </c>
      <c r="AH27" s="2">
        <f>SUM(AH10:AH26)</f>
        <v>400000</v>
      </c>
      <c r="AI27" s="11"/>
      <c r="AJ27" s="2">
        <f>SUM(AJ10:AJ26)</f>
        <v>2940000</v>
      </c>
      <c r="AK27" s="13" t="s">
        <v>12</v>
      </c>
      <c r="AL27" s="13"/>
      <c r="AM27" s="13"/>
      <c r="AN27" s="13"/>
      <c r="AO27" s="13"/>
    </row>
  </sheetData>
  <autoFilter ref="B9:AO27" xr:uid="{00000000-0009-0000-0000-000001000000}"/>
  <phoneticPr fontId="1" type="noConversion"/>
  <pageMargins left="0.15748031496062992" right="0.15748031496062992" top="0.74803149606299213" bottom="0.31496062992125984" header="0.31496062992125984" footer="0.15748031496062992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계좌</vt:lpstr>
      <vt:lpstr>지원금(주기준산정-4주기준지급)</vt:lpstr>
      <vt:lpstr>'지원금(주기준산정-4주기준지급)'!Print_Area</vt:lpstr>
      <vt:lpstr>'지원금(주기준산정-4주기준지급)'!Print_Titles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lastPrinted>2023-10-10T01:23:05Z</cp:lastPrinted>
  <dcterms:created xsi:type="dcterms:W3CDTF">2023-02-27T04:57:10Z</dcterms:created>
  <dcterms:modified xsi:type="dcterms:W3CDTF">2024-09-04T08:52:39Z</dcterms:modified>
</cp:coreProperties>
</file>