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Z:\home\klowe\go\src\stash.teslamotors.com\kevin-personal\energy-project\python-notebooks\"/>
    </mc:Choice>
  </mc:AlternateContent>
  <xr:revisionPtr revIDLastSave="0" documentId="13_ncr:1_{6A29B4D4-61AA-4C46-AC92-111463EA15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ll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2M36g39RDS8Dj2K7ugxsqukarO0gx3oDdzRLXrV9NEI="/>
    </ext>
  </extLst>
</workbook>
</file>

<file path=xl/calcChain.xml><?xml version="1.0" encoding="utf-8"?>
<calcChain xmlns="http://schemas.openxmlformats.org/spreadsheetml/2006/main">
  <c r="AH11" i="1" l="1"/>
  <c r="AJ11" i="1" s="1"/>
  <c r="AH7" i="1"/>
  <c r="BE7" i="1"/>
  <c r="Q17" i="1"/>
  <c r="W17" i="1" s="1"/>
  <c r="M7" i="1"/>
  <c r="E7" i="1" s="1"/>
  <c r="AO7" i="1" s="1"/>
  <c r="AL7" i="1" s="1"/>
  <c r="BE34" i="1"/>
  <c r="AW34" i="1"/>
  <c r="AZ34" i="1" s="1"/>
  <c r="AT34" i="1"/>
  <c r="AQ34" i="1"/>
  <c r="AH34" i="1"/>
  <c r="AJ34" i="1" s="1"/>
  <c r="X34" i="1"/>
  <c r="W34" i="1"/>
  <c r="V34" i="1"/>
  <c r="U34" i="1"/>
  <c r="S34" i="1"/>
  <c r="L34" i="1"/>
  <c r="M34" i="1" s="1"/>
  <c r="E34" i="1" s="1"/>
  <c r="AO34" i="1" s="1"/>
  <c r="AL34" i="1" s="1"/>
  <c r="I34" i="1"/>
  <c r="AV33" i="1"/>
  <c r="AU33" i="1"/>
  <c r="AT33" i="1"/>
  <c r="S33" i="1"/>
  <c r="AV32" i="1"/>
  <c r="AU32" i="1"/>
  <c r="AT32" i="1"/>
  <c r="S32" i="1"/>
  <c r="AS31" i="1"/>
  <c r="AR31" i="1"/>
  <c r="AQ31" i="1"/>
  <c r="AH31" i="1"/>
  <c r="AJ31" i="1" s="1"/>
  <c r="R31" i="1"/>
  <c r="U31" i="1" s="1"/>
  <c r="Q31" i="1"/>
  <c r="W31" i="1" s="1"/>
  <c r="M31" i="1"/>
  <c r="K31" i="1"/>
  <c r="J31" i="1"/>
  <c r="H31" i="1"/>
  <c r="G31" i="1"/>
  <c r="BE30" i="1"/>
  <c r="AV30" i="1"/>
  <c r="AU30" i="1"/>
  <c r="AT30" i="1"/>
  <c r="AO30" i="1"/>
  <c r="AL30" i="1" s="1"/>
  <c r="AN30" i="1"/>
  <c r="AK30" i="1" s="1"/>
  <c r="AH30" i="1"/>
  <c r="AD30" i="1"/>
  <c r="X30" i="1"/>
  <c r="Z30" i="1" s="1"/>
  <c r="W30" i="1"/>
  <c r="V30" i="1"/>
  <c r="U30" i="1"/>
  <c r="S30" i="1"/>
  <c r="I30" i="1"/>
  <c r="BE27" i="1"/>
  <c r="AV27" i="1"/>
  <c r="AU27" i="1"/>
  <c r="AT27" i="1"/>
  <c r="AQ27" i="1"/>
  <c r="AH27" i="1"/>
  <c r="AJ27" i="1" s="1"/>
  <c r="AD27" i="1"/>
  <c r="R27" i="1"/>
  <c r="V27" i="1" s="1"/>
  <c r="Q27" i="1"/>
  <c r="W27" i="1" s="1"/>
  <c r="P27" i="1"/>
  <c r="M27" i="1"/>
  <c r="K27" i="1"/>
  <c r="J27" i="1"/>
  <c r="H27" i="1"/>
  <c r="G27" i="1"/>
  <c r="BE26" i="1"/>
  <c r="AV26" i="1"/>
  <c r="AU26" i="1"/>
  <c r="AT26" i="1"/>
  <c r="AQ26" i="1"/>
  <c r="AH26" i="1"/>
  <c r="AJ26" i="1" s="1"/>
  <c r="AD26" i="1"/>
  <c r="R26" i="1"/>
  <c r="V26" i="1" s="1"/>
  <c r="Q26" i="1"/>
  <c r="W26" i="1" s="1"/>
  <c r="P26" i="1"/>
  <c r="M26" i="1"/>
  <c r="E26" i="1" s="1"/>
  <c r="AO26" i="1" s="1"/>
  <c r="AL26" i="1" s="1"/>
  <c r="BE25" i="1"/>
  <c r="AX25" i="1"/>
  <c r="AV25" i="1"/>
  <c r="AU25" i="1"/>
  <c r="AT25" i="1"/>
  <c r="AQ25" i="1"/>
  <c r="AH25" i="1"/>
  <c r="AJ25" i="1" s="1"/>
  <c r="AD25" i="1"/>
  <c r="T25" i="1"/>
  <c r="R25" i="1"/>
  <c r="V25" i="1" s="1"/>
  <c r="Q25" i="1"/>
  <c r="P25" i="1"/>
  <c r="M25" i="1"/>
  <c r="D25" i="1" s="1"/>
  <c r="BE22" i="1"/>
  <c r="AX22" i="1"/>
  <c r="AS22" i="1"/>
  <c r="AR22" i="1"/>
  <c r="AQ22" i="1"/>
  <c r="AH22" i="1"/>
  <c r="AJ22" i="1" s="1"/>
  <c r="AD22" i="1"/>
  <c r="T22" i="1"/>
  <c r="O22" i="1"/>
  <c r="N22" i="1"/>
  <c r="M22" i="1"/>
  <c r="K22" i="1"/>
  <c r="J22" i="1"/>
  <c r="H22" i="1"/>
  <c r="G22" i="1"/>
  <c r="BE21" i="1"/>
  <c r="AV21" i="1"/>
  <c r="AU21" i="1"/>
  <c r="AT21" i="1"/>
  <c r="AO21" i="1"/>
  <c r="AL21" i="1" s="1"/>
  <c r="AN21" i="1"/>
  <c r="AK21" i="1" s="1"/>
  <c r="R21" i="1"/>
  <c r="Q21" i="1"/>
  <c r="P21" i="1"/>
  <c r="BE20" i="1"/>
  <c r="AV20" i="1"/>
  <c r="AU20" i="1"/>
  <c r="AT20" i="1"/>
  <c r="AO20" i="1"/>
  <c r="AL20" i="1" s="1"/>
  <c r="AN20" i="1"/>
  <c r="AK20" i="1" s="1"/>
  <c r="R20" i="1"/>
  <c r="Q20" i="1"/>
  <c r="P20" i="1"/>
  <c r="BE17" i="1"/>
  <c r="AX17" i="1"/>
  <c r="AV17" i="1"/>
  <c r="AU17" i="1"/>
  <c r="AW17" i="1" s="1"/>
  <c r="AT17" i="1"/>
  <c r="AQ17" i="1"/>
  <c r="AH17" i="1"/>
  <c r="AJ17" i="1" s="1"/>
  <c r="AD17" i="1"/>
  <c r="T17" i="1"/>
  <c r="R17" i="1"/>
  <c r="V17" i="1" s="1"/>
  <c r="P17" i="1"/>
  <c r="M17" i="1"/>
  <c r="K17" i="1"/>
  <c r="J17" i="1"/>
  <c r="H17" i="1"/>
  <c r="G17" i="1"/>
  <c r="AV16" i="1"/>
  <c r="AU16" i="1"/>
  <c r="AT16" i="1"/>
  <c r="AO16" i="1"/>
  <c r="AL16" i="1" s="1"/>
  <c r="AN16" i="1"/>
  <c r="AK16" i="1" s="1"/>
  <c r="R16" i="1"/>
  <c r="Q16" i="1"/>
  <c r="P16" i="1"/>
  <c r="AV15" i="1"/>
  <c r="AU15" i="1"/>
  <c r="AU14" i="1" s="1"/>
  <c r="AT15" i="1"/>
  <c r="AO15" i="1"/>
  <c r="AL15" i="1" s="1"/>
  <c r="AN15" i="1"/>
  <c r="AK15" i="1"/>
  <c r="R15" i="1"/>
  <c r="Q15" i="1"/>
  <c r="Q14" i="1" s="1"/>
  <c r="P15" i="1"/>
  <c r="BE14" i="1"/>
  <c r="AX14" i="1"/>
  <c r="AS14" i="1"/>
  <c r="AR14" i="1"/>
  <c r="AQ14" i="1"/>
  <c r="AH14" i="1"/>
  <c r="AJ14" i="1" s="1"/>
  <c r="AD14" i="1"/>
  <c r="T14" i="1"/>
  <c r="O14" i="1"/>
  <c r="N14" i="1"/>
  <c r="M14" i="1"/>
  <c r="E14" i="1" s="1"/>
  <c r="AO14" i="1" s="1"/>
  <c r="AO13" i="1"/>
  <c r="AL13" i="1" s="1"/>
  <c r="AN13" i="1"/>
  <c r="AK13" i="1" s="1"/>
  <c r="AO12" i="1"/>
  <c r="AN12" i="1"/>
  <c r="AK12" i="1" s="1"/>
  <c r="AL12" i="1"/>
  <c r="BE11" i="1"/>
  <c r="AV11" i="1"/>
  <c r="AU11" i="1"/>
  <c r="AT11" i="1"/>
  <c r="AX11" i="1" s="1"/>
  <c r="AQ11" i="1"/>
  <c r="AD11" i="1"/>
  <c r="T11" i="1"/>
  <c r="R11" i="1"/>
  <c r="V11" i="1" s="1"/>
  <c r="Q11" i="1"/>
  <c r="P11" i="1"/>
  <c r="M11" i="1"/>
  <c r="K11" i="1"/>
  <c r="J11" i="1"/>
  <c r="H11" i="1"/>
  <c r="G11" i="1"/>
  <c r="AV10" i="1"/>
  <c r="AU10" i="1"/>
  <c r="AT10" i="1"/>
  <c r="AO10" i="1"/>
  <c r="AL10" i="1" s="1"/>
  <c r="AN10" i="1"/>
  <c r="AK10" i="1"/>
  <c r="R10" i="1"/>
  <c r="Q10" i="1"/>
  <c r="P10" i="1"/>
  <c r="AV9" i="1"/>
  <c r="AU9" i="1"/>
  <c r="AT9" i="1"/>
  <c r="AO9" i="1"/>
  <c r="AL9" i="1" s="1"/>
  <c r="AN9" i="1"/>
  <c r="AK9" i="1" s="1"/>
  <c r="R9" i="1"/>
  <c r="Q9" i="1"/>
  <c r="P9" i="1"/>
  <c r="BE8" i="1"/>
  <c r="AX8" i="1"/>
  <c r="AS8" i="1"/>
  <c r="AR8" i="1"/>
  <c r="AQ8" i="1"/>
  <c r="AH8" i="1"/>
  <c r="AJ8" i="1" s="1"/>
  <c r="AD8" i="1"/>
  <c r="T8" i="1"/>
  <c r="O8" i="1"/>
  <c r="N8" i="1"/>
  <c r="M8" i="1"/>
  <c r="K8" i="1"/>
  <c r="J8" i="1"/>
  <c r="H8" i="1"/>
  <c r="G8" i="1"/>
  <c r="AX7" i="1"/>
  <c r="AV7" i="1"/>
  <c r="AU7" i="1"/>
  <c r="AT7" i="1"/>
  <c r="AQ7" i="1"/>
  <c r="AJ7" i="1"/>
  <c r="AD7" i="1"/>
  <c r="T7" i="1"/>
  <c r="R7" i="1"/>
  <c r="V7" i="1" s="1"/>
  <c r="Q7" i="1"/>
  <c r="W7" i="1" s="1"/>
  <c r="P7" i="1"/>
  <c r="D11" i="1" l="1"/>
  <c r="AN11" i="1" s="1"/>
  <c r="AK11" i="1" s="1"/>
  <c r="R8" i="1"/>
  <c r="E11" i="1"/>
  <c r="AO11" i="1" s="1"/>
  <c r="AL11" i="1" s="1"/>
  <c r="AV22" i="1"/>
  <c r="AV14" i="1"/>
  <c r="D7" i="1"/>
  <c r="E22" i="1"/>
  <c r="AO22" i="1" s="1"/>
  <c r="AL22" i="1" s="1"/>
  <c r="E25" i="1"/>
  <c r="R14" i="1"/>
  <c r="V14" i="1" s="1"/>
  <c r="AV8" i="1"/>
  <c r="X17" i="1"/>
  <c r="Q8" i="1"/>
  <c r="U8" i="1" s="1"/>
  <c r="D17" i="1"/>
  <c r="AN17" i="1" s="1"/>
  <c r="AK17" i="1" s="1"/>
  <c r="D22" i="1"/>
  <c r="AN22" i="1" s="1"/>
  <c r="AK22" i="1" s="1"/>
  <c r="AU31" i="1"/>
  <c r="E8" i="1"/>
  <c r="AO8" i="1" s="1"/>
  <c r="AW30" i="1"/>
  <c r="AZ30" i="1" s="1"/>
  <c r="U27" i="1"/>
  <c r="AT31" i="1"/>
  <c r="D26" i="1"/>
  <c r="AN26" i="1" s="1"/>
  <c r="AK26" i="1" s="1"/>
  <c r="D31" i="1"/>
  <c r="AN31" i="1" s="1"/>
  <c r="AK31" i="1" s="1"/>
  <c r="S31" i="1"/>
  <c r="AT14" i="1"/>
  <c r="E31" i="1"/>
  <c r="AO31" i="1" s="1"/>
  <c r="AU8" i="1"/>
  <c r="AL14" i="1"/>
  <c r="AW14" i="1"/>
  <c r="AZ14" i="1" s="1"/>
  <c r="AU22" i="1"/>
  <c r="AW22" i="1" s="1"/>
  <c r="AZ22" i="1" s="1"/>
  <c r="D27" i="1"/>
  <c r="AN27" i="1" s="1"/>
  <c r="AK27" i="1" s="1"/>
  <c r="E27" i="1"/>
  <c r="AO27" i="1" s="1"/>
  <c r="AL27" i="1" s="1"/>
  <c r="V31" i="1"/>
  <c r="AN7" i="1"/>
  <c r="AK7" i="1" s="1"/>
  <c r="AT8" i="1"/>
  <c r="S17" i="1"/>
  <c r="P8" i="1"/>
  <c r="V8" i="1"/>
  <c r="U17" i="1"/>
  <c r="AJ30" i="1"/>
  <c r="Q22" i="1"/>
  <c r="AW7" i="1"/>
  <c r="AZ7" i="1" s="1"/>
  <c r="AW25" i="1"/>
  <c r="AZ25" i="1" s="1"/>
  <c r="U7" i="1"/>
  <c r="U11" i="1"/>
  <c r="E17" i="1"/>
  <c r="AO17" i="1" s="1"/>
  <c r="AL17" i="1" s="1"/>
  <c r="P22" i="1"/>
  <c r="AW27" i="1"/>
  <c r="AZ27" i="1" s="1"/>
  <c r="AW11" i="1"/>
  <c r="S27" i="1"/>
  <c r="AV31" i="1"/>
  <c r="AW31" i="1" s="1"/>
  <c r="AZ31" i="1" s="1"/>
  <c r="BB31" i="1" s="1"/>
  <c r="BE31" i="1" s="1"/>
  <c r="X14" i="1"/>
  <c r="P14" i="1"/>
  <c r="U25" i="1"/>
  <c r="X7" i="1"/>
  <c r="AW26" i="1"/>
  <c r="AZ26" i="1" s="1"/>
  <c r="X31" i="1"/>
  <c r="R22" i="1"/>
  <c r="S22" i="1" s="1"/>
  <c r="AL8" i="1"/>
  <c r="AZ17" i="1"/>
  <c r="AT22" i="1"/>
  <c r="X27" i="1"/>
  <c r="S7" i="1"/>
  <c r="W22" i="1"/>
  <c r="AZ11" i="1"/>
  <c r="S11" i="1"/>
  <c r="D8" i="1"/>
  <c r="AN8" i="1" s="1"/>
  <c r="AK8" i="1" s="1"/>
  <c r="W11" i="1"/>
  <c r="S14" i="1"/>
  <c r="W25" i="1"/>
  <c r="X26" i="1"/>
  <c r="X11" i="1"/>
  <c r="X25" i="1"/>
  <c r="AL31" i="1"/>
  <c r="U14" i="1"/>
  <c r="D14" i="1"/>
  <c r="AN14" i="1" s="1"/>
  <c r="AK14" i="1" s="1"/>
  <c r="W14" i="1"/>
  <c r="S25" i="1"/>
  <c r="S26" i="1"/>
  <c r="U26" i="1"/>
  <c r="D34" i="1"/>
  <c r="AN34" i="1" s="1"/>
  <c r="AK34" i="1" s="1"/>
  <c r="X8" i="1" l="1"/>
  <c r="W8" i="1"/>
  <c r="S8" i="1"/>
  <c r="AW8" i="1"/>
  <c r="AZ8" i="1" s="1"/>
  <c r="V22" i="1"/>
  <c r="X22" i="1"/>
  <c r="U22" i="1"/>
</calcChain>
</file>

<file path=xl/sharedStrings.xml><?xml version="1.0" encoding="utf-8"?>
<sst xmlns="http://schemas.openxmlformats.org/spreadsheetml/2006/main" count="178" uniqueCount="98">
  <si>
    <t>303A ADU</t>
  </si>
  <si>
    <t>Meter Import Energy
(channel 1)</t>
  </si>
  <si>
    <t xml:space="preserve">Allocated Export Credits </t>
  </si>
  <si>
    <t>Net Energy Usage - After Solar Allocation</t>
  </si>
  <si>
    <t>PCE - Peninsula Clean Energy (Energy)</t>
  </si>
  <si>
    <t>PG&amp;E - Pacific Gas &amp; Electric (Delivery)</t>
  </si>
  <si>
    <t>Other</t>
  </si>
  <si>
    <t>PCE - Peninsula Clean Energy</t>
  </si>
  <si>
    <t>PG&amp;E - Pacific Gas &amp; Electric</t>
  </si>
  <si>
    <t>Which PDF to look at for data?</t>
  </si>
  <si>
    <t>Bill / Detail of Bill</t>
  </si>
  <si>
    <t>Bill</t>
  </si>
  <si>
    <t>n/a - calculated</t>
  </si>
  <si>
    <t>Detail of Bill</t>
  </si>
  <si>
    <t>n/a</t>
  </si>
  <si>
    <t>Detail of
Bill</t>
  </si>
  <si>
    <t>What page to look at?</t>
  </si>
  <si>
    <t>Generation Charges / Page 1</t>
  </si>
  <si>
    <t>Header</t>
  </si>
  <si>
    <t>Page 3</t>
  </si>
  <si>
    <t>Page 5</t>
  </si>
  <si>
    <t>Generation Charges / Page 6</t>
  </si>
  <si>
    <t>Page 6</t>
  </si>
  <si>
    <t>Generation Charges</t>
  </si>
  <si>
    <t>Page 4</t>
  </si>
  <si>
    <t>Page 1</t>
  </si>
  <si>
    <t>Delivery Charges / Page 4</t>
  </si>
  <si>
    <t>Delivery Charges</t>
  </si>
  <si>
    <t>Table header</t>
  </si>
  <si>
    <t>winter</t>
  </si>
  <si>
    <t>summer</t>
  </si>
  <si>
    <t>07 - earlier period</t>
  </si>
  <si>
    <t>07 - later period</t>
  </si>
  <si>
    <t xml:space="preserve">08 - old rates </t>
  </si>
  <si>
    <t>08 - new rates</t>
  </si>
  <si>
    <t>summer - old rate period</t>
  </si>
  <si>
    <t>summer - new rate period</t>
  </si>
  <si>
    <t>01 - earlier period</t>
  </si>
  <si>
    <t>02 - later period</t>
  </si>
  <si>
    <t>03 - old rates</t>
  </si>
  <si>
    <t>03 - new rates</t>
  </si>
  <si>
    <t>Dates</t>
  </si>
  <si>
    <t>303 Main</t>
  </si>
  <si>
    <t>Meter Export Energy (Solar) 
(channel 2)</t>
  </si>
  <si>
    <t xml:space="preserve">off peak [kWh]
(1) </t>
  </si>
  <si>
    <t>peak [kWh]
(2)</t>
  </si>
  <si>
    <t>total [kWh]
(15)</t>
  </si>
  <si>
    <t>off peak [kWh]
(3)</t>
  </si>
  <si>
    <t>peak [kWh]
(4)</t>
  </si>
  <si>
    <t>total [kWh]
(10)</t>
  </si>
  <si>
    <t>off peak [kWh]
(5)</t>
  </si>
  <si>
    <t>peak [kWh]
(6)</t>
  </si>
  <si>
    <t>total [kWh]
(14)</t>
  </si>
  <si>
    <t>allocation [%] (14)/(15)</t>
  </si>
  <si>
    <t>off peak [kWh]
(23)</t>
  </si>
  <si>
    <t>peak
[kWh]
(22)</t>
  </si>
  <si>
    <t>total [kWh]   (7)</t>
  </si>
  <si>
    <t>PCE - Energy Cost Total
[$]</t>
  </si>
  <si>
    <t>PCE - peak energy
[$]
(34)</t>
  </si>
  <si>
    <t>PCE - off peak energy
[$]
(33)</t>
  </si>
  <si>
    <t>PCE - Net Generation Bonus
[$]
(37)</t>
  </si>
  <si>
    <t>PCE - Average Price Per kWh
[$]</t>
  </si>
  <si>
    <t>PCE - Peak Price Per kWh
[$]</t>
  </si>
  <si>
    <t>PCE - Off Peak Price Per kWh
[$]</t>
  </si>
  <si>
    <t>PCE - Total Energy Charges
[$]</t>
  </si>
  <si>
    <t>PCE NEM Credit 
[$]
(36)</t>
  </si>
  <si>
    <t xml:space="preserve"> PCE Generation Charges due in Cash 
[$]
(36)</t>
  </si>
  <si>
    <t>RES Energy Charges 
[$]
(31)</t>
  </si>
  <si>
    <t>Baseline Credit
[$]
(32)</t>
  </si>
  <si>
    <t>DA/CCA FEES
[$]
(38)</t>
  </si>
  <si>
    <t>PG&amp;E Total "Energy" Charges (ie. Delivery)
[$]
(39)</t>
  </si>
  <si>
    <t>PG&amp;E - NEM Billing
[$]
(40)</t>
  </si>
  <si>
    <t>Minimum Delivery Charge
[$]
(41)</t>
  </si>
  <si>
    <t>NEM True Up Adjustment
[$]</t>
  </si>
  <si>
    <t>PG&amp;E Electric Delivery Charges
[$]
(30)</t>
  </si>
  <si>
    <t>California Climate Credit
[$]</t>
  </si>
  <si>
    <t>Total Bill in Mail Monthly  [$]</t>
  </si>
  <si>
    <t>off peak
[kWh]</t>
  </si>
  <si>
    <t>peak
[kWh]</t>
  </si>
  <si>
    <t>total
[kWh]
(9)</t>
  </si>
  <si>
    <t>total [kWh]
(13)</t>
  </si>
  <si>
    <t>allocation 
[%]
(13)/(15)</t>
  </si>
  <si>
    <t>off peak [kWh]
(21)</t>
  </si>
  <si>
    <t>peak [kWh]
(20)</t>
  </si>
  <si>
    <t>total [kWh]
(8)</t>
  </si>
  <si>
    <t>PCE - peak cost 
[$]
(25)</t>
  </si>
  <si>
    <t>PCE - off peak cost [$]
(24)</t>
  </si>
  <si>
    <t>PCE - Net Generation Bonus
[$]
(26)</t>
  </si>
  <si>
    <t>Energy Commission Surcharge
[$]
(27)</t>
  </si>
  <si>
    <t>PCE NEM Credit
[$]
(28)</t>
  </si>
  <si>
    <t>PCE Generation Charges due in Cash 
[$]
(29)</t>
  </si>
  <si>
    <t>PG&amp;E Electric Delivery Charges [$]
(42)</t>
  </si>
  <si>
    <t>Total Bill in Mail Monthly
[$]</t>
  </si>
  <si>
    <t>Which Unit</t>
  </si>
  <si>
    <t>Table subheader</t>
  </si>
  <si>
    <t>Billing Date [Date]
(43)</t>
  </si>
  <si>
    <t>Allocated Export Credits</t>
  </si>
  <si>
    <t>Service End Date [Date]
(44)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</si>
</sst>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 &quot;yyyy&quot;-&quot;mm&quot;-&quot;dd"/>
    <numFmt numFmtId="165" formatCode="0.0%"/>
    <numFmt numFmtId="166" formatCode="d/m/yyyy"/>
    <numFmt numFmtId="167" formatCode="0.0"/>
  </numFmts>
  <fonts count="8" x14ac:knownFonts="1">
    <font>
      <sz val="11"/>
      <color theme="1"/>
      <name val="Aptos Narrow"/>
      <scheme val="minor"/>
    </font>
    <font>
      <b/>
      <sz val="11"/>
      <color theme="0"/>
      <name val="Aptos Narrow"/>
    </font>
    <font>
      <b/>
      <sz val="11"/>
      <color rgb="FFFFFFFF"/>
      <name val="Arial"/>
    </font>
    <font>
      <sz val="11"/>
      <color theme="1"/>
      <name val="Arial"/>
    </font>
    <font>
      <sz val="11"/>
      <color theme="1"/>
      <name val="Aptos Narrow"/>
    </font>
    <font>
      <sz val="11"/>
      <color theme="1"/>
      <name val="Arial"/>
    </font>
    <font>
      <sz val="11"/>
      <color theme="1"/>
      <name val="Aptos Narrow"/>
      <family val="2"/>
      <scheme val="major"/>
    </font>
    <font>
      <sz val="11"/>
      <color rgb="FFFFFFFF"/>
      <name val="Aptos Narrow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D9F2D0"/>
        <bgColor rgb="FFD9F2D0"/>
      </patternFill>
    </fill>
    <fill>
      <patternFill patternType="solid">
        <fgColor rgb="FFF1CEEE"/>
        <bgColor rgb="FFF1CEEE"/>
      </patternFill>
    </fill>
    <fill>
      <patternFill patternType="solid">
        <fgColor rgb="FFC1E4F5"/>
        <bgColor rgb="FFC1E4F5"/>
      </patternFill>
    </fill>
    <fill>
      <patternFill patternType="solid">
        <fgColor rgb="FFFFFF00"/>
        <bgColor rgb="FFFFFF00"/>
      </patternFill>
    </fill>
    <fill>
      <patternFill patternType="solid">
        <fgColor rgb="FF45B0E1"/>
        <bgColor rgb="FF45B0E1"/>
      </patternFill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B3E5A1"/>
        <bgColor rgb="FFB3E5A1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4" fillId="3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/>
    <xf numFmtId="166" fontId="4" fillId="14" borderId="0" xfId="0" applyNumberFormat="1" applyFont="1" applyFill="1"/>
    <xf numFmtId="164" fontId="3" fillId="15" borderId="0" xfId="0" applyNumberFormat="1" applyFont="1" applyFill="1" applyAlignment="1"/>
    <xf numFmtId="166" fontId="4" fillId="16" borderId="0" xfId="0" applyNumberFormat="1" applyFont="1" applyFill="1"/>
    <xf numFmtId="164" fontId="3" fillId="14" borderId="0" xfId="0" applyNumberFormat="1" applyFont="1" applyFill="1" applyAlignment="1"/>
    <xf numFmtId="164" fontId="3" fillId="17" borderId="0" xfId="0" applyNumberFormat="1" applyFont="1" applyFill="1" applyAlignment="1"/>
    <xf numFmtId="164" fontId="4" fillId="16" borderId="0" xfId="0" applyNumberFormat="1" applyFont="1" applyFill="1"/>
    <xf numFmtId="44" fontId="4" fillId="0" borderId="0" xfId="0" applyNumberFormat="1" applyFont="1"/>
    <xf numFmtId="44" fontId="3" fillId="0" borderId="0" xfId="0" applyNumberFormat="1" applyFont="1" applyAlignment="1"/>
    <xf numFmtId="0" fontId="5" fillId="0" borderId="0" xfId="0" applyFont="1" applyAlignment="1"/>
    <xf numFmtId="0" fontId="4" fillId="0" borderId="0" xfId="0" applyFont="1"/>
    <xf numFmtId="0" fontId="0" fillId="0" borderId="0" xfId="0" applyFont="1" applyAlignment="1"/>
    <xf numFmtId="164" fontId="6" fillId="9" borderId="0" xfId="0" applyNumberFormat="1" applyFont="1" applyFill="1" applyAlignment="1"/>
    <xf numFmtId="164" fontId="6" fillId="9" borderId="1" xfId="0" applyNumberFormat="1" applyFont="1" applyFill="1" applyBorder="1"/>
    <xf numFmtId="0" fontId="6" fillId="9" borderId="0" xfId="0" applyFont="1" applyFill="1"/>
    <xf numFmtId="0" fontId="6" fillId="9" borderId="0" xfId="0" applyFont="1" applyFill="1" applyAlignment="1"/>
    <xf numFmtId="165" fontId="6" fillId="9" borderId="0" xfId="0" applyNumberFormat="1" applyFont="1" applyFill="1"/>
    <xf numFmtId="44" fontId="6" fillId="9" borderId="0" xfId="0" applyNumberFormat="1" applyFont="1" applyFill="1"/>
    <xf numFmtId="44" fontId="6" fillId="10" borderId="0" xfId="0" applyNumberFormat="1" applyFont="1" applyFill="1"/>
    <xf numFmtId="44" fontId="6" fillId="6" borderId="0" xfId="0" applyNumberFormat="1" applyFont="1" applyFill="1"/>
    <xf numFmtId="44" fontId="6" fillId="11" borderId="0" xfId="0" applyNumberFormat="1" applyFont="1" applyFill="1"/>
    <xf numFmtId="44" fontId="6" fillId="12" borderId="0" xfId="0" applyNumberFormat="1" applyFont="1" applyFill="1"/>
    <xf numFmtId="44" fontId="6" fillId="12" borderId="0" xfId="0" applyNumberFormat="1" applyFont="1" applyFill="1" applyAlignment="1"/>
    <xf numFmtId="44" fontId="6" fillId="9" borderId="0" xfId="0" applyNumberFormat="1" applyFont="1" applyFill="1" applyAlignment="1"/>
    <xf numFmtId="44" fontId="6" fillId="13" borderId="0" xfId="0" applyNumberFormat="1" applyFont="1" applyFill="1"/>
    <xf numFmtId="166" fontId="6" fillId="14" borderId="0" xfId="0" applyNumberFormat="1" applyFont="1" applyFill="1"/>
    <xf numFmtId="166" fontId="6" fillId="14" borderId="1" xfId="0" applyNumberFormat="1" applyFont="1" applyFill="1" applyBorder="1"/>
    <xf numFmtId="0" fontId="6" fillId="14" borderId="0" xfId="0" applyFont="1" applyFill="1"/>
    <xf numFmtId="0" fontId="6" fillId="14" borderId="0" xfId="0" applyFont="1" applyFill="1" applyAlignment="1"/>
    <xf numFmtId="165" fontId="6" fillId="14" borderId="0" xfId="0" applyNumberFormat="1" applyFont="1" applyFill="1"/>
    <xf numFmtId="44" fontId="6" fillId="14" borderId="0" xfId="0" applyNumberFormat="1" applyFont="1" applyFill="1"/>
    <xf numFmtId="164" fontId="6" fillId="15" borderId="0" xfId="0" applyNumberFormat="1" applyFont="1" applyFill="1" applyAlignment="1"/>
    <xf numFmtId="0" fontId="6" fillId="15" borderId="0" xfId="0" applyFont="1" applyFill="1" applyAlignment="1"/>
    <xf numFmtId="0" fontId="6" fillId="15" borderId="0" xfId="0" applyFont="1" applyFill="1"/>
    <xf numFmtId="165" fontId="6" fillId="15" borderId="0" xfId="0" applyNumberFormat="1" applyFont="1" applyFill="1"/>
    <xf numFmtId="1" fontId="6" fillId="15" borderId="0" xfId="0" applyNumberFormat="1" applyFont="1" applyFill="1"/>
    <xf numFmtId="44" fontId="6" fillId="15" borderId="0" xfId="0" applyNumberFormat="1" applyFont="1" applyFill="1"/>
    <xf numFmtId="44" fontId="6" fillId="15" borderId="0" xfId="0" applyNumberFormat="1" applyFont="1" applyFill="1" applyAlignment="1"/>
    <xf numFmtId="1" fontId="6" fillId="9" borderId="0" xfId="0" applyNumberFormat="1" applyFont="1" applyFill="1"/>
    <xf numFmtId="167" fontId="6" fillId="9" borderId="0" xfId="0" applyNumberFormat="1" applyFont="1" applyFill="1"/>
    <xf numFmtId="166" fontId="6" fillId="16" borderId="0" xfId="0" applyNumberFormat="1" applyFont="1" applyFill="1"/>
    <xf numFmtId="0" fontId="6" fillId="16" borderId="0" xfId="0" applyFont="1" applyFill="1" applyAlignment="1"/>
    <xf numFmtId="167" fontId="6" fillId="16" borderId="0" xfId="0" applyNumberFormat="1" applyFont="1" applyFill="1"/>
    <xf numFmtId="165" fontId="6" fillId="16" borderId="0" xfId="0" applyNumberFormat="1" applyFont="1" applyFill="1"/>
    <xf numFmtId="44" fontId="6" fillId="16" borderId="0" xfId="0" applyNumberFormat="1" applyFont="1" applyFill="1"/>
    <xf numFmtId="0" fontId="6" fillId="16" borderId="0" xfId="0" applyFont="1" applyFill="1"/>
    <xf numFmtId="165" fontId="6" fillId="16" borderId="0" xfId="0" applyNumberFormat="1" applyFont="1" applyFill="1" applyAlignment="1"/>
    <xf numFmtId="164" fontId="6" fillId="14" borderId="0" xfId="0" applyNumberFormat="1" applyFont="1" applyFill="1" applyAlignment="1"/>
    <xf numFmtId="44" fontId="6" fillId="14" borderId="0" xfId="0" applyNumberFormat="1" applyFont="1" applyFill="1" applyAlignment="1"/>
    <xf numFmtId="8" fontId="6" fillId="14" borderId="0" xfId="0" applyNumberFormat="1" applyFont="1" applyFill="1"/>
    <xf numFmtId="164" fontId="6" fillId="17" borderId="0" xfId="0" applyNumberFormat="1" applyFont="1" applyFill="1" applyAlignment="1"/>
    <xf numFmtId="0" fontId="6" fillId="17" borderId="0" xfId="0" applyFont="1" applyFill="1" applyAlignment="1"/>
    <xf numFmtId="165" fontId="6" fillId="17" borderId="0" xfId="0" applyNumberFormat="1" applyFont="1" applyFill="1"/>
    <xf numFmtId="0" fontId="6" fillId="17" borderId="0" xfId="0" applyFont="1" applyFill="1"/>
    <xf numFmtId="44" fontId="6" fillId="17" borderId="0" xfId="0" applyNumberFormat="1" applyFont="1" applyFill="1"/>
    <xf numFmtId="44" fontId="6" fillId="17" borderId="0" xfId="0" applyNumberFormat="1" applyFont="1" applyFill="1" applyAlignment="1"/>
    <xf numFmtId="8" fontId="6" fillId="17" borderId="0" xfId="0" applyNumberFormat="1" applyFont="1" applyFill="1"/>
    <xf numFmtId="8" fontId="6" fillId="9" borderId="0" xfId="0" applyNumberFormat="1" applyFont="1" applyFill="1"/>
    <xf numFmtId="8" fontId="6" fillId="15" borderId="0" xfId="0" applyNumberFormat="1" applyFont="1" applyFill="1"/>
    <xf numFmtId="0" fontId="6" fillId="9" borderId="0" xfId="0" applyFont="1" applyFill="1" applyAlignment="1">
      <alignment horizontal="right"/>
    </xf>
    <xf numFmtId="44" fontId="6" fillId="11" borderId="0" xfId="0" applyNumberFormat="1" applyFont="1" applyFill="1" applyAlignment="1"/>
    <xf numFmtId="164" fontId="6" fillId="16" borderId="0" xfId="0" applyNumberFormat="1" applyFont="1" applyFill="1"/>
    <xf numFmtId="44" fontId="6" fillId="16" borderId="0" xfId="0" applyNumberFormat="1" applyFont="1" applyFill="1" applyAlignment="1"/>
    <xf numFmtId="0" fontId="6" fillId="8" borderId="0" xfId="0" applyFont="1" applyFill="1" applyAlignment="1">
      <alignment wrapText="1"/>
    </xf>
    <xf numFmtId="0" fontId="7" fillId="7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6" fillId="5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5" borderId="0" xfId="0" applyFont="1" applyFill="1" applyAlignment="1">
      <alignment horizontal="center" vertical="center" wrapText="1"/>
    </xf>
    <xf numFmtId="0" fontId="6" fillId="0" borderId="0" xfId="0" applyFont="1" applyAlignment="1"/>
    <xf numFmtId="0" fontId="6" fillId="6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12"/>
  <sheetViews>
    <sheetView tabSelected="1" workbookViewId="0">
      <pane xSplit="3" topLeftCell="D1" activePane="topRight" state="frozen"/>
      <selection pane="topRight" activeCell="G3" sqref="G3:I3"/>
    </sheetView>
  </sheetViews>
  <sheetFormatPr defaultColWidth="12.6640625" defaultRowHeight="15" customHeight="1" x14ac:dyDescent="0.3"/>
  <cols>
    <col min="1" max="1" width="11.33203125" bestFit="1" customWidth="1"/>
    <col min="2" max="2" width="13" customWidth="1"/>
    <col min="3" max="3" width="13" style="13" customWidth="1"/>
    <col min="4" max="5" width="8.6640625" customWidth="1"/>
    <col min="6" max="6" width="7.77734375" customWidth="1"/>
    <col min="7" max="12" width="8.6640625" customWidth="1"/>
    <col min="13" max="13" width="11.6640625" customWidth="1"/>
    <col min="14" max="14" width="10.77734375" customWidth="1"/>
    <col min="15" max="15" width="11" customWidth="1"/>
    <col min="16" max="16" width="7.21875" customWidth="1"/>
    <col min="17" max="17" width="10.77734375" customWidth="1"/>
    <col min="18" max="19" width="10.44140625" customWidth="1"/>
    <col min="20" max="24" width="10" customWidth="1"/>
    <col min="25" max="25" width="11.109375" customWidth="1"/>
    <col min="26" max="26" width="13.33203125" customWidth="1"/>
    <col min="27" max="27" width="10.77734375" customWidth="1"/>
    <col min="28" max="28" width="8.88671875" customWidth="1"/>
    <col min="29" max="29" width="8.77734375" customWidth="1"/>
    <col min="30" max="30" width="13.77734375" customWidth="1"/>
    <col min="31" max="31" width="8.77734375" customWidth="1"/>
    <col min="32" max="32" width="10.44140625" customWidth="1"/>
    <col min="33" max="33" width="11" customWidth="1"/>
    <col min="34" max="34" width="13.21875" customWidth="1"/>
    <col min="35" max="36" width="8.88671875" customWidth="1"/>
    <col min="37" max="38" width="8.6640625" customWidth="1"/>
    <col min="39" max="39" width="9.77734375" customWidth="1"/>
    <col min="40" max="41" width="8.6640625" customWidth="1"/>
    <col min="42" max="42" width="8.88671875" customWidth="1"/>
    <col min="43" max="44" width="10.6640625" customWidth="1"/>
    <col min="45" max="45" width="10.77734375" customWidth="1"/>
    <col min="46" max="46" width="8.6640625" customWidth="1"/>
    <col min="47" max="47" width="11" customWidth="1"/>
    <col min="48" max="48" width="10.6640625" customWidth="1"/>
    <col min="49" max="49" width="8.6640625" customWidth="1"/>
    <col min="50" max="50" width="11.21875" customWidth="1"/>
    <col min="51" max="51" width="12.77734375" customWidth="1"/>
    <col min="52" max="52" width="8.6640625" customWidth="1"/>
    <col min="53" max="54" width="11.21875" customWidth="1"/>
    <col min="55" max="55" width="12.6640625" customWidth="1"/>
    <col min="56" max="56" width="9.109375" bestFit="1" customWidth="1"/>
    <col min="57" max="57" width="8.6640625" customWidth="1"/>
  </cols>
  <sheetData>
    <row r="1" spans="1:57" ht="14.25" customHeight="1" x14ac:dyDescent="0.3"/>
    <row r="2" spans="1:57" ht="14.25" customHeight="1" x14ac:dyDescent="0.3">
      <c r="A2" t="s">
        <v>93</v>
      </c>
      <c r="B2" s="70" t="s">
        <v>41</v>
      </c>
      <c r="C2" s="70"/>
      <c r="D2" s="71" t="s">
        <v>42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2" t="s">
        <v>0</v>
      </c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</row>
    <row r="3" spans="1:57" ht="28.8" x14ac:dyDescent="0.3">
      <c r="A3" t="s">
        <v>28</v>
      </c>
      <c r="B3" s="70" t="s">
        <v>41</v>
      </c>
      <c r="C3" s="70"/>
      <c r="D3" s="76" t="s">
        <v>43</v>
      </c>
      <c r="E3" s="74"/>
      <c r="F3" s="74"/>
      <c r="G3" s="73" t="s">
        <v>1</v>
      </c>
      <c r="H3" s="74"/>
      <c r="I3" s="74"/>
      <c r="J3" s="73" t="s">
        <v>96</v>
      </c>
      <c r="K3" s="74"/>
      <c r="L3" s="74"/>
      <c r="M3" s="74"/>
      <c r="N3" s="73" t="s">
        <v>3</v>
      </c>
      <c r="O3" s="74"/>
      <c r="P3" s="74"/>
      <c r="Q3" s="75" t="s">
        <v>4</v>
      </c>
      <c r="R3" s="74"/>
      <c r="S3" s="74"/>
      <c r="T3" s="74"/>
      <c r="U3" s="74"/>
      <c r="V3" s="74"/>
      <c r="W3" s="74"/>
      <c r="X3" s="74"/>
      <c r="Y3" s="74"/>
      <c r="Z3" s="74"/>
      <c r="AA3" s="73" t="s">
        <v>5</v>
      </c>
      <c r="AB3" s="74"/>
      <c r="AC3" s="74"/>
      <c r="AD3" s="74"/>
      <c r="AE3" s="74"/>
      <c r="AF3" s="74"/>
      <c r="AG3" s="74"/>
      <c r="AH3" s="74"/>
      <c r="AI3" s="68" t="s">
        <v>6</v>
      </c>
      <c r="AJ3" s="69"/>
      <c r="AK3" s="73" t="s">
        <v>1</v>
      </c>
      <c r="AL3" s="74"/>
      <c r="AM3" s="74"/>
      <c r="AN3" s="73" t="s">
        <v>2</v>
      </c>
      <c r="AO3" s="74"/>
      <c r="AP3" s="74"/>
      <c r="AQ3" s="74"/>
      <c r="AR3" s="73" t="s">
        <v>3</v>
      </c>
      <c r="AS3" s="74"/>
      <c r="AT3" s="74"/>
      <c r="AU3" s="75" t="s">
        <v>7</v>
      </c>
      <c r="AV3" s="74"/>
      <c r="AW3" s="74"/>
      <c r="AX3" s="74"/>
      <c r="AY3" s="74"/>
      <c r="AZ3" s="74"/>
      <c r="BA3" s="74"/>
      <c r="BB3" s="74"/>
      <c r="BC3" s="68" t="s">
        <v>8</v>
      </c>
      <c r="BD3" s="68" t="s">
        <v>6</v>
      </c>
      <c r="BE3" s="1"/>
    </row>
    <row r="4" spans="1:57" ht="43.2" x14ac:dyDescent="0.3">
      <c r="A4" s="65" t="s">
        <v>9</v>
      </c>
      <c r="B4" s="65" t="s">
        <v>10</v>
      </c>
      <c r="C4" s="65" t="s">
        <v>11</v>
      </c>
      <c r="D4" s="65" t="s">
        <v>12</v>
      </c>
      <c r="E4" s="65" t="s">
        <v>12</v>
      </c>
      <c r="F4" s="65" t="s">
        <v>13</v>
      </c>
      <c r="G4" s="65" t="s">
        <v>13</v>
      </c>
      <c r="H4" s="65" t="s">
        <v>13</v>
      </c>
      <c r="I4" s="65" t="s">
        <v>13</v>
      </c>
      <c r="J4" s="65" t="s">
        <v>13</v>
      </c>
      <c r="K4" s="65" t="s">
        <v>13</v>
      </c>
      <c r="L4" s="65" t="s">
        <v>13</v>
      </c>
      <c r="M4" s="65" t="s">
        <v>12</v>
      </c>
      <c r="N4" s="65" t="s">
        <v>10</v>
      </c>
      <c r="O4" s="65" t="s">
        <v>10</v>
      </c>
      <c r="P4" s="65" t="s">
        <v>13</v>
      </c>
      <c r="Q4" s="65" t="s">
        <v>11</v>
      </c>
      <c r="R4" s="65" t="s">
        <v>11</v>
      </c>
      <c r="S4" s="65" t="s">
        <v>12</v>
      </c>
      <c r="T4" s="65" t="s">
        <v>11</v>
      </c>
      <c r="U4" s="65"/>
      <c r="V4" s="65"/>
      <c r="W4" s="65"/>
      <c r="X4" s="65" t="s">
        <v>14</v>
      </c>
      <c r="Y4" s="65" t="s">
        <v>11</v>
      </c>
      <c r="Z4" s="65" t="s">
        <v>11</v>
      </c>
      <c r="AA4" s="65" t="s">
        <v>13</v>
      </c>
      <c r="AB4" s="65" t="s">
        <v>13</v>
      </c>
      <c r="AC4" s="65" t="s">
        <v>13</v>
      </c>
      <c r="AD4" s="65" t="s">
        <v>13</v>
      </c>
      <c r="AE4" s="65" t="s">
        <v>13</v>
      </c>
      <c r="AF4" s="65" t="s">
        <v>13</v>
      </c>
      <c r="AG4" s="65" t="s">
        <v>15</v>
      </c>
      <c r="AH4" s="65" t="s">
        <v>10</v>
      </c>
      <c r="AI4" s="65" t="s">
        <v>14</v>
      </c>
      <c r="AJ4" s="66"/>
      <c r="AK4" s="65"/>
      <c r="AL4" s="65"/>
      <c r="AM4" s="65" t="s">
        <v>13</v>
      </c>
      <c r="AN4" s="65"/>
      <c r="AO4" s="65"/>
      <c r="AP4" s="65" t="s">
        <v>13</v>
      </c>
      <c r="AQ4" s="65"/>
      <c r="AR4" s="65" t="s">
        <v>11</v>
      </c>
      <c r="AS4" s="65" t="s">
        <v>11</v>
      </c>
      <c r="AT4" s="65" t="s">
        <v>13</v>
      </c>
      <c r="AU4" s="65" t="s">
        <v>11</v>
      </c>
      <c r="AV4" s="65" t="s">
        <v>11</v>
      </c>
      <c r="AW4" s="65"/>
      <c r="AX4" s="65" t="s">
        <v>11</v>
      </c>
      <c r="AY4" s="65" t="s">
        <v>11</v>
      </c>
      <c r="AZ4" s="65"/>
      <c r="BA4" s="65" t="s">
        <v>11</v>
      </c>
      <c r="BB4" s="65" t="s">
        <v>11</v>
      </c>
      <c r="BC4" s="65" t="s">
        <v>11</v>
      </c>
      <c r="BD4" s="65"/>
      <c r="BE4" s="67"/>
    </row>
    <row r="5" spans="1:57" ht="43.2" x14ac:dyDescent="0.3">
      <c r="A5" s="65" t="s">
        <v>16</v>
      </c>
      <c r="B5" s="65" t="s">
        <v>17</v>
      </c>
      <c r="C5" s="65" t="s">
        <v>18</v>
      </c>
      <c r="D5" s="65"/>
      <c r="E5" s="65"/>
      <c r="F5" s="65" t="s">
        <v>19</v>
      </c>
      <c r="G5" s="65" t="s">
        <v>20</v>
      </c>
      <c r="H5" s="65" t="s">
        <v>20</v>
      </c>
      <c r="I5" s="65" t="s">
        <v>19</v>
      </c>
      <c r="J5" s="65" t="s">
        <v>20</v>
      </c>
      <c r="K5" s="65" t="s">
        <v>20</v>
      </c>
      <c r="L5" s="65" t="s">
        <v>19</v>
      </c>
      <c r="M5" s="65"/>
      <c r="N5" s="65" t="s">
        <v>21</v>
      </c>
      <c r="O5" s="65" t="s">
        <v>21</v>
      </c>
      <c r="P5" s="65" t="s">
        <v>22</v>
      </c>
      <c r="Q5" s="65" t="s">
        <v>23</v>
      </c>
      <c r="R5" s="65" t="s">
        <v>23</v>
      </c>
      <c r="S5" s="65"/>
      <c r="T5" s="65" t="s">
        <v>23</v>
      </c>
      <c r="U5" s="65"/>
      <c r="V5" s="65"/>
      <c r="W5" s="65"/>
      <c r="X5" s="65" t="s">
        <v>14</v>
      </c>
      <c r="Y5" s="65" t="s">
        <v>23</v>
      </c>
      <c r="Z5" s="65" t="s">
        <v>23</v>
      </c>
      <c r="AA5" s="65" t="s">
        <v>24</v>
      </c>
      <c r="AB5" s="65" t="s">
        <v>24</v>
      </c>
      <c r="AC5" s="65" t="s">
        <v>24</v>
      </c>
      <c r="AD5" s="65" t="s">
        <v>24</v>
      </c>
      <c r="AE5" s="65" t="s">
        <v>24</v>
      </c>
      <c r="AF5" s="65" t="s">
        <v>24</v>
      </c>
      <c r="AG5" s="65" t="s">
        <v>25</v>
      </c>
      <c r="AH5" s="65" t="s">
        <v>26</v>
      </c>
      <c r="AI5" s="65" t="s">
        <v>14</v>
      </c>
      <c r="AJ5" s="66"/>
      <c r="AK5" s="65"/>
      <c r="AL5" s="65"/>
      <c r="AM5" s="65" t="s">
        <v>19</v>
      </c>
      <c r="AN5" s="65"/>
      <c r="AO5" s="65"/>
      <c r="AP5" s="65" t="s">
        <v>19</v>
      </c>
      <c r="AQ5" s="65"/>
      <c r="AR5" s="65" t="s">
        <v>23</v>
      </c>
      <c r="AS5" s="65" t="s">
        <v>23</v>
      </c>
      <c r="AT5" s="65" t="s">
        <v>19</v>
      </c>
      <c r="AU5" s="65" t="s">
        <v>23</v>
      </c>
      <c r="AV5" s="65" t="s">
        <v>23</v>
      </c>
      <c r="AW5" s="65"/>
      <c r="AX5" s="65" t="s">
        <v>23</v>
      </c>
      <c r="AY5" s="65" t="s">
        <v>23</v>
      </c>
      <c r="AZ5" s="65"/>
      <c r="BA5" s="65" t="s">
        <v>23</v>
      </c>
      <c r="BB5" s="65" t="s">
        <v>23</v>
      </c>
      <c r="BC5" s="65" t="s">
        <v>27</v>
      </c>
      <c r="BD5" s="65"/>
      <c r="BE5" s="67"/>
    </row>
    <row r="6" spans="1:57" ht="86.4" x14ac:dyDescent="0.3">
      <c r="A6" s="65" t="s">
        <v>94</v>
      </c>
      <c r="B6" s="65" t="s">
        <v>97</v>
      </c>
      <c r="C6" s="65" t="s">
        <v>95</v>
      </c>
      <c r="D6" s="65" t="s">
        <v>44</v>
      </c>
      <c r="E6" s="65" t="s">
        <v>45</v>
      </c>
      <c r="F6" s="65" t="s">
        <v>46</v>
      </c>
      <c r="G6" s="65" t="s">
        <v>47</v>
      </c>
      <c r="H6" s="65" t="s">
        <v>48</v>
      </c>
      <c r="I6" s="65" t="s">
        <v>49</v>
      </c>
      <c r="J6" s="65" t="s">
        <v>50</v>
      </c>
      <c r="K6" s="65" t="s">
        <v>51</v>
      </c>
      <c r="L6" s="65" t="s">
        <v>52</v>
      </c>
      <c r="M6" s="65" t="s">
        <v>53</v>
      </c>
      <c r="N6" s="65" t="s">
        <v>54</v>
      </c>
      <c r="O6" s="65" t="s">
        <v>55</v>
      </c>
      <c r="P6" s="65" t="s">
        <v>56</v>
      </c>
      <c r="Q6" s="65" t="s">
        <v>59</v>
      </c>
      <c r="R6" s="65" t="s">
        <v>58</v>
      </c>
      <c r="S6" s="65" t="s">
        <v>57</v>
      </c>
      <c r="T6" s="65" t="s">
        <v>60</v>
      </c>
      <c r="U6" s="65" t="s">
        <v>61</v>
      </c>
      <c r="V6" s="65" t="s">
        <v>62</v>
      </c>
      <c r="W6" s="65" t="s">
        <v>63</v>
      </c>
      <c r="X6" s="65" t="s">
        <v>64</v>
      </c>
      <c r="Y6" s="65" t="s">
        <v>65</v>
      </c>
      <c r="Z6" s="65" t="s">
        <v>66</v>
      </c>
      <c r="AA6" s="65" t="s">
        <v>67</v>
      </c>
      <c r="AB6" s="65" t="s">
        <v>68</v>
      </c>
      <c r="AC6" s="65" t="s">
        <v>69</v>
      </c>
      <c r="AD6" s="65" t="s">
        <v>70</v>
      </c>
      <c r="AE6" s="65" t="s">
        <v>71</v>
      </c>
      <c r="AF6" s="65" t="s">
        <v>72</v>
      </c>
      <c r="AG6" s="65" t="s">
        <v>73</v>
      </c>
      <c r="AH6" s="65" t="s">
        <v>74</v>
      </c>
      <c r="AI6" s="65" t="s">
        <v>75</v>
      </c>
      <c r="AJ6" s="66" t="s">
        <v>76</v>
      </c>
      <c r="AK6" s="65" t="s">
        <v>77</v>
      </c>
      <c r="AL6" s="65" t="s">
        <v>78</v>
      </c>
      <c r="AM6" s="65" t="s">
        <v>79</v>
      </c>
      <c r="AN6" s="65" t="s">
        <v>77</v>
      </c>
      <c r="AO6" s="65" t="s">
        <v>78</v>
      </c>
      <c r="AP6" s="65" t="s">
        <v>80</v>
      </c>
      <c r="AQ6" s="65" t="s">
        <v>81</v>
      </c>
      <c r="AR6" s="65" t="s">
        <v>82</v>
      </c>
      <c r="AS6" s="65" t="s">
        <v>83</v>
      </c>
      <c r="AT6" s="65" t="s">
        <v>84</v>
      </c>
      <c r="AU6" s="65" t="s">
        <v>86</v>
      </c>
      <c r="AV6" s="65" t="s">
        <v>85</v>
      </c>
      <c r="AW6" s="65" t="s">
        <v>57</v>
      </c>
      <c r="AX6" s="65" t="s">
        <v>87</v>
      </c>
      <c r="AY6" s="65" t="s">
        <v>88</v>
      </c>
      <c r="AZ6" s="65" t="s">
        <v>64</v>
      </c>
      <c r="BA6" s="65" t="s">
        <v>89</v>
      </c>
      <c r="BB6" s="65" t="s">
        <v>90</v>
      </c>
      <c r="BC6" s="65" t="s">
        <v>91</v>
      </c>
      <c r="BD6" s="65" t="s">
        <v>75</v>
      </c>
      <c r="BE6" s="67" t="s">
        <v>92</v>
      </c>
    </row>
    <row r="7" spans="1:57" ht="14.25" customHeight="1" x14ac:dyDescent="0.3">
      <c r="A7" s="2"/>
      <c r="B7" s="14">
        <v>45419</v>
      </c>
      <c r="C7" s="15">
        <v>45426</v>
      </c>
      <c r="D7" s="16">
        <f>ROUND(J7/M7,0)</f>
        <v>-884</v>
      </c>
      <c r="E7" s="16">
        <f t="shared" ref="E7:E8" si="0">ROUND(K7/M7,0)</f>
        <v>-114</v>
      </c>
      <c r="F7" s="17">
        <v>-998</v>
      </c>
      <c r="G7" s="17">
        <v>294</v>
      </c>
      <c r="H7" s="17">
        <v>88</v>
      </c>
      <c r="I7" s="17">
        <v>382</v>
      </c>
      <c r="J7" s="17">
        <v>-435</v>
      </c>
      <c r="K7" s="17">
        <v>-56</v>
      </c>
      <c r="L7" s="17">
        <v>-491</v>
      </c>
      <c r="M7" s="18">
        <f>L7/F7</f>
        <v>0.49198396793587174</v>
      </c>
      <c r="N7" s="16">
        <v>-141</v>
      </c>
      <c r="O7" s="16">
        <v>32</v>
      </c>
      <c r="P7" s="16">
        <f>O7+N7</f>
        <v>-109</v>
      </c>
      <c r="Q7" s="19">
        <f>N7*0.12591</f>
        <v>-17.753309999999999</v>
      </c>
      <c r="R7" s="19">
        <f>O7*0.14969</f>
        <v>4.7900799999999997</v>
      </c>
      <c r="S7" s="19">
        <f t="shared" ref="S7:S8" si="1">R7+Q7</f>
        <v>-12.963229999999999</v>
      </c>
      <c r="T7" s="19">
        <f>N7*0.01</f>
        <v>-1.41</v>
      </c>
      <c r="U7" s="20">
        <f t="shared" ref="U7:U8" si="2">(ABS(Q7)+ABS(R7))/(ABS(N7)+ABS(O7))</f>
        <v>0.130308612716763</v>
      </c>
      <c r="V7" s="21">
        <f t="shared" ref="V7:V8" si="3">ABS(R7)/ABS(O7)</f>
        <v>0.14968999999999999</v>
      </c>
      <c r="W7" s="21">
        <f t="shared" ref="W7:W8" si="4">Q7/N7</f>
        <v>0.12590999999999999</v>
      </c>
      <c r="X7" s="22">
        <f t="shared" ref="X7:X8" si="5">Q7+R7+T7+0</f>
        <v>-14.37323</v>
      </c>
      <c r="Y7" s="23">
        <v>24.37</v>
      </c>
      <c r="Z7" s="24">
        <v>0</v>
      </c>
      <c r="AA7" s="19">
        <v>-24.4</v>
      </c>
      <c r="AB7" s="19">
        <v>11.7</v>
      </c>
      <c r="AC7" s="19">
        <v>1.1100000000000001</v>
      </c>
      <c r="AD7" s="22">
        <f t="shared" ref="AD7:AD8" si="6">AC7+AB7+AA7</f>
        <v>-11.59</v>
      </c>
      <c r="AE7" s="19">
        <v>60</v>
      </c>
      <c r="AF7" s="19">
        <v>7.83</v>
      </c>
      <c r="AG7" s="25">
        <v>0</v>
      </c>
      <c r="AH7" s="25">
        <f>AE7+AF7+AG7</f>
        <v>67.83</v>
      </c>
      <c r="AI7" s="16"/>
      <c r="AJ7" s="26">
        <f>Z7+AH7+AI7</f>
        <v>67.83</v>
      </c>
      <c r="AK7" s="16">
        <f t="shared" ref="AK7:AL7" si="7">AR7-AN7</f>
        <v>298</v>
      </c>
      <c r="AL7" s="16">
        <f t="shared" si="7"/>
        <v>97</v>
      </c>
      <c r="AM7" s="17">
        <v>395</v>
      </c>
      <c r="AN7" s="16">
        <f t="shared" ref="AN7:AN17" si="8">D7-J7</f>
        <v>-449</v>
      </c>
      <c r="AO7" s="16">
        <f t="shared" ref="AO7:AO17" si="9">E7-K7</f>
        <v>-58</v>
      </c>
      <c r="AP7" s="17">
        <v>-507</v>
      </c>
      <c r="AQ7" s="18">
        <f t="shared" ref="AQ7:AQ14" si="10">AP7/F7</f>
        <v>0.50801603206412826</v>
      </c>
      <c r="AR7" s="16">
        <v>-151</v>
      </c>
      <c r="AS7" s="16">
        <v>39</v>
      </c>
      <c r="AT7" s="16">
        <f>AS7+AR7</f>
        <v>-112</v>
      </c>
      <c r="AU7" s="19">
        <f>AR7*0.12591</f>
        <v>-19.012409999999999</v>
      </c>
      <c r="AV7" s="19">
        <f>AS7*0.14969</f>
        <v>5.8379099999999999</v>
      </c>
      <c r="AW7" s="19">
        <f t="shared" ref="AW7:AW8" si="11">AV7+AU7</f>
        <v>-13.174499999999998</v>
      </c>
      <c r="AX7" s="19">
        <f>AR7*0.01</f>
        <v>-1.51</v>
      </c>
      <c r="AY7" s="19">
        <v>0</v>
      </c>
      <c r="AZ7" s="22">
        <f t="shared" ref="AZ7:AZ8" si="12">AY7+AX7+AW7</f>
        <v>-14.684499999999998</v>
      </c>
      <c r="BA7" s="23">
        <v>14.68</v>
      </c>
      <c r="BB7" s="23">
        <v>0</v>
      </c>
      <c r="BC7" s="22">
        <v>7.83</v>
      </c>
      <c r="BD7" s="19"/>
      <c r="BE7" s="26">
        <f>BC7+BB7+BD7</f>
        <v>7.83</v>
      </c>
    </row>
    <row r="8" spans="1:57" ht="14.25" customHeight="1" x14ac:dyDescent="0.3">
      <c r="A8" s="2"/>
      <c r="B8" s="14">
        <v>45449</v>
      </c>
      <c r="C8" s="15">
        <v>45456</v>
      </c>
      <c r="D8" s="16">
        <f t="shared" ref="D8" si="13">ROUND(J8/M8,0)</f>
        <v>-1411</v>
      </c>
      <c r="E8" s="16">
        <f t="shared" si="0"/>
        <v>-190</v>
      </c>
      <c r="F8" s="17">
        <v>-1601</v>
      </c>
      <c r="G8" s="16">
        <f t="shared" ref="G8:H8" si="14">G9+G10</f>
        <v>330</v>
      </c>
      <c r="H8" s="16">
        <f t="shared" si="14"/>
        <v>121</v>
      </c>
      <c r="I8" s="17">
        <v>451</v>
      </c>
      <c r="J8" s="16">
        <f t="shared" ref="J8:K8" si="15">J9+J10</f>
        <v>-704</v>
      </c>
      <c r="K8" s="16">
        <f t="shared" si="15"/>
        <v>-95</v>
      </c>
      <c r="L8" s="17">
        <v>-799</v>
      </c>
      <c r="M8" s="18">
        <f t="shared" ref="M8" si="16">L8/F8</f>
        <v>0.49906308557151779</v>
      </c>
      <c r="N8" s="16">
        <f t="shared" ref="N8:R8" si="17">N9+N10</f>
        <v>-374</v>
      </c>
      <c r="O8" s="16">
        <f t="shared" si="17"/>
        <v>26</v>
      </c>
      <c r="P8" s="16">
        <f t="shared" si="17"/>
        <v>-348</v>
      </c>
      <c r="Q8" s="19">
        <f t="shared" si="17"/>
        <v>-47.806659999999994</v>
      </c>
      <c r="R8" s="19">
        <f t="shared" si="17"/>
        <v>3.8457699999999995</v>
      </c>
      <c r="S8" s="19">
        <f t="shared" si="1"/>
        <v>-43.960889999999992</v>
      </c>
      <c r="T8" s="19">
        <f>(N9+N10+O10)*0.01</f>
        <v>-3.75</v>
      </c>
      <c r="U8" s="20">
        <f t="shared" si="2"/>
        <v>0.12913107499999998</v>
      </c>
      <c r="V8" s="21">
        <f t="shared" si="3"/>
        <v>0.14791423076923074</v>
      </c>
      <c r="W8" s="21">
        <f t="shared" si="4"/>
        <v>0.12782529411764704</v>
      </c>
      <c r="X8" s="22">
        <f t="shared" si="5"/>
        <v>-47.710889999999992</v>
      </c>
      <c r="Y8" s="23">
        <v>72.08</v>
      </c>
      <c r="Z8" s="24">
        <v>0</v>
      </c>
      <c r="AA8" s="19">
        <v>-98.9</v>
      </c>
      <c r="AB8" s="19">
        <v>33.86</v>
      </c>
      <c r="AC8" s="19">
        <v>-1.43</v>
      </c>
      <c r="AD8" s="22">
        <f t="shared" si="6"/>
        <v>-66.47</v>
      </c>
      <c r="AE8" s="19">
        <v>10</v>
      </c>
      <c r="AF8" s="19">
        <v>11.75</v>
      </c>
      <c r="AG8" s="25">
        <v>0</v>
      </c>
      <c r="AH8" s="25">
        <f t="shared" ref="AH8" si="18">AE8+AF8+AG8</f>
        <v>21.75</v>
      </c>
      <c r="AI8" s="16"/>
      <c r="AJ8" s="26">
        <f>Z8+AH8+AI8</f>
        <v>21.75</v>
      </c>
      <c r="AK8" s="16">
        <f t="shared" ref="AK8:AL8" si="19">AR8-AN8</f>
        <v>349</v>
      </c>
      <c r="AL8" s="16">
        <f t="shared" si="19"/>
        <v>102</v>
      </c>
      <c r="AM8" s="17">
        <v>451</v>
      </c>
      <c r="AN8" s="16">
        <f t="shared" si="8"/>
        <v>-707</v>
      </c>
      <c r="AO8" s="16">
        <f t="shared" si="9"/>
        <v>-95</v>
      </c>
      <c r="AP8" s="17">
        <v>-802</v>
      </c>
      <c r="AQ8" s="18">
        <f t="shared" si="10"/>
        <v>0.50093691442848221</v>
      </c>
      <c r="AR8" s="16">
        <f t="shared" ref="AR8:AV8" si="20">AR9+AR10</f>
        <v>-358</v>
      </c>
      <c r="AS8" s="16">
        <f t="shared" si="20"/>
        <v>7</v>
      </c>
      <c r="AT8" s="16">
        <f t="shared" si="20"/>
        <v>-351</v>
      </c>
      <c r="AU8" s="19">
        <f t="shared" si="20"/>
        <v>-45.9373</v>
      </c>
      <c r="AV8" s="19">
        <f t="shared" si="20"/>
        <v>0.77081</v>
      </c>
      <c r="AW8" s="19">
        <f t="shared" si="11"/>
        <v>-45.166490000000003</v>
      </c>
      <c r="AX8" s="19">
        <f>(AR10+AR9+AS10)*0.01</f>
        <v>-3.64</v>
      </c>
      <c r="AY8" s="19">
        <v>0</v>
      </c>
      <c r="AZ8" s="22">
        <f t="shared" si="12"/>
        <v>-48.806490000000004</v>
      </c>
      <c r="BA8" s="23">
        <v>63.49</v>
      </c>
      <c r="BB8" s="23">
        <v>0</v>
      </c>
      <c r="BC8" s="22">
        <v>11.75</v>
      </c>
      <c r="BD8" s="19"/>
      <c r="BE8" s="26">
        <f t="shared" ref="BE8" si="21">BC8+BB8+BD8</f>
        <v>11.75</v>
      </c>
    </row>
    <row r="9" spans="1:57" ht="14.25" customHeight="1" x14ac:dyDescent="0.3">
      <c r="A9" s="3"/>
      <c r="B9" s="27"/>
      <c r="C9" s="28" t="s">
        <v>29</v>
      </c>
      <c r="D9" s="29"/>
      <c r="E9" s="29"/>
      <c r="F9" s="29"/>
      <c r="G9" s="30">
        <v>273</v>
      </c>
      <c r="H9" s="30">
        <v>104</v>
      </c>
      <c r="I9" s="29"/>
      <c r="J9" s="30">
        <v>-573</v>
      </c>
      <c r="K9" s="30">
        <v>-77</v>
      </c>
      <c r="L9" s="29"/>
      <c r="M9" s="31"/>
      <c r="N9" s="29">
        <v>-300</v>
      </c>
      <c r="O9" s="29">
        <v>27</v>
      </c>
      <c r="P9" s="29">
        <f t="shared" ref="P9:P11" si="22">O9+N9</f>
        <v>-273</v>
      </c>
      <c r="Q9" s="32">
        <f>N9*0.12591</f>
        <v>-37.772999999999996</v>
      </c>
      <c r="R9" s="32">
        <f>O9*0.14969</f>
        <v>4.0416299999999996</v>
      </c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16">
        <f t="shared" ref="AK9:AL9" si="23">AR9-AN9</f>
        <v>-842</v>
      </c>
      <c r="AL9" s="16">
        <f t="shared" si="23"/>
        <v>-64</v>
      </c>
      <c r="AM9" s="29"/>
      <c r="AN9" s="16">
        <f t="shared" si="8"/>
        <v>573</v>
      </c>
      <c r="AO9" s="16">
        <f t="shared" si="9"/>
        <v>77</v>
      </c>
      <c r="AP9" s="29"/>
      <c r="AQ9" s="29"/>
      <c r="AR9" s="29">
        <v>-269</v>
      </c>
      <c r="AS9" s="29">
        <v>13</v>
      </c>
      <c r="AT9" s="29">
        <f t="shared" ref="AT9:AT11" si="24">AS9+AR9</f>
        <v>-256</v>
      </c>
      <c r="AU9" s="32">
        <f>AR9*0.12591</f>
        <v>-33.869790000000002</v>
      </c>
      <c r="AV9" s="32">
        <f>AS9*0.14969</f>
        <v>1.94597</v>
      </c>
      <c r="AW9" s="32"/>
      <c r="AX9" s="32"/>
      <c r="AY9" s="32"/>
      <c r="AZ9" s="32"/>
      <c r="BA9" s="32"/>
      <c r="BB9" s="32"/>
      <c r="BC9" s="32"/>
      <c r="BD9" s="32"/>
      <c r="BE9" s="32"/>
    </row>
    <row r="10" spans="1:57" ht="14.25" customHeight="1" x14ac:dyDescent="0.3">
      <c r="A10" s="3"/>
      <c r="B10" s="27"/>
      <c r="C10" s="28" t="s">
        <v>30</v>
      </c>
      <c r="D10" s="29"/>
      <c r="E10" s="29"/>
      <c r="F10" s="29"/>
      <c r="G10" s="30">
        <v>57</v>
      </c>
      <c r="H10" s="30">
        <v>17</v>
      </c>
      <c r="I10" s="29"/>
      <c r="J10" s="30">
        <v>-131</v>
      </c>
      <c r="K10" s="30">
        <v>-18</v>
      </c>
      <c r="L10" s="29"/>
      <c r="M10" s="31"/>
      <c r="N10" s="29">
        <v>-74</v>
      </c>
      <c r="O10" s="29">
        <v>-1</v>
      </c>
      <c r="P10" s="29">
        <f t="shared" si="22"/>
        <v>-75</v>
      </c>
      <c r="Q10" s="32">
        <f t="shared" ref="Q10:Q11" si="25">N10*0.13559</f>
        <v>-10.033659999999999</v>
      </c>
      <c r="R10" s="32">
        <f t="shared" ref="R10:R11" si="26">O10*0.19586</f>
        <v>-0.19586000000000001</v>
      </c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16">
        <f t="shared" ref="AK10:AL10" si="27">AR10-AN10</f>
        <v>-220</v>
      </c>
      <c r="AL10" s="16">
        <f t="shared" si="27"/>
        <v>-24</v>
      </c>
      <c r="AM10" s="29"/>
      <c r="AN10" s="16">
        <f t="shared" si="8"/>
        <v>131</v>
      </c>
      <c r="AO10" s="16">
        <f t="shared" si="9"/>
        <v>18</v>
      </c>
      <c r="AP10" s="29"/>
      <c r="AQ10" s="29"/>
      <c r="AR10" s="29">
        <v>-89</v>
      </c>
      <c r="AS10" s="29">
        <v>-6</v>
      </c>
      <c r="AT10" s="29">
        <f t="shared" si="24"/>
        <v>-95</v>
      </c>
      <c r="AU10" s="32">
        <f t="shared" ref="AU10:AU11" si="28">AR10*0.13559</f>
        <v>-12.067509999999999</v>
      </c>
      <c r="AV10" s="32">
        <f t="shared" ref="AV10:AV11" si="29">AS10*0.19586</f>
        <v>-1.17516</v>
      </c>
      <c r="AW10" s="32"/>
      <c r="AX10" s="32"/>
      <c r="AY10" s="32"/>
      <c r="AZ10" s="32"/>
      <c r="BA10" s="32"/>
      <c r="BB10" s="32"/>
      <c r="BC10" s="32"/>
      <c r="BD10" s="32"/>
      <c r="BE10" s="32"/>
    </row>
    <row r="11" spans="1:57" ht="14.25" customHeight="1" x14ac:dyDescent="0.3">
      <c r="A11" s="2"/>
      <c r="B11" s="14">
        <v>45481</v>
      </c>
      <c r="C11" s="14">
        <v>45488</v>
      </c>
      <c r="D11" s="16">
        <f>ROUND(J11/M11,0)</f>
        <v>-1547</v>
      </c>
      <c r="E11" s="16">
        <f>ROUND(K11/M11,0)</f>
        <v>-203</v>
      </c>
      <c r="F11" s="17">
        <v>-1750</v>
      </c>
      <c r="G11" s="16">
        <f t="shared" ref="G11:H11" si="30">G12+G13</f>
        <v>393</v>
      </c>
      <c r="H11" s="16">
        <f t="shared" si="30"/>
        <v>250</v>
      </c>
      <c r="I11" s="17">
        <v>643</v>
      </c>
      <c r="J11" s="16">
        <f t="shared" ref="J11:K11" si="31">J12+J13</f>
        <v>-1001</v>
      </c>
      <c r="K11" s="16">
        <f t="shared" si="31"/>
        <v>-131</v>
      </c>
      <c r="L11" s="17">
        <v>-1132</v>
      </c>
      <c r="M11" s="18">
        <f>L11/F11</f>
        <v>0.64685714285714291</v>
      </c>
      <c r="N11" s="16">
        <v>-608</v>
      </c>
      <c r="O11" s="16">
        <v>119</v>
      </c>
      <c r="P11" s="16">
        <f t="shared" si="22"/>
        <v>-489</v>
      </c>
      <c r="Q11" s="19">
        <f t="shared" si="25"/>
        <v>-82.438719999999989</v>
      </c>
      <c r="R11" s="19">
        <f t="shared" si="26"/>
        <v>23.30734</v>
      </c>
      <c r="S11" s="19">
        <f>R11+Q11</f>
        <v>-59.131379999999993</v>
      </c>
      <c r="T11" s="19">
        <f>N11*0.01</f>
        <v>-6.08</v>
      </c>
      <c r="U11" s="20">
        <f>(ABS(Q11)+ABS(R11))/(ABS(N11)+ABS(O11))</f>
        <v>0.14545537826685004</v>
      </c>
      <c r="V11" s="21">
        <f>ABS(R11)/ABS(O11)</f>
        <v>0.19586000000000001</v>
      </c>
      <c r="W11" s="21">
        <f>Q11/N11</f>
        <v>0.13558999999999999</v>
      </c>
      <c r="X11" s="22">
        <f>Q11+R11+T11+0</f>
        <v>-65.211379999999991</v>
      </c>
      <c r="Y11" s="23">
        <v>65.209999999999994</v>
      </c>
      <c r="Z11" s="24">
        <v>0</v>
      </c>
      <c r="AA11" s="19">
        <v>-148.91999999999999</v>
      </c>
      <c r="AB11" s="19">
        <v>23.84</v>
      </c>
      <c r="AC11" s="19">
        <v>-1.88</v>
      </c>
      <c r="AD11" s="22">
        <f>AC11+AB11+AA11</f>
        <v>-126.95999999999998</v>
      </c>
      <c r="AE11" s="19">
        <v>10</v>
      </c>
      <c r="AF11" s="19">
        <v>12.53</v>
      </c>
      <c r="AG11" s="25">
        <v>0</v>
      </c>
      <c r="AH11" s="25">
        <f>AE11+AF11+AG11</f>
        <v>22.53</v>
      </c>
      <c r="AI11" s="16"/>
      <c r="AJ11" s="26">
        <f>Z11+AH11+AI11</f>
        <v>22.53</v>
      </c>
      <c r="AK11" s="16">
        <f t="shared" ref="AK11:AL11" si="32">AR11-AN11</f>
        <v>276</v>
      </c>
      <c r="AL11" s="16">
        <f t="shared" si="32"/>
        <v>53</v>
      </c>
      <c r="AM11" s="17">
        <v>329</v>
      </c>
      <c r="AN11" s="16">
        <f t="shared" si="8"/>
        <v>-546</v>
      </c>
      <c r="AO11" s="16">
        <f t="shared" si="9"/>
        <v>-72</v>
      </c>
      <c r="AP11" s="17">
        <v>-618</v>
      </c>
      <c r="AQ11" s="18">
        <f t="shared" si="10"/>
        <v>0.35314285714285715</v>
      </c>
      <c r="AR11" s="16">
        <v>-270</v>
      </c>
      <c r="AS11" s="16">
        <v>-19</v>
      </c>
      <c r="AT11" s="16">
        <f t="shared" si="24"/>
        <v>-289</v>
      </c>
      <c r="AU11" s="19">
        <f t="shared" si="28"/>
        <v>-36.609299999999998</v>
      </c>
      <c r="AV11" s="19">
        <f t="shared" si="29"/>
        <v>-3.7213400000000001</v>
      </c>
      <c r="AW11" s="19">
        <f>AV11+AU11</f>
        <v>-40.330639999999995</v>
      </c>
      <c r="AX11" s="19">
        <f>AT11*0.01</f>
        <v>-2.89</v>
      </c>
      <c r="AY11" s="19">
        <v>0</v>
      </c>
      <c r="AZ11" s="22">
        <f>AY11+AX11+AW11</f>
        <v>-43.220639999999996</v>
      </c>
      <c r="BA11" s="23">
        <v>106.71</v>
      </c>
      <c r="BB11" s="23">
        <v>0</v>
      </c>
      <c r="BC11" s="22">
        <v>12.53</v>
      </c>
      <c r="BD11" s="19"/>
      <c r="BE11" s="26">
        <f>BC11+BB11+BD11</f>
        <v>12.53</v>
      </c>
    </row>
    <row r="12" spans="1:57" ht="14.25" customHeight="1" x14ac:dyDescent="0.3">
      <c r="A12" s="4"/>
      <c r="B12" s="33"/>
      <c r="C12" s="34" t="s">
        <v>31</v>
      </c>
      <c r="D12" s="35"/>
      <c r="E12" s="35"/>
      <c r="F12" s="35"/>
      <c r="G12" s="34">
        <v>279</v>
      </c>
      <c r="H12" s="34">
        <v>180</v>
      </c>
      <c r="I12" s="35"/>
      <c r="J12" s="34">
        <v>-775</v>
      </c>
      <c r="K12" s="34">
        <v>-109</v>
      </c>
      <c r="L12" s="35"/>
      <c r="M12" s="36"/>
      <c r="N12" s="37"/>
      <c r="O12" s="37"/>
      <c r="P12" s="35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9"/>
      <c r="AI12" s="39"/>
      <c r="AJ12" s="39"/>
      <c r="AK12" s="16">
        <f t="shared" ref="AK12:AL12" si="33">AR12-AN12</f>
        <v>-775</v>
      </c>
      <c r="AL12" s="16">
        <f t="shared" si="33"/>
        <v>-109</v>
      </c>
      <c r="AM12" s="35"/>
      <c r="AN12" s="16">
        <f t="shared" si="8"/>
        <v>775</v>
      </c>
      <c r="AO12" s="16">
        <f t="shared" si="9"/>
        <v>109</v>
      </c>
      <c r="AP12" s="35"/>
      <c r="AQ12" s="35"/>
      <c r="AR12" s="35"/>
      <c r="AS12" s="35"/>
      <c r="AT12" s="35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</row>
    <row r="13" spans="1:57" ht="14.25" customHeight="1" x14ac:dyDescent="0.3">
      <c r="A13" s="4"/>
      <c r="B13" s="33"/>
      <c r="C13" s="34" t="s">
        <v>32</v>
      </c>
      <c r="D13" s="35"/>
      <c r="E13" s="35"/>
      <c r="F13" s="35"/>
      <c r="G13" s="34">
        <v>114</v>
      </c>
      <c r="H13" s="34">
        <v>70</v>
      </c>
      <c r="I13" s="35"/>
      <c r="J13" s="34">
        <v>-226</v>
      </c>
      <c r="K13" s="34">
        <v>-22</v>
      </c>
      <c r="L13" s="35"/>
      <c r="M13" s="36"/>
      <c r="N13" s="37"/>
      <c r="O13" s="37"/>
      <c r="P13" s="35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9"/>
      <c r="AI13" s="39"/>
      <c r="AJ13" s="39"/>
      <c r="AK13" s="16">
        <f t="shared" ref="AK13:AL13" si="34">AR13-AN13</f>
        <v>-226</v>
      </c>
      <c r="AL13" s="16">
        <f t="shared" si="34"/>
        <v>-22</v>
      </c>
      <c r="AM13" s="35"/>
      <c r="AN13" s="16">
        <f t="shared" si="8"/>
        <v>226</v>
      </c>
      <c r="AO13" s="16">
        <f t="shared" si="9"/>
        <v>22</v>
      </c>
      <c r="AP13" s="35"/>
      <c r="AQ13" s="35"/>
      <c r="AR13" s="35"/>
      <c r="AS13" s="35"/>
      <c r="AT13" s="35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</row>
    <row r="14" spans="1:57" ht="14.25" customHeight="1" x14ac:dyDescent="0.3">
      <c r="A14" s="2"/>
      <c r="B14" s="14">
        <v>45510</v>
      </c>
      <c r="C14" s="14">
        <v>45520</v>
      </c>
      <c r="D14" s="16">
        <f>ROUND(J14/M14,0)</f>
        <v>-1214</v>
      </c>
      <c r="E14" s="16">
        <f>ROUND(K14/M14,0)</f>
        <v>-178</v>
      </c>
      <c r="F14" s="17">
        <v>-1392</v>
      </c>
      <c r="G14" s="17">
        <v>224</v>
      </c>
      <c r="H14" s="17">
        <v>158</v>
      </c>
      <c r="I14" s="17">
        <v>382</v>
      </c>
      <c r="J14" s="17">
        <v>-491</v>
      </c>
      <c r="K14" s="17">
        <v>-72</v>
      </c>
      <c r="L14" s="17">
        <v>-563</v>
      </c>
      <c r="M14" s="18">
        <f>L14/F14</f>
        <v>0.40445402298850575</v>
      </c>
      <c r="N14" s="40">
        <f t="shared" ref="N14:P14" si="35">N15+N16</f>
        <v>-267</v>
      </c>
      <c r="O14" s="40">
        <f t="shared" si="35"/>
        <v>86</v>
      </c>
      <c r="P14" s="41">
        <f t="shared" si="35"/>
        <v>-181</v>
      </c>
      <c r="Q14" s="19">
        <f t="shared" ref="Q14:R14" si="36">SUM(Q15:Q16)</f>
        <v>-35.405396597999996</v>
      </c>
      <c r="R14" s="19">
        <f t="shared" si="36"/>
        <v>16.917801365000003</v>
      </c>
      <c r="S14" s="19">
        <f>R14+Q14</f>
        <v>-18.487595232999993</v>
      </c>
      <c r="T14" s="19">
        <f>(N16+N15)*0.01</f>
        <v>-2.67</v>
      </c>
      <c r="U14" s="20">
        <f>(ABS(Q14)+ABS(R14))/(ABS(N14)+ABS(O14))</f>
        <v>0.14822435683569404</v>
      </c>
      <c r="V14" s="21">
        <f>ABS(R14)/ABS(O14)</f>
        <v>0.19671862052325584</v>
      </c>
      <c r="W14" s="21">
        <f>Q14/N14</f>
        <v>0.13260448164044941</v>
      </c>
      <c r="X14" s="22">
        <f>Q14+R14+T14+0</f>
        <v>-21.157595232999995</v>
      </c>
      <c r="Y14" s="23">
        <v>158.44</v>
      </c>
      <c r="Z14" s="24">
        <v>0</v>
      </c>
      <c r="AA14" s="25">
        <v>-46.8</v>
      </c>
      <c r="AB14" s="19">
        <v>17.72</v>
      </c>
      <c r="AC14" s="19">
        <v>0.24</v>
      </c>
      <c r="AD14" s="22">
        <f>AC14+AB14+AA14</f>
        <v>-28.84</v>
      </c>
      <c r="AE14" s="19">
        <v>10</v>
      </c>
      <c r="AF14" s="19">
        <v>11.36</v>
      </c>
      <c r="AG14" s="25">
        <v>0</v>
      </c>
      <c r="AH14" s="25">
        <f>AE14+AF14+AG14</f>
        <v>21.36</v>
      </c>
      <c r="AI14" s="16"/>
      <c r="AJ14" s="26">
        <f>Z14+AH14+AI14</f>
        <v>21.36</v>
      </c>
      <c r="AK14" s="16">
        <f t="shared" ref="AK14:AL14" si="37">AR14-AN14</f>
        <v>409</v>
      </c>
      <c r="AL14" s="16">
        <f t="shared" si="37"/>
        <v>132</v>
      </c>
      <c r="AM14" s="17">
        <v>541</v>
      </c>
      <c r="AN14" s="16">
        <f t="shared" si="8"/>
        <v>-723</v>
      </c>
      <c r="AO14" s="16">
        <f t="shared" si="9"/>
        <v>-106</v>
      </c>
      <c r="AP14" s="17">
        <v>-829</v>
      </c>
      <c r="AQ14" s="18">
        <f t="shared" si="10"/>
        <v>0.59554597701149425</v>
      </c>
      <c r="AR14" s="16">
        <f t="shared" ref="AR14:AT14" si="38">AR15+AR16</f>
        <v>-314</v>
      </c>
      <c r="AS14" s="16">
        <f t="shared" si="38"/>
        <v>26</v>
      </c>
      <c r="AT14" s="16">
        <f t="shared" si="38"/>
        <v>-288</v>
      </c>
      <c r="AU14" s="19">
        <f t="shared" ref="AU14:AV14" si="39">SUM(AU15:AU16)</f>
        <v>-41.637807834999997</v>
      </c>
      <c r="AV14" s="19">
        <f t="shared" si="39"/>
        <v>5.1146840949999994</v>
      </c>
      <c r="AW14" s="19">
        <f>AV14+AU14</f>
        <v>-36.523123739999996</v>
      </c>
      <c r="AX14" s="19">
        <f>(AR16+AR15)*0.01</f>
        <v>-3.14</v>
      </c>
      <c r="AY14" s="19">
        <v>0</v>
      </c>
      <c r="AZ14" s="22">
        <f>AY14+AX14+AW14</f>
        <v>-39.663123739999996</v>
      </c>
      <c r="BA14" s="23">
        <v>146.37</v>
      </c>
      <c r="BB14" s="23">
        <v>0</v>
      </c>
      <c r="BC14" s="22">
        <v>11.36</v>
      </c>
      <c r="BD14" s="19"/>
      <c r="BE14" s="26">
        <f>BC14+BB14+BD14</f>
        <v>11.36</v>
      </c>
    </row>
    <row r="15" spans="1:57" ht="14.25" customHeight="1" x14ac:dyDescent="0.3">
      <c r="A15" s="5"/>
      <c r="B15" s="42"/>
      <c r="C15" s="43" t="s">
        <v>33</v>
      </c>
      <c r="D15" s="44"/>
      <c r="E15" s="44"/>
      <c r="F15" s="44"/>
      <c r="G15" s="44"/>
      <c r="H15" s="44"/>
      <c r="I15" s="44"/>
      <c r="J15" s="44"/>
      <c r="K15" s="44"/>
      <c r="L15" s="44"/>
      <c r="M15" s="45"/>
      <c r="N15" s="44">
        <v>-55.241399999999999</v>
      </c>
      <c r="O15" s="44">
        <v>68.206900000000005</v>
      </c>
      <c r="P15" s="44">
        <f>O15+N15</f>
        <v>12.965500000000006</v>
      </c>
      <c r="Q15" s="46">
        <f>N15*0.12116</f>
        <v>-6.6930480240000003</v>
      </c>
      <c r="R15" s="46">
        <f>O15*0.19586</f>
        <v>13.359003434000002</v>
      </c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1">
        <f t="shared" ref="AK15:AL15" si="40">AR15-AN15</f>
        <v>-64.965500000000006</v>
      </c>
      <c r="AL15" s="41">
        <f t="shared" si="40"/>
        <v>20.620699999999999</v>
      </c>
      <c r="AM15" s="46"/>
      <c r="AN15" s="41">
        <f t="shared" si="8"/>
        <v>0</v>
      </c>
      <c r="AO15" s="41">
        <f t="shared" si="9"/>
        <v>0</v>
      </c>
      <c r="AP15" s="47"/>
      <c r="AQ15" s="48"/>
      <c r="AR15" s="43">
        <v>-64.965500000000006</v>
      </c>
      <c r="AS15" s="47">
        <v>20.620699999999999</v>
      </c>
      <c r="AT15" s="47">
        <f t="shared" ref="AT15:AT17" si="41">AS15+AR15</f>
        <v>-44.344800000000006</v>
      </c>
      <c r="AU15" s="46">
        <f>AR15*0.12116</f>
        <v>-7.8712199800000011</v>
      </c>
      <c r="AV15" s="46">
        <f>AS15*0.19586</f>
        <v>4.0387703019999996</v>
      </c>
      <c r="AW15" s="46"/>
      <c r="AX15" s="46"/>
      <c r="AY15" s="46"/>
      <c r="AZ15" s="46"/>
      <c r="BA15" s="46"/>
      <c r="BB15" s="46"/>
      <c r="BC15" s="46"/>
      <c r="BD15" s="46"/>
      <c r="BE15" s="46"/>
    </row>
    <row r="16" spans="1:57" ht="14.25" customHeight="1" x14ac:dyDescent="0.3">
      <c r="A16" s="5"/>
      <c r="B16" s="42"/>
      <c r="C16" s="43" t="s">
        <v>34</v>
      </c>
      <c r="D16" s="44"/>
      <c r="E16" s="44"/>
      <c r="F16" s="44"/>
      <c r="G16" s="44"/>
      <c r="H16" s="44"/>
      <c r="I16" s="44"/>
      <c r="J16" s="44"/>
      <c r="K16" s="44"/>
      <c r="L16" s="44"/>
      <c r="M16" s="45"/>
      <c r="N16" s="44">
        <v>-211.7586</v>
      </c>
      <c r="O16" s="44">
        <v>17.793099999999999</v>
      </c>
      <c r="P16" s="44">
        <f>N16+O16</f>
        <v>-193.96549999999999</v>
      </c>
      <c r="Q16" s="46">
        <f>N16*0.13559</f>
        <v>-28.712348573999996</v>
      </c>
      <c r="R16" s="46">
        <f t="shared" ref="R16:R17" si="42">O16*0.20001</f>
        <v>3.5587979309999995</v>
      </c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1">
        <f t="shared" ref="AK16:AL16" si="43">AR16-AN16</f>
        <v>-249.03450000000001</v>
      </c>
      <c r="AL16" s="41">
        <f t="shared" si="43"/>
        <v>5.3792999999999997</v>
      </c>
      <c r="AM16" s="46"/>
      <c r="AN16" s="41">
        <f t="shared" si="8"/>
        <v>0</v>
      </c>
      <c r="AO16" s="41">
        <f t="shared" si="9"/>
        <v>0</v>
      </c>
      <c r="AP16" s="47"/>
      <c r="AQ16" s="45"/>
      <c r="AR16" s="47">
        <v>-249.03450000000001</v>
      </c>
      <c r="AS16" s="47">
        <v>5.3792999999999997</v>
      </c>
      <c r="AT16" s="47">
        <f t="shared" si="41"/>
        <v>-243.65520000000001</v>
      </c>
      <c r="AU16" s="46">
        <f>AR16*0.13559</f>
        <v>-33.766587854999997</v>
      </c>
      <c r="AV16" s="46">
        <f t="shared" ref="AV16:AV17" si="44">AS16*0.20001</f>
        <v>1.075913793</v>
      </c>
      <c r="AW16" s="46"/>
      <c r="AX16" s="46"/>
      <c r="AY16" s="46"/>
      <c r="AZ16" s="46"/>
      <c r="BA16" s="46"/>
      <c r="BB16" s="46"/>
      <c r="BC16" s="46"/>
      <c r="BD16" s="46"/>
      <c r="BE16" s="46"/>
    </row>
    <row r="17" spans="1:57" ht="14.25" customHeight="1" x14ac:dyDescent="0.3">
      <c r="A17" s="2"/>
      <c r="B17" s="14">
        <v>45540</v>
      </c>
      <c r="C17" s="14">
        <v>45552</v>
      </c>
      <c r="D17" s="16">
        <f>ROUND(J17/M17,0)</f>
        <v>-1339</v>
      </c>
      <c r="E17" s="16">
        <f>ROUND(K17/M17,0)</f>
        <v>-173</v>
      </c>
      <c r="F17" s="17">
        <v>-1516</v>
      </c>
      <c r="G17" s="16">
        <f t="shared" ref="G17:H17" si="45">G18+G19</f>
        <v>175</v>
      </c>
      <c r="H17" s="16">
        <f t="shared" si="45"/>
        <v>145</v>
      </c>
      <c r="I17" s="17">
        <v>320</v>
      </c>
      <c r="J17" s="16">
        <f t="shared" ref="J17:K17" si="46">J18+J19</f>
        <v>-386</v>
      </c>
      <c r="K17" s="16">
        <f t="shared" si="46"/>
        <v>-50</v>
      </c>
      <c r="L17" s="17">
        <v>-437</v>
      </c>
      <c r="M17" s="18">
        <f>L17/F17</f>
        <v>0.28825857519788917</v>
      </c>
      <c r="N17" s="16">
        <v>-211</v>
      </c>
      <c r="O17" s="16">
        <v>95</v>
      </c>
      <c r="P17" s="16">
        <f>O17+N17</f>
        <v>-116</v>
      </c>
      <c r="Q17" s="19">
        <f>N17*0.12116</f>
        <v>-25.56476</v>
      </c>
      <c r="R17" s="19">
        <f t="shared" si="42"/>
        <v>19.00095</v>
      </c>
      <c r="S17" s="19">
        <f>R17+Q17</f>
        <v>-6.5638100000000001</v>
      </c>
      <c r="T17" s="19">
        <f>N17*0.01</f>
        <v>-2.11</v>
      </c>
      <c r="U17" s="20">
        <f>(ABS(Q17)+ABS(R17))/(ABS(N17)+ABS(O17))</f>
        <v>0.14563957516339868</v>
      </c>
      <c r="V17" s="21">
        <f>ABS(R17)/ABS(O17)</f>
        <v>0.20000999999999999</v>
      </c>
      <c r="W17" s="21">
        <f>Q17/N17</f>
        <v>0.12116</v>
      </c>
      <c r="X17" s="22">
        <f>Q17+R17+T17+0</f>
        <v>-8.6738099999999996</v>
      </c>
      <c r="Y17" s="23">
        <v>167.11</v>
      </c>
      <c r="Z17" s="24">
        <v>0</v>
      </c>
      <c r="AA17" s="19">
        <v>-27.53</v>
      </c>
      <c r="AB17" s="19">
        <v>11.37</v>
      </c>
      <c r="AC17" s="19">
        <v>0.64</v>
      </c>
      <c r="AD17" s="22">
        <f>AC17+AB17+AA17</f>
        <v>-15.520000000000001</v>
      </c>
      <c r="AE17" s="19">
        <v>10</v>
      </c>
      <c r="AF17" s="19">
        <v>11.75</v>
      </c>
      <c r="AG17" s="25">
        <v>0</v>
      </c>
      <c r="AH17" s="25">
        <f>AE17+AF17+AG17</f>
        <v>21.75</v>
      </c>
      <c r="AI17" s="16"/>
      <c r="AJ17" s="26">
        <f>Z17+AH17+AI17</f>
        <v>21.75</v>
      </c>
      <c r="AK17" s="16">
        <f t="shared" ref="AK17:AL17" si="47">AR17-AN17</f>
        <v>519</v>
      </c>
      <c r="AL17" s="16">
        <f t="shared" si="47"/>
        <v>203</v>
      </c>
      <c r="AM17" s="17">
        <v>726</v>
      </c>
      <c r="AN17" s="16">
        <f t="shared" si="8"/>
        <v>-953</v>
      </c>
      <c r="AO17" s="16">
        <f t="shared" si="9"/>
        <v>-123</v>
      </c>
      <c r="AP17" s="17">
        <v>-1079</v>
      </c>
      <c r="AQ17" s="18">
        <f>AP17/F17</f>
        <v>0.71174142480211078</v>
      </c>
      <c r="AR17" s="16">
        <v>-434</v>
      </c>
      <c r="AS17" s="16">
        <v>80</v>
      </c>
      <c r="AT17" s="16">
        <f t="shared" si="41"/>
        <v>-354</v>
      </c>
      <c r="AU17" s="19">
        <f>AR17*0.12116</f>
        <v>-52.583440000000003</v>
      </c>
      <c r="AV17" s="19">
        <f t="shared" si="44"/>
        <v>16.000799999999998</v>
      </c>
      <c r="AW17" s="19">
        <f>AV17+AU17</f>
        <v>-36.582640000000005</v>
      </c>
      <c r="AX17" s="19">
        <f>AR17*0.01</f>
        <v>-4.34</v>
      </c>
      <c r="AY17" s="19">
        <v>0</v>
      </c>
      <c r="AZ17" s="22">
        <f>AY17+AX17+AW17</f>
        <v>-40.922640000000001</v>
      </c>
      <c r="BA17" s="23">
        <v>187.29</v>
      </c>
      <c r="BB17" s="23">
        <v>0</v>
      </c>
      <c r="BC17" s="22">
        <v>11.75</v>
      </c>
      <c r="BD17" s="19"/>
      <c r="BE17" s="26">
        <f>BC17+BB17+BD17</f>
        <v>11.75</v>
      </c>
    </row>
    <row r="18" spans="1:57" ht="14.25" customHeight="1" x14ac:dyDescent="0.3">
      <c r="A18" s="5"/>
      <c r="B18" s="42"/>
      <c r="C18" s="43" t="s">
        <v>35</v>
      </c>
      <c r="D18" s="47"/>
      <c r="E18" s="47"/>
      <c r="F18" s="47"/>
      <c r="G18" s="43">
        <v>149</v>
      </c>
      <c r="H18" s="43">
        <v>128</v>
      </c>
      <c r="I18" s="47"/>
      <c r="J18" s="43">
        <v>-317</v>
      </c>
      <c r="K18" s="43">
        <v>-44</v>
      </c>
      <c r="L18" s="47"/>
      <c r="M18" s="45"/>
      <c r="N18" s="47"/>
      <c r="O18" s="47"/>
      <c r="P18" s="47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7"/>
      <c r="AL18" s="47"/>
      <c r="AM18" s="47"/>
      <c r="AN18" s="47"/>
      <c r="AO18" s="47"/>
      <c r="AP18" s="47"/>
      <c r="AQ18" s="45"/>
      <c r="AR18" s="47"/>
      <c r="AS18" s="47"/>
      <c r="AT18" s="47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</row>
    <row r="19" spans="1:57" ht="14.25" customHeight="1" x14ac:dyDescent="0.3">
      <c r="A19" s="5"/>
      <c r="B19" s="42"/>
      <c r="C19" s="43" t="s">
        <v>36</v>
      </c>
      <c r="D19" s="43"/>
      <c r="E19" s="47"/>
      <c r="F19" s="47"/>
      <c r="G19" s="43">
        <v>26</v>
      </c>
      <c r="H19" s="43">
        <v>17</v>
      </c>
      <c r="I19" s="47"/>
      <c r="J19" s="43">
        <v>-69</v>
      </c>
      <c r="K19" s="43">
        <v>-6</v>
      </c>
      <c r="L19" s="47"/>
      <c r="M19" s="45"/>
      <c r="N19" s="47"/>
      <c r="O19" s="47"/>
      <c r="P19" s="47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7"/>
      <c r="AL19" s="47"/>
      <c r="AM19" s="47"/>
      <c r="AN19" s="47"/>
      <c r="AO19" s="47"/>
      <c r="AP19" s="47"/>
      <c r="AQ19" s="45"/>
      <c r="AR19" s="47"/>
      <c r="AS19" s="47"/>
      <c r="AT19" s="47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</row>
    <row r="20" spans="1:57" ht="14.25" customHeight="1" x14ac:dyDescent="0.3">
      <c r="A20" s="3"/>
      <c r="B20" s="27"/>
      <c r="C20" s="27" t="s">
        <v>30</v>
      </c>
      <c r="D20" s="29"/>
      <c r="E20" s="29"/>
      <c r="F20" s="29"/>
      <c r="G20" s="29"/>
      <c r="H20" s="30"/>
      <c r="I20" s="29"/>
      <c r="J20" s="29"/>
      <c r="K20" s="29"/>
      <c r="L20" s="29"/>
      <c r="M20" s="31"/>
      <c r="N20" s="29">
        <v>-145</v>
      </c>
      <c r="O20" s="29">
        <v>69</v>
      </c>
      <c r="P20" s="29">
        <f t="shared" ref="P20:P22" si="48">O20+N20</f>
        <v>-76</v>
      </c>
      <c r="Q20" s="32">
        <f>N20*0.12116</f>
        <v>-17.568200000000001</v>
      </c>
      <c r="R20" s="32">
        <f>O20*0.20001</f>
        <v>13.800689999999999</v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16">
        <f t="shared" ref="AK20:AL20" si="49">AR20-AN20</f>
        <v>-275</v>
      </c>
      <c r="AL20" s="16">
        <f t="shared" si="49"/>
        <v>99</v>
      </c>
      <c r="AM20" s="29"/>
      <c r="AN20" s="16">
        <f t="shared" ref="AN20:AO22" si="50">D20-J20</f>
        <v>0</v>
      </c>
      <c r="AO20" s="16">
        <f t="shared" si="50"/>
        <v>0</v>
      </c>
      <c r="AP20" s="29"/>
      <c r="AQ20" s="31"/>
      <c r="AR20" s="29">
        <v>-275</v>
      </c>
      <c r="AS20" s="29">
        <v>99</v>
      </c>
      <c r="AT20" s="29">
        <f t="shared" ref="AT20:AT22" si="51">AS20+AR20</f>
        <v>-176</v>
      </c>
      <c r="AU20" s="32">
        <f>AR20*0.12116</f>
        <v>-33.319000000000003</v>
      </c>
      <c r="AV20" s="32">
        <f>AS20*0.20001</f>
        <v>19.800989999999999</v>
      </c>
      <c r="AW20" s="32"/>
      <c r="AX20" s="32"/>
      <c r="AY20" s="32"/>
      <c r="AZ20" s="22"/>
      <c r="BA20" s="23">
        <v>0</v>
      </c>
      <c r="BB20" s="23">
        <v>0</v>
      </c>
      <c r="BC20" s="22"/>
      <c r="BD20" s="32"/>
      <c r="BE20" s="26">
        <f t="shared" ref="BE20:BE22" si="52">BC20+BB20+BD20</f>
        <v>0</v>
      </c>
    </row>
    <row r="21" spans="1:57" ht="14.25" customHeight="1" x14ac:dyDescent="0.3">
      <c r="A21" s="3"/>
      <c r="B21" s="27"/>
      <c r="C21" s="27" t="s">
        <v>29</v>
      </c>
      <c r="D21" s="29"/>
      <c r="E21" s="29"/>
      <c r="F21" s="29"/>
      <c r="G21" s="29"/>
      <c r="H21" s="29"/>
      <c r="I21" s="29"/>
      <c r="J21" s="29"/>
      <c r="K21" s="29"/>
      <c r="L21" s="29"/>
      <c r="M21" s="31"/>
      <c r="N21" s="29">
        <v>2</v>
      </c>
      <c r="O21" s="29">
        <v>62</v>
      </c>
      <c r="P21" s="29">
        <f t="shared" si="48"/>
        <v>64</v>
      </c>
      <c r="Q21" s="32">
        <f>N21*0.11761</f>
        <v>0.23522000000000001</v>
      </c>
      <c r="R21" s="32">
        <f>O21*0.14296</f>
        <v>8.8635199999999994</v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16">
        <f t="shared" ref="AK21:AL21" si="53">AR21-AN21</f>
        <v>-46</v>
      </c>
      <c r="AL21" s="16">
        <f t="shared" si="53"/>
        <v>33</v>
      </c>
      <c r="AM21" s="29"/>
      <c r="AN21" s="16">
        <f t="shared" si="50"/>
        <v>0</v>
      </c>
      <c r="AO21" s="16">
        <f t="shared" si="50"/>
        <v>0</v>
      </c>
      <c r="AP21" s="29"/>
      <c r="AQ21" s="31"/>
      <c r="AR21" s="29">
        <v>-46</v>
      </c>
      <c r="AS21" s="29">
        <v>33</v>
      </c>
      <c r="AT21" s="29">
        <f t="shared" si="51"/>
        <v>-13</v>
      </c>
      <c r="AU21" s="32">
        <f>AR21*0.11761</f>
        <v>-5.4100600000000005</v>
      </c>
      <c r="AV21" s="32">
        <f>AS21*0.14296</f>
        <v>4.7176800000000005</v>
      </c>
      <c r="AW21" s="32"/>
      <c r="AX21" s="32"/>
      <c r="AY21" s="32"/>
      <c r="AZ21" s="22"/>
      <c r="BA21" s="23">
        <v>0</v>
      </c>
      <c r="BB21" s="23">
        <v>0</v>
      </c>
      <c r="BC21" s="22"/>
      <c r="BD21" s="32"/>
      <c r="BE21" s="26">
        <f t="shared" si="52"/>
        <v>0</v>
      </c>
    </row>
    <row r="22" spans="1:57" ht="14.25" customHeight="1" x14ac:dyDescent="0.3">
      <c r="A22" s="2"/>
      <c r="B22" s="14">
        <v>45571</v>
      </c>
      <c r="C22" s="14">
        <v>45581</v>
      </c>
      <c r="D22" s="16">
        <f>ROUND(J22/M22,0)</f>
        <v>-1199</v>
      </c>
      <c r="E22" s="16">
        <f>ROUND(K22/M22,0)</f>
        <v>-93</v>
      </c>
      <c r="F22" s="17">
        <v>-1292</v>
      </c>
      <c r="G22" s="16">
        <f t="shared" ref="G22:H22" si="54">G23+G24</f>
        <v>191</v>
      </c>
      <c r="H22" s="16">
        <f t="shared" si="54"/>
        <v>157</v>
      </c>
      <c r="I22" s="17">
        <v>348</v>
      </c>
      <c r="J22" s="16">
        <f t="shared" ref="J22:K22" si="55">J23+J24</f>
        <v>-334</v>
      </c>
      <c r="K22" s="16">
        <f t="shared" si="55"/>
        <v>-26</v>
      </c>
      <c r="L22" s="17">
        <v>-360</v>
      </c>
      <c r="M22" s="18">
        <f>L22/F22</f>
        <v>0.27863777089783281</v>
      </c>
      <c r="N22" s="16">
        <f t="shared" ref="N22:O22" si="56">N21+N20</f>
        <v>-143</v>
      </c>
      <c r="O22" s="16">
        <f t="shared" si="56"/>
        <v>131</v>
      </c>
      <c r="P22" s="16">
        <f t="shared" si="48"/>
        <v>-12</v>
      </c>
      <c r="Q22" s="19">
        <f t="shared" ref="Q22:R22" si="57">Q20+Q21</f>
        <v>-17.332979999999999</v>
      </c>
      <c r="R22" s="19">
        <f t="shared" si="57"/>
        <v>22.664209999999997</v>
      </c>
      <c r="S22" s="19">
        <f>R22+Q22</f>
        <v>5.3312299999999979</v>
      </c>
      <c r="T22" s="19">
        <f>N20*0.01</f>
        <v>-1.45</v>
      </c>
      <c r="U22" s="20">
        <f>(ABS(Q22)+ABS(R22))/(ABS(N22)+ABS(O22))</f>
        <v>0.14597514598540146</v>
      </c>
      <c r="V22" s="21">
        <f>ABS(R22)/ABS(O22)</f>
        <v>0.17300923664122136</v>
      </c>
      <c r="W22" s="21">
        <f>Q22/N22</f>
        <v>0.12120965034965034</v>
      </c>
      <c r="X22" s="22">
        <f>Q22+R22+T22+0</f>
        <v>3.8812299999999977</v>
      </c>
      <c r="Y22" s="23">
        <v>163.22999999999999</v>
      </c>
      <c r="Z22" s="24">
        <v>0</v>
      </c>
      <c r="AA22" s="19">
        <v>4.42</v>
      </c>
      <c r="AB22" s="19">
        <v>1.01</v>
      </c>
      <c r="AC22" s="19">
        <v>2.1</v>
      </c>
      <c r="AD22" s="22">
        <f>AC22+AB22+AA22</f>
        <v>7.53</v>
      </c>
      <c r="AE22" s="19">
        <v>10</v>
      </c>
      <c r="AF22" s="19">
        <v>12.14</v>
      </c>
      <c r="AG22" s="25">
        <v>0</v>
      </c>
      <c r="AH22" s="25">
        <f>AE22+AF22+AG22</f>
        <v>22.14</v>
      </c>
      <c r="AI22" s="25">
        <v>-55.17</v>
      </c>
      <c r="AJ22" s="26">
        <f>Z22+AH22+AI22</f>
        <v>-33.03</v>
      </c>
      <c r="AK22" s="16">
        <f t="shared" ref="AK22:AL22" si="58">AR22-AN22</f>
        <v>544</v>
      </c>
      <c r="AL22" s="16">
        <f t="shared" si="58"/>
        <v>199</v>
      </c>
      <c r="AM22" s="17">
        <v>743</v>
      </c>
      <c r="AN22" s="16">
        <f t="shared" si="50"/>
        <v>-865</v>
      </c>
      <c r="AO22" s="16">
        <f t="shared" si="50"/>
        <v>-67</v>
      </c>
      <c r="AP22" s="17">
        <v>-932</v>
      </c>
      <c r="AQ22" s="18">
        <f>AP22/F22</f>
        <v>0.72136222910216719</v>
      </c>
      <c r="AR22" s="16">
        <f>AR20+AR21</f>
        <v>-321</v>
      </c>
      <c r="AS22" s="16">
        <f>AS21+AS20</f>
        <v>132</v>
      </c>
      <c r="AT22" s="16">
        <f t="shared" si="51"/>
        <v>-189</v>
      </c>
      <c r="AU22" s="19">
        <f t="shared" ref="AU22:AV22" si="59">AU20+AU21</f>
        <v>-38.729060000000004</v>
      </c>
      <c r="AV22" s="19">
        <f t="shared" si="59"/>
        <v>24.51867</v>
      </c>
      <c r="AW22" s="19">
        <f>AV22+AU22</f>
        <v>-14.210390000000004</v>
      </c>
      <c r="AX22" s="19">
        <f>(AR20+AR21)*0.01</f>
        <v>-3.21</v>
      </c>
      <c r="AY22" s="19">
        <v>0</v>
      </c>
      <c r="AZ22" s="22">
        <f>AY22+AX22+AW22</f>
        <v>-17.420390000000005</v>
      </c>
      <c r="BA22" s="23">
        <v>204.71</v>
      </c>
      <c r="BB22" s="23">
        <v>0</v>
      </c>
      <c r="BC22" s="22">
        <v>12.14</v>
      </c>
      <c r="BD22" s="25">
        <v>-55.17</v>
      </c>
      <c r="BE22" s="26">
        <f t="shared" si="52"/>
        <v>-43.03</v>
      </c>
    </row>
    <row r="23" spans="1:57" ht="14.25" customHeight="1" x14ac:dyDescent="0.3">
      <c r="A23" s="6"/>
      <c r="B23" s="49"/>
      <c r="C23" s="30" t="s">
        <v>30</v>
      </c>
      <c r="D23" s="30"/>
      <c r="E23" s="30"/>
      <c r="F23" s="30"/>
      <c r="G23" s="30">
        <v>129</v>
      </c>
      <c r="H23" s="30">
        <v>92</v>
      </c>
      <c r="I23" s="30"/>
      <c r="J23" s="30">
        <v>-274</v>
      </c>
      <c r="K23" s="30">
        <v>-23</v>
      </c>
      <c r="L23" s="30"/>
      <c r="M23" s="31"/>
      <c r="N23" s="29"/>
      <c r="O23" s="29"/>
      <c r="P23" s="29"/>
      <c r="Q23" s="32"/>
      <c r="R23" s="32"/>
      <c r="S23" s="32"/>
      <c r="T23" s="32"/>
      <c r="U23" s="32"/>
      <c r="V23" s="32"/>
      <c r="W23" s="32"/>
      <c r="X23" s="32"/>
      <c r="Y23" s="32"/>
      <c r="Z23" s="50"/>
      <c r="AA23" s="32"/>
      <c r="AB23" s="32"/>
      <c r="AC23" s="32"/>
      <c r="AD23" s="32"/>
      <c r="AE23" s="32"/>
      <c r="AF23" s="32"/>
      <c r="AG23" s="50"/>
      <c r="AH23" s="50"/>
      <c r="AI23" s="51"/>
      <c r="AJ23" s="32"/>
      <c r="AK23" s="30"/>
      <c r="AL23" s="30"/>
      <c r="AM23" s="30"/>
      <c r="AN23" s="30"/>
      <c r="AO23" s="30"/>
      <c r="AP23" s="30"/>
      <c r="AQ23" s="31"/>
      <c r="AR23" s="29"/>
      <c r="AS23" s="29"/>
      <c r="AT23" s="29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</row>
    <row r="24" spans="1:57" ht="14.25" customHeight="1" x14ac:dyDescent="0.3">
      <c r="A24" s="6"/>
      <c r="B24" s="49"/>
      <c r="C24" s="30" t="s">
        <v>29</v>
      </c>
      <c r="D24" s="30"/>
      <c r="E24" s="30"/>
      <c r="F24" s="30"/>
      <c r="G24" s="30">
        <v>62</v>
      </c>
      <c r="H24" s="30">
        <v>65</v>
      </c>
      <c r="I24" s="30"/>
      <c r="J24" s="30">
        <v>-60</v>
      </c>
      <c r="K24" s="30">
        <v>-3</v>
      </c>
      <c r="L24" s="30"/>
      <c r="M24" s="31"/>
      <c r="N24" s="29"/>
      <c r="O24" s="29"/>
      <c r="P24" s="29"/>
      <c r="Q24" s="32"/>
      <c r="R24" s="32"/>
      <c r="S24" s="32"/>
      <c r="T24" s="32"/>
      <c r="U24" s="32"/>
      <c r="V24" s="32"/>
      <c r="W24" s="32"/>
      <c r="X24" s="32"/>
      <c r="Y24" s="32"/>
      <c r="Z24" s="50"/>
      <c r="AA24" s="32"/>
      <c r="AB24" s="32"/>
      <c r="AC24" s="32"/>
      <c r="AD24" s="32"/>
      <c r="AE24" s="32"/>
      <c r="AF24" s="32"/>
      <c r="AG24" s="50"/>
      <c r="AH24" s="50"/>
      <c r="AI24" s="51"/>
      <c r="AJ24" s="32"/>
      <c r="AK24" s="30"/>
      <c r="AL24" s="30"/>
      <c r="AM24" s="30"/>
      <c r="AN24" s="30"/>
      <c r="AO24" s="30"/>
      <c r="AP24" s="30"/>
      <c r="AQ24" s="31"/>
      <c r="AR24" s="29"/>
      <c r="AS24" s="29"/>
      <c r="AT24" s="29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</row>
    <row r="25" spans="1:57" ht="14.25" customHeight="1" x14ac:dyDescent="0.3">
      <c r="A25" s="7"/>
      <c r="B25" s="52">
        <v>45600</v>
      </c>
      <c r="C25" s="52">
        <v>45610</v>
      </c>
      <c r="D25" s="53">
        <f t="shared" ref="D25:D27" si="60">ROUND(J25/M25,0)</f>
        <v>-973</v>
      </c>
      <c r="E25" s="53">
        <f t="shared" ref="E25:E27" si="61">ROUND(K25/M25,0)</f>
        <v>-17</v>
      </c>
      <c r="F25" s="53">
        <v>-990</v>
      </c>
      <c r="G25" s="53">
        <v>219</v>
      </c>
      <c r="H25" s="53">
        <v>197</v>
      </c>
      <c r="I25" s="53">
        <v>416</v>
      </c>
      <c r="J25" s="53">
        <v>-351</v>
      </c>
      <c r="K25" s="53">
        <v>-6</v>
      </c>
      <c r="L25" s="53">
        <v>-357</v>
      </c>
      <c r="M25" s="54">
        <f t="shared" ref="M25:M27" si="62">L25/F25</f>
        <v>0.3606060606060606</v>
      </c>
      <c r="N25" s="55">
        <v>-132</v>
      </c>
      <c r="O25" s="55">
        <v>191</v>
      </c>
      <c r="P25" s="55">
        <f t="shared" ref="P25:P27" si="63">O25+N25</f>
        <v>59</v>
      </c>
      <c r="Q25" s="56">
        <f t="shared" ref="Q25:Q27" si="64">N25*0.11761</f>
        <v>-15.524520000000001</v>
      </c>
      <c r="R25" s="56">
        <f t="shared" ref="R25:R27" si="65">O25*0.14296</f>
        <v>27.30536</v>
      </c>
      <c r="S25" s="56">
        <f t="shared" ref="S25:S27" si="66">R25+Q25</f>
        <v>11.78084</v>
      </c>
      <c r="T25" s="56">
        <f>N25*0.01</f>
        <v>-1.32</v>
      </c>
      <c r="U25" s="20">
        <f t="shared" ref="U25:U27" si="67">(ABS(Q25)+ABS(R25))/(ABS(N25)+ABS(O25))</f>
        <v>0.13260024767801859</v>
      </c>
      <c r="V25" s="21">
        <f t="shared" ref="V25:V27" si="68">ABS(R25)/ABS(O25)</f>
        <v>0.14296</v>
      </c>
      <c r="W25" s="21">
        <f t="shared" ref="W25:W27" si="69">Q25/N25</f>
        <v>0.11761000000000001</v>
      </c>
      <c r="X25" s="22">
        <f t="shared" ref="X25:X26" si="70">Q25+R25+T25+0.02</f>
        <v>10.480839999999999</v>
      </c>
      <c r="Y25" s="23">
        <v>152.74</v>
      </c>
      <c r="Z25" s="24">
        <v>0</v>
      </c>
      <c r="AA25" s="56">
        <v>27.92</v>
      </c>
      <c r="AB25" s="56">
        <v>-5.97</v>
      </c>
      <c r="AC25" s="56">
        <v>3.43</v>
      </c>
      <c r="AD25" s="22">
        <f t="shared" ref="AD25:AD27" si="71">AC25+AB25+AA25</f>
        <v>25.380000000000003</v>
      </c>
      <c r="AE25" s="56">
        <v>10</v>
      </c>
      <c r="AF25" s="56">
        <v>11.36</v>
      </c>
      <c r="AG25" s="57">
        <v>0</v>
      </c>
      <c r="AH25" s="57">
        <f t="shared" ref="AH25:AH27" si="72">AE25+AF25+AG25</f>
        <v>21.36</v>
      </c>
      <c r="AI25" s="58"/>
      <c r="AJ25" s="26">
        <f>Z25+AH25+AI25</f>
        <v>21.36</v>
      </c>
      <c r="AK25" s="53">
        <v>487</v>
      </c>
      <c r="AL25" s="53">
        <v>168</v>
      </c>
      <c r="AM25" s="53">
        <v>655</v>
      </c>
      <c r="AN25" s="53">
        <v>-622</v>
      </c>
      <c r="AO25" s="53">
        <v>-11</v>
      </c>
      <c r="AP25" s="53">
        <v>-633</v>
      </c>
      <c r="AQ25" s="54">
        <f>AP25/F25</f>
        <v>0.6393939393939394</v>
      </c>
      <c r="AR25" s="55">
        <v>-135</v>
      </c>
      <c r="AS25" s="55">
        <v>157</v>
      </c>
      <c r="AT25" s="55">
        <f t="shared" ref="AT25:AT27" si="73">AS25+AR25</f>
        <v>22</v>
      </c>
      <c r="AU25" s="56">
        <f t="shared" ref="AU25:AU27" si="74">AR25*0.11761</f>
        <v>-15.877350000000002</v>
      </c>
      <c r="AV25" s="56">
        <f t="shared" ref="AV25:AV27" si="75">AS25*0.14296</f>
        <v>22.44472</v>
      </c>
      <c r="AW25" s="56">
        <f t="shared" ref="AW25:AW27" si="76">AV25+AU25</f>
        <v>6.5673699999999986</v>
      </c>
      <c r="AX25" s="56">
        <f>AR25*0.01</f>
        <v>-1.35</v>
      </c>
      <c r="AY25" s="56">
        <v>0.01</v>
      </c>
      <c r="AZ25" s="22">
        <f t="shared" ref="AZ25:AZ27" si="77">AY25+AX25+AW25</f>
        <v>5.2273699999999987</v>
      </c>
      <c r="BA25" s="23">
        <v>199.49</v>
      </c>
      <c r="BB25" s="23">
        <v>0</v>
      </c>
      <c r="BC25" s="22">
        <v>11.36</v>
      </c>
      <c r="BD25" s="56"/>
      <c r="BE25" s="26">
        <f t="shared" ref="BE25:BE27" si="78">BC25+BB25+BD25</f>
        <v>11.36</v>
      </c>
    </row>
    <row r="26" spans="1:57" ht="14.25" customHeight="1" x14ac:dyDescent="0.3">
      <c r="A26" s="2"/>
      <c r="B26" s="14">
        <v>45631</v>
      </c>
      <c r="C26" s="14">
        <v>45643</v>
      </c>
      <c r="D26" s="16">
        <f t="shared" si="60"/>
        <v>-605</v>
      </c>
      <c r="E26" s="16">
        <f t="shared" si="61"/>
        <v>0</v>
      </c>
      <c r="F26" s="17">
        <v>-605</v>
      </c>
      <c r="G26" s="17">
        <v>350</v>
      </c>
      <c r="H26" s="17">
        <v>214</v>
      </c>
      <c r="I26" s="17">
        <v>564</v>
      </c>
      <c r="J26" s="17">
        <v>-206</v>
      </c>
      <c r="K26" s="17">
        <v>0</v>
      </c>
      <c r="L26" s="17">
        <v>-206</v>
      </c>
      <c r="M26" s="18">
        <f t="shared" si="62"/>
        <v>0.34049586776859503</v>
      </c>
      <c r="N26" s="16">
        <v>144</v>
      </c>
      <c r="O26" s="16">
        <v>214</v>
      </c>
      <c r="P26" s="16">
        <f t="shared" si="63"/>
        <v>358</v>
      </c>
      <c r="Q26" s="19">
        <f t="shared" si="64"/>
        <v>16.935840000000002</v>
      </c>
      <c r="R26" s="19">
        <f t="shared" si="65"/>
        <v>30.593440000000001</v>
      </c>
      <c r="S26" s="19">
        <f t="shared" si="66"/>
        <v>47.52928</v>
      </c>
      <c r="T26" s="19">
        <v>0</v>
      </c>
      <c r="U26" s="20">
        <f t="shared" si="67"/>
        <v>0.13276335195530725</v>
      </c>
      <c r="V26" s="21">
        <f t="shared" si="68"/>
        <v>0.14296</v>
      </c>
      <c r="W26" s="21">
        <f t="shared" si="69"/>
        <v>0.11761000000000002</v>
      </c>
      <c r="X26" s="22">
        <f t="shared" si="70"/>
        <v>47.549280000000003</v>
      </c>
      <c r="Y26" s="23">
        <v>105.1</v>
      </c>
      <c r="Z26" s="24">
        <v>0</v>
      </c>
      <c r="AA26" s="19">
        <v>120.14</v>
      </c>
      <c r="AB26" s="19">
        <v>-36.22</v>
      </c>
      <c r="AC26" s="19">
        <v>8.11</v>
      </c>
      <c r="AD26" s="22">
        <f t="shared" si="71"/>
        <v>92.03</v>
      </c>
      <c r="AE26" s="19">
        <v>10</v>
      </c>
      <c r="AF26" s="19">
        <v>12.14</v>
      </c>
      <c r="AG26" s="25">
        <v>0</v>
      </c>
      <c r="AH26" s="25">
        <f t="shared" si="72"/>
        <v>22.14</v>
      </c>
      <c r="AI26" s="59"/>
      <c r="AJ26" s="26">
        <f>Z26+AH26+AI26</f>
        <v>22.14</v>
      </c>
      <c r="AK26" s="16">
        <f t="shared" ref="AK26:AL26" si="79">AR26-AN26</f>
        <v>599</v>
      </c>
      <c r="AL26" s="16">
        <f t="shared" si="79"/>
        <v>242</v>
      </c>
      <c r="AM26" s="17">
        <v>841</v>
      </c>
      <c r="AN26" s="16">
        <f>D26-J26</f>
        <v>-399</v>
      </c>
      <c r="AO26" s="16">
        <f>E26-K26</f>
        <v>0</v>
      </c>
      <c r="AP26" s="17">
        <v>-399</v>
      </c>
      <c r="AQ26" s="18">
        <f>AP26/F26</f>
        <v>0.65950413223140492</v>
      </c>
      <c r="AR26" s="16">
        <v>200</v>
      </c>
      <c r="AS26" s="16">
        <v>242</v>
      </c>
      <c r="AT26" s="16">
        <f t="shared" si="73"/>
        <v>442</v>
      </c>
      <c r="AU26" s="19">
        <f t="shared" si="74"/>
        <v>23.522000000000002</v>
      </c>
      <c r="AV26" s="19">
        <f t="shared" si="75"/>
        <v>34.596319999999999</v>
      </c>
      <c r="AW26" s="19">
        <f t="shared" si="76"/>
        <v>58.118319999999997</v>
      </c>
      <c r="AX26" s="19">
        <v>0</v>
      </c>
      <c r="AY26" s="19">
        <v>0.13</v>
      </c>
      <c r="AZ26" s="22">
        <f t="shared" si="77"/>
        <v>58.24832</v>
      </c>
      <c r="BA26" s="23">
        <v>141.24</v>
      </c>
      <c r="BB26" s="23">
        <v>0</v>
      </c>
      <c r="BC26" s="22">
        <v>12.14</v>
      </c>
      <c r="BD26" s="19"/>
      <c r="BE26" s="26">
        <f t="shared" si="78"/>
        <v>12.14</v>
      </c>
    </row>
    <row r="27" spans="1:57" ht="14.25" customHeight="1" x14ac:dyDescent="0.3">
      <c r="A27" s="2"/>
      <c r="B27" s="14">
        <v>45663</v>
      </c>
      <c r="C27" s="14">
        <v>45673</v>
      </c>
      <c r="D27" s="16">
        <f t="shared" si="60"/>
        <v>-309</v>
      </c>
      <c r="E27" s="16">
        <f t="shared" si="61"/>
        <v>0</v>
      </c>
      <c r="F27" s="17">
        <v>-309</v>
      </c>
      <c r="G27" s="16">
        <f t="shared" ref="G27:H27" si="80">G28+G29</f>
        <v>489</v>
      </c>
      <c r="H27" s="16">
        <f t="shared" si="80"/>
        <v>332</v>
      </c>
      <c r="I27" s="17">
        <v>821</v>
      </c>
      <c r="J27" s="16">
        <f t="shared" ref="J27:K27" si="81">J28+J29</f>
        <v>-210</v>
      </c>
      <c r="K27" s="16">
        <f t="shared" si="81"/>
        <v>0</v>
      </c>
      <c r="L27" s="17">
        <v>-210</v>
      </c>
      <c r="M27" s="18">
        <f t="shared" si="62"/>
        <v>0.67961165048543692</v>
      </c>
      <c r="N27" s="16">
        <v>279</v>
      </c>
      <c r="O27" s="16">
        <v>332</v>
      </c>
      <c r="P27" s="16">
        <f t="shared" si="63"/>
        <v>611</v>
      </c>
      <c r="Q27" s="19">
        <f t="shared" si="64"/>
        <v>32.813189999999999</v>
      </c>
      <c r="R27" s="19">
        <f t="shared" si="65"/>
        <v>47.462720000000004</v>
      </c>
      <c r="S27" s="19">
        <f t="shared" si="66"/>
        <v>80.27591000000001</v>
      </c>
      <c r="T27" s="19">
        <v>0</v>
      </c>
      <c r="U27" s="20">
        <f t="shared" si="67"/>
        <v>0.1313844680851064</v>
      </c>
      <c r="V27" s="21">
        <f t="shared" si="68"/>
        <v>0.14296</v>
      </c>
      <c r="W27" s="21">
        <f t="shared" si="69"/>
        <v>0.11760999999999999</v>
      </c>
      <c r="X27" s="22">
        <f>Q27+R27+T27+0.18</f>
        <v>80.455910000000017</v>
      </c>
      <c r="Y27" s="23">
        <v>24.65</v>
      </c>
      <c r="Z27" s="24">
        <v>0</v>
      </c>
      <c r="AA27" s="19">
        <v>201.73</v>
      </c>
      <c r="AB27" s="19">
        <v>-41.77</v>
      </c>
      <c r="AC27" s="19">
        <v>12.56</v>
      </c>
      <c r="AD27" s="22">
        <f t="shared" si="71"/>
        <v>172.51999999999998</v>
      </c>
      <c r="AE27" s="19">
        <v>10</v>
      </c>
      <c r="AF27" s="19">
        <v>12.53</v>
      </c>
      <c r="AG27" s="25">
        <v>0</v>
      </c>
      <c r="AH27" s="25">
        <f t="shared" si="72"/>
        <v>22.53</v>
      </c>
      <c r="AI27" s="59"/>
      <c r="AJ27" s="26">
        <f>Z27+AH27+AI27</f>
        <v>22.53</v>
      </c>
      <c r="AK27" s="16">
        <f t="shared" ref="AK27:AL27" si="82">AR27-AN27</f>
        <v>693</v>
      </c>
      <c r="AL27" s="16">
        <f t="shared" si="82"/>
        <v>231</v>
      </c>
      <c r="AM27" s="17">
        <v>924</v>
      </c>
      <c r="AN27" s="16">
        <f>D27-J27</f>
        <v>-99</v>
      </c>
      <c r="AO27" s="16">
        <f>E27-K27</f>
        <v>0</v>
      </c>
      <c r="AP27" s="17">
        <v>-99</v>
      </c>
      <c r="AQ27" s="18">
        <f>AP27/F27</f>
        <v>0.32038834951456313</v>
      </c>
      <c r="AR27" s="16">
        <v>594</v>
      </c>
      <c r="AS27" s="16">
        <v>231</v>
      </c>
      <c r="AT27" s="16">
        <f t="shared" si="73"/>
        <v>825</v>
      </c>
      <c r="AU27" s="19">
        <f t="shared" si="74"/>
        <v>69.860340000000008</v>
      </c>
      <c r="AV27" s="19">
        <f t="shared" si="75"/>
        <v>33.023760000000003</v>
      </c>
      <c r="AW27" s="19">
        <f t="shared" si="76"/>
        <v>102.88410000000002</v>
      </c>
      <c r="AX27" s="19">
        <v>0</v>
      </c>
      <c r="AY27" s="19">
        <v>0.25</v>
      </c>
      <c r="AZ27" s="22">
        <f t="shared" si="77"/>
        <v>103.13410000000002</v>
      </c>
      <c r="BA27" s="24">
        <v>38.11</v>
      </c>
      <c r="BB27" s="23">
        <v>0</v>
      </c>
      <c r="BC27" s="22">
        <v>12.53</v>
      </c>
      <c r="BD27" s="19"/>
      <c r="BE27" s="26">
        <f t="shared" si="78"/>
        <v>12.53</v>
      </c>
    </row>
    <row r="28" spans="1:57" ht="14.25" customHeight="1" x14ac:dyDescent="0.3">
      <c r="A28" s="4"/>
      <c r="B28" s="33"/>
      <c r="C28" s="34" t="s">
        <v>37</v>
      </c>
      <c r="D28" s="34"/>
      <c r="E28" s="34"/>
      <c r="F28" s="34"/>
      <c r="G28" s="34">
        <v>370</v>
      </c>
      <c r="H28" s="34">
        <v>241</v>
      </c>
      <c r="I28" s="35"/>
      <c r="J28" s="34">
        <v>-192</v>
      </c>
      <c r="K28" s="34">
        <v>0</v>
      </c>
      <c r="L28" s="34"/>
      <c r="M28" s="34"/>
      <c r="N28" s="34"/>
      <c r="O28" s="34"/>
      <c r="P28" s="34"/>
      <c r="Q28" s="39"/>
      <c r="R28" s="39"/>
      <c r="S28" s="38"/>
      <c r="T28" s="39"/>
      <c r="U28" s="39"/>
      <c r="V28" s="39"/>
      <c r="W28" s="39"/>
      <c r="X28" s="39"/>
      <c r="Y28" s="39"/>
      <c r="Z28" s="38"/>
      <c r="AA28" s="39"/>
      <c r="AB28" s="38"/>
      <c r="AC28" s="38"/>
      <c r="AD28" s="38"/>
      <c r="AE28" s="38"/>
      <c r="AF28" s="38"/>
      <c r="AG28" s="39"/>
      <c r="AH28" s="39"/>
      <c r="AI28" s="60"/>
      <c r="AJ28" s="38"/>
      <c r="AK28" s="35"/>
      <c r="AL28" s="35"/>
      <c r="AM28" s="34"/>
      <c r="AN28" s="34"/>
      <c r="AO28" s="34"/>
      <c r="AP28" s="34"/>
      <c r="AQ28" s="36"/>
      <c r="AR28" s="35"/>
      <c r="AS28" s="35"/>
      <c r="AT28" s="35"/>
      <c r="AU28" s="38"/>
      <c r="AV28" s="38"/>
      <c r="AW28" s="38"/>
      <c r="AX28" s="38"/>
      <c r="AY28" s="38"/>
      <c r="AZ28" s="38"/>
      <c r="BA28" s="38"/>
      <c r="BB28" s="39"/>
      <c r="BC28" s="38"/>
      <c r="BD28" s="38"/>
      <c r="BE28" s="38"/>
    </row>
    <row r="29" spans="1:57" ht="14.25" customHeight="1" x14ac:dyDescent="0.3">
      <c r="A29" s="4"/>
      <c r="B29" s="33"/>
      <c r="C29" s="34" t="s">
        <v>38</v>
      </c>
      <c r="D29" s="34"/>
      <c r="E29" s="34"/>
      <c r="F29" s="34"/>
      <c r="G29" s="34">
        <v>119</v>
      </c>
      <c r="H29" s="34">
        <v>91</v>
      </c>
      <c r="I29" s="35"/>
      <c r="J29" s="34">
        <v>-18</v>
      </c>
      <c r="K29" s="34">
        <v>0</v>
      </c>
      <c r="L29" s="34"/>
      <c r="M29" s="34"/>
      <c r="N29" s="34"/>
      <c r="O29" s="34"/>
      <c r="P29" s="34"/>
      <c r="Q29" s="39"/>
      <c r="R29" s="39"/>
      <c r="S29" s="38"/>
      <c r="T29" s="39"/>
      <c r="U29" s="39"/>
      <c r="V29" s="39"/>
      <c r="W29" s="39"/>
      <c r="X29" s="39"/>
      <c r="Y29" s="39"/>
      <c r="Z29" s="38"/>
      <c r="AA29" s="39"/>
      <c r="AB29" s="38"/>
      <c r="AC29" s="38"/>
      <c r="AD29" s="38"/>
      <c r="AE29" s="38"/>
      <c r="AF29" s="38"/>
      <c r="AG29" s="39"/>
      <c r="AH29" s="39"/>
      <c r="AI29" s="60"/>
      <c r="AJ29" s="38"/>
      <c r="AK29" s="35"/>
      <c r="AL29" s="35"/>
      <c r="AM29" s="34"/>
      <c r="AN29" s="34"/>
      <c r="AO29" s="34"/>
      <c r="AP29" s="34"/>
      <c r="AQ29" s="36"/>
      <c r="AR29" s="35"/>
      <c r="AS29" s="35"/>
      <c r="AT29" s="35"/>
      <c r="AU29" s="38"/>
      <c r="AV29" s="38"/>
      <c r="AW29" s="38"/>
      <c r="AX29" s="38"/>
      <c r="AY29" s="38"/>
      <c r="AZ29" s="38"/>
      <c r="BA29" s="38"/>
      <c r="BB29" s="39"/>
      <c r="BC29" s="38"/>
      <c r="BD29" s="38"/>
      <c r="BE29" s="38"/>
    </row>
    <row r="30" spans="1:57" ht="14.25" customHeight="1" x14ac:dyDescent="0.3">
      <c r="A30" s="2"/>
      <c r="B30" s="14">
        <v>45692</v>
      </c>
      <c r="C30" s="14">
        <v>45707</v>
      </c>
      <c r="D30" s="17">
        <v>0</v>
      </c>
      <c r="E30" s="17">
        <v>0</v>
      </c>
      <c r="F30" s="17">
        <v>0</v>
      </c>
      <c r="G30" s="17">
        <v>615</v>
      </c>
      <c r="H30" s="17">
        <v>332</v>
      </c>
      <c r="I30" s="16">
        <f>G30+H30</f>
        <v>947</v>
      </c>
      <c r="J30" s="17">
        <v>0</v>
      </c>
      <c r="K30" s="17">
        <v>-190</v>
      </c>
      <c r="L30" s="17">
        <v>-190</v>
      </c>
      <c r="M30" s="61" t="s">
        <v>14</v>
      </c>
      <c r="N30" s="17">
        <v>615</v>
      </c>
      <c r="O30" s="17">
        <v>142</v>
      </c>
      <c r="P30" s="17">
        <v>757</v>
      </c>
      <c r="Q30" s="25">
        <v>72.33</v>
      </c>
      <c r="R30" s="25">
        <v>20.3</v>
      </c>
      <c r="S30" s="19">
        <f>R30+Q30</f>
        <v>92.63</v>
      </c>
      <c r="T30" s="25">
        <v>-10</v>
      </c>
      <c r="U30" s="20">
        <f t="shared" ref="U30:U31" si="83">(ABS(Q30)+ABS(R30))/(ABS(N30)+ABS(O30))</f>
        <v>0.12236459709379127</v>
      </c>
      <c r="V30" s="21">
        <f t="shared" ref="V30:V31" si="84">ABS(R30)/ABS(O30)</f>
        <v>0.14295774647887324</v>
      </c>
      <c r="W30" s="21">
        <f t="shared" ref="W30:W31" si="85">Q30/N30</f>
        <v>0.11760975609756097</v>
      </c>
      <c r="X30" s="22">
        <f>Q30+R30+T30</f>
        <v>82.63</v>
      </c>
      <c r="Y30" s="24">
        <v>0</v>
      </c>
      <c r="Z30" s="23">
        <f>X30-14.65+0.23</f>
        <v>68.209999999999994</v>
      </c>
      <c r="AA30" s="25">
        <v>248.1</v>
      </c>
      <c r="AB30" s="19">
        <v>-37.92</v>
      </c>
      <c r="AC30" s="19">
        <v>14.16</v>
      </c>
      <c r="AD30" s="22">
        <f>AC30+AB30+AA30</f>
        <v>224.34</v>
      </c>
      <c r="AE30" s="19">
        <v>10</v>
      </c>
      <c r="AF30" s="19">
        <v>11.36</v>
      </c>
      <c r="AG30" s="25">
        <v>0</v>
      </c>
      <c r="AH30" s="25">
        <f t="shared" ref="AH30:AH31" si="86">AE30+AF30+AG30</f>
        <v>21.36</v>
      </c>
      <c r="AI30" s="59"/>
      <c r="AJ30" s="26">
        <f>Z30+AH30+AI30</f>
        <v>89.57</v>
      </c>
      <c r="AK30" s="16">
        <f t="shared" ref="AK30:AL30" si="87">AR30-AN30</f>
        <v>732</v>
      </c>
      <c r="AL30" s="16">
        <f t="shared" si="87"/>
        <v>9</v>
      </c>
      <c r="AM30" s="17">
        <v>741</v>
      </c>
      <c r="AN30" s="16">
        <f>D30-J30</f>
        <v>0</v>
      </c>
      <c r="AO30" s="16">
        <f>E30-K30</f>
        <v>190</v>
      </c>
      <c r="AP30" s="17">
        <v>190</v>
      </c>
      <c r="AQ30" s="61" t="s">
        <v>14</v>
      </c>
      <c r="AR30" s="16">
        <v>732</v>
      </c>
      <c r="AS30" s="16">
        <v>199</v>
      </c>
      <c r="AT30" s="16">
        <f t="shared" ref="AT30:AT32" si="88">AS30+AR30</f>
        <v>931</v>
      </c>
      <c r="AU30" s="19">
        <f>AR30*0.11761</f>
        <v>86.090519999999998</v>
      </c>
      <c r="AV30" s="19">
        <f>AS30*0.14296</f>
        <v>28.44904</v>
      </c>
      <c r="AW30" s="19">
        <f t="shared" ref="AW30:AW31" si="89">AV30+AU30</f>
        <v>114.53955999999999</v>
      </c>
      <c r="AX30" s="19">
        <v>0</v>
      </c>
      <c r="AY30" s="19">
        <v>0.28000000000000003</v>
      </c>
      <c r="AZ30" s="22">
        <f t="shared" ref="AZ30:AZ31" si="90">AY30+AX30+AW30</f>
        <v>114.81956</v>
      </c>
      <c r="BA30" s="23">
        <v>0</v>
      </c>
      <c r="BB30" s="24">
        <v>76.709999999999994</v>
      </c>
      <c r="BC30" s="22">
        <v>11.36</v>
      </c>
      <c r="BD30" s="19"/>
      <c r="BE30" s="26">
        <f t="shared" ref="BE30:BE31" si="91">BC30+BB30+BD30</f>
        <v>88.07</v>
      </c>
    </row>
    <row r="31" spans="1:57" ht="14.25" customHeight="1" x14ac:dyDescent="0.3">
      <c r="A31" s="2"/>
      <c r="B31" s="14">
        <v>45722</v>
      </c>
      <c r="C31" s="14">
        <v>45730</v>
      </c>
      <c r="D31" s="16">
        <f>ROUND(J31/M31,0)</f>
        <v>-760</v>
      </c>
      <c r="E31" s="16">
        <f>ROUND(K31/M31,0)</f>
        <v>-2</v>
      </c>
      <c r="F31" s="17">
        <v>-762</v>
      </c>
      <c r="G31" s="16">
        <f t="shared" ref="G31:H31" si="92">G32+G33</f>
        <v>321</v>
      </c>
      <c r="H31" s="16">
        <f t="shared" si="92"/>
        <v>286</v>
      </c>
      <c r="I31" s="17">
        <v>607</v>
      </c>
      <c r="J31" s="16">
        <f t="shared" ref="J31:K31" si="93">J32+J33</f>
        <v>-304</v>
      </c>
      <c r="K31" s="16">
        <f t="shared" si="93"/>
        <v>-1</v>
      </c>
      <c r="L31" s="17">
        <v>-305</v>
      </c>
      <c r="M31" s="18">
        <f>L31/F31</f>
        <v>0.40026246719160102</v>
      </c>
      <c r="N31" s="17">
        <v>17</v>
      </c>
      <c r="O31" s="17">
        <v>285</v>
      </c>
      <c r="P31" s="17">
        <v>302</v>
      </c>
      <c r="Q31" s="25">
        <f t="shared" ref="Q31:S31" si="94">Q32+Q33</f>
        <v>1.9100000000000001</v>
      </c>
      <c r="R31" s="25">
        <f t="shared" si="94"/>
        <v>38.949999999999996</v>
      </c>
      <c r="S31" s="25">
        <f t="shared" si="94"/>
        <v>40.859999999999992</v>
      </c>
      <c r="T31" s="25">
        <v>0</v>
      </c>
      <c r="U31" s="20">
        <f t="shared" si="83"/>
        <v>0.1352980132450331</v>
      </c>
      <c r="V31" s="21">
        <f t="shared" si="84"/>
        <v>0.13666666666666666</v>
      </c>
      <c r="W31" s="21">
        <f t="shared" si="85"/>
        <v>0.1123529411764706</v>
      </c>
      <c r="X31" s="22">
        <f>Q31+R31+T31+0.09</f>
        <v>40.950000000000003</v>
      </c>
      <c r="Y31" s="24">
        <v>0</v>
      </c>
      <c r="Z31" s="24">
        <v>40.950000000000003</v>
      </c>
      <c r="AA31" s="25">
        <v>106.04</v>
      </c>
      <c r="AB31" s="25">
        <v>-30.72</v>
      </c>
      <c r="AC31" s="25">
        <v>6.77</v>
      </c>
      <c r="AD31" s="62">
        <v>82.09</v>
      </c>
      <c r="AE31" s="19">
        <v>10</v>
      </c>
      <c r="AF31" s="25">
        <v>11.82</v>
      </c>
      <c r="AG31" s="25">
        <v>0</v>
      </c>
      <c r="AH31" s="25">
        <f t="shared" si="86"/>
        <v>21.82</v>
      </c>
      <c r="AI31" s="16"/>
      <c r="AJ31" s="26">
        <f>Z31+AH31+AI31</f>
        <v>62.77</v>
      </c>
      <c r="AK31" s="16">
        <f t="shared" ref="AK31:AL31" si="95">AR31-AN31</f>
        <v>592</v>
      </c>
      <c r="AL31" s="16">
        <f t="shared" si="95"/>
        <v>242</v>
      </c>
      <c r="AM31" s="17">
        <v>834</v>
      </c>
      <c r="AN31" s="16">
        <f>D31-J31</f>
        <v>-456</v>
      </c>
      <c r="AO31" s="16">
        <f>E31-K31</f>
        <v>-1</v>
      </c>
      <c r="AP31" s="17">
        <v>-457</v>
      </c>
      <c r="AQ31" s="18">
        <f>AP31/F31</f>
        <v>0.59973753280839892</v>
      </c>
      <c r="AR31" s="16">
        <f t="shared" ref="AR31:AS31" si="96">AR32+AR33</f>
        <v>136</v>
      </c>
      <c r="AS31" s="16">
        <f t="shared" si="96"/>
        <v>241</v>
      </c>
      <c r="AT31" s="16">
        <f t="shared" si="88"/>
        <v>377</v>
      </c>
      <c r="AU31" s="19">
        <f t="shared" ref="AU31:AV31" si="97">AU32+AU33</f>
        <v>15.293426873</v>
      </c>
      <c r="AV31" s="19">
        <f t="shared" si="97"/>
        <v>32.941085250999997</v>
      </c>
      <c r="AW31" s="19">
        <f t="shared" si="89"/>
        <v>48.234512123999998</v>
      </c>
      <c r="AX31" s="19">
        <v>0</v>
      </c>
      <c r="AY31" s="25">
        <v>0.11</v>
      </c>
      <c r="AZ31" s="22">
        <f t="shared" si="90"/>
        <v>48.344512123999998</v>
      </c>
      <c r="BA31" s="23">
        <v>0</v>
      </c>
      <c r="BB31" s="23">
        <f>AZ31</f>
        <v>48.344512123999998</v>
      </c>
      <c r="BC31" s="62">
        <v>11.82</v>
      </c>
      <c r="BD31" s="19"/>
      <c r="BE31" s="26">
        <f t="shared" si="91"/>
        <v>60.164512123999998</v>
      </c>
    </row>
    <row r="32" spans="1:57" ht="14.25" customHeight="1" x14ac:dyDescent="0.3">
      <c r="A32" s="8"/>
      <c r="B32" s="63"/>
      <c r="C32" s="43" t="s">
        <v>39</v>
      </c>
      <c r="D32" s="47"/>
      <c r="E32" s="47"/>
      <c r="F32" s="47"/>
      <c r="G32" s="43">
        <v>268</v>
      </c>
      <c r="H32" s="43">
        <v>204</v>
      </c>
      <c r="I32" s="47"/>
      <c r="J32" s="43">
        <v>-239</v>
      </c>
      <c r="K32" s="43">
        <v>-1</v>
      </c>
      <c r="L32" s="47"/>
      <c r="M32" s="45"/>
      <c r="N32" s="47"/>
      <c r="O32" s="47"/>
      <c r="P32" s="47"/>
      <c r="Q32" s="43">
        <v>1.58</v>
      </c>
      <c r="R32" s="43">
        <v>32.159999999999997</v>
      </c>
      <c r="S32" s="47">
        <f t="shared" ref="S32:S33" si="98">Q32+R32</f>
        <v>33.739999999999995</v>
      </c>
      <c r="T32" s="47"/>
      <c r="U32" s="47"/>
      <c r="V32" s="47"/>
      <c r="W32" s="47"/>
      <c r="X32" s="47"/>
      <c r="Y32" s="47"/>
      <c r="Z32" s="47"/>
      <c r="AA32" s="46"/>
      <c r="AB32" s="46"/>
      <c r="AC32" s="46"/>
      <c r="AD32" s="64"/>
      <c r="AE32" s="47"/>
      <c r="AF32" s="46"/>
      <c r="AG32" s="46"/>
      <c r="AH32" s="46"/>
      <c r="AI32" s="46"/>
      <c r="AJ32" s="46"/>
      <c r="AK32" s="46"/>
      <c r="AL32" s="47"/>
      <c r="AM32" s="47"/>
      <c r="AN32" s="47"/>
      <c r="AO32" s="47"/>
      <c r="AP32" s="47"/>
      <c r="AQ32" s="48"/>
      <c r="AR32" s="43">
        <v>113.33329999999999</v>
      </c>
      <c r="AS32" s="43">
        <v>200.83330000000001</v>
      </c>
      <c r="AT32" s="47">
        <f t="shared" si="88"/>
        <v>314.16660000000002</v>
      </c>
      <c r="AU32" s="46">
        <f>AR32*0.11142</f>
        <v>12.627596285999999</v>
      </c>
      <c r="AV32" s="46">
        <f>AS32*0.13543</f>
        <v>27.198853819</v>
      </c>
      <c r="AW32" s="46"/>
      <c r="AX32" s="46"/>
      <c r="AY32" s="46"/>
      <c r="AZ32" s="46"/>
      <c r="BA32" s="46"/>
      <c r="BB32" s="46"/>
      <c r="BC32" s="46"/>
      <c r="BD32" s="46"/>
      <c r="BE32" s="46"/>
    </row>
    <row r="33" spans="1:57" ht="14.25" customHeight="1" x14ac:dyDescent="0.3">
      <c r="A33" s="8"/>
      <c r="B33" s="63"/>
      <c r="C33" s="43" t="s">
        <v>40</v>
      </c>
      <c r="D33" s="47"/>
      <c r="E33" s="47"/>
      <c r="F33" s="47"/>
      <c r="G33" s="43">
        <v>53</v>
      </c>
      <c r="H33" s="43">
        <v>82</v>
      </c>
      <c r="I33" s="47"/>
      <c r="J33" s="43">
        <v>-65</v>
      </c>
      <c r="K33" s="43">
        <v>0</v>
      </c>
      <c r="L33" s="47"/>
      <c r="M33" s="45"/>
      <c r="N33" s="47"/>
      <c r="O33" s="47"/>
      <c r="P33" s="47"/>
      <c r="Q33" s="43">
        <v>0.33</v>
      </c>
      <c r="R33" s="43">
        <v>6.79</v>
      </c>
      <c r="S33" s="47">
        <f t="shared" si="98"/>
        <v>7.12</v>
      </c>
      <c r="T33" s="47"/>
      <c r="U33" s="47"/>
      <c r="V33" s="47"/>
      <c r="W33" s="47"/>
      <c r="X33" s="47"/>
      <c r="Y33" s="47"/>
      <c r="Z33" s="47"/>
      <c r="AA33" s="46"/>
      <c r="AB33" s="46"/>
      <c r="AC33" s="46"/>
      <c r="AD33" s="47"/>
      <c r="AE33" s="47"/>
      <c r="AF33" s="46"/>
      <c r="AG33" s="46"/>
      <c r="AH33" s="46"/>
      <c r="AI33" s="46"/>
      <c r="AJ33" s="46"/>
      <c r="AK33" s="46"/>
      <c r="AL33" s="47"/>
      <c r="AM33" s="47"/>
      <c r="AN33" s="47"/>
      <c r="AO33" s="47"/>
      <c r="AP33" s="47"/>
      <c r="AQ33" s="48"/>
      <c r="AR33" s="43">
        <v>22.666699999999999</v>
      </c>
      <c r="AS33" s="43">
        <v>40.166699999999999</v>
      </c>
      <c r="AT33" s="47">
        <f>AR33+AS33</f>
        <v>62.833399999999997</v>
      </c>
      <c r="AU33" s="46">
        <f>AR33*0.11761</f>
        <v>2.6658305869999999</v>
      </c>
      <c r="AV33" s="46">
        <f>AS33*0.14296</f>
        <v>5.7422314319999996</v>
      </c>
      <c r="AW33" s="46"/>
      <c r="AX33" s="46"/>
      <c r="AY33" s="46"/>
      <c r="AZ33" s="46"/>
      <c r="BA33" s="46"/>
      <c r="BB33" s="46"/>
      <c r="BC33" s="46"/>
      <c r="BD33" s="46"/>
      <c r="BE33" s="46"/>
    </row>
    <row r="34" spans="1:57" ht="14.25" customHeight="1" x14ac:dyDescent="0.3">
      <c r="A34" s="2"/>
      <c r="B34" s="14">
        <v>45753</v>
      </c>
      <c r="C34" s="14">
        <v>45763</v>
      </c>
      <c r="D34" s="16">
        <f>ROUND(J34/M34,0)</f>
        <v>-1082</v>
      </c>
      <c r="E34" s="16">
        <f>ROUND(K34/M34,0)</f>
        <v>-97</v>
      </c>
      <c r="F34" s="17">
        <v>-1179</v>
      </c>
      <c r="G34" s="17">
        <v>265</v>
      </c>
      <c r="H34" s="17">
        <v>213</v>
      </c>
      <c r="I34" s="16">
        <f>H34+G34</f>
        <v>478</v>
      </c>
      <c r="J34" s="17">
        <v>-412</v>
      </c>
      <c r="K34" s="17">
        <v>-37</v>
      </c>
      <c r="L34" s="16">
        <f>K34+J34</f>
        <v>-449</v>
      </c>
      <c r="M34" s="18">
        <f>L34/F34</f>
        <v>0.38083121289228161</v>
      </c>
      <c r="N34" s="17">
        <v>-147</v>
      </c>
      <c r="O34" s="17">
        <v>176</v>
      </c>
      <c r="P34" s="17">
        <v>29</v>
      </c>
      <c r="Q34" s="25">
        <v>-16.38</v>
      </c>
      <c r="R34" s="25">
        <v>23.84</v>
      </c>
      <c r="S34" s="19">
        <f>R34</f>
        <v>23.84</v>
      </c>
      <c r="T34" s="25">
        <v>-1.47</v>
      </c>
      <c r="U34" s="20">
        <f>(ABS(Q34)+ABS(R34))/(ABS(N34)+ABS(O34))</f>
        <v>0.12452012383900929</v>
      </c>
      <c r="V34" s="21">
        <f>ABS(R34)/ABS(O34)</f>
        <v>0.13545454545454547</v>
      </c>
      <c r="W34" s="21">
        <f>Q34/N34</f>
        <v>0.11142857142857142</v>
      </c>
      <c r="X34" s="22">
        <f>Q34+R34+T34+0.18</f>
        <v>6.1700000000000008</v>
      </c>
      <c r="Y34" s="24">
        <v>0</v>
      </c>
      <c r="Z34" s="24">
        <v>6</v>
      </c>
      <c r="AA34" s="25">
        <v>0</v>
      </c>
      <c r="AB34" s="25">
        <v>0</v>
      </c>
      <c r="AC34" s="25">
        <v>0</v>
      </c>
      <c r="AD34" s="62">
        <v>236.95</v>
      </c>
      <c r="AE34" s="19">
        <v>10</v>
      </c>
      <c r="AF34" s="25">
        <v>12.5</v>
      </c>
      <c r="AG34" s="25">
        <v>236.95</v>
      </c>
      <c r="AH34" s="25">
        <f>AE34+AF34+AG34</f>
        <v>259.45</v>
      </c>
      <c r="AI34" s="25">
        <v>-58.23</v>
      </c>
      <c r="AJ34" s="26">
        <f>Z34+AH34+AI34</f>
        <v>207.22</v>
      </c>
      <c r="AK34" s="16">
        <f t="shared" ref="AK34:AL34" si="99">AR34-AN34</f>
        <v>582</v>
      </c>
      <c r="AL34" s="16">
        <f t="shared" si="99"/>
        <v>212</v>
      </c>
      <c r="AM34" s="17">
        <v>794</v>
      </c>
      <c r="AN34" s="16">
        <f t="shared" ref="AN34:AO34" si="100">D34-J34</f>
        <v>-670</v>
      </c>
      <c r="AO34" s="16">
        <f t="shared" si="100"/>
        <v>-60</v>
      </c>
      <c r="AP34" s="17">
        <v>-730</v>
      </c>
      <c r="AQ34" s="18">
        <f>AP34/F34</f>
        <v>0.61916878710771839</v>
      </c>
      <c r="AR34" s="17">
        <v>-88</v>
      </c>
      <c r="AS34" s="17">
        <v>152</v>
      </c>
      <c r="AT34" s="16">
        <f>AS34+AR34</f>
        <v>64</v>
      </c>
      <c r="AU34" s="25">
        <v>-9.8000000000000007</v>
      </c>
      <c r="AV34" s="25">
        <v>20.59</v>
      </c>
      <c r="AW34" s="19">
        <f>AV34+AU34</f>
        <v>10.79</v>
      </c>
      <c r="AX34" s="25">
        <v>-0.88</v>
      </c>
      <c r="AY34" s="25">
        <v>0.02</v>
      </c>
      <c r="AZ34" s="22">
        <f>AY34+AX34+AW34</f>
        <v>9.93</v>
      </c>
      <c r="BA34" s="23">
        <v>0</v>
      </c>
      <c r="BB34" s="24">
        <v>9.93</v>
      </c>
      <c r="BC34" s="62">
        <v>369.51</v>
      </c>
      <c r="BD34" s="25">
        <v>-58.23</v>
      </c>
      <c r="BE34" s="26">
        <f>BC34+BB34+BD34</f>
        <v>321.20999999999998</v>
      </c>
    </row>
    <row r="35" spans="1:57" ht="14.25" customHeight="1" x14ac:dyDescent="0.3">
      <c r="Y35" s="9"/>
      <c r="AD35" s="9"/>
    </row>
    <row r="36" spans="1:57" ht="14.25" customHeight="1" x14ac:dyDescent="0.3">
      <c r="V36" s="9"/>
      <c r="W36" s="9"/>
      <c r="X36" s="9"/>
    </row>
    <row r="37" spans="1:57" ht="14.25" customHeight="1" x14ac:dyDescent="0.3">
      <c r="Z37" s="10"/>
      <c r="AA37" s="10"/>
    </row>
    <row r="38" spans="1:57" ht="14.25" customHeight="1" x14ac:dyDescent="0.3">
      <c r="T38" s="11"/>
      <c r="Y38" s="9"/>
      <c r="Z38" s="12"/>
      <c r="AA38" s="9"/>
    </row>
    <row r="39" spans="1:57" ht="14.25" customHeight="1" x14ac:dyDescent="0.3">
      <c r="P39" s="9"/>
      <c r="T39" s="11"/>
      <c r="Z39" s="12"/>
      <c r="AA39" s="9"/>
    </row>
    <row r="40" spans="1:57" ht="14.25" customHeight="1" x14ac:dyDescent="0.3"/>
    <row r="41" spans="1:57" ht="14.25" customHeight="1" x14ac:dyDescent="0.3">
      <c r="T41" s="11"/>
    </row>
    <row r="42" spans="1:57" ht="14.25" customHeight="1" x14ac:dyDescent="0.3"/>
    <row r="43" spans="1:57" ht="14.25" customHeight="1" x14ac:dyDescent="0.3">
      <c r="T43" s="11"/>
      <c r="Z43" s="9"/>
      <c r="AA43" s="9"/>
    </row>
    <row r="44" spans="1:57" ht="14.25" customHeight="1" x14ac:dyDescent="0.3"/>
    <row r="45" spans="1:57" ht="14.25" customHeight="1" x14ac:dyDescent="0.3">
      <c r="Z45" s="9"/>
      <c r="AA45" s="9"/>
    </row>
    <row r="46" spans="1:57" ht="14.25" customHeight="1" x14ac:dyDescent="0.3">
      <c r="Z46" s="9"/>
      <c r="AA46" s="9"/>
    </row>
    <row r="47" spans="1:57" ht="14.25" customHeight="1" x14ac:dyDescent="0.3"/>
    <row r="48" spans="1:5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14">
    <mergeCell ref="B3:C3"/>
    <mergeCell ref="D2:AJ2"/>
    <mergeCell ref="AK2:BE2"/>
    <mergeCell ref="AN3:AQ3"/>
    <mergeCell ref="AR3:AT3"/>
    <mergeCell ref="AU3:BB3"/>
    <mergeCell ref="D3:F3"/>
    <mergeCell ref="G3:I3"/>
    <mergeCell ref="J3:M3"/>
    <mergeCell ref="N3:P3"/>
    <mergeCell ref="AA3:AH3"/>
    <mergeCell ref="AK3:AM3"/>
    <mergeCell ref="Q3:Z3"/>
    <mergeCell ref="B2:C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Lowe</dc:creator>
  <cp:lastModifiedBy>Kevin Lowe</cp:lastModifiedBy>
  <dcterms:created xsi:type="dcterms:W3CDTF">2025-03-10T00:33:46Z</dcterms:created>
  <dcterms:modified xsi:type="dcterms:W3CDTF">2025-07-05T04:34:22Z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2025-03-10T04:00:38Z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48ef2b57-e397-4d7e-8d72-5b3bfb5179ba</vt:lpwstr>
  </property>
  <property fmtid="{D5CDD505-2E9C-101B-9397-08002B2CF9AE}" pid="8" name="MSIP_Label_52d06e56-1756-4005-87f1-1edc72dd4bdf_ContentBits">
    <vt:lpwstr>0</vt:lpwstr>
  </property>
</Properties>
</file>