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pivotTable+xml" PartName="/xl/pivotTables/pivotTable16.xml"/>
  <Override ContentType="application/vnd.openxmlformats-officedocument.spreadsheetml.pivotTable+xml" PartName="/xl/pivotTables/pivotTable17.xml"/>
  <Override ContentType="application/vnd.openxmlformats-officedocument.spreadsheetml.pivotTable+xml" PartName="/xl/pivotTables/pivotTable18.xml"/>
  <Override ContentType="application/vnd.openxmlformats-officedocument.spreadsheetml.pivotTable+xml" PartName="/xl/pivotTables/pivotTable19.xml"/>
  <Override ContentType="application/vnd.openxmlformats-officedocument.spreadsheetml.pivotTable+xml" PartName="/xl/pivotTables/pivotTable20.xml"/>
  <Override ContentType="application/vnd.openxmlformats-officedocument.spreadsheetml.pivotTable+xml" PartName="/xl/pivotTables/pivotTable21.xml"/>
  <Override ContentType="application/vnd.openxmlformats-officedocument.spreadsheetml.pivotTable+xml" PartName="/xl/pivotTables/pivotTable22.xml"/>
  <Override ContentType="application/vnd.openxmlformats-officedocument.spreadsheetml.pivotTable+xml" PartName="/xl/pivotTables/pivotTable23.xml"/>
  <Override ContentType="application/vnd.openxmlformats-officedocument.spreadsheetml.pivotTable+xml" PartName="/xl/pivotTables/pivotTable24.xml"/>
  <Override ContentType="application/vnd.openxmlformats-officedocument.spreadsheetml.pivotTable+xml" PartName="/xl/pivotTables/pivotTable25.xml"/>
  <Override ContentType="application/vnd.openxmlformats-officedocument.spreadsheetml.pivotTable+xml" PartName="/xl/pivotTables/pivotTable26.xml"/>
  <Override ContentType="application/vnd.openxmlformats-officedocument.spreadsheetml.pivotTable+xml" PartName="/xl/pivotTables/pivotTable27.xml"/>
  <Override ContentType="application/vnd.openxmlformats-officedocument.spreadsheetml.pivotTable+xml" PartName="/xl/pivotTables/pivotTable28.xml"/>
  <Override ContentType="application/vnd.openxmlformats-officedocument.spreadsheetml.pivotTable+xml" PartName="/xl/pivotTables/pivotTable29.xml"/>
  <Override ContentType="application/vnd.openxmlformats-officedocument.spreadsheetml.pivotTable+xml" PartName="/xl/pivotTables/pivotTable30.xml"/>
  <Override ContentType="application/vnd.openxmlformats-officedocument.spreadsheetml.pivotTable+xml" PartName="/xl/pivotTables/pivotTable31.xml"/>
  <Override ContentType="application/vnd.openxmlformats-officedocument.spreadsheetml.pivotTable+xml" PartName="/xl/pivotTables/pivotTable32.xml"/>
  <Override ContentType="application/vnd.openxmlformats-officedocument.spreadsheetml.pivotTable+xml" PartName="/xl/pivotTables/pivotTable33.xml"/>
  <Override ContentType="application/vnd.openxmlformats-officedocument.spreadsheetml.pivotTable+xml" PartName="/xl/pivotTables/pivotTable34.xml"/>
  <Override ContentType="application/vnd.openxmlformats-officedocument.spreadsheetml.pivotTable+xml" PartName="/xl/pivotTables/pivotTable35.xml"/>
  <Override ContentType="application/vnd.openxmlformats-officedocument.spreadsheetml.pivotTable+xml" PartName="/xl/pivotTables/pivotTable36.xml"/>
  <Override ContentType="application/vnd.openxmlformats-officedocument.spreadsheetml.pivotTable+xml" PartName="/xl/pivotTables/pivotTable37.xml"/>
  <Override ContentType="application/vnd.openxmlformats-officedocument.spreadsheetml.pivotTable+xml" PartName="/xl/pivotTables/pivotTable38.xml"/>
  <Override ContentType="application/vnd.openxmlformats-officedocument.spreadsheetml.pivotTable+xml" PartName="/xl/pivotTables/pivotTable39.xml"/>
  <Override ContentType="application/vnd.openxmlformats-officedocument.spreadsheetml.pivotTable+xml" PartName="/xl/pivotTables/pivotTable40.xml"/>
  <Override ContentType="application/vnd.openxmlformats-officedocument.spreadsheetml.pivotTable+xml" PartName="/xl/pivotTables/pivotTable41.xml"/>
  <Override ContentType="application/vnd.openxmlformats-officedocument.spreadsheetml.pivotTable+xml" PartName="/xl/pivotTables/pivotTable42.xml"/>
  <Override ContentType="application/vnd.openxmlformats-officedocument.spreadsheetml.pivotTable+xml" PartName="/xl/pivotTables/pivotTable43.xml"/>
  <Override ContentType="application/vnd.openxmlformats-officedocument.spreadsheetml.worksheet+xml" PartName="/xl/worksheets/sheet5.xml"/>
  <Override ContentType="application/vnd.openxmlformats-officedocument.spreadsheetml.pivotTable+xml" PartName="/xl/pivotTables/pivotTable44.xml"/>
  <Override ContentType="application/vnd.openxmlformats-officedocument.spreadsheetml.worksheet+xml" PartName="/xl/worksheets/sheet6.xml"/>
  <Override ContentType="application/vnd.openxmlformats-officedocument.spreadsheetml.pivotTable+xml" PartName="/xl/pivotTables/pivotTable45.xml"/>
  <Override ContentType="application/vnd.openxmlformats-officedocument.spreadsheetml.pivotTable+xml" PartName="/xl/pivotTables/pivotTable46.xml"/>
  <Override ContentType="application/vnd.openxmlformats-officedocument.spreadsheetml.worksheet+xml" PartName="/xl/worksheets/sheet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0" visibility="visible" windowHeight="15840" windowWidth="29040" xWindow="-120" yWindow="-120"/>
  </bookViews>
  <sheets>
    <sheet name="README" sheetId="1" state="visible" r:id="rId1"/>
    <sheet name="check new aroi shhet" sheetId="2" state="visible" r:id="rId2"/>
    <sheet name="DATA" sheetId="3" state="visible" r:id="rId3"/>
    <sheet name="CAMPAIGN" sheetId="4" state="visible" r:id="rId4"/>
    <sheet name="OPEN POSITIONS" sheetId="5" state="visible" r:id="rId5"/>
    <sheet name="PERFORMANCE" sheetId="6" state="visible" r:id="rId6"/>
    <sheet name="issues" sheetId="7" state="visible" r:id="rId7"/>
  </sheets>
  <definedNames/>
  <calcPr calcId="191029" fullCalcOnLoad="1" refMode="R1C1"/>
  <pivotCaches>
    <pivotCache cacheId="110" r:id="rId8"/>
  </pivotCaches>
</workbook>
</file>

<file path=xl/styles.xml><?xml version="1.0" encoding="utf-8"?>
<styleSheet xmlns="http://schemas.openxmlformats.org/spreadsheetml/2006/main">
  <numFmts count="7">
    <numFmt formatCode="mm/dd/yy;@" numFmtId="164"/>
    <numFmt formatCode="#,##0.0" numFmtId="165"/>
    <numFmt formatCode="0.0%" numFmtId="166"/>
    <numFmt formatCode="mm/dd/yyyy" numFmtId="167"/>
    <numFmt formatCode="0.0" numFmtId="168"/>
    <numFmt formatCode="&quot;$&quot;#,##0.00_-" numFmtId="169"/>
    <numFmt formatCode="&quot;$&quot;#,##0.00" numFmtId="170"/>
  </numFmts>
  <fonts count="6">
    <font>
      <name val="Calibri"/>
      <family val="2"/>
      <color theme="1"/>
      <sz val="11"/>
      <scheme val="minor"/>
    </font>
    <font>
      <name val="Calibri"/>
      <family val="2"/>
      <b val="1"/>
      <color rgb="FFFF0000"/>
      <sz val="11"/>
      <scheme val="minor"/>
    </font>
    <font>
      <name val="Calibri"/>
      <family val="2"/>
      <color theme="1"/>
      <sz val="11"/>
      <scheme val="minor"/>
    </font>
    <font>
      <name val="Calibri"/>
      <family val="2"/>
      <b val="1"/>
      <color theme="1"/>
      <sz val="11"/>
      <scheme val="minor"/>
    </font>
    <font>
      <name val="Calibri"/>
      <family val="2"/>
      <color rgb="FF000000"/>
      <sz val="11"/>
      <scheme val="minor"/>
    </font>
    <font>
      <name val="Calibri"/>
      <family val="2"/>
      <color rgb="FFFF0000"/>
      <sz val="11"/>
      <scheme val="minor"/>
    </font>
  </fonts>
  <fills count="8">
    <fill>
      <patternFill/>
    </fill>
    <fill>
      <patternFill patternType="gray125"/>
    </fill>
    <fill>
      <patternFill patternType="solid">
        <fgColor rgb="FFFFFF00"/>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0" tint="-0.0499893185216834"/>
        <bgColor indexed="64"/>
      </patternFill>
    </fill>
    <fill>
      <patternFill patternType="solid">
        <fgColor rgb="FFFFFF00"/>
      </patternFill>
    </fill>
    <fill>
      <patternFill patternType="solid">
        <fgColor rgb="00FFFF00"/>
      </patternFill>
    </fill>
  </fills>
  <borders count="1">
    <border>
      <left/>
      <right/>
      <top/>
      <bottom/>
      <diagonal/>
    </border>
  </borders>
  <cellStyleXfs count="2">
    <xf borderId="0" fillId="0" fontId="2" numFmtId="0"/>
    <xf borderId="0" fillId="0" fontId="2" numFmtId="9"/>
  </cellStyleXfs>
  <cellXfs count="80">
    <xf borderId="0" fillId="0" fontId="0" numFmtId="0" pivotButton="0" quotePrefix="0" xfId="0"/>
    <xf borderId="0" fillId="0" fontId="0" numFmtId="10" pivotButton="0" quotePrefix="0" xfId="0"/>
    <xf borderId="0" fillId="0" fontId="0" numFmtId="14" pivotButton="0" quotePrefix="0" xfId="0"/>
    <xf borderId="0" fillId="0" fontId="0" numFmtId="14" pivotButton="1" quotePrefix="0" xfId="0"/>
    <xf borderId="0" fillId="0" fontId="0" numFmtId="4" pivotButton="0" quotePrefix="0" xfId="0"/>
    <xf applyAlignment="1" borderId="0" fillId="2" fontId="0" numFmtId="0" pivotButton="0" quotePrefix="0" xfId="0">
      <alignment horizontal="left"/>
    </xf>
    <xf borderId="0" fillId="3" fontId="0" numFmtId="0" pivotButton="0" quotePrefix="0" xfId="0"/>
    <xf borderId="0" fillId="3" fontId="0" numFmtId="10" pivotButton="0" quotePrefix="0" xfId="0"/>
    <xf applyAlignment="1" borderId="0" fillId="0" fontId="0" numFmtId="0" pivotButton="0" quotePrefix="0" xfId="0">
      <alignment wrapText="1"/>
    </xf>
    <xf applyAlignment="1" borderId="0" fillId="0" fontId="0" numFmtId="2" pivotButton="0" quotePrefix="0" xfId="0">
      <alignment wrapText="1"/>
    </xf>
    <xf borderId="0" fillId="0" fontId="0" numFmtId="2" pivotButton="0" quotePrefix="0" xfId="0"/>
    <xf borderId="0" fillId="0" fontId="0" numFmtId="1" pivotButton="0" quotePrefix="0" xfId="0"/>
    <xf applyAlignment="1" borderId="0" fillId="0" fontId="0" numFmtId="0" pivotButton="0" quotePrefix="0" xfId="0">
      <alignment horizontal="center"/>
    </xf>
    <xf borderId="0" fillId="0" fontId="3" numFmtId="0" pivotButton="0" quotePrefix="0" xfId="0"/>
    <xf applyAlignment="1" borderId="0" fillId="0" fontId="0" numFmtId="0" pivotButton="0" quotePrefix="0" xfId="0">
      <alignment horizontal="left"/>
    </xf>
    <xf applyProtection="1" borderId="0" fillId="0" fontId="0" numFmtId="14" pivotButton="0" quotePrefix="0" xfId="0">
      <protection hidden="0" locked="0"/>
    </xf>
    <xf applyAlignment="1" borderId="0" fillId="5" fontId="0" numFmtId="3" pivotButton="0" quotePrefix="0" xfId="0">
      <alignment horizontal="center"/>
    </xf>
    <xf applyAlignment="1" borderId="0" fillId="0" fontId="0" numFmtId="0" pivotButton="0" quotePrefix="0" xfId="0">
      <alignment horizontal="center" wrapText="1"/>
    </xf>
    <xf borderId="0" fillId="2" fontId="0" numFmtId="0" pivotButton="0" quotePrefix="0" xfId="0"/>
    <xf applyAlignment="1" borderId="0" fillId="0" fontId="0" numFmtId="3" pivotButton="0" quotePrefix="0" xfId="0">
      <alignment horizontal="center"/>
    </xf>
    <xf applyAlignment="1" borderId="0" fillId="0" fontId="3" numFmtId="3" pivotButton="0" quotePrefix="0" xfId="0">
      <alignment horizontal="center"/>
    </xf>
    <xf applyAlignment="1" borderId="0" fillId="0" fontId="0" numFmtId="9" pivotButton="0" quotePrefix="0" xfId="1">
      <alignment horizontal="center"/>
    </xf>
    <xf applyAlignment="1" borderId="0" fillId="0" fontId="4" numFmtId="0" pivotButton="0" quotePrefix="0" xfId="0">
      <alignment horizontal="center"/>
    </xf>
    <xf borderId="0" fillId="0" fontId="4" numFmtId="0" pivotButton="0" quotePrefix="0" xfId="0"/>
    <xf borderId="0" fillId="0" fontId="4" numFmtId="3" pivotButton="0" quotePrefix="0" xfId="0"/>
    <xf applyAlignment="1" borderId="0" fillId="0" fontId="4" numFmtId="10" pivotButton="0" quotePrefix="0" xfId="0">
      <alignment horizontal="center"/>
    </xf>
    <xf applyAlignment="1" borderId="0" fillId="0" fontId="0" numFmtId="3" pivotButton="0" quotePrefix="0" xfId="0">
      <alignment horizontal="center" wrapText="1"/>
    </xf>
    <xf applyProtection="1" borderId="0" fillId="2" fontId="0" numFmtId="2" pivotButton="0" quotePrefix="0" xfId="0">
      <protection hidden="0" locked="0"/>
    </xf>
    <xf borderId="0" fillId="0" fontId="0" numFmtId="0" pivotButton="1" quotePrefix="0" xfId="0"/>
    <xf borderId="0" fillId="0" fontId="0" numFmtId="4" pivotButton="1" quotePrefix="0" xfId="0"/>
    <xf borderId="0" fillId="0" fontId="0" numFmtId="2" pivotButton="1" quotePrefix="0" xfId="0"/>
    <xf borderId="0" fillId="0" fontId="0" numFmtId="10" pivotButton="1" quotePrefix="0" xfId="0"/>
    <xf applyAlignment="1" borderId="0" fillId="0" fontId="0" numFmtId="0" pivotButton="1" quotePrefix="0" xfId="0">
      <alignment horizontal="center"/>
    </xf>
    <xf applyAlignment="1" borderId="0" fillId="0" fontId="5" numFmtId="0" pivotButton="0" quotePrefix="0" xfId="0">
      <alignment horizontal="center" wrapText="1"/>
    </xf>
    <xf applyAlignment="1" borderId="0" fillId="0" fontId="0" numFmtId="164" pivotButton="0" quotePrefix="0" xfId="0">
      <alignment horizontal="center"/>
    </xf>
    <xf applyAlignment="1" borderId="0" fillId="0" fontId="3" numFmtId="164" pivotButton="0" quotePrefix="0" xfId="0">
      <alignment horizontal="center"/>
    </xf>
    <xf applyAlignment="1" borderId="0" fillId="0" fontId="0" numFmtId="164" pivotButton="0" quotePrefix="0" xfId="0">
      <alignment horizontal="center" wrapText="1"/>
    </xf>
    <xf borderId="0" fillId="0" fontId="1" numFmtId="164" pivotButton="0" quotePrefix="0" xfId="0"/>
    <xf borderId="0" fillId="0" fontId="0" numFmtId="164" pivotButton="0" quotePrefix="0" xfId="0"/>
    <xf borderId="0" fillId="2" fontId="0" numFmtId="164" pivotButton="0" quotePrefix="0" xfId="0"/>
    <xf applyAlignment="1" borderId="0" fillId="0" fontId="0" numFmtId="165" pivotButton="0" quotePrefix="0" xfId="0">
      <alignment horizontal="center"/>
    </xf>
    <xf applyAlignment="1" borderId="0" fillId="5" fontId="0" numFmtId="165" pivotButton="0" quotePrefix="0" xfId="0">
      <alignment horizontal="center"/>
    </xf>
    <xf borderId="0" fillId="0" fontId="0" numFmtId="166" pivotButton="0" quotePrefix="0" xfId="0"/>
    <xf applyAlignment="1" borderId="0" fillId="0" fontId="0" numFmtId="166" pivotButton="0" quotePrefix="0" xfId="1">
      <alignment horizontal="center"/>
    </xf>
    <xf borderId="0" fillId="0" fontId="0" numFmtId="166" pivotButton="0" quotePrefix="0" xfId="1"/>
    <xf applyAlignment="1" borderId="0" fillId="0" fontId="0" numFmtId="166" pivotButton="0" quotePrefix="0" xfId="0">
      <alignment horizontal="center"/>
    </xf>
    <xf applyAlignment="1" borderId="0" fillId="0" fontId="3" numFmtId="165" pivotButton="0" quotePrefix="0" xfId="0">
      <alignment horizontal="center"/>
    </xf>
    <xf applyAlignment="1" borderId="0" fillId="0" fontId="0" numFmtId="165" pivotButton="0" quotePrefix="0" xfId="0">
      <alignment horizontal="center" wrapText="1"/>
    </xf>
    <xf borderId="0" fillId="0" fontId="4" numFmtId="165" pivotButton="0" quotePrefix="0" xfId="0"/>
    <xf borderId="0" fillId="0" fontId="0" numFmtId="167" pivotButton="0" quotePrefix="0" xfId="0"/>
    <xf applyProtection="1" borderId="0" fillId="0" fontId="0" numFmtId="168" pivotButton="0" quotePrefix="0" xfId="0">
      <protection hidden="0" locked="0"/>
    </xf>
    <xf borderId="0" fillId="0" fontId="0" numFmtId="169" pivotButton="0" quotePrefix="0" xfId="0"/>
    <xf borderId="0" fillId="0" fontId="0" numFmtId="170" pivotButton="0" quotePrefix="0" xfId="0"/>
    <xf applyProtection="1" borderId="0" fillId="0" fontId="0" numFmtId="167" pivotButton="0" quotePrefix="0" xfId="0">
      <protection hidden="0" locked="0"/>
    </xf>
    <xf borderId="0" fillId="3" fontId="0" numFmtId="170" pivotButton="0" quotePrefix="0" xfId="0"/>
    <xf applyAlignment="1" borderId="0" fillId="0" fontId="3" numFmtId="164" pivotButton="0" quotePrefix="0" xfId="0">
      <alignment horizontal="center" wrapText="1"/>
    </xf>
    <xf applyAlignment="1" borderId="0" fillId="0" fontId="0" numFmtId="164" pivotButton="0" quotePrefix="1" xfId="0">
      <alignment horizontal="center"/>
    </xf>
    <xf borderId="0" fillId="0" fontId="0" numFmtId="0" pivotButton="0" quotePrefix="1" xfId="0"/>
    <xf applyAlignment="1" borderId="0" fillId="2" fontId="0" numFmtId="0" pivotButton="0" quotePrefix="0" xfId="0">
      <alignment horizontal="center"/>
    </xf>
    <xf applyAlignment="1" applyProtection="1" borderId="0" fillId="2" fontId="0" numFmtId="0" pivotButton="0" quotePrefix="0" xfId="0">
      <alignment horizontal="center"/>
      <protection hidden="0" locked="0"/>
    </xf>
    <xf applyProtection="1" borderId="0" fillId="0" fontId="0" numFmtId="0" pivotButton="0" quotePrefix="0" xfId="0">
      <protection hidden="0" locked="0"/>
    </xf>
    <xf applyProtection="1" borderId="0" fillId="0" fontId="0" numFmtId="1"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borderId="0" fillId="0" fontId="0" numFmtId="0" pivotButton="0" quotePrefix="0" xfId="0"/>
    <xf borderId="0" fillId="6" fontId="0" numFmtId="10" pivotButton="0" quotePrefix="0" xfId="0"/>
    <xf borderId="0" fillId="0" fontId="0" numFmtId="0" pivotButton="0" quotePrefix="0" xfId="0"/>
    <xf borderId="0" fillId="0" fontId="0" numFmtId="0" pivotButton="0" quotePrefix="0" xfId="0"/>
    <xf borderId="0" fillId="0" fontId="0" numFmtId="0" pivotButton="0" quotePrefix="0" xfId="0"/>
    <xf applyProtection="1" borderId="0" fillId="0" fontId="0" numFmtId="0" pivotButton="0" quotePrefix="0" xfId="0">
      <protection hidden="0" locked="0"/>
    </xf>
    <xf applyProtection="1" borderId="0" fillId="0" fontId="0" numFmtId="1" pivotButton="0" quotePrefix="0" xfId="0">
      <protection hidden="0" locked="0"/>
    </xf>
    <xf applyProtection="1" borderId="0" fillId="0" fontId="0" numFmtId="2" pivotButton="0" quotePrefix="0" xfId="0">
      <protection hidden="0" locked="0"/>
    </xf>
    <xf applyProtection="1" borderId="0" fillId="0" fontId="0" numFmtId="0" pivotButton="0" quotePrefix="0" xfId="0">
      <protection hidden="0" locked="0"/>
    </xf>
    <xf applyAlignment="1" applyProtection="1" borderId="0" fillId="4" fontId="0" numFmtId="2" pivotButton="0" quotePrefix="0" xfId="0">
      <alignment horizontal="center"/>
      <protection hidden="0" locked="0"/>
    </xf>
    <xf applyProtection="1" borderId="0" fillId="0" fontId="0" numFmtId="1"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borderId="0" fillId="7" fontId="0" numFmtId="10" pivotButton="0" quotePrefix="0" xfId="0"/>
  </cellXfs>
  <cellStyles count="2">
    <cellStyle builtinId="0" name="Normal" xfId="0"/>
    <cellStyle builtinId="5" name="Percent" xfId="1"/>
  </cellStyles>
  <dxfs count="208">
    <dxf>
      <numFmt formatCode="mm/dd/yyyy" numFmtId="167"/>
    </dxf>
    <dxf>
      <numFmt formatCode="0.00" numFmtId="2"/>
    </dxf>
    <dxf>
      <numFmt formatCode="0.00%" numFmtId="14"/>
      <fill>
        <patternFill patternType="solid">
          <fgColor indexed="64"/>
          <bgColor rgb="FFFFFF00"/>
        </patternFill>
      </fill>
    </dxf>
    <dxf>
      <numFmt formatCode="&quot;$&quot;#,##0.00_-" numFmtId="169"/>
    </dxf>
    <dxf>
      <numFmt formatCode="0.00" numFmtId="2"/>
      <fill>
        <patternFill patternType="solid">
          <fgColor indexed="64"/>
          <bgColor rgb="FFFFFF00"/>
        </patternFill>
      </fill>
      <protection hidden="0" locked="0"/>
    </dxf>
    <dxf>
      <numFmt formatCode="0" numFmtId="1"/>
      <protection hidden="0" locked="0"/>
    </dxf>
    <dxf>
      <numFmt formatCode="mm/dd/yyyy" numFmtId="167"/>
    </dxf>
    <dxf>
      <numFmt formatCode="m/d/yyyy" numFmtId="19"/>
    </dxf>
    <dxf>
      <numFmt formatCode="mm/dd/yyyy" numFmtId="167"/>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numFmt formatCode="&quot;$&quot;#,##0.00" numFmtId="170"/>
    </dxf>
    <dxf>
      <numFmt formatCode="m/d/yyyy" numFmtId="19"/>
    </dxf>
    <dxf>
      <alignment horizontal="center"/>
    </dxf>
    <dxf>
      <numFmt formatCode="&quot;$&quot;#,##0.00" numFmtId="170"/>
    </dxf>
    <dxf>
      <numFmt formatCode="&quot;$&quot;#,##0.00" numFmtId="170"/>
    </dxf>
    <dxf>
      <numFmt formatCode="&quot;$&quot;#,##0.00" numFmtId="170"/>
    </dxf>
    <dxf>
      <numFmt formatCode="&quot;$&quot;#,##0.00" numFmtId="170"/>
    </dxf>
    <dxf>
      <numFmt formatCode="&quot;$&quot;#,##0.00" numFmtId="170"/>
    </dxf>
    <dxf>
      <numFmt formatCode="&quot;$&quot;#,##0.00" numFmtId="170"/>
    </dxf>
    <dxf>
      <numFmt formatCode="&quot;$&quot;#,##0.00" numFmtId="170"/>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numFmt formatCode="&quot;$&quot;#,##0.00" numFmtId="170"/>
    </dxf>
    <dxf>
      <numFmt formatCode="&quot;$&quot;#,##0.00" numFmtId="170"/>
    </dxf>
    <dxf>
      <fill>
        <patternFill>
          <bgColor auto="1"/>
        </patternFill>
      </fill>
    </dxf>
    <dxf>
      <fill>
        <patternFill patternType="solid">
          <bgColor rgb="FFFFFF00"/>
        </patternFill>
      </fill>
    </dxf>
    <dxf>
      <fill>
        <patternFill>
          <bgColor rgb="FFFFFF00"/>
        </patternFill>
      </fill>
    </dxf>
    <dxf>
      <fill>
        <patternFill>
          <bgColor rgb="FFFFFF00"/>
        </patternFill>
      </fill>
    </dxf>
    <dxf>
      <numFmt formatCode=";;;" numFmtId="172"/>
    </dxf>
    <dxf>
      <numFmt formatCode="General" numFmtId="0"/>
    </dxf>
    <dxf>
      <numFmt formatCode=";;;" numFmtId="172"/>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pivotCache/pivotCacheDefinition1.xml" Type="http://schemas.openxmlformats.org/officeDocument/2006/relationships/pivotCacheDefinition" /><Relationship Id="rId9" Target="styles.xml" Type="http://schemas.openxmlformats.org/officeDocument/2006/relationships/styles" /><Relationship Id="rId10" Target="theme/theme1.xml" Type="http://schemas.openxmlformats.org/officeDocument/2006/relationships/theme" /></Relationships>
</file>

<file path=xl/comments/comment1.xml><?xml version="1.0" encoding="utf-8"?>
<comments xmlns="http://schemas.openxmlformats.org/spreadsheetml/2006/main">
  <authors>
    <author>paul kramer</author>
  </authors>
  <commentList>
    <comment authorId="0" ref="J2" shapeId="0">
      <text>
        <t xml:space="preserve">paul kramer:
Eneter strike difference for spreads or just strike for Calls/Puts
</t>
      </text>
    </comment>
    <comment authorId="0" ref="K2" shapeId="0">
      <text>
        <t>paul kramer:
# of Contracts</t>
      </text>
    </comment>
    <comment authorId="0" ref="M2" shapeId="0">
      <text>
        <t>paul kramer:
Eneter Preimum differecne for spreads or just premium for calls/puts</t>
      </text>
    </comment>
    <comment authorId="0" ref="N2" shapeId="0">
      <text>
        <t xml:space="preserve">paul kramer:Modified to take into acount -.65 com x # of contracts
</t>
      </text>
    </comment>
    <comment authorId="0" ref="Q2" shapeId="0">
      <text>
        <t xml:space="preserve">Enter the premium it costs to close the trade
</t>
      </text>
    </comment>
  </commentList>
</comment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120" refreshedBy="Justin Kramer" refreshedDate="44373.78115775463" refreshedVersion="7" r:id="rId1">
  <cacheSource type="worksheet">
    <worksheetSource name="Table1"/>
  </cacheSource>
  <cacheFields count="31">
    <cacheField databaseField="1" hierarchy="0" level="0" name="SYM" numFmtId="0" sqlType="0" uniqueList="1">
      <sharedItems containsBlank="1" count="216">
        <s v="Sold 2 JD Apr 16 2021 80.0 Put @ 1.54"/>
        <s v="Bought 2 JD Apr 16 2021 65.0 Put @ 0.37"/>
        <s v="Bought 2 JD Apr 16 2021 80.0 Put @ 2.89"/>
        <s v="Sold 2 JD May 21 2021 77.5 Put @ 3.68"/>
        <s v="Bought 1 JD May 21 2021 77.5 Put @ 7.22"/>
        <s v="Sold 2 JD Jul 16 2021 72.5 Put @ 5.14"/>
        <s v="Bought 4 JD Jul 16 2021 72.5 Put @ 1.45"/>
        <s v="Sold 2 WPM Apr 16 2021 36.0 Put @ 0.56"/>
        <s v="Bought 2 WPM Apr 16 2021 36.0 Put @ 0.09"/>
        <s v="Sold 2 CCL Apr 16 2021 24.0 Put @ 0.84"/>
        <s v="Sold 10 CCL Apr 16 2021 24.0 Put @ 0.57"/>
        <s v="Bought 12 CCL Apr 16 2021 24.0 Put @ 0.35"/>
        <s v="Sold 2 VIAC Apr 9 2021 42.0 Put @ 0.49"/>
        <s v="Bought 2 VIAC Apr 9 2021 42.0 Put @ 0.9"/>
        <s v="Bought 2 VIAC Apr 23 2021 40.0 Put @ 0.14"/>
        <s v="Sold 2 VIAC Apr 23 2021 40.0 Put @ 1.21"/>
        <s v="Sold 4 APA Apr 16 2021 18.0 Put @ 0.73"/>
        <s v="Bought 4 APA Apr 16 2021 18.0 Put @ 0.92"/>
        <s v="Sold 4 APA Apr 23 2021 17.0 Put @ 0.57"/>
        <s v="Bought 4 APA Apr 23 2021 17.0 Put @ 0.07"/>
        <s v="Sold 2 SFIX Apr 16 2021 45.0 Put @ 1.13"/>
        <s v="Bought 2 SFIX Apr 16 2021 45.0 Put @ 0.49"/>
        <s v="Sold 2 SFIX Apr 30 2021 45.0 Put @ 1.93"/>
        <s v="Bought 2 SFIX Apr 30 2021 45.0 Put @ 1.14"/>
        <s v="Sold 2 SFIX May 21 2021 44.5 Put @ 2.78"/>
        <s v="Bought 1 SFIX May 21 2021 44.5 Put @ 3.47"/>
        <s v="Sold 1 SFIX Jun 11 2021 42.0 Put @ 4.87"/>
        <s v="Bought 1 SFIX May 21 2021 44.5 Put @ 4.4"/>
        <s v="Sold 1 SFIX Jun 11 2021 42.0 Put @ 4.66"/>
        <s v="Bought 2 SFIX Jun 11 2021 42.0 Put @ 1.55"/>
        <s v="Sold 10 SBGI Apr 16 2021 28.0 Put @ 0.37"/>
        <s v="Sold 10 AAL May 7 2021 22.0 Put @ 0.86"/>
        <s v="Bought 10 AAL May 7 2021 22.0 Put @ 0.61"/>
        <s v="Sold 10 AAL May 28 2021 21.5 Put @ 0.98"/>
        <s v="Bought 10 AAL May 28 2021 21.5 Put @ 0.74"/>
        <s v="Sold 10 CCL May 7 2021 25.0 Put @ 0.44"/>
        <s v="Bought 10 CCL May 07 2021 25.0 Put @ 0.04"/>
        <s v="Sold 3 GE Apr 30 2021 13.0 Put @ 0.35"/>
        <s v="Bought 2 GE Apr 30 2021 13.0 Put @ 0.09"/>
        <s v="Bought 1 GE Apr 30 2021 13.0 Put @ 0.09"/>
        <s v="Sold 4 CPB May 21 2021 48.0 Put @ 0.6"/>
        <s v="Bought 4 CPB May 21 2021 48.0 Put @ 0.15"/>
        <s v="Sold 3 GBX May 21 2021 40.0 Put @ 0.8"/>
        <s v="Bought 3 GBX May 21 2021 40.0 Put @ 0.22"/>
        <s v="Sold 10 CCL May 21 2021 24.5 Put @ 0.37"/>
        <s v="Bought 10 CCL May 21 2021 24.5 Put @ 0.09"/>
        <s v="Sold 3 BIG May 21 2021 62.5 Put @ 1.29"/>
        <s v="Bought 2 BIG May 21 2021 62.5 Put @ 0.32"/>
        <s v="Bought 1 BIG May 21 2021 62.5 Put @ 0.32"/>
        <s v="Sold 6 BBBY May 14 2021 23.5 Put @ 0.52"/>
        <s v="Bought 6 BBBY May 14 2021 23.5 Put @ 0.68"/>
        <s v="Sold 6 BBBY May 21 2021 23.0 Put @ 0.94"/>
        <s v="Bought 6 BBBY May 21 2021 23.0 Put @ 0.19"/>
        <s v="Sold 4 UAL May 14 2021 51.0 Put @ 0.83"/>
        <s v="Bought 4 UAL May 14 2021 51.0 Put @ 0.37"/>
        <s v="Sold 4 UAL May 21 2021 50.0 Put @ 0.85"/>
        <s v="Bought 4 UAL May 21 2021 50.0 Put @ 0.15"/>
        <s v="Sold 2 SFIX May 07 2021 45.0 Put @ 0.97"/>
        <s v="Bought 2 SFIX May 07 2021 45.0 Put @ 6.2"/>
        <s v="Sold 2 SFIX Jun 11 2021 43.0 Put @ 6.5"/>
        <s v="Bought to Close 2 SFIX Jun 11 2021 43.0 Put @ 0.03"/>
        <s v="Sold 2 EAT May 21 2021 65.0 Put @ 1"/>
        <s v="Sold 2 EAT May 21 2021 65.0 Put @ 2.3"/>
        <s v="Bought 4 EAT May 21 2021 65.0 Put @ 4.5"/>
        <s v="Sold 4 EAT Jun 18 2021 65.0 Put @ 5.91"/>
        <s v="Bought 4 EAT Jun 18 2021 65.0 Put @ 6.9"/>
        <s v="Sold 4 EAT Jul 16 2021 65.0 Put @ 7.7"/>
        <s v="Sold 2 PCAR Jun 18 2021 90.0 Put @ 2.5"/>
        <s v="Bought 2 PCAR Jun 18 2021 90.0 Put @ 0.86"/>
        <s v="Sold 10 AAL Jun 4 2021 21.0 Put @ 0.56"/>
        <s v="Bought 10 AAL Jun 04 2021 21.0 Put @ 0.05"/>
        <s v="Sold 2 SNAP May 28 2021 50.0 Put @ 1.53"/>
        <s v="Bought 2 SNAP May 28 2021 50.0 Put @ 0.04"/>
        <s v="Sold 4 DBX Jun 04 2021 24.5 Put @ 0.67"/>
        <s v="Bought 3 DBX Jun 04 2021 24.5 Put @ 0.05"/>
        <s v="Bought 1 DBX Jun 04 2021 24.5 Put @ 0.05"/>
        <s v="Sold 2 AMD Jun 18 2021 70.0 Put @ 1.39"/>
        <s v="Bought 1 AMD Jun 18 2021 70.0 Put @ 0.36"/>
        <s v="Sold 1 NRG Jun 18 2021 33.0 Put @ 0.94"/>
        <s v="Sold 2 NRG Jun 18 2021 33.0 Put @ 0.94"/>
        <s v="Bought 3 NRG Jun 18 2021 33.0 Put @ 0.1"/>
        <s v="Sold 2 IRBT Jun 11 2021 91.0 Put @ 2.65"/>
        <s v="Bought 2 IRBT Jun 11 2021 91.0 Put @ 0.1"/>
        <s v="Sold 1 ABT Jun 18 2021 115.0 Put @ 1.27"/>
        <s v="Bought 1 ABT Jun 18 2021 115.0 Put @ 6.65"/>
        <s v="Sold 1 ABT Aug 20 2021 115.0 Put @ 8.52"/>
        <s v="Sold 10 CCL May 28 2021 27.5 Put @ 0.16"/>
        <s v="Sold 4 VIAC Jun 18 2021 40.0 Put @ 0.96"/>
        <s v="Bought 4 VIAC Jun 18 2021 40.0 Put @ 0.37"/>
        <s v="Sold 4 VIAC Jun 25 2021 39.5 Put @ 0.76"/>
        <s v="Bought 4 VIAC Jun 25 2021 39.5 Put @ 0.06"/>
        <s v="Sold 4 WBA Jun 04 2021 52.0 Put @ 0.34"/>
        <s v="Sold 2 DLTR Jun 04 2021 100.0 Put @ 0.97"/>
        <s v="Sold 3 BIG Jun 18 2021 62.5 Put @ 2.85"/>
        <s v="Sold 2 BIG Jun 18 2021 62.5 Put @ 1.8"/>
        <s v="Sold 2 BIG Jun 18 2021 62.5 Put @ 1.05"/>
        <s v="Bought to Close 7 BIG Jun 18 2021 62.5 Put @ 0.2"/>
        <s v="Sold 3 TJX Jun 18 2021 66.0 Put @ 0.94"/>
        <s v="Sold 3 TJX Jul 02 2021 65.5 Put @ 1.3"/>
        <s v="Bought 3 TJX Jun 18 2021 66.0 Put @ 1.01"/>
        <s v="Bought 3 TJX Jul 02 2021 65.5 Put @ 1.37"/>
        <s v="Sold 3 TJX Jul 23 2021 65.0 Put @ 1.7"/>
        <s v="Sold 5 HPQ Jun 25 2021 29.5 Put @ 0.32"/>
        <s v="Sold 5 HPQ Jul 02 2021 29.5 Put @ 1.11"/>
        <s v="Bought 5 HPQ Jun 25 2021 29.5 Put @ 1.03"/>
        <s v="Sold to Open 10 FF Jul 16 2021 10.0 Put @ 0.45"/>
        <s v="Sold to Open 4 BSX Jul 02 2021 41.5 Put @ 0.7"/>
        <s v="Sold to Open 1 BLL Jul 16 2021 80.0 Put @ 1.95"/>
        <s v="Sold to Open 3 MU Jun 25 2021 76.0 Put @ 1.03"/>
        <s v="Sold 2 SAVE Jul 16 2021 35.0 Put @ 2.15"/>
        <s v="Sold to Open 2 SAVE Jul 16 2021 35.0 Put @ 2.64"/>
        <s v="Sold 1 CHWY Jul 9 2021 71.5 Put @ 1.88"/>
        <s v="Sold 4 DAL Jul 2 2021 46.0 Put @ 1.16"/>
        <s v="Sold 3 SBH Jul 16 2021 20.0 Put @ 0.67"/>
        <s v="Sold 4 BBBY Jul 02 2021 26.5 Put @ 1.1"/>
        <s v="Sold 2 CWH Jul 16 2021 35.0 Put @ 0.64"/>
        <s v="Sold 5 CWH Jul 16 2021 35.0 Put @ 0.51"/>
        <s u="1" v="WDC"/>
        <m u="1"/>
        <s u="1" v="SO"/>
        <s u="1" v="UAL"/>
        <s u="1" v="HPE"/>
        <s u="1" v="GILD"/>
        <s u="1" v="CRM"/>
        <s u="1" v="TWTR"/>
        <s u="1" v="Z"/>
        <s u="1" v="Bought 1 PCAR Jun 18 2021 90.0 Put @ 0.86"/>
        <s u="1" v="TIS"/>
        <s u="1" v="EAT"/>
        <s u="1" v="SCHW"/>
        <s u="1" v="NFLX"/>
        <s u="1" v="CPB May 21 2021 48.0 Put"/>
        <s u="1" v="MGM"/>
        <s u="1" v="HBI"/>
        <s u="1" v="AAPL"/>
        <s u="1" v="DVI"/>
        <s u="1" v="F"/>
        <s u="1" v="WPM Apr 16 2021 36.0 Put"/>
        <s u="1" v="LVS"/>
        <s u="1" v="NKE"/>
        <s u="1" v="AMD"/>
        <s u="1" v="FB"/>
        <s u="1" v="CWH"/>
        <s u="1" v="DHI"/>
        <s u="1" v="FAST"/>
        <s u="1" v="CPB"/>
        <s u="1" v="SIG"/>
        <s u="1" v="CCL"/>
        <s u="1" v="CCL Apr 16 2021 24.0 Put"/>
        <s u="1" v="GBX May 21 2021 40.0 Put"/>
        <s u="1" v="DAL"/>
        <s u="1" v="VIAC Apr 9 2021 42.0 Put"/>
        <s u="1" v="AMCX"/>
        <s u="1" v="HAS"/>
        <s u="1" v="VIAC Apr 23 2021 40.0 Put"/>
        <s u="1" v="GERN"/>
        <s u="1" v="GIS"/>
        <s u="1" v="ALK"/>
        <s u="1" v="PAYX"/>
        <s u="1" v="CVS"/>
        <s u="1" v="MET"/>
        <s u="1" v="MRK"/>
        <s u="1" v="NWL"/>
        <s u="1" v="JD May 21 2021 77.5 Put"/>
        <s u="1" v="DISH"/>
        <s u="1" v="BG"/>
        <s u="1" v="TSN"/>
        <s u="1" v="X"/>
        <s u="1" v="KR"/>
        <s u="1" v="Sold 1 SNAP May 28 2021 50.0 Put @ 1.53"/>
        <s u="1" v="T"/>
        <s u="1" v="DFS"/>
        <s u="1" v="MU"/>
        <s u="1" v="JACK"/>
        <s u="1" v="CAT"/>
        <s u="1" v="SFIX Apr 16 2021 45.0 Put"/>
        <s u="1" v="SFIX Apr 30 2021 45.0 Put"/>
        <s u="1" v="EXP"/>
        <s u="1" v="INTC"/>
        <s u="1" v="AMAT"/>
        <s u="1" v="GE Apr 30 2021 13.0 Put"/>
        <s u="1" v="SAFM"/>
        <s u="1" v="PEP"/>
        <s u="1" v="XLNX"/>
        <s u="1" v="TSLA"/>
        <s u="1" v="AMRN"/>
        <s u="1" v="KORS"/>
        <s u="1" v="CMA"/>
        <s u="1" v="AN"/>
        <s u="1" v="STZ"/>
        <s u="1" v="WMT"/>
        <s u="1" v="NVDA"/>
        <s u="1" v="PZZA"/>
        <s u="1" v="CMG"/>
        <s u="1" v="DRI"/>
        <s u="1" v="JD Apr 16 2021 65.0 Put"/>
        <s u="1" v="WSM"/>
        <s u="1" v="DLTR"/>
        <s u="1" v="CCL May 7 2021 25.0 Put"/>
        <s u="1" v="ATVI"/>
        <s u="1" v="PLAY"/>
        <s u="1" v="JNJ"/>
        <s u="1" v="AAL May 7 2021 22.0 Put"/>
        <s u="1" v="APA Apr 23 2021 17.0 Put"/>
        <s u="1" v="APA Apr 16 2021 18.0 Put"/>
        <s u="1" v="ABC"/>
        <s u="1" v="BBBY"/>
        <s u="1" v="JD Apr 16 2021 80.0 Put"/>
        <s u="1" v="SBGI Apr 16 2021 28.0 Put"/>
        <s u="1" v="IBM"/>
        <s u="1" v="QCOM"/>
        <s u="1" v="HCA"/>
        <s u="1" v="ORCL"/>
        <s u="1" v="BX"/>
        <s u="1" v="Cash"/>
        <s u="1" v="AVT"/>
      </sharedItems>
    </cacheField>
    <cacheField databaseField="1" hierarchy="0" level="0" name="Trade#" numFmtId="0" sqlType="0" uniqueList="1">
      <sharedItems containsNumber="1" containsSemiMixedTypes="0" containsString="0" count="205" maxValue="174" minValue="0">
        <n v="1"/>
        <n v="2"/>
        <n v="3"/>
        <n v="4"/>
        <n v="5"/>
        <n v="6"/>
        <n v="7"/>
        <n v="8"/>
        <n v="9"/>
        <n v="10"/>
        <n v="11"/>
        <n v="12"/>
        <n v="13"/>
        <n v="14"/>
        <n v="15"/>
        <n v="16"/>
        <n v="17"/>
        <n v="18"/>
        <n v="19"/>
        <n v="20"/>
        <n v="21"/>
        <n v="22"/>
        <n v="23"/>
        <n v="24"/>
        <n v="25"/>
        <n v="26"/>
        <n v="27"/>
        <n v="28"/>
        <n v="29"/>
        <n v="30"/>
        <n v="31"/>
        <n v="32"/>
        <n v="33"/>
        <n v="34"/>
        <n v="35"/>
        <n v="36"/>
        <n v="37"/>
        <n v="38"/>
        <n v="39"/>
        <n v="40"/>
        <n v="41"/>
        <n v="42"/>
        <n v="43"/>
        <n u="1" v="0"/>
        <n u="1" v="170"/>
        <n u="1" v="109"/>
        <n u="1" v="1.25"/>
        <n u="1" v="69"/>
        <n u="1" v="143"/>
        <n u="1" v="122"/>
        <n u="1" v="82"/>
        <n u="1" v="53"/>
        <n u="1" v="1.3"/>
        <n u="1" v="169"/>
        <n u="1" v="142"/>
        <n u="1" v="95"/>
        <n u="1" v="168"/>
        <n u="1" v="108"/>
        <n u="1" v="68"/>
        <n u="1" v="46"/>
        <n u="1" v="141"/>
        <n u="1" v="121"/>
        <n u="1" v="81"/>
        <n u="1" v="167"/>
        <n u="1" v="140"/>
        <n u="1" v="94"/>
        <n u="1" v="59"/>
        <n u="1" v="1.06"/>
        <n u="1" v="166"/>
        <n u="1" v="107"/>
        <n u="1" v="67"/>
        <n u="1" v="1.22"/>
        <n u="1" v="139"/>
        <n u="1" v="120"/>
        <n u="1" v="80"/>
        <n u="1" v="52"/>
        <n u="1" v="1.11"/>
        <n u="1" v="165"/>
        <n u="1" v="1.27"/>
        <n u="1" v="138"/>
        <n u="1" v="93"/>
        <n u="1" v="1.16"/>
        <n u="1" v="164"/>
        <n u="1" v="106"/>
        <n u="1" v="66"/>
        <n u="1" v="45"/>
        <n u="1" v="1.05"/>
        <n u="1" v="137"/>
        <n u="1" v="1.21"/>
        <n u="1" v="119"/>
        <n u="1" v="79"/>
        <n u="1" v="163"/>
        <n u="1" v="136"/>
        <n u="1" v="92"/>
        <n u="1" v="58"/>
        <n u="1" v="1.26"/>
        <n u="1" v="162"/>
        <n u="1" v="105"/>
        <n u="1" v="65"/>
        <n u="1" v="135"/>
        <n u="1" v="118"/>
        <n u="1" v="78"/>
        <n u="1" v="51"/>
        <n u="1" v="161"/>
        <n u="1" v="134"/>
        <n u="1" v="91"/>
        <n u="1" v="160"/>
        <n u="1" v="104"/>
        <n u="1" v="64"/>
        <n u="1" v="44"/>
        <n u="1" v="133"/>
        <n u="1" v="1.02"/>
        <n u="1" v="117"/>
        <n u="1" v="77"/>
        <n u="1" v="1.18"/>
        <n u="1" v="159"/>
        <n u="1" v="132"/>
        <n u="1" v="90"/>
        <n u="1" v="1.07"/>
        <n u="1" v="57"/>
        <n u="1" v="1.23"/>
        <n u="1" v="158"/>
        <n u="1" v="103"/>
        <n u="1" v="131"/>
        <n u="1" v="1.12"/>
        <n u="1" v="1.28"/>
        <n u="1" v="116"/>
        <n u="1" v="76"/>
        <n u="1" v="50"/>
        <n u="1" v="1.01"/>
        <n u="1" v="157"/>
        <n u="1" v="1.17"/>
        <n u="1" v="130"/>
        <n u="1" v="89"/>
        <n u="1" v="156"/>
        <n u="1" v="102"/>
        <n u="1" v="63"/>
        <n u="1" v="129"/>
        <n u="1" v="115"/>
        <n u="1" v="75"/>
        <n u="1" v="155"/>
        <n u="1" v="128"/>
        <n u="1" v="88"/>
        <n u="1" v="56"/>
        <n u="1" v="154"/>
        <n u="1" v="101"/>
        <n u="1" v="114"/>
        <n u="1" v="74"/>
        <n u="1" v="49"/>
        <n u="1" v="153"/>
        <n u="1" v="127"/>
        <n u="1" v="1.14"/>
        <n u="1" v="87"/>
        <n u="1" v="152"/>
        <n u="1" v="1.03"/>
        <n u="1" v="100"/>
        <n u="1" v="62"/>
        <n u="1" v="1.19"/>
        <n u="1" v="113"/>
        <n u="1" v="73"/>
        <n u="1" v="1.08"/>
        <n u="1" v="151"/>
        <n u="1" v="1.24"/>
        <n u="1" v="126"/>
        <n u="1" v="86"/>
        <n u="1" v="55"/>
        <n u="1" v="1.13"/>
        <n u="1" v="150"/>
        <n u="1" v="99"/>
        <n u="1" v="1.29"/>
        <n u="1" v="112"/>
        <n u="1" v="72"/>
        <n u="1" v="48"/>
        <n u="1" v="149"/>
        <n u="1" v="125"/>
        <n u="1" v="85"/>
        <n u="1" v="148"/>
        <n u="1" v="98"/>
        <n u="1" v="61"/>
        <n u="1" v="174"/>
        <n u="1" v="111"/>
        <n u="1" v="71"/>
        <n u="1" v="147"/>
        <n u="1" v="124"/>
        <n u="1" v="84"/>
        <n u="1" v="54"/>
        <n u="1" v="173"/>
        <n u="1" v="146"/>
        <n u="1" v="1.1"/>
        <n u="1" v="97"/>
        <n u="1" v="172"/>
        <n u="1" v="110"/>
        <n u="1" v="70"/>
        <n u="1" v="47"/>
        <n u="1" v="1.15"/>
        <n u="1" v="145"/>
        <n u="1" v="123"/>
        <n u="1" v="83"/>
        <n u="1" v="1.04"/>
        <n u="1" v="171"/>
        <n u="1" v="1.2"/>
        <n u="1" v="144"/>
        <n u="1" v="96"/>
        <n u="1" v="60"/>
        <n u="1" v="1.09"/>
      </sharedItems>
    </cacheField>
    <cacheField databaseField="1" hierarchy="0" level="0" name="Leg" numFmtId="0" sqlType="0" uniqueList="1">
      <sharedItems containsInteger="1" containsNumber="1" containsSemiMixedTypes="0" containsString="0" count="18" maxValue="18" minValue="1">
        <n v="1"/>
        <n v="2"/>
        <n v="3"/>
        <n v="4"/>
        <n v="5"/>
        <n v="6"/>
        <n v="7"/>
        <n v="8"/>
        <n v="9"/>
        <n v="10"/>
        <n u="1" v="13"/>
        <n u="1" v="14"/>
        <n u="1" v="15"/>
        <n u="1" v="16"/>
        <n u="1" v="17"/>
        <n u="1" v="18"/>
        <n u="1" v="11"/>
        <n u="1" v="12"/>
      </sharedItems>
    </cacheField>
    <cacheField databaseField="1" hierarchy="0" level="0" name="TransType" numFmtId="0" sqlType="0" uniqueList="1">
      <sharedItems containsBlank="1" count="16">
        <s v="SP"/>
        <m u="1"/>
        <s u="1" v="LC"/>
        <s u="1" v="PS"/>
        <s u="1" v="CALLED"/>
        <s u="1" v="DIV"/>
        <s u="1" v="ASSIGN"/>
        <s u="1" v="CC"/>
        <s u="1" v="LS"/>
        <s u="1" v="??"/>
        <s u="1" v="BP"/>
        <s u="1" v="SOLD"/>
        <s u="1" v="AS"/>
        <s u="1" v="BC"/>
        <s u="1" v="NC"/>
        <s u="1" v="DEP"/>
      </sharedItems>
    </cacheField>
    <cacheField databaseField="1" hierarchy="0" level="0" name="OpenDate" numFmtId="167" sqlType="0" uniqueList="1">
      <sharedItems containsDate="1" containsNonDate="0" containsSemiMixedTypes="0" containsString="0" count="268" maxDate="2021-06-24T00:00:00" minDate="2017-05-30T00:00:00">
        <d v="2021-03-22T00:00:00"/>
        <d v="2021-03-25T00:00:00"/>
        <d v="2021-04-16T00:00:00"/>
        <d v="2021-05-19T00:00:00"/>
        <d v="2021-06-01T00:00:00"/>
        <d v="2021-03-24T00:00:00"/>
        <d v="2021-04-05T00:00:00"/>
        <d v="2021-03-29T00:00:00"/>
        <d v="2021-03-30T00:00:00"/>
        <d v="2021-04-01T00:00:00"/>
        <d v="2021-04-06T00:00:00"/>
        <d v="2021-04-22T00:00:00"/>
        <d v="2021-04-09T00:00:00"/>
        <d v="2021-04-15T00:00:00"/>
        <d v="2021-04-30T00:00:00"/>
        <d v="2021-05-12T00:00:00"/>
        <d v="2021-05-26T00:00:00"/>
        <d v="2021-04-08T00:00:00"/>
        <d v="2021-05-07T00:00:00"/>
        <d v="2021-05-03T00:00:00"/>
        <d v="2021-04-27T00:00:00"/>
        <d v="2021-04-19T00:00:00"/>
        <d v="2021-05-14T00:00:00"/>
        <d v="2021-04-26T00:00:00"/>
        <d v="2021-05-06T00:00:00"/>
        <d v="2021-05-13T00:00:00"/>
        <d v="2021-04-28T00:00:00"/>
        <d v="2021-06-09T00:00:00"/>
        <d v="2021-05-04T00:00:00"/>
        <d v="2021-06-15T00:00:00"/>
        <d v="2021-05-10T00:00:00"/>
        <d v="2021-05-24T00:00:00"/>
        <d v="2021-05-11T00:00:00"/>
        <d v="2021-05-17T00:00:00"/>
        <d v="2021-06-11T00:00:00"/>
        <d v="2021-06-08T00:00:00"/>
        <d v="2021-05-25T00:00:00"/>
        <d v="2021-05-27T00:00:00"/>
        <d v="2021-06-18T00:00:00"/>
        <d v="2021-06-23T00:00:00"/>
        <d v="2021-06-03T00:00:00"/>
        <d v="2021-06-07T00:00:00"/>
        <d v="2021-06-21T00:00:00"/>
        <d v="2021-06-10T00:00:00"/>
        <d v="2021-06-14T00:00:00"/>
        <d v="2021-06-16T00:00:00"/>
        <d u="1" v="2017-11-09T00:00:00"/>
        <d u="1" v="2018-04-20T00:00:00"/>
        <d u="1" v="2021-05-05T00:00:00"/>
        <d u="1" v="2017-10-24T00:00:00"/>
        <d u="1" v="2018-08-03T00:00:00"/>
        <d u="1" v="2017-07-18T00:00:00"/>
        <d u="1" v="2018-11-05T00:00:00"/>
        <d u="1" v="2018-07-18T00:00:00"/>
        <d u="1" v="2018-04-12T00:00:00"/>
        <d u="1" v="2017-10-16T00:00:00"/>
        <d u="1" v="2018-03-27T00:00:00"/>
        <d u="1" v="2018-06-29T00:00:00"/>
        <d u="1" v="2018-07-10T00:00:00"/>
        <d u="1" v="2017-10-12T00:00:00"/>
        <d u="1" v="2018-10-12T00:00:00"/>
        <d u="1" v="2018-01-02T00:00:00"/>
        <d u="1" v="2018-06-25T00:00:00"/>
        <d u="1" v="2017-09-27T00:00:00"/>
        <d u="1" v="2018-09-27T00:00:00"/>
        <d u="1" v="2017-12-29T00:00:00"/>
        <d u="1" v="2018-07-06T00:00:00"/>
        <d u="1" v="2018-03-19T00:00:00"/>
        <d u="1" v="2018-10-08T00:00:00"/>
        <d u="1" v="2018-06-21T00:00:00"/>
        <d u="1" v="2018-07-02T00:00:00"/>
        <d u="1" v="2018-09-19T00:00:00"/>
        <d u="1" v="2017-12-21T00:00:00"/>
        <d u="1" v="2018-12-21T00:00:00"/>
        <d u="1" v="2018-06-13T00:00:00"/>
        <d u="1" v="2017-09-15T00:00:00"/>
        <d u="1" v="2018-12-17T00:00:00"/>
        <d u="1" v="2018-08-30T00:00:00"/>
        <d u="1" v="2017-06-09T00:00:00"/>
        <d u="1" v="2017-09-11T00:00:00"/>
        <d u="1" v="2018-02-22T00:00:00"/>
        <d u="1" v="2018-09-11T00:00:00"/>
        <d u="1" v="2018-05-24T00:00:00"/>
        <d u="1" v="2017-11-28T00:00:00"/>
        <d u="1" v="2017-09-07T00:00:00"/>
        <d u="1" v="2018-09-07T00:00:00"/>
        <d u="1" v="2018-06-01T00:00:00"/>
        <d u="1" v="2018-02-14T00:00:00"/>
        <d u="1" v="2017-12-05T00:00:00"/>
        <d u="1" v="2018-05-16T00:00:00"/>
        <d u="1" v="2018-01-29T00:00:00"/>
        <d u="1" v="2018-04-27T00:00:00"/>
        <d u="1" v="2018-11-16T00:00:00"/>
        <d u="1" v="2018-02-06T00:00:00"/>
        <d u="1" v="2018-08-10T00:00:00"/>
        <d u="1" v="2018-04-23T00:00:00"/>
        <d u="1" v="2017-07-25T00:00:00"/>
        <d u="1" v="2018-11-12T00:00:00"/>
        <d u="1" v="2018-02-02T00:00:00"/>
        <d u="1" v="2018-07-25T00:00:00"/>
        <d u="1" v="2017-10-27T00:00:00"/>
        <d u="1" v="2018-05-04T00:00:00"/>
        <d u="1" v="2018-08-06T00:00:00"/>
        <d u="1" v="2017-11-08T00:00:00"/>
        <d u="1" v="2018-04-19T00:00:00"/>
        <d u="1" v="2018-08-02T00:00:00"/>
        <d u="1" v="2018-07-17T00:00:00"/>
        <d u="1" v="2017-10-19T00:00:00"/>
        <d u="1" v="2018-10-19T00:00:00"/>
        <d u="1" v="2018-04-11T00:00:00"/>
        <d u="1" v="2018-07-13T00:00:00"/>
        <d u="1" v="2018-03-26T00:00:00"/>
        <d u="1" v="2018-10-15T00:00:00"/>
        <d u="1" v="2018-06-28T00:00:00"/>
        <d u="1" v="2018-07-09T00:00:00"/>
        <d u="1" v="2018-03-22T00:00:00"/>
        <d u="1" v="2018-10-11T00:00:00"/>
        <d u="1" v="2019-01-01T00:00:00"/>
        <d u="1" v="2018-04-03T00:00:00"/>
        <d u="1" v="2018-07-05T00:00:00"/>
        <d u="1" v="2018-06-20T00:00:00"/>
        <d u="1" v="2017-09-22T00:00:00"/>
        <d u="1" v="2017-10-03T00:00:00"/>
        <d u="1" v="2018-03-14T00:00:00"/>
        <d u="1" v="2018-10-03T00:00:00"/>
        <d u="1" v="2017-09-18T00:00:00"/>
        <d u="1" v="2018-09-18T00:00:00"/>
        <d u="1" v="2018-12-20T00:00:00"/>
        <d u="1" v="2018-06-12T00:00:00"/>
        <d u="1" v="2018-09-14T00:00:00"/>
        <d u="1" v="2018-03-06T00:00:00"/>
        <d u="1" v="2018-08-29T00:00:00"/>
        <d u="1" v="2018-06-08T00:00:00"/>
        <d u="1" v="2018-09-10T00:00:00"/>
        <d u="1" v="2018-05-23T00:00:00"/>
        <d u="1" v="2018-06-04T00:00:00"/>
        <d u="1" v="2017-09-06T00:00:00"/>
        <d u="1" v="2018-09-06T00:00:00"/>
        <d u="1" v="2018-08-21T00:00:00"/>
        <d u="1" v="2017-12-04T00:00:00"/>
        <d u="1" v="2018-05-15T00:00:00"/>
        <d u="1" v="2018-08-17T00:00:00"/>
        <d u="1" v="2018-02-09T00:00:00"/>
        <d u="1" v="2018-05-11T00:00:00"/>
        <d u="1" v="2018-08-13T00:00:00"/>
        <d u="1" v="2018-04-26T00:00:00"/>
        <d u="1" v="2017-10-30T00:00:00"/>
        <d u="1" v="2018-05-07T00:00:00"/>
        <d u="1" v="2018-10-30T00:00:00"/>
        <d u="1" v="2018-08-09T00:00:00"/>
        <d u="1" v="2018-02-01T00:00:00"/>
        <d u="1" v="2018-01-16T00:00:00"/>
        <d u="1" v="2017-07-20T00:00:00"/>
        <d u="1" v="2019-04-18T00:00:00"/>
        <d u="1" v="2018-07-20T00:00:00"/>
        <d u="1" v="2018-10-22T00:00:00"/>
        <d u="1" v="2018-01-12T00:00:00"/>
        <d u="1" v="2018-08-01T00:00:00"/>
        <d u="1" v="2017-11-03T00:00:00"/>
        <d u="1" v="2018-07-16T00:00:00"/>
        <d u="1" v="2018-03-29T00:00:00"/>
        <d u="1" v="2018-10-18T00:00:00"/>
        <d u="1" v="2018-01-08T00:00:00"/>
        <d u="1" v="2018-04-10T00:00:00"/>
        <d u="1" v="2018-07-12T00:00:00"/>
        <d u="1" v="2018-06-27T00:00:00"/>
        <d u="1" v="2017-09-29T00:00:00"/>
        <d u="1" v="2018-04-06T00:00:00"/>
        <d u="1" v="2019-04-06T00:00:00"/>
        <d u="1" v="2018-12-31T00:00:00"/>
        <d u="1" v="2017-10-10T00:00:00"/>
        <d u="1" v="2018-10-10T00:00:00"/>
        <d u="1" v="2017-09-25T00:00:00"/>
        <d u="1" v="2018-04-02T00:00:00"/>
        <d u="1" v="2018-09-25T00:00:00"/>
        <d u="1" v="2017-06-19T00:00:00"/>
        <d u="1" v="2017-09-21T00:00:00"/>
        <d u="1" v="2018-09-21T00:00:00"/>
        <d u="1" v="2017-10-02T00:00:00"/>
        <d u="1" v="2018-03-13T00:00:00"/>
        <d u="1" v="2018-06-15T00:00:00"/>
        <d u="1" v="2018-02-28T00:00:00"/>
        <d u="1" v="2017-05-30T00:00:00"/>
        <d u="1" v="2018-09-17T00:00:00"/>
        <d u="1" v="2018-05-30T00:00:00"/>
        <d u="1" v="2018-03-09T00:00:00"/>
        <d u="1" v="2018-06-11T00:00:00"/>
        <d u="1" v="2017-09-13T00:00:00"/>
        <d u="1" v="2018-09-13T00:00:00"/>
        <d u="1" v="2017-12-15T00:00:00"/>
        <d u="1" v="2018-03-05T00:00:00"/>
        <d u="1" v="2018-06-07T00:00:00"/>
        <d u="1" v="2018-02-20T00:00:00"/>
        <d u="1" v="2017-12-11T00:00:00"/>
        <d u="1" v="2018-03-01T00:00:00"/>
        <d u="1" v="2018-06-03T00:00:00"/>
        <d u="1" v="2018-11-26T00:00:00"/>
        <d u="1" v="2018-02-16T00:00:00"/>
        <d u="1" v="2018-09-05T00:00:00"/>
        <d u="1" v="2018-05-18T00:00:00"/>
        <d u="1" v="2018-01-31T00:00:00"/>
        <d u="1" v="2018-08-20T00:00:00"/>
        <d u="1" v="2018-02-12T00:00:00"/>
        <d u="1" v="2018-05-14T00:00:00"/>
        <d u="1" v="2018-12-03T00:00:00"/>
        <d u="1" v="2018-08-16T00:00:00"/>
        <d u="1" v="2018-07-31T00:00:00"/>
        <d u="1" v="2018-05-10T00:00:00"/>
        <d u="1" v="2017-11-14T00:00:00"/>
        <d u="1" v="2018-04-25T00:00:00"/>
        <d u="1" v="2018-07-27T00:00:00"/>
        <d u="1" v="2017-08-08T00:00:00"/>
        <d u="1" v="2018-01-19T00:00:00"/>
        <d u="1" v="2018-08-08T00:00:00"/>
        <d u="1" v="2017-11-10T00:00:00"/>
        <d u="1" v="2018-07-23T00:00:00"/>
        <d u="1" v="2017-11-06T00:00:00"/>
        <d u="1" v="2018-11-06T00:00:00"/>
        <d u="1" v="2019-04-17T00:00:00"/>
        <d u="1" v="2018-07-19T00:00:00"/>
        <d u="1" v="2018-01-11T00:00:00"/>
        <d u="1" v="2018-04-13T00:00:00"/>
        <d u="1" v="2017-10-17T00:00:00"/>
        <d u="1" v="2018-10-17T00:00:00"/>
        <d u="1" v="2018-04-09T00:00:00"/>
        <d u="1" v="2017-07-11T00:00:00"/>
        <d u="1" v="2017-09-28T00:00:00"/>
        <d u="1" v="2018-04-05T00:00:00"/>
        <d u="1" v="2018-09-28T00:00:00"/>
        <d u="1" v="2019-04-05T00:00:00"/>
        <d u="1" v="2018-03-20T00:00:00"/>
        <d u="1" v="2018-10-09T00:00:00"/>
        <d u="1" v="2018-06-22T00:00:00"/>
        <d u="1" v="2018-09-24T00:00:00"/>
        <d u="1" v="2017-07-03T00:00:00"/>
        <d u="1" v="2017-12-26T00:00:00"/>
        <d u="1" v="2019-04-01T00:00:00"/>
        <d u="1" v="2018-07-03T00:00:00"/>
        <d u="1" v="2018-03-16T00:00:00"/>
        <d u="1" v="2018-10-05T00:00:00"/>
        <d u="1" v="2018-06-18T00:00:00"/>
        <d u="1" v="2018-03-12T00:00:00"/>
        <d u="1" v="2018-10-01T00:00:00"/>
        <d u="1" v="2018-02-27T00:00:00"/>
        <d u="1" v="2018-05-29T00:00:00"/>
        <d u="1" v="2017-08-31T00:00:00"/>
        <d u="1" v="2018-12-18T00:00:00"/>
        <d u="1" v="2018-03-08T00:00:00"/>
        <d u="1" v="2018-09-12T00:00:00"/>
        <d u="1" v="2017-12-14T00:00:00"/>
        <d u="1" v="2018-05-25T00:00:00"/>
        <d u="1" v="2018-08-27T00:00:00"/>
        <d u="1" v="2017-11-29T00:00:00"/>
        <d u="1" v="2018-06-06T00:00:00"/>
        <d u="1" v="2017-08-23T00:00:00"/>
        <d u="1" v="2018-12-10T00:00:00"/>
        <d u="1" v="2018-08-23T00:00:00"/>
        <d u="1" v="2018-09-04T00:00:00"/>
        <d u="1" v="2017-11-21T00:00:00"/>
        <d u="1" v="2018-08-15T00:00:00"/>
        <d u="1" v="2017-11-17T00:00:00"/>
        <d u="1" v="2018-07-30T00:00:00"/>
        <d u="1" v="2018-05-09T00:00:00"/>
        <d u="1" v="2017-08-11T00:00:00"/>
        <d u="1" v="2018-01-22T00:00:00"/>
        <d u="1" v="2018-11-13T00:00:00"/>
        <d u="1" v="2018-07-26T00:00:00"/>
        <d u="1" v="2017-08-07T00:00:00"/>
      </sharedItems>
    </cacheField>
    <cacheField databaseField="1" hierarchy="0" level="0" name="CloseDate" numFmtId="0" sqlType="0" uniqueList="1">
      <sharedItems containsBlank="1" containsDate="1" containsNonDate="0" containsString="0" count="233" maxDate="2021-07-17T00:00:00" minDate="1899-12-30T00:00:00">
        <d v="2021-04-16T00:00:00"/>
        <d v="2021-05-19T00:00:00"/>
        <d v="2021-06-01T00:00:00"/>
        <d v="2021-04-05T00:00:00"/>
        <d v="2021-04-01T00:00:00"/>
        <d v="2021-04-06T00:00:00"/>
        <d v="2021-04-22T00:00:00"/>
        <d v="2021-04-09T00:00:00"/>
        <d v="2021-04-15T00:00:00"/>
        <d v="2021-04-30T00:00:00"/>
        <d v="2021-05-12T00:00:00"/>
        <d v="2021-05-26T00:00:00"/>
        <d v="2021-05-07T00:00:00"/>
        <d v="2021-05-06T00:00:00"/>
        <d v="2021-04-27T00:00:00"/>
        <d v="2021-05-14T00:00:00"/>
        <d v="2021-05-13T00:00:00"/>
        <d v="2021-06-09T00:00:00"/>
        <d v="2021-06-15T00:00:00"/>
        <m/>
        <d v="2021-05-10T00:00:00"/>
        <d v="2021-05-24T00:00:00"/>
        <d v="2021-06-11T00:00:00"/>
        <d v="2021-06-08T00:00:00"/>
        <d v="2021-05-29T00:00:00"/>
        <d v="2021-06-18T00:00:00"/>
        <d v="2021-06-04T00:00:00"/>
        <d v="2021-06-23T00:00:00"/>
        <d v="2021-06-21T00:00:00"/>
        <d u="1" v="2018-04-20T00:00:00"/>
        <d u="1" v="2018-08-03T00:00:00"/>
        <d u="1" v="2017-03-31T00:00:00"/>
        <d u="1" v="2018-07-18T00:00:00"/>
        <d u="1" v="2017-10-20T00:00:00"/>
        <d u="1" v="2018-04-12T00:00:00"/>
        <d u="1" v="2017-10-16T00:00:00"/>
        <d u="1" v="2018-06-29T00:00:00"/>
        <d u="1" v="2018-07-10T00:00:00"/>
        <d u="1" v="2017-10-12T00:00:00"/>
        <d u="1" v="2018-03-23T00:00:00"/>
        <d u="1" v="2018-10-12T00:00:00"/>
        <d u="1" v="2018-01-02T00:00:00"/>
        <d u="1" v="2017-09-27T00:00:00"/>
        <d u="1" v="2018-09-27T00:00:00"/>
        <d u="1" v="2017-12-29T00:00:00"/>
        <d u="1" v="2018-07-06T00:00:00"/>
        <d u="1" v="2018-10-08T00:00:00"/>
        <d u="1" v="2018-03-15T00:00:00"/>
        <d u="1" v="2017-12-21T00:00:00"/>
        <d u="1" v="2018-12-21T00:00:00"/>
        <d u="1" v="2018-06-13T00:00:00"/>
        <d u="1" v="2017-09-15T00:00:00"/>
        <d u="1" v="2018-02-26T00:00:00"/>
        <d u="1" v="2018-08-30T00:00:00"/>
        <d u="1" v="2017-06-09T00:00:00"/>
        <d u="1" v="2018-09-11T00:00:00"/>
        <d u="1" v="2017-12-13T00:00:00"/>
        <d u="1" v="2017-11-28T00:00:00"/>
        <d u="1" v="2018-11-28T00:00:00"/>
        <d u="1" v="2017-09-07T00:00:00"/>
        <d u="1" v="2018-09-07T00:00:00"/>
        <d u="1" v="2018-06-01T00:00:00"/>
        <d u="1" v="2018-02-14T00:00:00"/>
        <d u="1" v="2018-05-16T00:00:00"/>
        <d u="1" v="2017-08-18T00:00:00"/>
        <d u="1" v="2017-12-01T00:00:00"/>
        <d u="1" v="2018-04-27T00:00:00"/>
        <d u="1" v="2018-11-16T00:00:00"/>
        <d u="1" v="2016-10-31T00:00:00"/>
        <d u="1" v="2018-02-06T00:00:00"/>
        <d u="1" v="2017-10-31T00:00:00"/>
        <d u="1" v="2018-10-31T00:00:00"/>
        <d u="1" v="2018-08-10T00:00:00"/>
        <d u="1" v="2018-02-02T00:00:00"/>
        <d u="1" v="2018-07-25T00:00:00"/>
        <d u="1" v="2018-05-04T00:00:00"/>
        <d u="1" v="2018-01-17T00:00:00"/>
        <d u="1" v="2017-11-08T00:00:00"/>
        <d u="1" v="2018-04-19T00:00:00"/>
        <d u="1" v="2017-07-21T00:00:00"/>
        <d u="1" v="1899-12-30T00:00:00"/>
        <d u="1" v="2017-10-23T00:00:00"/>
        <d u="1" v="2018-08-02T00:00:00"/>
        <d u="1" v="2018-07-17T00:00:00"/>
        <d u="1" v="2017-10-19T00:00:00"/>
        <d u="1" v="2018-10-19T00:00:00"/>
        <d u="1" v="2018-01-09T00:00:00"/>
        <d u="1" v="2021-03-30T00:00:00"/>
        <d u="1" v="2018-04-11T00:00:00"/>
        <d u="1" v="2018-07-13T00:00:00"/>
        <d u="1" v="2018-10-15T00:00:00"/>
        <d u="1" v="2016-09-30T00:00:00"/>
        <d u="1" v="2018-01-05T00:00:00"/>
        <d u="1" v="2018-06-28T00:00:00"/>
        <d u="1" v="2018-03-22T00:00:00"/>
        <d u="1" v="2018-10-11T00:00:00"/>
        <d u="1" v="2018-04-03T00:00:00"/>
        <d u="1" v="2018-09-26T00:00:00"/>
        <d u="1" v="2018-07-05T00:00:00"/>
        <d u="1" v="2016-07-01T00:00:00"/>
        <d u="1" v="2017-10-03T00:00:00"/>
        <d u="1" v="2018-03-14T00:00:00"/>
        <d u="1" v="2017-06-16T00:00:00"/>
        <d u="1" v="2018-10-03T00:00:00"/>
        <d u="1" v="2018-06-16T00:00:00"/>
        <d u="1" v="2017-05-31T00:00:00"/>
        <d u="1" v="2018-09-18T00:00:00"/>
        <d u="1" v="2018-05-31T00:00:00"/>
        <d u="1" v="2018-12-20T00:00:00"/>
        <d u="1" v="2018-06-12T00:00:00"/>
        <d u="1" v="2018-09-14T00:00:00"/>
        <d u="1" v="2018-08-29T00:00:00"/>
        <d u="1" v="2018-06-08T00:00:00"/>
        <d u="1" v="2018-09-10T00:00:00"/>
        <d u="1" v="2017-12-12T00:00:00"/>
        <d u="1" v="2018-05-23T00:00:00"/>
        <d u="1" v="2017-08-25T00:00:00"/>
        <d u="1" v="2018-03-02T00:00:00"/>
        <d u="1" v="2018-09-06T00:00:00"/>
        <d u="1" v="2017-12-08T00:00:00"/>
        <d u="1" v="2018-11-23T00:00:00"/>
        <d u="1" v="2018-05-15T00:00:00"/>
        <d u="1" v="2018-08-17T00:00:00"/>
        <d u="1" v="2018-04-30T00:00:00"/>
        <d u="1" v="2018-02-09T00:00:00"/>
        <d u="1" v="2018-05-11T00:00:00"/>
        <d u="1" v="2017-08-13T00:00:00"/>
        <d u="1" v="2017-07-28T00:00:00"/>
        <d u="1" v="2018-05-07T00:00:00"/>
        <d u="1" v="2018-08-09T00:00:00"/>
        <d u="1" v="2018-04-18T00:00:00"/>
        <d u="1" v="2021-05-03T00:00:00"/>
        <d u="1" v="2018-07-20T00:00:00"/>
        <d u="1" v="2018-01-12T00:00:00"/>
        <d u="1" v="2017-11-03T00:00:00"/>
        <d u="1" v="2018-07-16T00:00:00"/>
        <d u="1" v="2018-03-29T00:00:00"/>
        <d u="1" v="2018-10-18T00:00:00"/>
        <d u="1" v="2021-07-16T00:00:00"/>
        <d u="1" v="2018-04-10T00:00:00"/>
        <d u="1" v="2018-06-27T00:00:00"/>
        <d u="1" v="2017-09-29T00:00:00"/>
        <d u="1" v="2021-03-25T00:00:00"/>
        <d u="1" v="2018-04-06T00:00:00"/>
        <d u="1" v="2019-04-06T00:00:00"/>
        <d u="1" v="2018-10-10T00:00:00"/>
        <d u="1" v="2017-09-25T00:00:00"/>
        <d u="1" v="2018-04-02T00:00:00"/>
        <d u="1" v="2017-10-06T00:00:00"/>
        <d u="1" v="2017-09-21T00:00:00"/>
        <d u="1" v="2018-09-21T00:00:00"/>
        <d u="1" v="2017-10-02T00:00:00"/>
        <d u="1" v="2017-02-28T00:00:00"/>
        <d u="1" v="2018-06-15T00:00:00"/>
        <d u="1" v="2018-02-28T00:00:00"/>
        <d u="1" v="2018-09-17T00:00:00"/>
        <d u="1" v="2018-06-11T00:00:00"/>
        <d u="1" v="2018-09-13T00:00:00"/>
        <d u="1" v="2017-12-15T00:00:00"/>
        <d u="1" v="2016-11-30T00:00:00"/>
        <d u="1" v="2017-11-30T00:00:00"/>
        <d u="1" v="2018-06-07T00:00:00"/>
        <d u="1" v="2018-03-01T00:00:00"/>
        <d u="1" v="2018-08-24T00:00:00"/>
        <d u="1" v="2018-06-03T00:00:00"/>
        <d u="1" v="2018-02-16T00:00:00"/>
        <d u="1" v="2018-09-05T00:00:00"/>
        <d u="1" v="2017-01-31T00:00:00"/>
        <d u="1" v="2018-05-18T00:00:00"/>
        <d u="1" v="2018-01-31T00:00:00"/>
        <d u="1" v="2018-12-07T00:00:00"/>
        <d u="1" v="2018-08-20T00:00:00"/>
        <d u="1" v="2018-02-12T00:00:00"/>
        <d u="1" v="2018-05-14T00:00:00"/>
        <d u="1" v="2018-08-16T00:00:00"/>
        <d u="1" v="2017-07-31T00:00:00"/>
        <d u="1" v="2018-07-31T00:00:00"/>
        <d u="1" v="2018-05-10T00:00:00"/>
        <d u="1" v="2018-01-23T00:00:00"/>
        <d u="1" v="2018-04-25T00:00:00"/>
        <d u="1" v="2017-07-27T00:00:00"/>
        <d u="1" v="2018-07-27T00:00:00"/>
        <d u="1" v="2018-10-29T00:00:00"/>
        <d u="1" v="2018-01-19T00:00:00"/>
        <d u="1" v="2018-08-08T00:00:00"/>
        <d u="1" v="2017-11-10T00:00:00"/>
        <d u="1" v="2017-11-06T00:00:00"/>
        <d u="1" v="2018-04-17T00:00:00"/>
        <d u="1" v="2018-11-06T00:00:00"/>
        <d u="1" v="2019-04-17T00:00:00"/>
        <d u="1" v="2018-07-19T00:00:00"/>
        <d u="1" v="2018-01-11T00:00:00"/>
        <d u="1" v="2017-11-02T00:00:00"/>
        <d u="1" v="2018-04-13T00:00:00"/>
        <d u="1" v="2017-06-30T00:00:00"/>
        <d u="1" v="2018-10-17T00:00:00"/>
        <d u="1" v="2017-10-13T00:00:00"/>
        <d u="1" v="2017-09-28T00:00:00"/>
        <d u="1" v="2016-12-30T00:00:00"/>
        <d u="1" v="2018-04-05T00:00:00"/>
        <d u="1" v="2018-09-28T00:00:00"/>
        <d u="1" v="2017-07-07T00:00:00"/>
        <d u="1" v="2018-10-09T00:00:00"/>
        <d u="1" v="2018-06-22T00:00:00"/>
        <d u="1" v="2018-03-16T00:00:00"/>
        <d u="1" v="2018-10-05T00:00:00"/>
        <d u="1" v="2017-09-20T00:00:00"/>
        <d u="1" v="2018-03-12T00:00:00"/>
        <d u="1" v="2018-06-14T00:00:00"/>
        <d u="1" v="2018-02-27T00:00:00"/>
        <d u="1" v="2016-08-31T00:00:00"/>
        <d u="1" v="2018-05-29T00:00:00"/>
        <d u="1" v="2017-08-31T00:00:00"/>
        <d u="1" v="2018-12-18T00:00:00"/>
        <d u="1" v="2018-03-08T00:00:00"/>
        <d u="1" v="2018-08-31T00:00:00"/>
        <d u="1" v="2018-09-12T00:00:00"/>
        <d u="1" v="2018-05-25T00:00:00"/>
        <d u="1" v="2018-06-06T00:00:00"/>
        <d u="1" v="2017-09-08T00:00:00"/>
        <d u="1" v="2017-08-23T00:00:00"/>
        <d u="1" v="2018-08-23T00:00:00"/>
        <d u="1" v="2018-09-04T00:00:00"/>
        <d u="1" v="2018-01-26T00:00:00"/>
        <d u="1" v="2017-04-28T00:00:00"/>
        <d u="1" v="2018-08-15T00:00:00"/>
        <d u="1" v="2017-11-17T00:00:00"/>
        <d u="1" v="2018-02-07T00:00:00"/>
        <d u="1" v="2018-07-30T00:00:00"/>
        <d u="1" v="2018-05-09T00:00:00"/>
        <d u="1" v="2017-08-11T00:00:00"/>
        <d u="1" v="2016-07-26T00:00:00"/>
        <d u="1" v="2018-11-13T00:00:00"/>
      </sharedItems>
    </cacheField>
    <cacheField databaseField="1" hierarchy="0" level="0" name="ExpDate" numFmtId="167" sqlType="0" uniqueList="1">
      <sharedItems containsDate="1" containsNonDate="0" containsSemiMixedTypes="0" containsString="0" count="98" maxDate="2021-08-21T00:00:00" minDate="2017-06-09T00:00:00">
        <d v="2021-04-16T00:00:00"/>
        <d v="2021-05-21T00:00:00"/>
        <d v="2021-07-16T00:00:00"/>
        <d v="2021-04-09T00:00:00"/>
        <d v="2021-04-23T00:00:00"/>
        <d v="2021-04-30T00:00:00"/>
        <d v="2021-06-11T00:00:00"/>
        <d v="2021-05-07T00:00:00"/>
        <d v="2021-05-28T00:00:00"/>
        <d v="2021-05-14T00:00:00"/>
        <d v="2021-06-18T00:00:00"/>
        <d v="2021-06-04T00:00:00"/>
        <d v="2021-08-20T00:00:00"/>
        <d v="2021-06-25T00:00:00"/>
        <d v="2021-07-02T00:00:00"/>
        <d v="2021-07-23T00:00:00"/>
        <d v="2021-07-09T00:00:00"/>
        <d u="1" v="2019-01-18T00:00:00"/>
        <d u="1" v="2018-04-20T00:00:00"/>
        <d u="1" v="2018-11-09T00:00:00"/>
        <d u="1" v="2018-08-03T00:00:00"/>
        <d u="1" v="2017-10-20T00:00:00"/>
        <d u="1" v="2018-06-29T00:00:00"/>
        <d u="1" v="2018-03-23T00:00:00"/>
        <d u="1" v="2018-10-12T00:00:00"/>
        <d u="1" v="2017-12-29T00:00:00"/>
        <d u="1" v="2018-07-06T00:00:00"/>
        <d u="1" v="2018-03-15T00:00:00"/>
        <d u="1" v="2019-03-15T00:00:00"/>
        <d u="1" v="2019-06-17T00:00:00"/>
        <d u="1" v="2018-12-21T00:00:00"/>
        <d u="1" v="2017-09-15T00:00:00"/>
        <d u="1" v="2017-06-09T00:00:00"/>
        <d u="1" v="2018-09-07T00:00:00"/>
        <d u="1" v="2018-06-01T00:00:00"/>
        <d u="1" v="2017-08-18T00:00:00"/>
        <d u="1" v="2017-12-01T00:00:00"/>
        <d u="1" v="2018-04-27T00:00:00"/>
        <d u="1" v="2018-11-16T00:00:00"/>
        <d u="1" v="2018-08-10T00:00:00"/>
        <d u="1" v="2018-02-02T00:00:00"/>
        <d u="1" v="2017-10-27T00:00:00"/>
        <d u="1" v="2018-05-04T00:00:00"/>
        <d u="1" v="2017-07-21T00:00:00"/>
        <d u="1" v="2018-10-19T00:00:00"/>
        <d u="1" v="2018-07-13T00:00:00"/>
        <d u="1" v="2018-01-05T00:00:00"/>
        <d u="1" v="2018-07-05T00:00:00"/>
        <d u="1" v="2017-09-22T00:00:00"/>
        <d u="1" v="2017-06-16T00:00:00"/>
        <d u="1" v="2018-09-14T00:00:00"/>
        <d u="1" v="2018-06-08T00:00:00"/>
        <d u="1" v="2017-08-25T00:00:00"/>
        <d u="1" v="2018-03-02T00:00:00"/>
        <d u="1" v="2017-12-08T00:00:00"/>
        <d u="1" v="2018-08-17T00:00:00"/>
        <d u="1" v="2018-05-11T00:00:00"/>
        <d u="1" v="2017-07-28T00:00:00"/>
        <d u="1" v="2018-10-26T00:00:00"/>
        <d u="1" v="2018-04-18T00:00:00"/>
        <d u="1" v="2019-04-18T00:00:00"/>
        <d u="1" v="2018-07-20T00:00:00"/>
        <d u="1" v="2017-11-03T00:00:00"/>
        <d u="1" v="2018-03-29T00:00:00"/>
        <d u="1" v="2017-09-29T00:00:00"/>
        <d u="1" v="2018-04-06T00:00:00"/>
        <d u="1" v="2017-10-06T00:00:00"/>
        <d u="1" v="2018-09-21T00:00:00"/>
        <d u="1" v="2018-06-15T00:00:00"/>
        <d u="1" v="2018-09-17T00:00:00"/>
        <d u="1" v="2018-03-09T00:00:00"/>
        <d u="1" v="2017-12-15T00:00:00"/>
        <d u="1" v="2018-11-30T00:00:00"/>
        <d u="1" v="2018-08-24T00:00:00"/>
        <d u="1" v="2018-02-16T00:00:00"/>
        <d u="1" v="2018-05-18T00:00:00"/>
        <d u="1" v="2019-05-18T00:00:00"/>
        <d u="1" v="2018-07-27T00:00:00"/>
        <d u="1" v="2018-01-19T00:00:00"/>
        <d u="1" v="2017-11-10T00:00:00"/>
        <d u="1" v="2018-04-13T00:00:00"/>
        <d u="1" v="2018-11-02T00:00:00"/>
        <d u="1" v="2017-06-30T00:00:00"/>
        <d u="1" v="2017-10-13T00:00:00"/>
        <d u="1" v="2018-09-28T00:00:00"/>
        <d u="1" v="2017-07-07T00:00:00"/>
        <d u="1" v="2018-10-09T00:00:00"/>
        <d u="1" v="2018-06-22T00:00:00"/>
        <d u="1" v="2018-03-16T00:00:00"/>
        <d u="1" v="2018-10-05T00:00:00"/>
        <d u="1" v="2018-08-31T00:00:00"/>
        <d u="1" v="2018-05-25T00:00:00"/>
        <d u="1" v="2017-09-08T00:00:00"/>
        <d u="1" v="2018-02-15T00:00:00"/>
        <d u="1" v="2019-02-15T00:00:00"/>
        <d u="1" v="2018-01-26T00:00:00"/>
        <d u="1" v="2017-11-17T00:00:00"/>
        <d u="1" v="2017-08-11T00:00:00"/>
      </sharedItems>
    </cacheField>
    <cacheField databaseField="1" hierarchy="0" level="0" name="Strike" numFmtId="0" sqlType="0" uniqueList="1">
      <sharedItems containsNumber="1" containsSemiMixedTypes="0" containsString="0" count="174" maxValue="467.5" minValue="1">
        <n v="80"/>
        <n v="65"/>
        <n v="77.5"/>
        <n v="72.5"/>
        <n v="36"/>
        <n v="24"/>
        <n v="42"/>
        <n v="40"/>
        <n v="18"/>
        <n v="17"/>
        <n v="45"/>
        <n v="44.5"/>
        <n v="28"/>
        <n v="22"/>
        <n v="21.5"/>
        <n v="25"/>
        <n v="13"/>
        <n v="48"/>
        <n v="24.5"/>
        <n v="62.5"/>
        <n v="23.5"/>
        <n v="23"/>
        <n v="51"/>
        <n v="50"/>
        <n v="43"/>
        <n v="90"/>
        <n v="21"/>
        <n v="70"/>
        <n v="33"/>
        <n v="91"/>
        <n v="115"/>
        <n v="27.5"/>
        <n v="39.5"/>
        <n v="52"/>
        <n v="100"/>
        <n v="66"/>
        <n v="65.5"/>
        <n v="29.5"/>
        <n v="10"/>
        <n v="41.5"/>
        <n v="76"/>
        <n v="35"/>
        <n v="71.5"/>
        <n v="46"/>
        <n v="20"/>
        <n v="26.5"/>
        <n u="1" v="3"/>
        <n u="1" v="170"/>
        <n u="1" v="109"/>
        <n u="1" v="95.5"/>
        <n u="1" v="322.5"/>
        <n u="1" v="22.5"/>
        <n u="1" v="295"/>
        <n u="1" v="142"/>
        <n u="1" v="95"/>
        <n u="1" v="59.5"/>
        <n u="1" v="195"/>
        <n u="1" v="29"/>
        <n u="1" v="19"/>
        <n u="1" v="141"/>
        <n u="1" v="12.5"/>
        <n u="1" v="167.5"/>
        <n u="1" v="52.5"/>
        <n u="1" v="32.5"/>
        <n u="1" v="67.5"/>
        <n u="1" v="140"/>
        <n u="1" v="94"/>
        <n u="1" v="59"/>
        <n u="1" v="39"/>
        <n u="1" v="290"/>
        <n u="1" v="139"/>
        <n u="1" v="120"/>
        <n u="1" v="32"/>
        <n u="1" v="245"/>
        <n u="1" v="14"/>
        <n u="1" v="6"/>
        <n u="1" v="340"/>
        <n u="1" v="2.5"/>
        <n u="1" v="1"/>
        <n u="1" v="312.5"/>
        <n u="1" v="285"/>
        <n u="1" v="28.5"/>
        <n u="1" v="18.5"/>
        <n u="1" v="136"/>
        <n u="1" v="162.5"/>
        <n u="1" v="38"/>
        <n u="1" v="15.5"/>
        <n u="1" v="10.5"/>
        <n u="1" v="467.5"/>
        <n u="1" v="135"/>
        <n u="1" v="91.5"/>
        <n u="1" v="280"/>
        <n u="1" v="31.5"/>
        <n u="1" v="134"/>
        <n u="1" v="57.5"/>
        <n u="1" v="37.5"/>
        <n u="1" v="22.3"/>
        <n u="1" v="64"/>
        <n u="1" v="44"/>
        <n u="1" v="330"/>
        <n u="1" v="2"/>
        <n u="1" v="50.5"/>
        <n u="1" v="57"/>
        <n u="1" v="37"/>
        <n u="1" v="185"/>
        <n u="1" v="31"/>
        <n u="1" v="13.5"/>
        <n u="1" v="297.5"/>
        <n u="1" v="56.5"/>
        <n u="1" v="36.5"/>
        <n u="1" v="270"/>
        <n u="1" v="63"/>
        <n u="1" v="17.5"/>
        <n u="1" v="129"/>
        <n u="1" v="155"/>
        <n u="1" v="320"/>
        <n u="1" v="128"/>
        <n u="1" v="56"/>
        <n u="1" v="292.5"/>
        <n u="1" v="15"/>
        <n u="1" v="265"/>
        <n u="1" v="87.5"/>
        <n u="1" v="180"/>
        <n u="1" v="87"/>
        <n u="1" v="152.5"/>
        <n u="1" v="447.5"/>
        <n u="1" v="62"/>
        <n u="1" v="27"/>
        <n u="1" v="205"/>
        <n u="1" v="11.5"/>
        <n u="1" v="260"/>
        <n u="1" v="113"/>
        <n u="1" v="177.5"/>
        <n u="1" v="86"/>
        <n u="1" v="55"/>
        <n u="1" v="337.5"/>
        <n u="1" v="150"/>
        <n u="1" v="61.5"/>
        <n u="1" v="310"/>
        <n u="1" v="85.5"/>
        <n u="1" v="282.5"/>
        <n u="1" v="30"/>
        <n u="1" v="149"/>
        <n u="1" v="3.5"/>
        <n u="1" v="125"/>
        <n u="1" v="85"/>
        <n u="1" v="34.5"/>
        <n u="1" v="175"/>
        <n u="1" v="148"/>
        <n u="1" v="61"/>
        <n u="1" v="41"/>
        <n u="1" v="332.5"/>
        <n u="1" v="16.5"/>
        <n u="1" v="305"/>
        <n u="1" v="47.5"/>
        <n u="1" v="147"/>
        <n u="1" v="97.5"/>
        <n u="1" v="54"/>
        <n u="1" v="34"/>
        <n u="1" v="146"/>
        <n u="1" v="110"/>
        <n u="1" v="327.5"/>
        <n u="1" v="47"/>
        <n u="1" v="145"/>
        <n u="1" v="300"/>
        <n u="1" v="53.5"/>
        <n u="1" v="272.5"/>
        <n u="1" v="197.5"/>
        <n u="1" v="96"/>
        <n u="1" v="60"/>
        <n u="1" v="26"/>
        <n u="1" v="16"/>
        <n u="1" v="11"/>
        <n u="1" v="82.5"/>
      </sharedItems>
    </cacheField>
    <cacheField databaseField="1" hierarchy="0" level="0" name="Strike2" numFmtId="0" sqlType="0" uniqueList="1">
      <sharedItems containsBlank="1" containsNonDate="0" containsString="0" count="0"/>
    </cacheField>
    <cacheField databaseField="1" hierarchy="0" level="0" name="#Contracts" numFmtId="0" sqlType="0" uniqueList="1">
      <sharedItems containsNumber="1" containsSemiMixedTypes="0" containsString="0" count="25" maxValue="100" minValue="1">
        <n v="2"/>
        <n v="1"/>
        <n v="4"/>
        <n v="10"/>
        <n v="12"/>
        <n v="3"/>
        <n v="6"/>
        <n v="7"/>
        <n v="5"/>
        <n u="1" v="100"/>
        <n u="1" v="13"/>
        <n u="1" v="36"/>
        <n u="1" v="40"/>
        <n u="1" v="42"/>
        <n u="1" v="48"/>
        <n u="1" v="17"/>
        <n u="1" v="18"/>
        <n u="1" v="65"/>
        <n u="1" v="22"/>
        <n u="1" v="24"/>
        <n u="1" v="25"/>
        <n u="1" v="45"/>
        <n u="1" v="28"/>
        <n u="1" v="80"/>
        <n u="1" v="77.5"/>
      </sharedItems>
    </cacheField>
    <cacheField databaseField="1" hierarchy="0" level="0" name="OpnPrem" numFmtId="0" sqlType="0" uniqueList="1">
      <sharedItems containsNumber="1" containsSemiMixedTypes="0" containsString="0" count="0" maxValue="3077.31" minValue="-2762.66"/>
    </cacheField>
    <cacheField databaseField="1" hierarchy="0" level="0" name="ClsPrem" numFmtId="2" sqlType="0" uniqueList="1">
      <sharedItems containsBlank="1" containsNonDate="0" containsString="0" count="0"/>
    </cacheField>
    <cacheField databaseField="1" hierarchy="0" level="0" name="Symbol" numFmtId="0" sqlType="0" uniqueList="1">
      <sharedItems count="0"/>
    </cacheField>
    <cacheField databaseField="1" hierarchy="0" level="0" name="Current value" numFmtId="0" sqlType="0" uniqueList="1">
      <sharedItems containsMixedTypes="1" containsNumber="1" count="663" maxValue="118.4" minValue="0">
        <e v="#N/A"/>
        <n u="1" v="0"/>
        <n u="1" v="24.965"/>
        <n u="1" v="43.1"/>
        <n u="1" v="31.71"/>
        <n u="1" v="24.275"/>
        <n u="1" v="46.36"/>
        <n u="1" v="37.51"/>
        <n u="1" v="94"/>
        <n u="1" v="26.63"/>
        <n u="1" v="61.37"/>
        <n u="1" v="42.29"/>
        <n u="1" v="39.1"/>
        <n u="1" v="42.36"/>
        <n u="1" v="65.40000000000001"/>
        <n u="1" v="52.66"/>
        <n u="1" v="25.32"/>
        <n u="1" v="68.3"/>
        <n u="1" v="57.3"/>
        <n u="1" v="43.88"/>
        <n u="1" v="65.68000000000001"/>
        <n u="1" v="58.82"/>
        <n u="1" v="67.13"/>
        <n u="1" v="63.46"/>
        <n u="1" v="32.27"/>
        <n u="1" v="77.86"/>
        <n u="1" v="62.08"/>
        <n u="1" v="42.57"/>
        <n u="1" v="32.34"/>
        <n u="1" v="47.28"/>
        <n u="1" v="63.6"/>
        <n u="1" v="45.9"/>
        <n u="1" v="58.01"/>
        <n u="1" v="43.865"/>
        <n u="1" v="44.59"/>
        <n u="1" v="110.33"/>
        <n u="1" v="52.785"/>
        <n u="1" v="65.79000000000001"/>
        <n u="1" v="79.28"/>
        <n u="1" v="82.18000000000001"/>
        <n u="1" v="49.44"/>
        <n u="1" v="73.90000000000001"/>
        <n u="1" v="52.7"/>
        <n u="1" v="21.425"/>
        <n u="1" v="25.16"/>
        <n u="1" v="52.77"/>
        <n u="1" v="55.6"/>
        <n u="1" v="63.07"/>
        <n u="1" v="42.54"/>
        <n u="1" v="26.1"/>
        <n u="1" v="45.37"/>
        <n u="1" v="13.96"/>
        <n u="1" v="52.84"/>
        <n u="1" v="33.76"/>
        <n u="1" v="68.8"/>
        <n u="1" v="60.38"/>
        <n u="1" v="50.15"/>
        <n u="1" v="63.64"/>
        <n u="1" v="68.94"/>
        <n u="1" v="91.70999999999999"/>
        <n u="1" v="42.75"/>
        <n u="1" v="33.9"/>
        <n u="1" v="81.12"/>
        <n u="1" v="68.785"/>
        <n u="1" v="25.55"/>
        <n u="1" v="48.185"/>
        <n u="1" v="78.5"/>
        <n u="1" v="56.38"/>
        <n u="1" v="68.77"/>
        <n u="1" v="47.6"/>
        <n u="1" v="22.79"/>
        <n u="1" v="52.24"/>
        <n u="1" v="13.12"/>
        <n u="1" v="44.84"/>
        <n u="1" v="10.11"/>
        <n u="1" v="78.33"/>
        <n u="1" v="22.86"/>
        <n u="1" v="49.55"/>
        <n u="1" v="59.85"/>
        <n u="1" v="77.02"/>
        <n u="1" v="42.15"/>
        <n u="1" v="63.11"/>
        <n u="1" v="48.24"/>
        <n u="1" v="95"/>
        <n u="1" v="90.79000000000001"/>
        <n u="1" v="14.35"/>
        <n u="1" v="75.98999999999999"/>
        <n u="1" v="54.4"/>
        <n u="1" v="77.44"/>
        <n u="1" v="31.34"/>
        <n u="1" v="74.68000000000001"/>
        <n u="1" v="38.15"/>
        <n u="1" v="91.06999999999999"/>
        <n u="1" v="100.35"/>
        <n u="1" v="57.73"/>
        <n u="1" v="101.8"/>
        <n u="1" v="59.18"/>
        <n u="1" v="13.35"/>
        <n u="1" v="32.7"/>
        <n u="1" v="57.94"/>
        <n u="1" v="32.77"/>
        <n u="1" v="27.96"/>
        <n u="1" v="66.81999999999999"/>
        <n u="1" v="24.95"/>
        <n u="1" v="74.65000000000001"/>
        <n u="1" v="34.22"/>
        <n u="1" v="93.8"/>
        <n u="1" v="91.04000000000001"/>
        <n u="1" v="32.84"/>
        <n u="1" v="46.33"/>
        <n u="1" v="53.87"/>
        <n u="1" v="43.64"/>
        <n u="1" v="75.06999999999999"/>
        <n u="1" v="72.31"/>
        <n u="1" v="19.94"/>
        <n u="1" v="30.42"/>
        <n u="1" v="27.41"/>
        <n u="1" v="13.2"/>
        <n u="1" v="21.57"/>
        <n u="1" v="26.72"/>
        <n u="1" v="20.88"/>
        <n u="1" v="92.45999999999999"/>
        <n u="1" v="41.02"/>
        <n u="1" v="65.62"/>
        <n u="1" v="33.62"/>
        <n u="1" v="96.95"/>
        <n u="1" v="33.69"/>
        <n u="1" v="62.12"/>
        <n u="1" v="53.27"/>
        <n u="1" v="60.74"/>
        <n u="1" v="63.57"/>
        <n u="1" v="68.20999999999999"/>
        <n u="1" v="96.78"/>
        <n u="1" v="56.67"/>
        <n u="1" v="64.28"/>
        <n u="1" v="55.29"/>
        <n u="1" v="110.41"/>
        <n u="1" v="48.197"/>
        <n u="1" v="47.89"/>
        <n u="1" v="98.51000000000001"/>
        <n u="1" v="43.32"/>
        <n u="1" v="20.65"/>
        <n u="1" v="80.81"/>
        <n u="1" v="61.45"/>
        <n u="1" v="75.43000000000001"/>
        <n u="1" v="45.27"/>
        <n u="1" v="39.25"/>
        <n u="1" v="52.74"/>
        <n u="1" v="13.1301"/>
        <n u="1" v="72.81"/>
        <n u="1" v="26.81"/>
        <n u="1" v="29.13"/>
        <n u="1" v="42.58"/>
        <n u="1" v="22.42"/>
        <n u="1" v="48.67"/>
        <n u="1" v="42.65"/>
        <n u="1" v="56.14"/>
        <n u="1" v="107.9"/>
        <n u="1" v="21.04"/>
        <n u="1" v="83.81999999999999"/>
        <n u="1" v="29.2"/>
        <n u="1" v="48.81"/>
        <n u="1" v="39.96"/>
        <n u="1" v="75.54000000000001"/>
        <n u="1" v="63.75"/>
        <n u="1" v="12.97"/>
        <n u="1" v="72.78"/>
        <n u="1" v="40.03"/>
        <n u="1" v="28.58"/>
        <n u="1" v="47.5"/>
        <n u="1" v="52.14"/>
        <n u="1" v="19.73"/>
        <n u="1" v="13.44"/>
        <n u="1" v="68.70999999999999"/>
        <n u="1" v="47.57"/>
        <n u="1" v="38.72"/>
        <n u="1" v="29.52"/>
        <n u="1" v="34.51"/>
        <n u="1" v="101.49"/>
        <n u="1" v="61.13"/>
        <n u="1" v="49.45"/>
        <n u="1" v="73.2"/>
        <n u="1" v="21.43"/>
        <n u="1" v="13.13"/>
        <n u="1" v="29.59"/>
        <n u="1" v="43.5"/>
        <n u="1" v="100.32"/>
        <n u="1" v="48.14"/>
        <n u="1" v="25.2"/>
        <n u="1" v="27.52"/>
        <n u="1" v="48.21"/>
        <n u="1" v="96.25"/>
        <n u="1" v="97.7"/>
        <n u="1" v="65.2"/>
        <n u="1" v="31.29"/>
        <n u="1" v="45.52"/>
        <n u="1" v="76.06999999999999"/>
        <n u="1" v="20.19"/>
        <n u="1" v="9.59"/>
        <n u="1" v="33.98"/>
        <n u="1" v="59.15"/>
        <n u="1" v="36.81"/>
        <n u="1" v="48.92"/>
        <n u="1" v="93.45999999999999"/>
        <n u="1" v="100.57"/>
        <n u="1" v="80.11"/>
        <n u="1" v="21.89"/>
        <n u="1" v="81.56"/>
        <n u="1" v="62.55"/>
        <n u="1" v="56.53"/>
        <n u="1" v="28.67"/>
        <n u="1" v="46.3"/>
        <n u="1" v="73.28"/>
        <n u="1" v="47.75"/>
        <n u="1" v="116.65"/>
        <n u="1" v="32.88"/>
        <n u="1" v="70.66"/>
        <n u="1" v="44.99"/>
        <n u="1" v="47.82"/>
        <n u="1" v="76.02500000000001"/>
        <n u="1" v="43.61"/>
        <n u="1" v="26.635"/>
        <n u="1" v="53.91"/>
        <n u="1" v="80.08"/>
        <n u="1" v="100.68"/>
        <n u="1" v="33.45"/>
        <n u="1" v="13.9"/>
        <n u="1" v="33.52"/>
        <n u="1" v="13.21"/>
        <n u="1" v="29.75"/>
        <n u="1" v="20.9"/>
        <n u="1" v="32.14"/>
        <n u="1" v="32.21"/>
        <n u="1" v="39.68"/>
        <n u="1" v="79.19"/>
        <n u="1" v="24.67"/>
        <n u="1" v="20.97"/>
        <n u="1" v="21.4299"/>
        <n u="1" v="36.92"/>
        <n u="1" v="91.37"/>
        <n u="1" v="14.06"/>
        <n u="1" v="53.31"/>
        <n u="1" v="34.23"/>
        <n u="1" v="41.7"/>
        <n u="1" v="69.73999999999999"/>
        <n u="1" v="79.02"/>
        <n u="1" v="24.99"/>
        <n u="1" v="43.15"/>
        <n u="1" v="80.47"/>
        <n u="1" v="65.67"/>
        <n u="1" v="34.37"/>
        <n u="1" v="41.84"/>
        <n u="1" v="49.31"/>
        <n u="1" v="27.38"/>
        <n u="1" v="62.87"/>
        <n u="1" v="80.89"/>
        <n u="1" v="31.84"/>
        <n u="1" v="22.99"/>
        <n u="1" v="13.91"/>
        <n u="1" v="43.79"/>
        <n u="1" v="84.65000000000001"/>
        <n u="1" v="117.29"/>
        <n u="1" v="23.75"/>
        <n u="1" v="23.06"/>
        <n u="1" v="72.75"/>
        <n u="1" v="52.78"/>
        <n u="1" v="48.64"/>
        <n u="1" v="42.62"/>
        <n u="1" v="44.07"/>
        <n u="1" v="27.77"/>
        <n u="1" v="109.29"/>
        <n u="1" v="39.93"/>
        <n u="1" v="66.2"/>
        <n u="1" v="60.89"/>
        <n u="1" v="48.85"/>
        <n u="1" v="27.15"/>
        <n u="1" v="13.45"/>
        <n u="1" v="68.79000000000001"/>
        <n u="1" v="73.14"/>
        <n u="1" v="55.51"/>
        <n u="1" v="21.415"/>
        <n u="1" v="22.83"/>
        <n u="1" v="22.14"/>
        <n u="1" v="91.84"/>
        <n u="1" v="97.5"/>
        <n u="1" v="13.14"/>
        <n u="1" v="72.83"/>
        <n u="1" v="33.31"/>
        <n u="1" v="48.25"/>
        <n u="1" v="20.83"/>
        <n u="1" v="32"/>
        <n u="1" v="71.66"/>
        <n u="1" v="31.31"/>
        <n u="1" v="76.01000000000001"/>
        <n u="1" v="59.05"/>
        <n u="1" v="44.25"/>
        <n u="1" v="64.97"/>
        <n u="1" v="18.83"/>
        <n u="1" v="30"/>
        <n u="1" v="29.31"/>
        <n u="1" v="20.46"/>
        <n u="1" v="94.98999999999999"/>
        <n u="1" v="42.285"/>
        <n u="1" v="27.93"/>
        <n u="1" v="65.25"/>
        <n u="1" v="55.12"/>
        <n u="1" v="24.955"/>
        <n u="1" v="56.57"/>
        <n u="1" v="28"/>
        <n u="1" v="44.96"/>
        <n u="1" v="24.3"/>
        <n u="1" v="10.14"/>
        <n u="1" v="31.08"/>
        <n u="1" v="19.91"/>
        <n u="1" v="43.65"/>
        <n u="1" v="42.27"/>
        <n u="1" v="66.67"/>
        <n u="1" v="48.36"/>
        <n u="1" v="78.84999999999999"/>
        <n u="1" v="42.34"/>
        <n u="1" v="42.41"/>
        <n u="1" v="20.195"/>
        <n u="1" v="63.37"/>
        <n u="1" v="57.35"/>
        <n u="1" v="64.19"/>
        <n u="1" v="65.64"/>
        <n u="1" v="47.19"/>
        <n u="1" v="27.01"/>
        <n u="1" v="81.58"/>
        <n u="1" v="38.41"/>
        <n u="1" v="53.35"/>
        <n u="1" v="41.67"/>
        <n u="1" v="110.15"/>
        <n u="1" v="56.61"/>
        <n u="1" v="64.16"/>
        <n u="1" v="41.74"/>
        <n u="1" v="65.61"/>
        <n u="1" v="25.01"/>
        <n u="1" v="99.7"/>
        <n u="1" v="22"/>
        <n u="1" v="30.16"/>
        <n u="1" v="41.81"/>
        <n u="1" v="55.3"/>
        <n u="1" v="32.96"/>
        <n u="1" v="29.47"/>
        <n u="1" v="65.75"/>
        <n u="1" v="62.77"/>
        <n u="1" v="118.4"/>
        <n u="1" v="24.39"/>
        <n u="1" v="91.56"/>
        <n u="1" v="9.84"/>
        <n u="1" v="20"/>
        <n u="1" v="60.15"/>
        <n u="1" v="96.77"/>
        <n u="1" v="13.23"/>
        <n u="1" v="36.43"/>
        <n u="1" v="29.1"/>
        <n u="1" v="30.55"/>
        <n u="1" v="65.86"/>
        <n u="1" v="42.59"/>
        <n u="1" v="60.79"/>
        <n u="1" v="47.37"/>
        <n u="1" v="63.69"/>
        <n u="1" v="53.46"/>
        <n u="1" v="52.08"/>
        <n u="1" v="32.57"/>
        <n u="1" v="87.73999999999999"/>
        <n u="1" v="27.17"/>
        <n u="1" v="61"/>
        <n u="1" v="71.48999999999999"/>
        <n u="1" v="59.62"/>
        <n u="1" v="14.15"/>
        <n u="1" v="68.73"/>
        <n u="1" v="61.07"/>
        <n u="1" v="50.84"/>
        <n u="1" v="29.56"/>
        <n u="1" v="49.46"/>
        <n u="1" v="56.93"/>
        <n u="1" v="100.2"/>
        <n u="1" v="64.8"/>
        <n u="1" v="21.435"/>
        <n u="1" v="28.18"/>
        <n u="1" v="25.17"/>
        <n u="1" v="22.16"/>
        <n u="1" v="52.79"/>
        <n u="1" v="13.15"/>
        <n u="1" v="46.77"/>
        <n u="1" v="93.37"/>
        <n u="1" v="54.24"/>
        <n u="1" v="45.39"/>
        <n u="1" v="48.22"/>
        <n u="1" v="21.4136"/>
        <n u="1" v="46.91"/>
        <n u="1" v="45.53"/>
        <n u="1" v="64.77"/>
        <n u="1" v="56.26"/>
        <n u="1" v="67.67"/>
        <n u="1" v="97.55"/>
        <n u="1" v="26.25"/>
        <n u="1" v="42.84"/>
        <n u="1" v="33.99"/>
        <n u="1" v="48.205"/>
        <n u="1" v="32.61"/>
        <n u="1" v="92.03"/>
        <n u="1" v="93.48"/>
        <n u="1" v="94.93000000000001"/>
        <n u="1" v="20.48"/>
        <n u="1" v="32.75"/>
        <n u="1" v="27.26"/>
        <n u="1" v="71.84999999999999"/>
        <n u="1" v="24.25"/>
        <n u="1" v="23.56"/>
        <n u="1" v="62.63"/>
        <n u="1" v="25.88"/>
        <n u="1" v="21.49"/>
        <n u="1" v="81.41"/>
        <n u="1" v="26.64"/>
        <n u="1" v="25.95"/>
        <n u="1" v="81.55"/>
        <n u="1" v="13.54"/>
        <n u="1" v="39.48"/>
        <n u="1" v="93.73"/>
        <n u="1" v="76.03"/>
        <n u="1" v="57.25"/>
        <n u="1" v="48.4"/>
        <n u="1" v="29.03"/>
        <n u="1" v="53.04"/>
        <n u="1" v="20.18"/>
        <n u="1" v="32.15"/>
        <n u="1" v="36.79"/>
        <n u="1" v="26.27"/>
        <n u="1" v="54.56"/>
        <n u="1" v="87.04000000000001"/>
        <n u="1" v="22.57"/>
        <n u="1" v="21.4201"/>
        <n u="1" v="42.295"/>
        <n u="1" v="29.35"/>
        <n u="1" v="43.02"/>
        <n u="1" v="34.17"/>
        <n u="1" v="68.17"/>
        <n u="1" v="53.32"/>
        <n u="1" v="26.6464"/>
        <n u="1" v="24.96"/>
        <n u="1" v="21.95"/>
        <n u="1" v="24.995"/>
        <n u="1" v="80.48999999999999"/>
        <n u="1" v="27.35"/>
        <n u="1" v="91.36"/>
        <n u="1" v="46.56"/>
        <n u="1" v="54.03"/>
        <n u="1" v="73.94"/>
        <n u="1" v="26.73"/>
        <n u="1" v="60.12"/>
        <n u="1" v="42.42"/>
        <n u="1" v="80.45999999999999"/>
        <n u="1" v="65.66"/>
        <n u="1" v="43.94"/>
        <n u="1" v="99.75"/>
        <n u="1" v="101.2"/>
        <n u="1" v="110.48"/>
        <n u="1" v="50.03"/>
        <n u="1" v="42.63"/>
        <n u="1" v="53.29"/>
        <n u="1" v="21.72"/>
        <n u="1" v="47.27"/>
        <n u="1" v="23.35"/>
        <n u="1" v="53.36"/>
        <n u="1" v="28.5"/>
        <n u="1" v="41.32"/>
        <n u="1" v="32.47"/>
        <n u="1" v="68.685"/>
        <n u="1" v="39.94"/>
        <n u="1" v="62.28"/>
        <n u="1" v="69.84"/>
        <n u="1" v="76.95"/>
        <n u="1" v="23.42"/>
        <n u="1" v="71.43000000000001"/>
        <n u="1" v="30.89"/>
        <n u="1" v="46.1"/>
        <n u="1" v="68.67"/>
        <n u="1" v="101.31"/>
        <n u="1" v="13.09"/>
        <n u="1" v="49.36"/>
        <n u="1" v="10.08"/>
        <n u="1" v="26.5"/>
        <n u="1" v="94.34"/>
        <n u="1" v="13.47"/>
        <n u="1" v="24.43"/>
        <n u="1" v="55.52"/>
        <n u="1" v="58.35"/>
        <n u="1" v="21.42"/>
        <n u="1" v="23.74"/>
        <n u="1" v="12.78"/>
        <n u="1" v="39.27"/>
        <n u="1" v="68.795"/>
        <n u="1" v="39.995"/>
        <n u="1" v="94.76000000000001"/>
        <n u="1" v="48.19"/>
        <n u="1" v="71.40000000000001"/>
        <n u="1" v="90.55"/>
        <n u="1" v="20.8"/>
        <n u="1" v="77.2"/>
        <n u="1" v="74.44"/>
        <n u="1" v="13.63"/>
        <n u="1" v="100.11"/>
        <n u="1" v="110.84"/>
        <n u="1" v="78.34"/>
        <n u="1" v="59.13"/>
        <n u="1" v="29.97"/>
        <n u="1" v="94.73"/>
        <n u="1" v="54.92"/>
        <n u="1" v="48.9"/>
        <n u="1" v="97.63"/>
        <n u="1" v="29.28"/>
        <n u="1" v="66.44"/>
        <n u="1" v="76.015"/>
        <n u="1" v="77.17"/>
        <n u="1" v="65.13"/>
        <n u="1" v="27.9"/>
        <n u="1" v="34.1"/>
        <n u="1" v="26.52"/>
        <n u="1" v="39.9599"/>
        <n u="1" v="13.135"/>
        <n u="1" v="36.05"/>
        <n u="1" v="43.52"/>
        <n u="1" v="116.75"/>
        <n u="1" v="81.34999999999999"/>
        <n u="1" v="26.625"/>
        <n u="1" v="22.2"/>
        <n u="1" v="49.68"/>
        <n u="1" v="63.17"/>
        <n u="1" v="81.48999999999999"/>
        <n u="1" v="48.3"/>
        <n u="1" v="42.28"/>
        <n u="1" v="33.43"/>
        <n u="1" v="40.9"/>
        <n u="1" v="48.37"/>
        <n u="1" v="110.06"/>
        <n u="1" v="49.82"/>
        <n u="1" v="23.9"/>
        <n u="1" v="54.46"/>
        <n u="1" v="20.89"/>
        <n u="1" v="23.21"/>
        <n u="1" v="20.2"/>
        <n u="1" v="32.19"/>
        <n u="1" v="36.83"/>
        <n u="1" v="39.66"/>
        <n u="1" v="76.39"/>
        <n u="1" v="41.54"/>
        <n u="1" v="45.82"/>
        <n u="1" v="21.9"/>
        <n u="1" v="115.69"/>
        <n u="1" v="92.33"/>
        <n u="1" v="29.37"/>
        <n u="1" v="76.08"/>
        <n u="1" v="47.7"/>
        <n u="1" v="41.68"/>
        <n u="1" v="27.99"/>
        <n u="1" v="13.4"/>
        <n u="1" v="65.63"/>
        <n u="1" v="49.22"/>
        <n u="1" v="28.75"/>
        <n u="1" v="26.645"/>
        <n u="1" v="55.31"/>
        <n u="1" v="25.05"/>
        <n u="1" v="70.84"/>
        <n u="1" v="26.68"/>
        <n u="1" v="62.85"/>
        <n u="1" v="54"/>
        <n u="1" v="22.29"/>
        <n u="1" v="45.22"/>
        <n u="1" v="29.76"/>
        <n u="1" v="60.16"/>
        <n u="1" v="42.46"/>
        <n u="1" v="62.04"/>
        <n u="1" v="67.19"/>
        <n u="1" v="21.67"/>
        <n u="1" v="29.83"/>
        <n u="1" v="47.17"/>
        <n u="1" v="32.3"/>
        <n u="1" v="29.14"/>
        <n u="1" v="42.6"/>
        <n u="1" v="47.24"/>
        <n u="1" v="32.37"/>
        <n u="1" v="33.82"/>
        <n u="1" v="32.44"/>
        <n u="1" v="37.08"/>
        <n u="1" v="39.91"/>
        <n u="1" v="31.53"/>
        <n u="1" v="22.68"/>
        <n u="1" v="54.85"/>
        <n u="1" v="30.15"/>
        <n u="1" v="60.94"/>
        <n u="1" v="29.46"/>
        <n u="1" v="26.485"/>
        <n u="1" v="95.73"/>
        <n u="1" v="64.54000000000001"/>
        <n u="1" v="49.4"/>
        <n u="1" v="48.02"/>
        <n u="1" v="33.15"/>
        <n u="1" v="28.15"/>
        <n u="1" v="49.47"/>
        <n u="1" v="39.965"/>
        <n u="1" v="60.2"/>
        <n u="1" v="63.03"/>
        <n u="1" v="52.8"/>
        <n u="1" v="30.54"/>
        <n u="1" v="42.64"/>
        <n u="1" v="71.62"/>
        <n u="1" v="23.14"/>
        <n u="1" v="21.5863"/>
        <n u="1" v="66.09999999999999"/>
        <n u="1" v="12.95"/>
        <n u="1" v="29.23"/>
        <n u="1" v="39.95"/>
        <n u="1" v="42.78"/>
        <n u="1" v="98.88"/>
        <n u="1" v="47.42"/>
        <n u="1" v="48.87"/>
        <n u="1" v="78.42"/>
        <n u="1" v="24.84"/>
        <n u="1" v="34"/>
        <n u="1" v="47.49"/>
        <n u="1" v="24.15"/>
        <n u="1" v="48.215"/>
        <n u="1" v="23.46"/>
        <n u="1" v="28.61"/>
        <n u="1" v="32.69"/>
        <n u="1" v="92.19"/>
        <n u="1" v="40.16"/>
        <n u="1" v="59.67"/>
        <n u="1" v="68.83"/>
        <n u="1" v="24.91"/>
        <n u="1" v="24.22"/>
        <n u="1" v="46.25"/>
        <n u="1" v="56.98"/>
        <n u="1" v="66.34999999999999"/>
        <n u="1" v="97.54000000000001"/>
        <n u="1" v="48.2"/>
        <n u="1" v="63.865"/>
        <n u="1" v="42.25"/>
        <n u="1" v="65.18000000000001"/>
        <n u="1" v="13.18"/>
        <n u="1" v="55.74"/>
        <n u="1" v="77.36"/>
        <n u="1" v="48.34"/>
        <n u="1" v="65.31999999999999"/>
        <n u="1" v="110"/>
        <n u="1" v="31.32"/>
        <n u="1" v="105.79"/>
        <n u="1" v="54.43"/>
        <n u="1" v="48.41"/>
        <n u="1" v="53.05"/>
        <n u="1" v="31.39"/>
        <n u="1" v="60.59"/>
        <n u="1" v="45.72"/>
        <n u="1" v="76.035"/>
        <n u="1" v="41.51"/>
        <n u="1" v="44.41"/>
        <n u="1" v="76.02"/>
        <n u="1" v="24.24"/>
        <n u="1" v="49.12"/>
        <n u="1" v="29.39"/>
      </sharedItems>
    </cacheField>
    <cacheField databaseField="1" hierarchy="0" level="0" name="ask" numFmtId="0" sqlType="0" uniqueList="1">
      <sharedItems containsMixedTypes="1" containsNumber="1" count="190" maxValue="10" minValue="0">
        <e v="#N/A"/>
        <n u="1" v="0"/>
        <n u="1" v="4.5"/>
        <n u="1" v="3"/>
        <n u="1" v="0.5"/>
        <n u="1" v="1.41"/>
        <n u="1" v="2.39"/>
        <n u="1" v="7.2"/>
        <n u="1" v="4.7"/>
        <n u="1" v="3.1"/>
        <n u="1" v="1.3"/>
        <n u="1" v="1.46"/>
        <n u="1" v="0.82"/>
        <n u="1" v="5.05"/>
        <n u="1" v="1.62"/>
        <n u="1" v="2.81"/>
        <n u="1" v="0.28"/>
        <n u="1" v="2.59"/>
        <n u="1" v="1.67"/>
        <n u="1" v="5.25"/>
        <n u="1" v="0.11"/>
        <n u="1" v="2.2"/>
        <n u="1" v="0.01"/>
        <n u="1" v="2.91"/>
        <n u="1" v="0.12"/>
        <n u="1" v="0.4"/>
        <n u="1" v="0.79"/>
        <n u="1" v="8.199999999999999"/>
        <n u="1" v="3.55"/>
        <n u="1" v="5.45"/>
        <n u="1" v="2.3"/>
        <n u="1" v="0.95"/>
        <n u="1" v="8.6"/>
        <n u="1" v="2.4"/>
        <n u="1" v="2.18"/>
        <n u="1" v="9"/>
        <n u="1" v="1.27"/>
        <n u="1" v="6"/>
        <n u="1" v="2.5"/>
        <n u="1" v="2.11"/>
        <n u="1" v="1"/>
        <n u="1" v="0.59"/>
        <n u="1" v="9.699999999999999"/>
        <n u="1" v="6.35"/>
        <n u="1" v="9.4"/>
        <n u="1" v="6.2"/>
        <n u="1" v="1.05"/>
        <n u="1" v="1.48"/>
        <n u="1" v="0.45"/>
        <n u="1" v="2.92"/>
        <n u="1" v="0.49"/>
        <n u="1" v="1.37"/>
        <n u="1" v="2.63"/>
        <n u="1" v="6.9"/>
        <n u="1" v="0.22"/>
        <n u="1" v="1.42"/>
        <n u="1" v="4.4"/>
        <n u="1" v="2.95"/>
        <n u="1" v="1.85"/>
        <n u="1" v="0.02"/>
        <n u="1" v="0.8"/>
        <n u="1" v="1.58"/>
        <n u="1" v="0.27"/>
        <n u="1" v="3.05"/>
        <n u="1" v="1.9"/>
        <n u="1" v="1.63"/>
        <n u="1" v="0.35"/>
        <n u="1" v="0.6899999999999999"/>
        <n u="1" v="2.83"/>
        <n u="1" v="0.39"/>
        <n u="1" v="7.3"/>
        <n u="1" v="0.77"/>
        <n u="1" v="3.15"/>
        <n u="1" v="0.43"/>
        <n u="1" v="1.95"/>
        <n u="1" v="0.13"/>
        <n u="1" v="0.85"/>
        <n u="1" v="0.15"/>
        <n u="1" v="0.17"/>
        <n u="1" v="3.25"/>
        <n u="1" v="0.19"/>
        <n u="1" v="0.21"/>
        <n u="1" v="5.35"/>
        <n u="1" v="5.2"/>
        <n u="1" v="1.07"/>
        <n u="1" v="2.1"/>
        <n u="1" v="1.39"/>
        <n u="1" v="0.57"/>
        <n u="1" v="1.28"/>
        <n u="1" v="2.13"/>
        <n u="1" v="0.44"/>
        <n u="1" v="8.800000000000001"/>
        <n u="1" v="5.9"/>
        <n u="1" v="8.5"/>
        <n u="1" v="3.7"/>
        <n u="1" v="0.04"/>
        <n u="1" v="2.45"/>
        <n u="1" v="1.6"/>
        <n u="1" v="0.54"/>
        <n u="1" v="2.23"/>
        <n u="1" v="0.05"/>
        <n u="1" v="1.49"/>
        <n u="1" v="6.1"/>
        <n u="1" v="3.8"/>
        <n u="1" v="2.55"/>
        <n u="1" v="0.7"/>
        <n u="1" v="1.38"/>
        <n u="1" v="0.78"/>
        <n u="1" v="9.6"/>
        <n u="1" v="0.86"/>
        <n u="1" v="3.9"/>
        <n u="1" v="2.65"/>
        <n u="1" v="1.7"/>
        <n u="1" v="0.3"/>
        <n u="1" v="2.97"/>
        <n u="1" v="2.43"/>
        <n u="1" v="0.34"/>
        <n u="1" v="10"/>
        <n u="1" v="0.67"/>
        <n u="1" v="4"/>
        <n u="1" v="2.75"/>
        <n u="1" v="0.38"/>
        <n u="1" v="1.75"/>
        <n u="1" v="2.36"/>
        <n u="1" v="0.75"/>
        <n u="1" v="0.42"/>
        <n u="1" v="0.83"/>
        <n u="1" v="6.85"/>
        <n u="1" v="4.35"/>
        <n u="1" v="2.85"/>
        <n u="1" v="1.96"/>
        <n u="1" v="2.78"/>
        <n u="1" v="7.05"/>
        <n u="1" v="0.07000000000000001"/>
        <n u="1" v="0.08"/>
        <n u="1" v="3.2"/>
        <n u="1" v="4.75"/>
        <n u="1" v="1.35"/>
        <n u="1" v="0.55"/>
        <n u="1" v="0.03"/>
        <n u="1" v="0.1"/>
        <n u="1" v="5.1"/>
        <n u="1" v="3.3"/>
        <n u="1" v="1.4"/>
        <n u="1" v="1.13"/>
        <n u="1" v="0.47"/>
        <n u="1" v="1.56"/>
        <n u="1" v="2.69"/>
        <n u="1" v="5.3"/>
        <n u="1" v="3.4"/>
        <n u="1" v="2.15"/>
        <n u="1" v="1.45"/>
        <n u="1" v="0.6"/>
        <n u="1" v="1.34"/>
        <n u="1" v="5.5"/>
        <n u="1" v="3.5"/>
        <n u="1" v="2.25"/>
        <n u="1" v="1.5"/>
        <n u="1" v="0.84"/>
        <n u="1" v="0.25"/>
        <n u="1" v="0.29"/>
        <n u="1" v="5.7"/>
        <n u="1" v="1.55"/>
        <n u="1" v="0.33"/>
        <n u="1" v="1.98"/>
        <n u="1" v="0.65"/>
        <n u="1" v="0.37"/>
        <n u="1" v="0.73"/>
        <n u="1" v="0.14"/>
        <n u="1" v="0.89"/>
        <n u="1" v="0.16"/>
        <n u="1" v="6.4"/>
        <n u="1" v="3.95"/>
        <n u="1" v="2.7"/>
        <n u="1" v="0.18"/>
        <n u="1" v="1.1"/>
        <n u="1" v="0.2"/>
        <n u="1" v="4.1"/>
        <n u="1" v="2.8"/>
        <n u="1" v="1.15"/>
        <n u="1" v="8.050000000000001"/>
        <n u="1" v="0.9399999999999999"/>
        <n u="1" v="0.53"/>
        <n u="1" v="1.04"/>
        <n u="1" v="1.47"/>
        <n u="1" v="4.3"/>
        <n u="1" v="0.61"/>
        <n u="1" v="1.2"/>
        <n u="1" v="1.36"/>
        <n u="1" v="7.15"/>
      </sharedItems>
    </cacheField>
    <cacheField databaseField="1" hierarchy="0" level="0" name="NetPrem" numFmtId="0" sqlType="0" uniqueList="1">
      <sharedItems containsNumber="1" containsSemiMixedTypes="0" containsString="0" count="0" maxValue="3077.31" minValue="-2762.66"/>
    </cacheField>
    <cacheField databaseField="1" hierarchy="0" level="0" name="TotPrem" numFmtId="169" sqlType="0" uniqueList="1">
      <sharedItems containsNumber="1" containsSemiMixedTypes="0" containsString="0" count="0" maxValue="1530.65" minValue="-1145.32"/>
    </cacheField>
    <cacheField databaseField="1" hierarchy="0" level="0" name="Days" numFmtId="0" sqlType="0" uniqueList="1">
      <sharedItems containsInteger="1" containsNumber="1" containsSemiMixedTypes="0" containsString="0" count="66" maxValue="129" minValue="0">
        <n v="25"/>
        <n v="22"/>
        <n v="1"/>
        <n v="33"/>
        <n v="13"/>
        <n v="12"/>
        <n v="3"/>
        <n v="2"/>
        <n v="5"/>
        <n v="16"/>
        <n v="4"/>
        <n v="10"/>
        <n v="15"/>
        <n v="14"/>
        <n v="29"/>
        <n v="28"/>
        <n v="18"/>
        <n v="8"/>
        <n v="17"/>
        <n v="34"/>
        <n v="19"/>
        <n v="27"/>
        <n v="31"/>
        <n v="9"/>
        <n v="73"/>
        <n v="6"/>
        <n v="11"/>
        <n v="37"/>
        <n v="23"/>
        <n v="36"/>
        <n v="21"/>
        <n v="32"/>
        <n u="1" v="0"/>
        <n u="1" v="7"/>
        <n u="1" v="53"/>
        <n u="1" v="95"/>
        <n u="1" v="68"/>
        <n u="1" v="46"/>
        <n u="1" v="94"/>
        <n u="1" v="39"/>
        <n u="1" v="93"/>
        <n u="1" v="106"/>
        <n u="1" v="66"/>
        <n u="1" v="45"/>
        <n u="1" v="119"/>
        <n u="1" v="92"/>
        <n u="1" v="58"/>
        <n u="1" v="38"/>
        <n u="1" v="65"/>
        <n u="1" v="91"/>
        <n u="1" v="44"/>
        <n u="1" v="57"/>
        <n u="1" v="43"/>
        <n u="1" v="129"/>
        <n u="1" v="56"/>
        <n u="1" v="24"/>
        <n u="1" v="87"/>
        <n u="1" v="100"/>
        <n u="1" v="42"/>
        <n u="1" v="35"/>
        <n u="1" v="30"/>
        <n u="1" v="20"/>
        <n u="1" v="98"/>
        <n u="1" v="71"/>
        <n u="1" v="54"/>
        <n u="1" v="60"/>
      </sharedItems>
    </cacheField>
    <cacheField databaseField="1" hierarchy="0" level="0" name="Cap" numFmtId="0" sqlType="0" uniqueList="1">
      <sharedItems containsInteger="1" containsNumber="1" containsSemiMixedTypes="0" containsString="0" count="0" maxValue="43750" minValue="1300"/>
    </cacheField>
    <cacheField databaseField="1" hierarchy="0" level="0" name="OpenCap" numFmtId="0" sqlType="0" uniqueList="1">
      <sharedItems containsInteger="1" containsMixedTypes="1" containsNumber="1" count="0" maxValue="26000" minValue="6000"/>
    </cacheField>
    <cacheField databaseField="1" hierarchy="0" level="0" name="BEcap" numFmtId="0" sqlType="0" uniqueList="1">
      <sharedItems containsInteger="1" containsMixedTypes="1" containsNumber="1" count="0" maxValue="26000" minValue="6000"/>
    </cacheField>
    <cacheField databaseField="1" hierarchy="0" level="0" name="CapDays" numFmtId="0" sqlType="0" uniqueList="1">
      <sharedItems containsInteger="1" containsNumber="1" containsSemiMixedTypes="0" containsString="0" count="0" maxValue="839500" minValue="1300"/>
    </cacheField>
    <cacheField databaseField="1" hierarchy="0" level="0" name="TotCapDays" numFmtId="0" sqlType="0" uniqueList="1">
      <sharedItems containsInteger="1" containsNumber="1" containsSemiMixedTypes="0" containsString="0" count="0" maxValue="2002000" minValue="14400"/>
    </cacheField>
    <cacheField databaseField="1" hierarchy="0" level="0" name="AROI" numFmtId="10" sqlType="0" uniqueList="1">
      <sharedItems containsNumber="1" containsSemiMixedTypes="0" containsString="0" count="0" maxValue="4.270090544871795" minValue="-4.725443209876543"/>
    </cacheField>
    <cacheField databaseField="1" hierarchy="0" level="0" name="BreakEven" numFmtId="2" sqlType="0" uniqueList="1">
      <sharedItems containsNumber="1" containsSemiMixedTypes="0" containsString="0" count="0" maxValue="120.3932" minValue="9.556660000000001"/>
    </cacheField>
    <cacheField databaseField="1" hierarchy="0" level="0" name="ActShares" numFmtId="0" sqlType="0" uniqueList="1">
      <sharedItems containsInteger="1" containsMixedTypes="1" containsNumber="1" count="7" maxValue="1000" minValue="100">
        <s v=""/>
        <n v="400"/>
        <n v="100"/>
        <n v="1000"/>
        <n v="300"/>
        <n v="200"/>
        <n v="500"/>
      </sharedItems>
    </cacheField>
    <cacheField databaseField="1" hierarchy="0" level="0" name="ActDate" numFmtId="167" sqlType="0" uniqueList="1">
      <sharedItems containsDate="1" containsNonDate="0" containsSemiMixedTypes="0" containsString="0" count="33" maxDate="2021-08-21T00:00:00" minDate="2021-04-01T00:00:00">
        <d v="2021-04-16T00:00:00"/>
        <d v="2021-05-19T00:00:00"/>
        <d v="2021-06-01T00:00:00"/>
        <d v="2021-04-05T00:00:00"/>
        <d v="2021-04-01T00:00:00"/>
        <d v="2021-04-06T00:00:00"/>
        <d v="2021-04-22T00:00:00"/>
        <d v="2021-04-09T00:00:00"/>
        <d v="2021-04-15T00:00:00"/>
        <d v="2021-04-30T00:00:00"/>
        <d v="2021-05-12T00:00:00"/>
        <d v="2021-05-26T00:00:00"/>
        <d v="2021-05-07T00:00:00"/>
        <d v="2021-05-06T00:00:00"/>
        <d v="2021-04-27T00:00:00"/>
        <d v="2021-05-14T00:00:00"/>
        <d v="2021-05-13T00:00:00"/>
        <d v="2021-06-09T00:00:00"/>
        <d v="2021-06-15T00:00:00"/>
        <d v="2021-07-16T00:00:00"/>
        <d v="2021-05-10T00:00:00"/>
        <d v="2021-05-24T00:00:00"/>
        <d v="2021-06-11T00:00:00"/>
        <d v="2021-06-08T00:00:00"/>
        <d v="2021-08-20T00:00:00"/>
        <d v="2021-05-29T00:00:00"/>
        <d v="2021-06-18T00:00:00"/>
        <d v="2021-06-04T00:00:00"/>
        <d v="2021-06-23T00:00:00"/>
        <d v="2021-06-21T00:00:00"/>
        <d v="2021-07-02T00:00:00"/>
        <d v="2021-06-25T00:00:00"/>
        <d v="2021-07-09T00:00:00"/>
      </sharedItems>
    </cacheField>
    <cacheField databaseField="1" hierarchy="0" level="0" name="Inception" numFmtId="0" sqlType="0" uniqueList="1">
      <sharedItems containsMixedTypes="1" containsNumber="1" count="103" maxValue="2361.32" minValue="-2762.66">
        <n v="306.67"/>
        <n v="-75.33"/>
        <n v="-579.33"/>
        <n v="734.67"/>
        <n v="-722.66"/>
        <n v="-722.67"/>
        <n v="1026.66"/>
        <n v="-582.66"/>
        <n v="110.67"/>
        <n v="-19.33"/>
        <n v="166.67"/>
        <n v="563.34"/>
        <n v="-427.97"/>
        <n v="96.67"/>
        <n v="-181.33"/>
        <n v="-29.33"/>
        <n v="240.67"/>
        <n v="289.33"/>
        <n v="-370.66"/>
        <n v="225.33"/>
        <n v="-30.66"/>
        <n v="224.67"/>
        <n v="-99.33"/>
        <n v="384.67"/>
        <n v="-229.33"/>
        <n v="554.67"/>
        <n v="-347.66"/>
        <n v="486.34"/>
        <n v="-440.66"/>
        <n v="465.34"/>
        <n v="-311.33"/>
        <n v="363.34"/>
        <n v="853.34"/>
        <n v="-616.64"/>
        <n v="973.34"/>
        <n v="-746.64"/>
        <n v="433.34"/>
        <n v="-40.14"/>
        <n v="103"/>
        <n v="-9.66"/>
        <n v="237.33"/>
        <n v="-62.66"/>
        <n v="238"/>
        <n v="-67.98999999999999"/>
        <n v="-96.64"/>
        <n v="385"/>
        <n v="-65.33"/>
        <n v="-32.66"/>
        <n v="308.01"/>
        <n v="-411.98"/>
        <n v="560.01"/>
        <n v="-117.98"/>
        <n v="329.33"/>
        <n v="-150.66"/>
        <n v="337.33"/>
        <n v="192.67"/>
        <n v="-1241.33"/>
        <n v="1298.66"/>
        <n v="-3.01"/>
        <n v="198.67"/>
        <n v="458.67"/>
        <n v="-1802.66"/>
        <n v="2361.32"/>
        <n v="-2762.66"/>
        <s v=""/>
        <n v="498.67"/>
        <n v="-173.33"/>
        <n v="553.34"/>
        <n v="-50.14"/>
        <n v="304.67"/>
        <n v="-8.029999999999999"/>
        <n v="265.33"/>
        <n v="-15.04"/>
        <n v="-5.02"/>
        <n v="276.67"/>
        <n v="-36.66"/>
        <n v="-36.67"/>
        <n v="93.34"/>
        <n v="186.66"/>
        <n v="-31.99"/>
        <n v="528.67"/>
        <n v="-21.33"/>
        <n v="126.34"/>
        <n v="-665.66"/>
        <n v="153.34"/>
        <n v="190.67"/>
        <n v="301.33"/>
        <n v="-26.66"/>
        <n v="133.33"/>
        <n v="853"/>
        <n v="358.67"/>
        <n v="104.34"/>
        <n v="-144.65"/>
        <n v="280"/>
        <n v="388"/>
        <n v="-304.99"/>
        <n v="-412.99"/>
        <n v="508"/>
        <n v="156.67"/>
        <n v="551.67"/>
        <n v="-518.3200000000001"/>
        <n v="307"/>
        <n v="461.33"/>
      </sharedItems>
    </cacheField>
    <cacheField databaseField="1" hierarchy="0" level="0" name="1YR" numFmtId="0" sqlType="0" uniqueList="1">
      <sharedItems containsMixedTypes="1" containsNumber="1" count="102" maxValue="2361.32" minValue="-2762.66">
        <n v="306.67"/>
        <n v="-75.33"/>
        <n v="-579.33"/>
        <n v="734.67"/>
        <n v="-722.66"/>
        <n v="-722.67"/>
        <n v="1026.66"/>
        <n v="-582.66"/>
        <n v="110.67"/>
        <n v="-19.33"/>
        <n v="166.67"/>
        <n v="563.34"/>
        <n v="-427.97"/>
        <n v="96.67"/>
        <n v="-181.33"/>
        <n v="-29.33"/>
        <n v="240.67"/>
        <n v="289.33"/>
        <n v="-370.66"/>
        <n v="225.33"/>
        <n v="-30.66"/>
        <n v="224.67"/>
        <n v="-99.33"/>
        <n v="384.67"/>
        <n v="-229.33"/>
        <n v="554.67"/>
        <n v="-347.66"/>
        <n v="486.34"/>
        <n v="-440.66"/>
        <n v="465.34"/>
        <n v="-311.33"/>
        <n v="363.34"/>
        <n v="853.34"/>
        <n v="-616.64"/>
        <n v="973.34"/>
        <n v="-746.64"/>
        <n v="433.34"/>
        <n v="-40.14"/>
        <n v="103"/>
        <n v="-9.66"/>
        <n v="237.33"/>
        <n v="-62.66"/>
        <n v="238"/>
        <n v="-67.98999999999999"/>
        <n v="-96.64"/>
        <n v="385"/>
        <n v="-65.33"/>
        <n v="-32.66"/>
        <n v="308.01"/>
        <n v="-411.98"/>
        <n v="560.01"/>
        <n v="-117.98"/>
        <n v="329.33"/>
        <n v="-150.66"/>
        <n v="337.33"/>
        <n v="192.67"/>
        <n v="-1241.33"/>
        <n v="1298.66"/>
        <n v="-3.01"/>
        <n v="198.67"/>
        <n v="458.67"/>
        <n v="-1802.66"/>
        <n v="2361.32"/>
        <n v="-2762.66"/>
        <s v=""/>
        <n v="498.67"/>
        <n v="-173.33"/>
        <n v="553.34"/>
        <n v="-50.14"/>
        <n v="304.67"/>
        <n v="-8.029999999999999"/>
        <n v="265.33"/>
        <n v="-15.04"/>
        <n v="-5.02"/>
        <n v="276.67"/>
        <n v="-36.66"/>
        <n v="-36.67"/>
        <n v="93.34"/>
        <n v="186.66"/>
        <n v="-31.99"/>
        <n v="528.67"/>
        <n v="-21.33"/>
        <n v="126.34"/>
        <n v="-665.66"/>
        <n v="153.34"/>
        <n v="190.67"/>
        <n v="301.33"/>
        <n v="-26.66"/>
        <n v="133.33"/>
        <n v="853"/>
        <n v="358.67"/>
        <n v="104.34"/>
        <n v="-144.65"/>
        <n v="280"/>
        <n v="388"/>
        <n v="-304.99"/>
        <n v="-412.99"/>
        <n v="508"/>
        <n v="156.67"/>
        <n v="551.67"/>
        <n v="-518.3200000000001"/>
        <e v="#VALUE!"/>
      </sharedItems>
    </cacheField>
    <cacheField databaseField="1" hierarchy="0" level="0" name="YTD" numFmtId="0" sqlType="0" uniqueList="1">
      <sharedItems containsMixedTypes="1" containsNumber="1" count="0" maxValue="2361.32" minValue="-2762.66"/>
    </cacheField>
    <cacheField databaseField="1" hierarchy="0" level="0" name="unbooked" numFmtId="0" sqlType="0" uniqueList="1">
      <sharedItems containsMixedTypes="1" containsNumber="1" count="0" maxValue="3077.31" minValue="126.67"/>
    </cacheField>
  </cacheFields>
</pivotCacheDefinition>
</file>

<file path=xl/pivotCache/pivotCacheRecords1.xml><?xml version="1.0" encoding="utf-8"?>
<pivotCacheRecords xmlns="http://schemas.openxmlformats.org/spreadsheetml/2006/main" count="120">
  <r>
    <x v="0"/>
    <x v="0"/>
    <x v="0"/>
    <x v="0"/>
    <x v="0"/>
    <x v="0"/>
    <x v="0"/>
    <x v="0"/>
    <m/>
    <x v="0"/>
    <n v="306.67"/>
    <m/>
    <s v="JD"/>
    <x v="0"/>
    <x v="0"/>
    <n v="306.67"/>
    <n v="306.67"/>
    <x v="0"/>
    <n v="16000"/>
    <s v=""/>
    <s v=""/>
    <n v="400000"/>
    <n v="400000"/>
    <n v="0.279836375"/>
    <n v="78.46665"/>
    <x v="0"/>
    <x v="0"/>
    <x v="0"/>
    <x v="0"/>
    <n v="306.67"/>
    <s v=""/>
  </r>
  <r>
    <x v="1"/>
    <x v="0"/>
    <x v="1"/>
    <x v="0"/>
    <x v="1"/>
    <x v="0"/>
    <x v="0"/>
    <x v="1"/>
    <m/>
    <x v="0"/>
    <n v="-75.33"/>
    <m/>
    <s v="JD"/>
    <x v="0"/>
    <x v="0"/>
    <n v="-75.33"/>
    <n v="231.34"/>
    <x v="1"/>
    <n v="13000"/>
    <s v=""/>
    <s v=""/>
    <n v="286000"/>
    <n v="686000"/>
    <n v="0.1230890670553936"/>
    <n v="63.8433"/>
    <x v="0"/>
    <x v="0"/>
    <x v="1"/>
    <x v="1"/>
    <n v="-75.33"/>
    <s v=""/>
  </r>
  <r>
    <x v="2"/>
    <x v="0"/>
    <x v="2"/>
    <x v="0"/>
    <x v="2"/>
    <x v="0"/>
    <x v="0"/>
    <x v="0"/>
    <m/>
    <x v="0"/>
    <n v="-579.33"/>
    <m/>
    <s v="JD"/>
    <x v="0"/>
    <x v="0"/>
    <n v="-579.33"/>
    <n v="-347.99"/>
    <x v="2"/>
    <n v="16000"/>
    <s v=""/>
    <s v=""/>
    <n v="16000"/>
    <n v="702000"/>
    <n v="-0.1809349715099715"/>
    <n v="81.73994999999999"/>
    <x v="0"/>
    <x v="0"/>
    <x v="2"/>
    <x v="2"/>
    <n v="-579.33"/>
    <s v=""/>
  </r>
  <r>
    <x v="3"/>
    <x v="0"/>
    <x v="3"/>
    <x v="0"/>
    <x v="2"/>
    <x v="1"/>
    <x v="1"/>
    <x v="2"/>
    <m/>
    <x v="0"/>
    <n v="734.67"/>
    <m/>
    <s v="JD"/>
    <x v="0"/>
    <x v="0"/>
    <n v="734.67"/>
    <n v="386.6799999999999"/>
    <x v="3"/>
    <n v="15500"/>
    <s v=""/>
    <s v=""/>
    <n v="511500"/>
    <n v="1213500"/>
    <n v="0.1163067161104244"/>
    <n v="75.56659999999999"/>
    <x v="0"/>
    <x v="1"/>
    <x v="3"/>
    <x v="3"/>
    <n v="734.67"/>
    <s v=""/>
  </r>
  <r>
    <x v="4"/>
    <x v="0"/>
    <x v="4"/>
    <x v="0"/>
    <x v="3"/>
    <x v="1"/>
    <x v="1"/>
    <x v="2"/>
    <m/>
    <x v="1"/>
    <n v="-722.66"/>
    <m/>
    <s v="JD"/>
    <x v="0"/>
    <x v="0"/>
    <n v="-722.66"/>
    <n v="-335.98"/>
    <x v="2"/>
    <n v="7750"/>
    <s v=""/>
    <s v=""/>
    <n v="7750"/>
    <n v="1221250"/>
    <n v="-0.1004157215967247"/>
    <n v="80.85980000000001"/>
    <x v="0"/>
    <x v="1"/>
    <x v="4"/>
    <x v="4"/>
    <n v="-722.66"/>
    <s v=""/>
  </r>
  <r>
    <x v="4"/>
    <x v="0"/>
    <x v="5"/>
    <x v="0"/>
    <x v="3"/>
    <x v="1"/>
    <x v="1"/>
    <x v="2"/>
    <m/>
    <x v="1"/>
    <n v="-722.67"/>
    <m/>
    <s v="JD"/>
    <x v="0"/>
    <x v="0"/>
    <n v="-722.67"/>
    <n v="-1058.65"/>
    <x v="2"/>
    <n v="7750"/>
    <s v=""/>
    <s v=""/>
    <n v="7750"/>
    <n v="1229000"/>
    <n v="-0.3144078519121237"/>
    <n v="88.0865"/>
    <x v="0"/>
    <x v="1"/>
    <x v="5"/>
    <x v="5"/>
    <n v="-722.67"/>
    <s v=""/>
  </r>
  <r>
    <x v="5"/>
    <x v="0"/>
    <x v="6"/>
    <x v="0"/>
    <x v="3"/>
    <x v="2"/>
    <x v="2"/>
    <x v="3"/>
    <m/>
    <x v="0"/>
    <n v="1026.66"/>
    <m/>
    <s v="JD"/>
    <x v="0"/>
    <x v="0"/>
    <n v="1026.66"/>
    <n v="-31.99000000000001"/>
    <x v="4"/>
    <n v="14500"/>
    <s v=""/>
    <s v=""/>
    <n v="188500"/>
    <n v="1417500"/>
    <n v="-0.008237283950617286"/>
    <n v="72.65994999999999"/>
    <x v="0"/>
    <x v="2"/>
    <x v="6"/>
    <x v="6"/>
    <n v="1026.66"/>
    <s v=""/>
  </r>
  <r>
    <x v="5"/>
    <x v="0"/>
    <x v="7"/>
    <x v="0"/>
    <x v="3"/>
    <x v="2"/>
    <x v="2"/>
    <x v="3"/>
    <m/>
    <x v="0"/>
    <n v="1026.66"/>
    <m/>
    <s v="JD"/>
    <x v="0"/>
    <x v="0"/>
    <n v="1026.66"/>
    <n v="994.6700000000001"/>
    <x v="4"/>
    <n v="14500"/>
    <s v=""/>
    <s v=""/>
    <n v="188500"/>
    <n v="1606000"/>
    <n v="0.2260613636363637"/>
    <n v="67.52665"/>
    <x v="0"/>
    <x v="2"/>
    <x v="6"/>
    <x v="6"/>
    <n v="1026.66"/>
    <s v=""/>
  </r>
  <r>
    <x v="6"/>
    <x v="0"/>
    <x v="8"/>
    <x v="0"/>
    <x v="4"/>
    <x v="2"/>
    <x v="2"/>
    <x v="3"/>
    <m/>
    <x v="2"/>
    <n v="-582.66"/>
    <m/>
    <s v="JD"/>
    <x v="0"/>
    <x v="0"/>
    <n v="-582.66"/>
    <n v="412.0100000000001"/>
    <x v="2"/>
    <n v="29000"/>
    <s v=""/>
    <s v=""/>
    <n v="29000"/>
    <n v="1635000"/>
    <n v="0.0919777675840979"/>
    <n v="71.46997500000001"/>
    <x v="0"/>
    <x v="2"/>
    <x v="7"/>
    <x v="7"/>
    <n v="-582.66"/>
    <s v=""/>
  </r>
  <r>
    <x v="7"/>
    <x v="1"/>
    <x v="0"/>
    <x v="0"/>
    <x v="5"/>
    <x v="3"/>
    <x v="0"/>
    <x v="4"/>
    <m/>
    <x v="0"/>
    <n v="110.67"/>
    <m/>
    <s v="WPM"/>
    <x v="0"/>
    <x v="0"/>
    <n v="110.67"/>
    <n v="110.67"/>
    <x v="5"/>
    <n v="7200"/>
    <s v=""/>
    <s v=""/>
    <n v="86400"/>
    <n v="86400"/>
    <n v="0.4675295138888889"/>
    <n v="35.44665"/>
    <x v="0"/>
    <x v="3"/>
    <x v="8"/>
    <x v="8"/>
    <n v="110.67"/>
    <s v=""/>
  </r>
  <r>
    <x v="8"/>
    <x v="1"/>
    <x v="1"/>
    <x v="0"/>
    <x v="6"/>
    <x v="3"/>
    <x v="0"/>
    <x v="4"/>
    <m/>
    <x v="0"/>
    <n v="-19.33"/>
    <m/>
    <s v="WPM"/>
    <x v="0"/>
    <x v="0"/>
    <n v="-19.33"/>
    <n v="91.34"/>
    <x v="2"/>
    <n v="7200"/>
    <s v=""/>
    <s v=""/>
    <n v="7200"/>
    <n v="93600"/>
    <n v="0.3561869658119658"/>
    <n v="35.5433"/>
    <x v="0"/>
    <x v="3"/>
    <x v="9"/>
    <x v="9"/>
    <n v="-19.33"/>
    <s v=""/>
  </r>
  <r>
    <x v="9"/>
    <x v="2"/>
    <x v="0"/>
    <x v="0"/>
    <x v="7"/>
    <x v="4"/>
    <x v="0"/>
    <x v="5"/>
    <m/>
    <x v="0"/>
    <n v="166.67"/>
    <m/>
    <s v="CCL"/>
    <x v="0"/>
    <x v="0"/>
    <n v="166.67"/>
    <n v="166.67"/>
    <x v="6"/>
    <n v="4800"/>
    <s v=""/>
    <s v=""/>
    <n v="14400"/>
    <n v="14400"/>
    <n v="4.224621527777778"/>
    <n v="23.16665"/>
    <x v="0"/>
    <x v="4"/>
    <x v="10"/>
    <x v="10"/>
    <n v="166.67"/>
    <s v=""/>
  </r>
  <r>
    <x v="10"/>
    <x v="2"/>
    <x v="1"/>
    <x v="0"/>
    <x v="8"/>
    <x v="4"/>
    <x v="0"/>
    <x v="5"/>
    <m/>
    <x v="3"/>
    <n v="563.34"/>
    <m/>
    <s v="CCL"/>
    <x v="0"/>
    <x v="0"/>
    <n v="563.34"/>
    <n v="730.01"/>
    <x v="7"/>
    <n v="24000"/>
    <s v=""/>
    <s v=""/>
    <n v="48000"/>
    <n v="62400"/>
    <n v="4.270090544871795"/>
    <n v="23.26999"/>
    <x v="0"/>
    <x v="4"/>
    <x v="11"/>
    <x v="11"/>
    <n v="563.34"/>
    <s v=""/>
  </r>
  <r>
    <x v="11"/>
    <x v="2"/>
    <x v="2"/>
    <x v="0"/>
    <x v="9"/>
    <x v="4"/>
    <x v="0"/>
    <x v="5"/>
    <m/>
    <x v="4"/>
    <n v="-427.97"/>
    <m/>
    <s v="CCL"/>
    <x v="0"/>
    <x v="0"/>
    <n v="-427.97"/>
    <n v="302.04"/>
    <x v="2"/>
    <n v="28800"/>
    <s v=""/>
    <s v=""/>
    <n v="28800"/>
    <n v="91200"/>
    <n v="1.208822368421053"/>
    <n v="23.7483"/>
    <x v="0"/>
    <x v="4"/>
    <x v="12"/>
    <x v="12"/>
    <n v="-427.97"/>
    <s v=""/>
  </r>
  <r>
    <x v="12"/>
    <x v="3"/>
    <x v="0"/>
    <x v="0"/>
    <x v="9"/>
    <x v="5"/>
    <x v="3"/>
    <x v="6"/>
    <m/>
    <x v="0"/>
    <n v="96.67"/>
    <m/>
    <s v="VIAC"/>
    <x v="0"/>
    <x v="0"/>
    <n v="96.67"/>
    <n v="96.67"/>
    <x v="8"/>
    <n v="8400"/>
    <s v=""/>
    <s v=""/>
    <n v="42000"/>
    <n v="42000"/>
    <n v="0.8401083333333335"/>
    <n v="41.51665"/>
    <x v="0"/>
    <x v="5"/>
    <x v="13"/>
    <x v="13"/>
    <n v="96.67"/>
    <s v=""/>
  </r>
  <r>
    <x v="13"/>
    <x v="3"/>
    <x v="1"/>
    <x v="0"/>
    <x v="10"/>
    <x v="5"/>
    <x v="3"/>
    <x v="6"/>
    <m/>
    <x v="0"/>
    <n v="-181.33"/>
    <m/>
    <s v="VIAC"/>
    <x v="0"/>
    <x v="0"/>
    <n v="-181.33"/>
    <n v="-84.66000000000001"/>
    <x v="2"/>
    <n v="8400"/>
    <s v=""/>
    <s v=""/>
    <n v="8400"/>
    <n v="50400"/>
    <n v="-0.6131130952380953"/>
    <n v="42.4233"/>
    <x v="0"/>
    <x v="5"/>
    <x v="14"/>
    <x v="14"/>
    <n v="-181.33"/>
    <s v=""/>
  </r>
  <r>
    <x v="14"/>
    <x v="3"/>
    <x v="2"/>
    <x v="0"/>
    <x v="11"/>
    <x v="6"/>
    <x v="4"/>
    <x v="7"/>
    <m/>
    <x v="0"/>
    <n v="-29.33"/>
    <m/>
    <s v="VIAC"/>
    <x v="0"/>
    <x v="0"/>
    <n v="-29.33"/>
    <n v="126.68"/>
    <x v="2"/>
    <n v="8000"/>
    <s v=""/>
    <s v=""/>
    <n v="8000"/>
    <n v="186400"/>
    <n v="0.2480590128755364"/>
    <n v="39.3666"/>
    <x v="0"/>
    <x v="6"/>
    <x v="15"/>
    <x v="15"/>
    <n v="-29.33"/>
    <s v=""/>
  </r>
  <r>
    <x v="15"/>
    <x v="3"/>
    <x v="2"/>
    <x v="0"/>
    <x v="10"/>
    <x v="6"/>
    <x v="4"/>
    <x v="7"/>
    <m/>
    <x v="0"/>
    <n v="240.67"/>
    <m/>
    <s v="VIAC"/>
    <x v="0"/>
    <x v="0"/>
    <n v="240.67"/>
    <n v="126.68"/>
    <x v="9"/>
    <n v="8000"/>
    <s v=""/>
    <s v=""/>
    <n v="128000"/>
    <n v="186400"/>
    <n v="0.2480590128755364"/>
    <n v="39.3666"/>
    <x v="0"/>
    <x v="6"/>
    <x v="16"/>
    <x v="16"/>
    <n v="240.67"/>
    <s v=""/>
  </r>
  <r>
    <x v="16"/>
    <x v="4"/>
    <x v="0"/>
    <x v="0"/>
    <x v="6"/>
    <x v="7"/>
    <x v="0"/>
    <x v="8"/>
    <m/>
    <x v="2"/>
    <n v="289.33"/>
    <m/>
    <s v="APA"/>
    <x v="0"/>
    <x v="0"/>
    <n v="289.33"/>
    <n v="289.33"/>
    <x v="10"/>
    <n v="7200"/>
    <s v=""/>
    <s v=""/>
    <n v="28800"/>
    <n v="28800"/>
    <n v="3.666855902777778"/>
    <n v="17.276675"/>
    <x v="0"/>
    <x v="7"/>
    <x v="17"/>
    <x v="17"/>
    <n v="289.33"/>
    <s v=""/>
  </r>
  <r>
    <x v="17"/>
    <x v="4"/>
    <x v="1"/>
    <x v="0"/>
    <x v="12"/>
    <x v="7"/>
    <x v="0"/>
    <x v="8"/>
    <m/>
    <x v="2"/>
    <n v="-370.66"/>
    <m/>
    <s v="APA"/>
    <x v="0"/>
    <x v="0"/>
    <n v="-370.66"/>
    <n v="-81.33000000000004"/>
    <x v="2"/>
    <n v="7200"/>
    <s v=""/>
    <s v=""/>
    <n v="7200"/>
    <n v="36000"/>
    <n v="-0.8245958333333337"/>
    <n v="18.203325"/>
    <x v="0"/>
    <x v="7"/>
    <x v="18"/>
    <x v="18"/>
    <n v="-370.66"/>
    <s v=""/>
  </r>
  <r>
    <x v="18"/>
    <x v="4"/>
    <x v="2"/>
    <x v="0"/>
    <x v="12"/>
    <x v="6"/>
    <x v="4"/>
    <x v="9"/>
    <m/>
    <x v="2"/>
    <n v="225.33"/>
    <m/>
    <s v="APA"/>
    <x v="0"/>
    <x v="0"/>
    <n v="225.33"/>
    <n v="144"/>
    <x v="4"/>
    <n v="6800"/>
    <s v=""/>
    <s v=""/>
    <n v="88400"/>
    <n v="124400"/>
    <n v="0.422508038585209"/>
    <n v="16.64"/>
    <x v="0"/>
    <x v="6"/>
    <x v="19"/>
    <x v="19"/>
    <n v="225.33"/>
    <s v=""/>
  </r>
  <r>
    <x v="19"/>
    <x v="4"/>
    <x v="3"/>
    <x v="0"/>
    <x v="11"/>
    <x v="6"/>
    <x v="4"/>
    <x v="9"/>
    <m/>
    <x v="2"/>
    <n v="-30.66"/>
    <m/>
    <s v="APA"/>
    <x v="0"/>
    <x v="0"/>
    <n v="-30.66"/>
    <n v="113.34"/>
    <x v="2"/>
    <n v="6800"/>
    <s v=""/>
    <s v=""/>
    <n v="6800"/>
    <n v="131200"/>
    <n v="0.3153132621951219"/>
    <n v="16.71665"/>
    <x v="0"/>
    <x v="6"/>
    <x v="20"/>
    <x v="20"/>
    <n v="-30.66"/>
    <s v=""/>
  </r>
  <r>
    <x v="20"/>
    <x v="5"/>
    <x v="0"/>
    <x v="0"/>
    <x v="6"/>
    <x v="8"/>
    <x v="0"/>
    <x v="10"/>
    <m/>
    <x v="0"/>
    <n v="224.67"/>
    <m/>
    <s v="SFIX"/>
    <x v="0"/>
    <x v="0"/>
    <n v="224.67"/>
    <n v="224.67"/>
    <x v="11"/>
    <n v="9000"/>
    <s v=""/>
    <s v=""/>
    <n v="90000"/>
    <n v="90000"/>
    <n v="0.9111616666666665"/>
    <n v="43.87665"/>
    <x v="0"/>
    <x v="8"/>
    <x v="21"/>
    <x v="21"/>
    <n v="224.67"/>
    <s v=""/>
  </r>
  <r>
    <x v="21"/>
    <x v="5"/>
    <x v="1"/>
    <x v="0"/>
    <x v="13"/>
    <x v="8"/>
    <x v="0"/>
    <x v="10"/>
    <m/>
    <x v="0"/>
    <n v="-99.33"/>
    <m/>
    <s v="SFIX"/>
    <x v="0"/>
    <x v="0"/>
    <n v="-99.33"/>
    <n v="125.34"/>
    <x v="2"/>
    <n v="9000"/>
    <s v=""/>
    <s v=""/>
    <n v="9000"/>
    <n v="99000"/>
    <n v="0.4621121212121212"/>
    <n v="44.3733"/>
    <x v="0"/>
    <x v="8"/>
    <x v="22"/>
    <x v="22"/>
    <n v="-99.33"/>
    <s v=""/>
  </r>
  <r>
    <x v="22"/>
    <x v="5"/>
    <x v="2"/>
    <x v="0"/>
    <x v="13"/>
    <x v="9"/>
    <x v="5"/>
    <x v="10"/>
    <m/>
    <x v="0"/>
    <n v="384.67"/>
    <m/>
    <s v="SFIX"/>
    <x v="0"/>
    <x v="0"/>
    <n v="384.67"/>
    <n v="510.01"/>
    <x v="12"/>
    <n v="9000"/>
    <s v=""/>
    <s v=""/>
    <n v="135000"/>
    <n v="234000"/>
    <n v="0.7955284188034187"/>
    <n v="42.44995"/>
    <x v="0"/>
    <x v="9"/>
    <x v="23"/>
    <x v="23"/>
    <n v="384.67"/>
    <s v=""/>
  </r>
  <r>
    <x v="23"/>
    <x v="5"/>
    <x v="3"/>
    <x v="0"/>
    <x v="14"/>
    <x v="9"/>
    <x v="5"/>
    <x v="10"/>
    <m/>
    <x v="0"/>
    <n v="-229.33"/>
    <m/>
    <s v="SFIX"/>
    <x v="0"/>
    <x v="0"/>
    <n v="-229.33"/>
    <n v="280.6799999999999"/>
    <x v="2"/>
    <n v="9000"/>
    <s v=""/>
    <s v=""/>
    <n v="9000"/>
    <n v="243000"/>
    <n v="0.4215975308641974"/>
    <n v="43.5966"/>
    <x v="0"/>
    <x v="9"/>
    <x v="24"/>
    <x v="24"/>
    <n v="-229.33"/>
    <s v=""/>
  </r>
  <r>
    <x v="24"/>
    <x v="5"/>
    <x v="4"/>
    <x v="0"/>
    <x v="14"/>
    <x v="10"/>
    <x v="1"/>
    <x v="11"/>
    <m/>
    <x v="0"/>
    <n v="554.67"/>
    <m/>
    <s v="SFIX"/>
    <x v="0"/>
    <x v="0"/>
    <n v="554.67"/>
    <n v="835.3499999999999"/>
    <x v="5"/>
    <n v="8900"/>
    <s v=""/>
    <s v=""/>
    <n v="106800"/>
    <n v="349800"/>
    <n v="0.8716487993138935"/>
    <n v="40.32325"/>
    <x v="0"/>
    <x v="10"/>
    <x v="25"/>
    <x v="25"/>
    <n v="554.67"/>
    <s v=""/>
  </r>
  <r>
    <x v="25"/>
    <x v="5"/>
    <x v="5"/>
    <x v="0"/>
    <x v="15"/>
    <x v="10"/>
    <x v="1"/>
    <x v="11"/>
    <m/>
    <x v="1"/>
    <n v="-347.66"/>
    <m/>
    <s v="SFIX"/>
    <x v="0"/>
    <x v="0"/>
    <n v="-347.66"/>
    <n v="487.6899999999999"/>
    <x v="2"/>
    <n v="4450"/>
    <s v=""/>
    <s v=""/>
    <n v="4450"/>
    <n v="354250"/>
    <n v="0.5024893436838389"/>
    <n v="39.6231"/>
    <x v="0"/>
    <x v="10"/>
    <x v="26"/>
    <x v="26"/>
    <n v="-347.66"/>
    <s v=""/>
  </r>
  <r>
    <x v="26"/>
    <x v="5"/>
    <x v="6"/>
    <x v="0"/>
    <x v="15"/>
    <x v="11"/>
    <x v="6"/>
    <x v="6"/>
    <m/>
    <x v="1"/>
    <n v="486.34"/>
    <m/>
    <s v="SFIX"/>
    <x v="0"/>
    <x v="0"/>
    <n v="486.34"/>
    <n v="974.0299999999999"/>
    <x v="13"/>
    <n v="4200"/>
    <s v=""/>
    <s v=""/>
    <n v="58800"/>
    <n v="413050"/>
    <n v="0.8607213412419803"/>
    <n v="32.2597"/>
    <x v="0"/>
    <x v="11"/>
    <x v="27"/>
    <x v="27"/>
    <n v="486.34"/>
    <s v=""/>
  </r>
  <r>
    <x v="27"/>
    <x v="5"/>
    <x v="7"/>
    <x v="0"/>
    <x v="15"/>
    <x v="10"/>
    <x v="1"/>
    <x v="11"/>
    <m/>
    <x v="1"/>
    <n v="-440.66"/>
    <m/>
    <s v="SFIX"/>
    <x v="0"/>
    <x v="0"/>
    <n v="-440.66"/>
    <n v="533.3699999999999"/>
    <x v="2"/>
    <n v="4450"/>
    <s v=""/>
    <s v=""/>
    <n v="4450"/>
    <n v="417500"/>
    <n v="0.4662995209580837"/>
    <n v="39.1663"/>
    <x v="0"/>
    <x v="10"/>
    <x v="28"/>
    <x v="28"/>
    <n v="-440.66"/>
    <s v=""/>
  </r>
  <r>
    <x v="28"/>
    <x v="5"/>
    <x v="8"/>
    <x v="0"/>
    <x v="15"/>
    <x v="11"/>
    <x v="6"/>
    <x v="6"/>
    <m/>
    <x v="1"/>
    <n v="465.34"/>
    <m/>
    <s v="SFIX"/>
    <x v="0"/>
    <x v="0"/>
    <n v="465.34"/>
    <n v="998.7099999999998"/>
    <x v="13"/>
    <n v="4200"/>
    <s v=""/>
    <s v=""/>
    <n v="58800"/>
    <n v="476300"/>
    <n v="0.7653351879067812"/>
    <n v="32.0129"/>
    <x v="0"/>
    <x v="11"/>
    <x v="29"/>
    <x v="29"/>
    <n v="465.34"/>
    <s v=""/>
  </r>
  <r>
    <x v="29"/>
    <x v="5"/>
    <x v="9"/>
    <x v="0"/>
    <x v="16"/>
    <x v="11"/>
    <x v="6"/>
    <x v="6"/>
    <m/>
    <x v="0"/>
    <n v="-311.33"/>
    <m/>
    <s v="SFIX"/>
    <x v="0"/>
    <x v="0"/>
    <n v="-311.33"/>
    <n v="687.3799999999999"/>
    <x v="2"/>
    <n v="8400"/>
    <s v=""/>
    <s v=""/>
    <n v="8400"/>
    <n v="484700"/>
    <n v="0.5176267794512068"/>
    <n v="38.5631"/>
    <x v="0"/>
    <x v="11"/>
    <x v="30"/>
    <x v="30"/>
    <n v="-311.33"/>
    <s v=""/>
  </r>
  <r>
    <x v="30"/>
    <x v="6"/>
    <x v="0"/>
    <x v="0"/>
    <x v="10"/>
    <x v="0"/>
    <x v="0"/>
    <x v="12"/>
    <m/>
    <x v="3"/>
    <n v="363.34"/>
    <m/>
    <s v="SBGI"/>
    <x v="0"/>
    <x v="0"/>
    <n v="363.34"/>
    <n v="363.34"/>
    <x v="11"/>
    <n v="28000"/>
    <s v=""/>
    <s v=""/>
    <n v="280000"/>
    <n v="280000"/>
    <n v="0.4736396428571428"/>
    <n v="27.63666"/>
    <x v="0"/>
    <x v="0"/>
    <x v="31"/>
    <x v="31"/>
    <n v="363.34"/>
    <s v=""/>
  </r>
  <r>
    <x v="31"/>
    <x v="7"/>
    <x v="0"/>
    <x v="0"/>
    <x v="17"/>
    <x v="12"/>
    <x v="7"/>
    <x v="13"/>
    <m/>
    <x v="3"/>
    <n v="853.34"/>
    <m/>
    <s v="AAL"/>
    <x v="0"/>
    <x v="0"/>
    <n v="853.34"/>
    <n v="853.34"/>
    <x v="14"/>
    <n v="22000"/>
    <s v=""/>
    <s v=""/>
    <n v="638000"/>
    <n v="638000"/>
    <n v="0.4881960815047022"/>
    <n v="21.14666"/>
    <x v="0"/>
    <x v="12"/>
    <x v="32"/>
    <x v="32"/>
    <n v="853.34"/>
    <s v=""/>
  </r>
  <r>
    <x v="32"/>
    <x v="7"/>
    <x v="1"/>
    <x v="0"/>
    <x v="18"/>
    <x v="12"/>
    <x v="7"/>
    <x v="13"/>
    <m/>
    <x v="3"/>
    <n v="-616.64"/>
    <m/>
    <s v="AAL"/>
    <x v="0"/>
    <x v="0"/>
    <n v="-616.64"/>
    <n v="236.7"/>
    <x v="2"/>
    <n v="22000"/>
    <s v=""/>
    <s v=""/>
    <n v="22000"/>
    <n v="660000"/>
    <n v="0.1309022727272728"/>
    <n v="21.7633"/>
    <x v="0"/>
    <x v="12"/>
    <x v="33"/>
    <x v="33"/>
    <n v="-616.64"/>
    <s v=""/>
  </r>
  <r>
    <x v="33"/>
    <x v="7"/>
    <x v="2"/>
    <x v="0"/>
    <x v="18"/>
    <x v="12"/>
    <x v="8"/>
    <x v="14"/>
    <m/>
    <x v="3"/>
    <n v="973.34"/>
    <m/>
    <s v="AAL"/>
    <x v="0"/>
    <x v="0"/>
    <n v="973.34"/>
    <n v="1210.04"/>
    <x v="2"/>
    <n v="21500"/>
    <s v=""/>
    <s v=""/>
    <n v="21500"/>
    <n v="681500"/>
    <n v="0.6480771826852531"/>
    <n v="20.28996"/>
    <x v="0"/>
    <x v="12"/>
    <x v="34"/>
    <x v="34"/>
    <n v="973.34"/>
    <s v=""/>
  </r>
  <r>
    <x v="34"/>
    <x v="7"/>
    <x v="3"/>
    <x v="0"/>
    <x v="18"/>
    <x v="12"/>
    <x v="8"/>
    <x v="14"/>
    <m/>
    <x v="3"/>
    <n v="-746.64"/>
    <m/>
    <s v="AAL"/>
    <x v="0"/>
    <x v="0"/>
    <n v="-746.64"/>
    <n v="463.4"/>
    <x v="2"/>
    <n v="21500"/>
    <s v=""/>
    <s v=""/>
    <n v="21500"/>
    <n v="703000"/>
    <n v="0.2405988620199146"/>
    <n v="21.0366"/>
    <x v="0"/>
    <x v="12"/>
    <x v="35"/>
    <x v="35"/>
    <n v="-746.64"/>
    <s v=""/>
  </r>
  <r>
    <x v="35"/>
    <x v="8"/>
    <x v="0"/>
    <x v="0"/>
    <x v="17"/>
    <x v="13"/>
    <x v="7"/>
    <x v="15"/>
    <m/>
    <x v="3"/>
    <n v="433.34"/>
    <m/>
    <s v="CCL"/>
    <x v="0"/>
    <x v="0"/>
    <n v="433.34"/>
    <n v="433.34"/>
    <x v="15"/>
    <n v="25000"/>
    <s v=""/>
    <s v=""/>
    <n v="700000"/>
    <n v="700000"/>
    <n v="0.2259558571428571"/>
    <n v="24.56666"/>
    <x v="0"/>
    <x v="13"/>
    <x v="36"/>
    <x v="36"/>
    <n v="433.34"/>
    <s v=""/>
  </r>
  <r>
    <x v="36"/>
    <x v="8"/>
    <x v="1"/>
    <x v="0"/>
    <x v="19"/>
    <x v="13"/>
    <x v="7"/>
    <x v="15"/>
    <m/>
    <x v="3"/>
    <n v="-40.14"/>
    <m/>
    <s v="CCL"/>
    <x v="0"/>
    <x v="0"/>
    <n v="-40.14"/>
    <n v="393.2"/>
    <x v="6"/>
    <n v="25000"/>
    <s v=""/>
    <s v=""/>
    <n v="75000"/>
    <n v="775000"/>
    <n v="0.1851845161290323"/>
    <n v="24.6068"/>
    <x v="0"/>
    <x v="13"/>
    <x v="37"/>
    <x v="37"/>
    <n v="-40.14"/>
    <s v=""/>
  </r>
  <r>
    <x v="37"/>
    <x v="9"/>
    <x v="0"/>
    <x v="0"/>
    <x v="12"/>
    <x v="14"/>
    <x v="5"/>
    <x v="16"/>
    <m/>
    <x v="5"/>
    <n v="103"/>
    <m/>
    <s v="GE"/>
    <x v="0"/>
    <x v="0"/>
    <n v="103"/>
    <n v="103"/>
    <x v="16"/>
    <n v="3900"/>
    <s v=""/>
    <s v=""/>
    <n v="70200"/>
    <n v="70200"/>
    <n v="0.5355413105413105"/>
    <n v="12.65666666666667"/>
    <x v="0"/>
    <x v="14"/>
    <x v="38"/>
    <x v="38"/>
    <n v="103"/>
    <s v=""/>
  </r>
  <r>
    <x v="38"/>
    <x v="9"/>
    <x v="1"/>
    <x v="0"/>
    <x v="20"/>
    <x v="14"/>
    <x v="5"/>
    <x v="16"/>
    <m/>
    <x v="0"/>
    <n v="-19.33"/>
    <m/>
    <s v="GE"/>
    <x v="0"/>
    <x v="0"/>
    <n v="-19.33"/>
    <n v="83.67"/>
    <x v="2"/>
    <n v="2600"/>
    <s v=""/>
    <s v=""/>
    <n v="2600"/>
    <n v="72800"/>
    <n v="0.4194993131868132"/>
    <n v="12.58165"/>
    <x v="0"/>
    <x v="14"/>
    <x v="9"/>
    <x v="9"/>
    <n v="-19.33"/>
    <s v=""/>
  </r>
  <r>
    <x v="39"/>
    <x v="9"/>
    <x v="2"/>
    <x v="0"/>
    <x v="20"/>
    <x v="14"/>
    <x v="5"/>
    <x v="16"/>
    <m/>
    <x v="1"/>
    <n v="-9.66"/>
    <m/>
    <s v="GE"/>
    <x v="0"/>
    <x v="0"/>
    <n v="-9.66"/>
    <n v="74.01000000000001"/>
    <x v="2"/>
    <n v="1300"/>
    <s v=""/>
    <s v=""/>
    <n v="1300"/>
    <n v="74100"/>
    <n v="0.3645566801619433"/>
    <n v="12.2599"/>
    <x v="0"/>
    <x v="14"/>
    <x v="39"/>
    <x v="39"/>
    <n v="-9.66"/>
    <s v=""/>
  </r>
  <r>
    <x v="40"/>
    <x v="10"/>
    <x v="0"/>
    <x v="0"/>
    <x v="21"/>
    <x v="15"/>
    <x v="1"/>
    <x v="17"/>
    <m/>
    <x v="2"/>
    <n v="237.33"/>
    <m/>
    <s v="CPB"/>
    <x v="0"/>
    <x v="0"/>
    <n v="237.33"/>
    <n v="237.33"/>
    <x v="0"/>
    <n v="19200"/>
    <s v=""/>
    <s v=""/>
    <n v="480000"/>
    <n v="480000"/>
    <n v="0.1804696875"/>
    <n v="47.406675"/>
    <x v="0"/>
    <x v="15"/>
    <x v="40"/>
    <x v="40"/>
    <n v="237.33"/>
    <s v=""/>
  </r>
  <r>
    <x v="41"/>
    <x v="10"/>
    <x v="1"/>
    <x v="0"/>
    <x v="22"/>
    <x v="15"/>
    <x v="1"/>
    <x v="17"/>
    <m/>
    <x v="2"/>
    <n v="-62.66"/>
    <m/>
    <s v="CPB"/>
    <x v="0"/>
    <x v="0"/>
    <n v="-62.66"/>
    <n v="174.67"/>
    <x v="2"/>
    <n v="19200"/>
    <s v=""/>
    <s v=""/>
    <n v="19200"/>
    <n v="499200"/>
    <n v="0.1277134415064103"/>
    <n v="47.563325"/>
    <x v="0"/>
    <x v="15"/>
    <x v="41"/>
    <x v="41"/>
    <n v="-62.66"/>
    <s v=""/>
  </r>
  <r>
    <x v="42"/>
    <x v="11"/>
    <x v="0"/>
    <x v="0"/>
    <x v="21"/>
    <x v="14"/>
    <x v="1"/>
    <x v="7"/>
    <m/>
    <x v="5"/>
    <n v="238"/>
    <m/>
    <s v="GBX"/>
    <x v="0"/>
    <x v="0"/>
    <n v="238"/>
    <n v="238"/>
    <x v="17"/>
    <n v="12000"/>
    <s v=""/>
    <s v=""/>
    <n v="96000"/>
    <n v="96000"/>
    <n v="0.9048958333333333"/>
    <n v="39.20666666666666"/>
    <x v="0"/>
    <x v="14"/>
    <x v="42"/>
    <x v="42"/>
    <n v="238"/>
    <s v=""/>
  </r>
  <r>
    <x v="43"/>
    <x v="11"/>
    <x v="1"/>
    <x v="0"/>
    <x v="20"/>
    <x v="14"/>
    <x v="1"/>
    <x v="7"/>
    <m/>
    <x v="5"/>
    <n v="-67.98999999999999"/>
    <m/>
    <s v="GBX"/>
    <x v="0"/>
    <x v="0"/>
    <n v="-67.98999999999999"/>
    <n v="170.01"/>
    <x v="2"/>
    <n v="12000"/>
    <s v=""/>
    <s v=""/>
    <n v="12000"/>
    <n v="108000"/>
    <n v="0.5745708333333333"/>
    <n v="39.4333"/>
    <x v="0"/>
    <x v="14"/>
    <x v="43"/>
    <x v="43"/>
    <n v="-67.98999999999999"/>
    <s v=""/>
  </r>
  <r>
    <x v="44"/>
    <x v="12"/>
    <x v="0"/>
    <x v="0"/>
    <x v="11"/>
    <x v="15"/>
    <x v="1"/>
    <x v="18"/>
    <m/>
    <x v="3"/>
    <n v="363.34"/>
    <m/>
    <s v="CCL"/>
    <x v="0"/>
    <x v="0"/>
    <n v="363.34"/>
    <n v="363.34"/>
    <x v="1"/>
    <n v="24500"/>
    <s v=""/>
    <s v=""/>
    <n v="539000"/>
    <n v="539000"/>
    <n v="0.2460465677179962"/>
    <n v="24.13666"/>
    <x v="0"/>
    <x v="15"/>
    <x v="31"/>
    <x v="31"/>
    <n v="363.34"/>
    <s v=""/>
  </r>
  <r>
    <x v="45"/>
    <x v="12"/>
    <x v="1"/>
    <x v="0"/>
    <x v="22"/>
    <x v="15"/>
    <x v="1"/>
    <x v="18"/>
    <m/>
    <x v="3"/>
    <n v="-96.64"/>
    <m/>
    <s v="CCL"/>
    <x v="0"/>
    <x v="0"/>
    <n v="-96.64"/>
    <n v="266.7"/>
    <x v="2"/>
    <n v="24500"/>
    <s v=""/>
    <s v=""/>
    <n v="24500"/>
    <n v="563500"/>
    <n v="0.172751552795031"/>
    <n v="24.2333"/>
    <x v="0"/>
    <x v="15"/>
    <x v="44"/>
    <x v="44"/>
    <n v="-96.64"/>
    <s v=""/>
  </r>
  <r>
    <x v="46"/>
    <x v="13"/>
    <x v="0"/>
    <x v="0"/>
    <x v="23"/>
    <x v="13"/>
    <x v="1"/>
    <x v="19"/>
    <m/>
    <x v="5"/>
    <n v="385"/>
    <m/>
    <s v="BIG"/>
    <x v="0"/>
    <x v="0"/>
    <n v="385"/>
    <n v="385"/>
    <x v="11"/>
    <n v="18750"/>
    <s v=""/>
    <s v=""/>
    <n v="187500"/>
    <n v="187500"/>
    <n v="0.7494666666666666"/>
    <n v="61.21666666666667"/>
    <x v="0"/>
    <x v="13"/>
    <x v="45"/>
    <x v="45"/>
    <n v="385"/>
    <s v=""/>
  </r>
  <r>
    <x v="47"/>
    <x v="13"/>
    <x v="1"/>
    <x v="0"/>
    <x v="24"/>
    <x v="13"/>
    <x v="1"/>
    <x v="19"/>
    <m/>
    <x v="0"/>
    <n v="-65.33"/>
    <m/>
    <s v="BIG"/>
    <x v="0"/>
    <x v="0"/>
    <n v="-65.33"/>
    <n v="319.67"/>
    <x v="2"/>
    <n v="12500"/>
    <s v=""/>
    <s v=""/>
    <n v="12500"/>
    <n v="200000"/>
    <n v="0.58339775"/>
    <n v="60.90165"/>
    <x v="0"/>
    <x v="13"/>
    <x v="46"/>
    <x v="46"/>
    <n v="-65.33"/>
    <s v=""/>
  </r>
  <r>
    <x v="48"/>
    <x v="13"/>
    <x v="2"/>
    <x v="0"/>
    <x v="24"/>
    <x v="13"/>
    <x v="1"/>
    <x v="19"/>
    <m/>
    <x v="1"/>
    <n v="-32.66"/>
    <m/>
    <s v="BIG"/>
    <x v="0"/>
    <x v="0"/>
    <n v="-32.66"/>
    <n v="287.01"/>
    <x v="2"/>
    <n v="6250"/>
    <s v=""/>
    <s v=""/>
    <n v="6250"/>
    <n v="206250"/>
    <n v="0.5079207272727272"/>
    <n v="59.6299"/>
    <x v="0"/>
    <x v="13"/>
    <x v="47"/>
    <x v="47"/>
    <n v="-32.66"/>
    <s v=""/>
  </r>
  <r>
    <x v="49"/>
    <x v="14"/>
    <x v="0"/>
    <x v="0"/>
    <x v="23"/>
    <x v="16"/>
    <x v="9"/>
    <x v="20"/>
    <m/>
    <x v="6"/>
    <n v="308.01"/>
    <m/>
    <s v="BBBY"/>
    <x v="0"/>
    <x v="0"/>
    <n v="308.01"/>
    <n v="308.01"/>
    <x v="18"/>
    <n v="14100"/>
    <s v=""/>
    <s v=""/>
    <n v="239700"/>
    <n v="239700"/>
    <n v="0.4690181476846058"/>
    <n v="22.98665"/>
    <x v="0"/>
    <x v="16"/>
    <x v="48"/>
    <x v="48"/>
    <n v="308.01"/>
    <s v=""/>
  </r>
  <r>
    <x v="50"/>
    <x v="14"/>
    <x v="1"/>
    <x v="0"/>
    <x v="25"/>
    <x v="16"/>
    <x v="9"/>
    <x v="20"/>
    <m/>
    <x v="6"/>
    <n v="-411.98"/>
    <m/>
    <s v="BBBY"/>
    <x v="0"/>
    <x v="0"/>
    <n v="-411.98"/>
    <n v="-103.97"/>
    <x v="2"/>
    <n v="14100"/>
    <s v=""/>
    <s v=""/>
    <n v="14100"/>
    <n v="253800"/>
    <n v="-0.1495234436564224"/>
    <n v="23.67328333333333"/>
    <x v="0"/>
    <x v="16"/>
    <x v="49"/>
    <x v="49"/>
    <n v="-411.98"/>
    <s v=""/>
  </r>
  <r>
    <x v="51"/>
    <x v="14"/>
    <x v="2"/>
    <x v="0"/>
    <x v="25"/>
    <x v="15"/>
    <x v="1"/>
    <x v="21"/>
    <m/>
    <x v="6"/>
    <n v="560.01"/>
    <m/>
    <s v="BBBY"/>
    <x v="0"/>
    <x v="0"/>
    <n v="560.01"/>
    <n v="456.04"/>
    <x v="2"/>
    <n v="13800"/>
    <s v=""/>
    <s v=""/>
    <n v="13800"/>
    <n v="267600"/>
    <n v="0.6220276532137518"/>
    <n v="22.23993333333333"/>
    <x v="0"/>
    <x v="15"/>
    <x v="50"/>
    <x v="50"/>
    <n v="560.01"/>
    <s v=""/>
  </r>
  <r>
    <x v="52"/>
    <x v="14"/>
    <x v="3"/>
    <x v="0"/>
    <x v="22"/>
    <x v="15"/>
    <x v="1"/>
    <x v="21"/>
    <m/>
    <x v="6"/>
    <n v="-117.98"/>
    <m/>
    <s v="BBBY"/>
    <x v="0"/>
    <x v="0"/>
    <n v="-117.98"/>
    <n v="338.0599999999999"/>
    <x v="2"/>
    <n v="13800"/>
    <s v=""/>
    <s v=""/>
    <n v="13800"/>
    <n v="281400"/>
    <n v="0.4384928926794598"/>
    <n v="22.43656666666667"/>
    <x v="0"/>
    <x v="15"/>
    <x v="51"/>
    <x v="51"/>
    <n v="-117.98"/>
    <s v=""/>
  </r>
  <r>
    <x v="53"/>
    <x v="15"/>
    <x v="0"/>
    <x v="0"/>
    <x v="20"/>
    <x v="16"/>
    <x v="9"/>
    <x v="22"/>
    <m/>
    <x v="2"/>
    <n v="329.33"/>
    <m/>
    <s v="UAL"/>
    <x v="0"/>
    <x v="0"/>
    <n v="329.33"/>
    <n v="329.33"/>
    <x v="9"/>
    <n v="20400"/>
    <s v=""/>
    <s v=""/>
    <n v="326400"/>
    <n v="326400"/>
    <n v="0.3682765012254902"/>
    <n v="50.176675"/>
    <x v="0"/>
    <x v="16"/>
    <x v="52"/>
    <x v="52"/>
    <n v="329.33"/>
    <s v=""/>
  </r>
  <r>
    <x v="54"/>
    <x v="15"/>
    <x v="1"/>
    <x v="0"/>
    <x v="25"/>
    <x v="16"/>
    <x v="9"/>
    <x v="22"/>
    <m/>
    <x v="2"/>
    <n v="-150.66"/>
    <m/>
    <s v="UAL"/>
    <x v="0"/>
    <x v="0"/>
    <n v="-150.66"/>
    <n v="178.67"/>
    <x v="2"/>
    <n v="20400"/>
    <s v=""/>
    <s v=""/>
    <n v="20400"/>
    <n v="346800"/>
    <n v="0.188046568627451"/>
    <n v="50.553325"/>
    <x v="0"/>
    <x v="16"/>
    <x v="53"/>
    <x v="53"/>
    <n v="-150.66"/>
    <s v=""/>
  </r>
  <r>
    <x v="55"/>
    <x v="15"/>
    <x v="2"/>
    <x v="0"/>
    <x v="25"/>
    <x v="15"/>
    <x v="1"/>
    <x v="23"/>
    <m/>
    <x v="2"/>
    <n v="337.33"/>
    <m/>
    <s v="UAL"/>
    <x v="0"/>
    <x v="0"/>
    <n v="337.33"/>
    <n v="516"/>
    <x v="2"/>
    <n v="20000"/>
    <s v=""/>
    <s v=""/>
    <n v="20000"/>
    <n v="366800"/>
    <n v="0.5134678298800436"/>
    <n v="48.71"/>
    <x v="0"/>
    <x v="15"/>
    <x v="54"/>
    <x v="54"/>
    <n v="337.33"/>
    <s v=""/>
  </r>
  <r>
    <x v="56"/>
    <x v="15"/>
    <x v="3"/>
    <x v="0"/>
    <x v="22"/>
    <x v="15"/>
    <x v="1"/>
    <x v="23"/>
    <m/>
    <x v="2"/>
    <n v="-62.66"/>
    <m/>
    <s v="UAL"/>
    <x v="0"/>
    <x v="0"/>
    <n v="-62.66"/>
    <n v="453.34"/>
    <x v="2"/>
    <n v="20000"/>
    <s v=""/>
    <s v=""/>
    <n v="20000"/>
    <n v="386800"/>
    <n v="0.4277898138572906"/>
    <n v="48.86665"/>
    <x v="0"/>
    <x v="15"/>
    <x v="41"/>
    <x v="41"/>
    <n v="-62.66"/>
    <s v=""/>
  </r>
  <r>
    <x v="57"/>
    <x v="16"/>
    <x v="0"/>
    <x v="0"/>
    <x v="26"/>
    <x v="13"/>
    <x v="7"/>
    <x v="10"/>
    <m/>
    <x v="0"/>
    <n v="192.67"/>
    <m/>
    <s v="SFIX"/>
    <x v="0"/>
    <x v="0"/>
    <n v="192.67"/>
    <n v="192.67"/>
    <x v="17"/>
    <n v="9000"/>
    <s v=""/>
    <s v=""/>
    <n v="72000"/>
    <n v="72000"/>
    <n v="0.9767298611111109"/>
    <n v="44.03665"/>
    <x v="0"/>
    <x v="13"/>
    <x v="55"/>
    <x v="55"/>
    <n v="192.67"/>
    <s v=""/>
  </r>
  <r>
    <x v="58"/>
    <x v="16"/>
    <x v="1"/>
    <x v="0"/>
    <x v="24"/>
    <x v="13"/>
    <x v="7"/>
    <x v="10"/>
    <m/>
    <x v="0"/>
    <n v="-1241.33"/>
    <m/>
    <s v="SFIX"/>
    <x v="0"/>
    <x v="0"/>
    <n v="-1241.33"/>
    <n v="-1048.66"/>
    <x v="2"/>
    <n v="9000"/>
    <s v=""/>
    <s v=""/>
    <n v="9000"/>
    <n v="81000"/>
    <n v="-4.725443209876543"/>
    <n v="50.2433"/>
    <x v="0"/>
    <x v="13"/>
    <x v="56"/>
    <x v="56"/>
    <n v="-1241.33"/>
    <s v=""/>
  </r>
  <r>
    <x v="59"/>
    <x v="16"/>
    <x v="2"/>
    <x v="0"/>
    <x v="24"/>
    <x v="17"/>
    <x v="6"/>
    <x v="24"/>
    <m/>
    <x v="0"/>
    <n v="1298.66"/>
    <m/>
    <s v="SFIX"/>
    <x v="0"/>
    <x v="0"/>
    <n v="1298.66"/>
    <n v="250.0000000000002"/>
    <x v="19"/>
    <n v="8600"/>
    <s v=""/>
    <s v=""/>
    <n v="292400"/>
    <n v="373400"/>
    <n v="0.2443760042849493"/>
    <n v="41.75"/>
    <x v="0"/>
    <x v="17"/>
    <x v="57"/>
    <x v="57"/>
    <n v="1298.66"/>
    <s v=""/>
  </r>
  <r>
    <x v="60"/>
    <x v="16"/>
    <x v="3"/>
    <x v="0"/>
    <x v="27"/>
    <x v="17"/>
    <x v="6"/>
    <x v="24"/>
    <m/>
    <x v="0"/>
    <n v="-3.01"/>
    <m/>
    <s v="SFIX"/>
    <x v="0"/>
    <x v="0"/>
    <n v="-3.01"/>
    <n v="246.9900000000002"/>
    <x v="2"/>
    <n v="8600"/>
    <s v=""/>
    <s v=""/>
    <n v="8600"/>
    <n v="382000"/>
    <n v="0.2359982984293196"/>
    <n v="41.76505"/>
    <x v="0"/>
    <x v="17"/>
    <x v="58"/>
    <x v="58"/>
    <n v="-3.01"/>
    <s v=""/>
  </r>
  <r>
    <x v="61"/>
    <x v="17"/>
    <x v="0"/>
    <x v="0"/>
    <x v="14"/>
    <x v="1"/>
    <x v="1"/>
    <x v="1"/>
    <m/>
    <x v="0"/>
    <n v="198.67"/>
    <m/>
    <s v="EAT"/>
    <x v="0"/>
    <x v="0"/>
    <n v="198.67"/>
    <n v="198.67"/>
    <x v="20"/>
    <n v="13000"/>
    <s v=""/>
    <s v=""/>
    <n v="247000"/>
    <n v="247000"/>
    <n v="0.2935811740890688"/>
    <n v="64.00664999999999"/>
    <x v="0"/>
    <x v="1"/>
    <x v="59"/>
    <x v="59"/>
    <n v="198.67"/>
    <s v=""/>
  </r>
  <r>
    <x v="62"/>
    <x v="17"/>
    <x v="1"/>
    <x v="0"/>
    <x v="28"/>
    <x v="1"/>
    <x v="1"/>
    <x v="1"/>
    <m/>
    <x v="0"/>
    <n v="458.67"/>
    <m/>
    <s v="EAT"/>
    <x v="0"/>
    <x v="0"/>
    <n v="458.67"/>
    <n v="657.34"/>
    <x v="12"/>
    <n v="13000"/>
    <s v=""/>
    <s v=""/>
    <n v="195000"/>
    <n v="442000"/>
    <n v="0.5428260180995476"/>
    <n v="61.7133"/>
    <x v="0"/>
    <x v="1"/>
    <x v="60"/>
    <x v="60"/>
    <n v="458.67"/>
    <s v=""/>
  </r>
  <r>
    <x v="63"/>
    <x v="17"/>
    <x v="2"/>
    <x v="0"/>
    <x v="3"/>
    <x v="1"/>
    <x v="1"/>
    <x v="1"/>
    <m/>
    <x v="2"/>
    <n v="-1802.66"/>
    <m/>
    <s v="EAT"/>
    <x v="0"/>
    <x v="0"/>
    <n v="-1802.66"/>
    <n v="-1145.32"/>
    <x v="2"/>
    <n v="26000"/>
    <s v=""/>
    <s v=""/>
    <n v="26000"/>
    <n v="468000"/>
    <n v="-0.8932517094017095"/>
    <n v="67.8633"/>
    <x v="0"/>
    <x v="1"/>
    <x v="61"/>
    <x v="61"/>
    <n v="-1802.66"/>
    <s v=""/>
  </r>
  <r>
    <x v="64"/>
    <x v="17"/>
    <x v="3"/>
    <x v="0"/>
    <x v="3"/>
    <x v="18"/>
    <x v="10"/>
    <x v="1"/>
    <m/>
    <x v="2"/>
    <n v="2361.32"/>
    <m/>
    <s v="EAT"/>
    <x v="0"/>
    <x v="0"/>
    <n v="2361.32"/>
    <n v="1216"/>
    <x v="21"/>
    <n v="26000"/>
    <s v=""/>
    <s v=""/>
    <n v="702000"/>
    <n v="1170000"/>
    <n v="0.3793504273504273"/>
    <n v="61.96"/>
    <x v="0"/>
    <x v="18"/>
    <x v="62"/>
    <x v="62"/>
    <n v="2361.32"/>
    <s v=""/>
  </r>
  <r>
    <x v="65"/>
    <x v="17"/>
    <x v="4"/>
    <x v="0"/>
    <x v="29"/>
    <x v="18"/>
    <x v="10"/>
    <x v="1"/>
    <m/>
    <x v="2"/>
    <n v="-2762.66"/>
    <m/>
    <s v="EAT"/>
    <x v="0"/>
    <x v="0"/>
    <n v="-2762.66"/>
    <n v="1530.65"/>
    <x v="2"/>
    <n v="26000"/>
    <s v=""/>
    <s v=""/>
    <n v="26000"/>
    <n v="2002000"/>
    <n v="0.2790645604395605"/>
    <n v="61.173375"/>
    <x v="0"/>
    <x v="18"/>
    <x v="63"/>
    <x v="63"/>
    <n v="-2762.66"/>
    <s v=""/>
  </r>
  <r>
    <x v="66"/>
    <x v="17"/>
    <x v="4"/>
    <x v="0"/>
    <x v="29"/>
    <x v="19"/>
    <x v="2"/>
    <x v="1"/>
    <m/>
    <x v="2"/>
    <n v="3077.31"/>
    <m/>
    <s v="EAT"/>
    <x v="0"/>
    <x v="0"/>
    <n v="3077.31"/>
    <n v="1530.65"/>
    <x v="22"/>
    <n v="26000"/>
    <n v="26000"/>
    <n v="26000"/>
    <n v="806000"/>
    <n v="2002000"/>
    <n v="0.2790645604395605"/>
    <n v="61.173375"/>
    <x v="1"/>
    <x v="19"/>
    <x v="64"/>
    <x v="64"/>
    <s v=""/>
    <n v="3077.31"/>
  </r>
  <r>
    <x v="67"/>
    <x v="18"/>
    <x v="0"/>
    <x v="0"/>
    <x v="24"/>
    <x v="20"/>
    <x v="10"/>
    <x v="25"/>
    <m/>
    <x v="0"/>
    <n v="498.67"/>
    <m/>
    <s v="PCAR"/>
    <x v="0"/>
    <x v="0"/>
    <n v="498.67"/>
    <n v="498.67"/>
    <x v="10"/>
    <n v="18000"/>
    <s v=""/>
    <s v=""/>
    <n v="72000"/>
    <n v="72000"/>
    <n v="2.527979861111112"/>
    <n v="87.50664999999999"/>
    <x v="0"/>
    <x v="20"/>
    <x v="65"/>
    <x v="65"/>
    <n v="498.67"/>
    <s v=""/>
  </r>
  <r>
    <x v="68"/>
    <x v="18"/>
    <x v="1"/>
    <x v="0"/>
    <x v="30"/>
    <x v="20"/>
    <x v="10"/>
    <x v="25"/>
    <m/>
    <x v="0"/>
    <n v="-173.33"/>
    <m/>
    <s v="PCAR"/>
    <x v="0"/>
    <x v="0"/>
    <n v="-173.33"/>
    <n v="325.34"/>
    <x v="2"/>
    <n v="18000"/>
    <s v=""/>
    <s v=""/>
    <n v="18000"/>
    <n v="90000"/>
    <n v="1.319434444444445"/>
    <n v="88.3733"/>
    <x v="0"/>
    <x v="20"/>
    <x v="66"/>
    <x v="66"/>
    <n v="-173.33"/>
    <s v=""/>
  </r>
  <r>
    <x v="69"/>
    <x v="19"/>
    <x v="0"/>
    <x v="0"/>
    <x v="18"/>
    <x v="11"/>
    <x v="11"/>
    <x v="26"/>
    <m/>
    <x v="3"/>
    <n v="553.34"/>
    <m/>
    <s v="AAL"/>
    <x v="0"/>
    <x v="0"/>
    <n v="553.34"/>
    <n v="553.34"/>
    <x v="20"/>
    <n v="21000"/>
    <s v=""/>
    <s v=""/>
    <n v="399000"/>
    <n v="399000"/>
    <n v="0.5061882205513785"/>
    <n v="20.44666"/>
    <x v="0"/>
    <x v="11"/>
    <x v="67"/>
    <x v="67"/>
    <n v="553.34"/>
    <s v=""/>
  </r>
  <r>
    <x v="70"/>
    <x v="19"/>
    <x v="1"/>
    <x v="0"/>
    <x v="16"/>
    <x v="11"/>
    <x v="11"/>
    <x v="26"/>
    <m/>
    <x v="3"/>
    <n v="-50.14"/>
    <m/>
    <s v="AAL"/>
    <x v="0"/>
    <x v="0"/>
    <n v="-50.14"/>
    <n v="503.2"/>
    <x v="2"/>
    <n v="21000"/>
    <s v=""/>
    <s v=""/>
    <n v="21000"/>
    <n v="420000"/>
    <n v="0.437304761904762"/>
    <n v="20.4968"/>
    <x v="0"/>
    <x v="11"/>
    <x v="68"/>
    <x v="68"/>
    <n v="-50.14"/>
    <s v=""/>
  </r>
  <r>
    <x v="71"/>
    <x v="20"/>
    <x v="0"/>
    <x v="0"/>
    <x v="30"/>
    <x v="21"/>
    <x v="8"/>
    <x v="23"/>
    <m/>
    <x v="0"/>
    <n v="304.67"/>
    <m/>
    <s v="SNAP"/>
    <x v="0"/>
    <x v="0"/>
    <n v="304.67"/>
    <n v="304.67"/>
    <x v="13"/>
    <n v="10000"/>
    <s v=""/>
    <s v=""/>
    <n v="140000"/>
    <n v="140000"/>
    <n v="0.7943182142857143"/>
    <n v="48.47665"/>
    <x v="0"/>
    <x v="21"/>
    <x v="69"/>
    <x v="69"/>
    <n v="304.67"/>
    <s v=""/>
  </r>
  <r>
    <x v="72"/>
    <x v="20"/>
    <x v="1"/>
    <x v="0"/>
    <x v="31"/>
    <x v="21"/>
    <x v="8"/>
    <x v="23"/>
    <m/>
    <x v="0"/>
    <n v="-8.029999999999999"/>
    <m/>
    <s v="SNAP"/>
    <x v="0"/>
    <x v="0"/>
    <n v="-8.029999999999999"/>
    <n v="296.64"/>
    <x v="2"/>
    <n v="10000"/>
    <s v=""/>
    <s v=""/>
    <n v="10000"/>
    <n v="150000"/>
    <n v="0.7218240000000001"/>
    <n v="48.5168"/>
    <x v="0"/>
    <x v="21"/>
    <x v="70"/>
    <x v="70"/>
    <n v="-8.029999999999999"/>
    <s v=""/>
  </r>
  <r>
    <x v="73"/>
    <x v="21"/>
    <x v="0"/>
    <x v="0"/>
    <x v="32"/>
    <x v="11"/>
    <x v="11"/>
    <x v="18"/>
    <m/>
    <x v="2"/>
    <n v="265.33"/>
    <m/>
    <s v="DBX"/>
    <x v="0"/>
    <x v="0"/>
    <n v="265.33"/>
    <n v="265.33"/>
    <x v="12"/>
    <n v="9800"/>
    <s v=""/>
    <s v=""/>
    <n v="147000"/>
    <n v="147000"/>
    <n v="0.6588125850340136"/>
    <n v="23.836675"/>
    <x v="0"/>
    <x v="11"/>
    <x v="71"/>
    <x v="71"/>
    <n v="265.33"/>
    <s v=""/>
  </r>
  <r>
    <x v="74"/>
    <x v="21"/>
    <x v="1"/>
    <x v="0"/>
    <x v="16"/>
    <x v="11"/>
    <x v="11"/>
    <x v="18"/>
    <m/>
    <x v="5"/>
    <n v="-15.04"/>
    <m/>
    <s v="DBX"/>
    <x v="0"/>
    <x v="0"/>
    <n v="-15.04"/>
    <n v="250.29"/>
    <x v="2"/>
    <n v="7350"/>
    <s v=""/>
    <s v=""/>
    <n v="7350"/>
    <n v="154350"/>
    <n v="0.5918746355685131"/>
    <n v="23.6657"/>
    <x v="0"/>
    <x v="11"/>
    <x v="72"/>
    <x v="72"/>
    <n v="-15.04"/>
    <s v=""/>
  </r>
  <r>
    <x v="75"/>
    <x v="21"/>
    <x v="2"/>
    <x v="0"/>
    <x v="16"/>
    <x v="11"/>
    <x v="11"/>
    <x v="18"/>
    <m/>
    <x v="1"/>
    <n v="-5.02"/>
    <m/>
    <s v="DBX"/>
    <x v="0"/>
    <x v="0"/>
    <n v="-5.02"/>
    <n v="245.27"/>
    <x v="2"/>
    <n v="2450"/>
    <s v=""/>
    <s v=""/>
    <n v="2450"/>
    <n v="156800"/>
    <n v="0.5709410076530611"/>
    <n v="22.0473"/>
    <x v="0"/>
    <x v="11"/>
    <x v="73"/>
    <x v="73"/>
    <n v="-5.02"/>
    <s v=""/>
  </r>
  <r>
    <x v="76"/>
    <x v="22"/>
    <x v="0"/>
    <x v="0"/>
    <x v="33"/>
    <x v="11"/>
    <x v="10"/>
    <x v="27"/>
    <m/>
    <x v="0"/>
    <n v="276.67"/>
    <m/>
    <s v="AMD"/>
    <x v="0"/>
    <x v="0"/>
    <n v="276.67"/>
    <n v="276.67"/>
    <x v="23"/>
    <n v="14000"/>
    <s v=""/>
    <s v=""/>
    <n v="126000"/>
    <n v="126000"/>
    <n v="0.8014646825396826"/>
    <n v="68.61664999999999"/>
    <x v="0"/>
    <x v="11"/>
    <x v="74"/>
    <x v="74"/>
    <n v="276.67"/>
    <s v=""/>
  </r>
  <r>
    <x v="77"/>
    <x v="22"/>
    <x v="1"/>
    <x v="0"/>
    <x v="16"/>
    <x v="11"/>
    <x v="10"/>
    <x v="27"/>
    <m/>
    <x v="1"/>
    <n v="-36.66"/>
    <m/>
    <s v="AMD"/>
    <x v="0"/>
    <x v="0"/>
    <n v="-36.66"/>
    <n v="240.01"/>
    <x v="2"/>
    <n v="7000"/>
    <s v=""/>
    <s v=""/>
    <n v="7000"/>
    <n v="133000"/>
    <n v="0.658674060150376"/>
    <n v="67.59990000000001"/>
    <x v="0"/>
    <x v="11"/>
    <x v="75"/>
    <x v="75"/>
    <n v="-36.66"/>
    <s v=""/>
  </r>
  <r>
    <x v="77"/>
    <x v="22"/>
    <x v="2"/>
    <x v="0"/>
    <x v="16"/>
    <x v="11"/>
    <x v="10"/>
    <x v="27"/>
    <m/>
    <x v="1"/>
    <n v="-36.67"/>
    <m/>
    <s v="AMD"/>
    <x v="0"/>
    <x v="0"/>
    <n v="-36.67"/>
    <n v="203.34"/>
    <x v="2"/>
    <n v="7000"/>
    <s v=""/>
    <s v=""/>
    <n v="7000"/>
    <n v="140000"/>
    <n v="0.5301364285714286"/>
    <n v="67.9666"/>
    <x v="0"/>
    <x v="11"/>
    <x v="76"/>
    <x v="76"/>
    <n v="-36.67"/>
    <s v=""/>
  </r>
  <r>
    <x v="78"/>
    <x v="23"/>
    <x v="0"/>
    <x v="0"/>
    <x v="33"/>
    <x v="22"/>
    <x v="10"/>
    <x v="28"/>
    <m/>
    <x v="1"/>
    <n v="93.34"/>
    <m/>
    <s v="NRG"/>
    <x v="0"/>
    <x v="0"/>
    <n v="93.34"/>
    <n v="93.34"/>
    <x v="0"/>
    <n v="3300"/>
    <s v=""/>
    <s v=""/>
    <n v="82500"/>
    <n v="82500"/>
    <n v="0.4129587878787879"/>
    <n v="32.0666"/>
    <x v="0"/>
    <x v="22"/>
    <x v="77"/>
    <x v="77"/>
    <n v="93.34"/>
    <s v=""/>
  </r>
  <r>
    <x v="79"/>
    <x v="23"/>
    <x v="1"/>
    <x v="0"/>
    <x v="33"/>
    <x v="22"/>
    <x v="10"/>
    <x v="28"/>
    <m/>
    <x v="0"/>
    <n v="186.66"/>
    <m/>
    <s v="NRG"/>
    <x v="0"/>
    <x v="0"/>
    <n v="186.66"/>
    <n v="280"/>
    <x v="0"/>
    <n v="6600"/>
    <s v=""/>
    <s v=""/>
    <n v="165000"/>
    <n v="247500"/>
    <n v="0.4129292929292929"/>
    <n v="31.6"/>
    <x v="0"/>
    <x v="22"/>
    <x v="78"/>
    <x v="78"/>
    <n v="186.66"/>
    <s v=""/>
  </r>
  <r>
    <x v="80"/>
    <x v="23"/>
    <x v="2"/>
    <x v="0"/>
    <x v="34"/>
    <x v="22"/>
    <x v="10"/>
    <x v="28"/>
    <m/>
    <x v="5"/>
    <n v="-31.99"/>
    <m/>
    <s v="NRG"/>
    <x v="0"/>
    <x v="0"/>
    <n v="-31.99"/>
    <n v="248.01"/>
    <x v="2"/>
    <n v="9900"/>
    <s v=""/>
    <s v=""/>
    <n v="9900"/>
    <n v="257400"/>
    <n v="0.3516847319347319"/>
    <n v="32.1733"/>
    <x v="0"/>
    <x v="22"/>
    <x v="79"/>
    <x v="79"/>
    <n v="-31.99"/>
    <s v=""/>
  </r>
  <r>
    <x v="81"/>
    <x v="24"/>
    <x v="0"/>
    <x v="0"/>
    <x v="33"/>
    <x v="22"/>
    <x v="6"/>
    <x v="29"/>
    <m/>
    <x v="0"/>
    <n v="528.67"/>
    <m/>
    <s v="IRBT"/>
    <x v="0"/>
    <x v="0"/>
    <n v="528.67"/>
    <n v="528.67"/>
    <x v="0"/>
    <n v="18200"/>
    <s v=""/>
    <s v=""/>
    <n v="455000"/>
    <n v="455000"/>
    <n v="0.4240979120879121"/>
    <n v="88.35665"/>
    <x v="0"/>
    <x v="22"/>
    <x v="80"/>
    <x v="80"/>
    <n v="528.67"/>
    <s v=""/>
  </r>
  <r>
    <x v="82"/>
    <x v="24"/>
    <x v="1"/>
    <x v="0"/>
    <x v="34"/>
    <x v="22"/>
    <x v="6"/>
    <x v="29"/>
    <m/>
    <x v="0"/>
    <n v="-21.33"/>
    <m/>
    <s v="IRBT"/>
    <x v="0"/>
    <x v="0"/>
    <n v="-21.33"/>
    <n v="507.34"/>
    <x v="2"/>
    <n v="18200"/>
    <s v=""/>
    <s v=""/>
    <n v="18200"/>
    <n v="473200"/>
    <n v="0.391333685545224"/>
    <n v="88.4633"/>
    <x v="0"/>
    <x v="22"/>
    <x v="81"/>
    <x v="81"/>
    <n v="-21.33"/>
    <s v=""/>
  </r>
  <r>
    <x v="83"/>
    <x v="25"/>
    <x v="0"/>
    <x v="0"/>
    <x v="31"/>
    <x v="23"/>
    <x v="10"/>
    <x v="30"/>
    <m/>
    <x v="1"/>
    <n v="126.34"/>
    <m/>
    <s v="ABT"/>
    <x v="0"/>
    <x v="0"/>
    <n v="126.34"/>
    <n v="126.34"/>
    <x v="12"/>
    <n v="11500"/>
    <s v=""/>
    <s v=""/>
    <n v="172500"/>
    <n v="172500"/>
    <n v="0.267328115942029"/>
    <n v="113.7366"/>
    <x v="0"/>
    <x v="23"/>
    <x v="82"/>
    <x v="82"/>
    <n v="126.34"/>
    <s v=""/>
  </r>
  <r>
    <x v="84"/>
    <x v="25"/>
    <x v="1"/>
    <x v="0"/>
    <x v="35"/>
    <x v="23"/>
    <x v="10"/>
    <x v="30"/>
    <m/>
    <x v="1"/>
    <n v="-665.66"/>
    <m/>
    <s v="ABT"/>
    <x v="0"/>
    <x v="0"/>
    <n v="-665.66"/>
    <n v="-539.3199999999999"/>
    <x v="2"/>
    <n v="11500"/>
    <s v=""/>
    <s v=""/>
    <n v="11500"/>
    <n v="184000"/>
    <n v="-1.069846739130435"/>
    <n v="120.3932"/>
    <x v="0"/>
    <x v="23"/>
    <x v="83"/>
    <x v="83"/>
    <n v="-665.66"/>
    <s v=""/>
  </r>
  <r>
    <x v="85"/>
    <x v="25"/>
    <x v="2"/>
    <x v="0"/>
    <x v="35"/>
    <x v="19"/>
    <x v="12"/>
    <x v="30"/>
    <m/>
    <x v="1"/>
    <n v="851.34"/>
    <m/>
    <s v="ABT"/>
    <x v="0"/>
    <x v="0"/>
    <n v="851.34"/>
    <n v="312.0200000000001"/>
    <x v="24"/>
    <n v="11500"/>
    <n v="11500"/>
    <n v="11500"/>
    <n v="839500"/>
    <n v="1023500"/>
    <n v="0.1112723986321446"/>
    <n v="111.8798"/>
    <x v="2"/>
    <x v="24"/>
    <x v="64"/>
    <x v="64"/>
    <s v=""/>
    <n v="851.34"/>
  </r>
  <r>
    <x v="86"/>
    <x v="26"/>
    <x v="0"/>
    <x v="0"/>
    <x v="36"/>
    <x v="24"/>
    <x v="8"/>
    <x v="31"/>
    <m/>
    <x v="3"/>
    <n v="153.34"/>
    <m/>
    <s v="CCL"/>
    <x v="0"/>
    <x v="0"/>
    <n v="153.34"/>
    <n v="153.34"/>
    <x v="10"/>
    <n v="27500"/>
    <s v=""/>
    <s v=""/>
    <n v="110000"/>
    <n v="110000"/>
    <n v="0.50881"/>
    <n v="27.34666"/>
    <x v="0"/>
    <x v="25"/>
    <x v="84"/>
    <x v="84"/>
    <n v="153.34"/>
    <s v=""/>
  </r>
  <r>
    <x v="87"/>
    <x v="27"/>
    <x v="0"/>
    <x v="0"/>
    <x v="37"/>
    <x v="25"/>
    <x v="10"/>
    <x v="7"/>
    <m/>
    <x v="0"/>
    <n v="190.67"/>
    <m/>
    <s v="VIAC"/>
    <x v="0"/>
    <x v="0"/>
    <n v="190.67"/>
    <n v="190.67"/>
    <x v="1"/>
    <n v="8000"/>
    <s v=""/>
    <s v=""/>
    <n v="176000"/>
    <n v="176000"/>
    <n v="0.3954235795454545"/>
    <n v="39.04665"/>
    <x v="0"/>
    <x v="26"/>
    <x v="85"/>
    <x v="85"/>
    <n v="190.67"/>
    <s v=""/>
  </r>
  <r>
    <x v="88"/>
    <x v="27"/>
    <x v="1"/>
    <x v="0"/>
    <x v="38"/>
    <x v="26"/>
    <x v="10"/>
    <x v="7"/>
    <m/>
    <x v="2"/>
    <n v="-150.66"/>
    <m/>
    <s v="VIAC"/>
    <x v="0"/>
    <x v="0"/>
    <n v="-150.66"/>
    <n v="40.00999999999999"/>
    <x v="2"/>
    <n v="16000"/>
    <s v=""/>
    <s v=""/>
    <n v="16000"/>
    <n v="192000"/>
    <n v="0.07606067708333331"/>
    <n v="39.899975"/>
    <x v="0"/>
    <x v="27"/>
    <x v="53"/>
    <x v="53"/>
    <n v="-150.66"/>
    <s v=""/>
  </r>
  <r>
    <x v="89"/>
    <x v="27"/>
    <x v="2"/>
    <x v="0"/>
    <x v="38"/>
    <x v="27"/>
    <x v="13"/>
    <x v="32"/>
    <m/>
    <x v="2"/>
    <n v="301.33"/>
    <m/>
    <s v="VIAC"/>
    <x v="0"/>
    <x v="0"/>
    <n v="301.33"/>
    <n v="341.34"/>
    <x v="8"/>
    <n v="15800"/>
    <s v=""/>
    <s v=""/>
    <n v="79000"/>
    <n v="271000"/>
    <n v="0.4597383763837638"/>
    <n v="38.64665"/>
    <x v="0"/>
    <x v="28"/>
    <x v="86"/>
    <x v="86"/>
    <n v="301.33"/>
    <s v=""/>
  </r>
  <r>
    <x v="90"/>
    <x v="27"/>
    <x v="3"/>
    <x v="0"/>
    <x v="39"/>
    <x v="27"/>
    <x v="13"/>
    <x v="32"/>
    <m/>
    <x v="2"/>
    <n v="-26.66"/>
    <m/>
    <s v="VIAC"/>
    <x v="0"/>
    <x v="0"/>
    <n v="-26.66"/>
    <n v="314.6799999999999"/>
    <x v="2"/>
    <n v="15800"/>
    <s v=""/>
    <s v=""/>
    <n v="15800"/>
    <n v="286800"/>
    <n v="0.4004818688981868"/>
    <n v="38.7133"/>
    <x v="0"/>
    <x v="28"/>
    <x v="87"/>
    <x v="87"/>
    <n v="-26.66"/>
    <s v=""/>
  </r>
  <r>
    <x v="91"/>
    <x v="28"/>
    <x v="0"/>
    <x v="0"/>
    <x v="37"/>
    <x v="26"/>
    <x v="11"/>
    <x v="33"/>
    <m/>
    <x v="2"/>
    <n v="133.33"/>
    <m/>
    <s v="WBA"/>
    <x v="0"/>
    <x v="0"/>
    <n v="133.33"/>
    <n v="133.33"/>
    <x v="17"/>
    <n v="20800"/>
    <s v=""/>
    <s v=""/>
    <n v="166400"/>
    <n v="166400"/>
    <n v="0.2924606370192308"/>
    <n v="51.666675"/>
    <x v="0"/>
    <x v="27"/>
    <x v="88"/>
    <x v="88"/>
    <n v="133.33"/>
    <s v=""/>
  </r>
  <r>
    <x v="92"/>
    <x v="29"/>
    <x v="0"/>
    <x v="0"/>
    <x v="37"/>
    <x v="26"/>
    <x v="11"/>
    <x v="34"/>
    <m/>
    <x v="0"/>
    <n v="192.67"/>
    <m/>
    <s v="DLTR"/>
    <x v="0"/>
    <x v="0"/>
    <n v="192.67"/>
    <n v="192.67"/>
    <x v="17"/>
    <n v="20000"/>
    <s v=""/>
    <s v=""/>
    <n v="160000"/>
    <n v="160000"/>
    <n v="0.4395284374999999"/>
    <n v="99.03664999999999"/>
    <x v="0"/>
    <x v="27"/>
    <x v="55"/>
    <x v="55"/>
    <n v="192.67"/>
    <s v=""/>
  </r>
  <r>
    <x v="93"/>
    <x v="30"/>
    <x v="0"/>
    <x v="0"/>
    <x v="4"/>
    <x v="17"/>
    <x v="10"/>
    <x v="19"/>
    <m/>
    <x v="5"/>
    <n v="853"/>
    <m/>
    <s v="BIG"/>
    <x v="0"/>
    <x v="0"/>
    <n v="853"/>
    <n v="853"/>
    <x v="17"/>
    <n v="18750"/>
    <s v=""/>
    <s v=""/>
    <n v="150000"/>
    <n v="150000"/>
    <n v="2.075633333333333"/>
    <n v="59.65666666666667"/>
    <x v="0"/>
    <x v="17"/>
    <x v="89"/>
    <x v="89"/>
    <n v="853"/>
    <s v=""/>
  </r>
  <r>
    <x v="94"/>
    <x v="30"/>
    <x v="1"/>
    <x v="0"/>
    <x v="40"/>
    <x v="17"/>
    <x v="10"/>
    <x v="19"/>
    <m/>
    <x v="0"/>
    <n v="358.67"/>
    <m/>
    <s v="BIG"/>
    <x v="0"/>
    <x v="0"/>
    <n v="358.67"/>
    <n v="1211.67"/>
    <x v="25"/>
    <n v="12500"/>
    <s v=""/>
    <s v=""/>
    <n v="75000"/>
    <n v="225000"/>
    <n v="1.965598"/>
    <n v="56.44165"/>
    <x v="0"/>
    <x v="17"/>
    <x v="90"/>
    <x v="90"/>
    <n v="358.67"/>
    <s v=""/>
  </r>
  <r>
    <x v="95"/>
    <x v="30"/>
    <x v="2"/>
    <x v="0"/>
    <x v="41"/>
    <x v="17"/>
    <x v="10"/>
    <x v="19"/>
    <m/>
    <x v="0"/>
    <n v="104.34"/>
    <m/>
    <s v="BIG"/>
    <x v="0"/>
    <x v="0"/>
    <n v="104.34"/>
    <n v="1316.01"/>
    <x v="7"/>
    <n v="12500"/>
    <s v=""/>
    <s v=""/>
    <n v="25000"/>
    <n v="250000"/>
    <n v="1.9213746"/>
    <n v="55.91995"/>
    <x v="0"/>
    <x v="17"/>
    <x v="91"/>
    <x v="91"/>
    <n v="104.34"/>
    <s v=""/>
  </r>
  <r>
    <x v="96"/>
    <x v="30"/>
    <x v="3"/>
    <x v="0"/>
    <x v="27"/>
    <x v="17"/>
    <x v="10"/>
    <x v="19"/>
    <m/>
    <x v="7"/>
    <n v="-144.65"/>
    <m/>
    <s v="BIG"/>
    <x v="0"/>
    <x v="0"/>
    <n v="-144.65"/>
    <n v="1171.36"/>
    <x v="2"/>
    <n v="43750"/>
    <s v=""/>
    <s v=""/>
    <n v="43750"/>
    <n v="293750"/>
    <n v="1.455477106382979"/>
    <n v="60.82662857142857"/>
    <x v="0"/>
    <x v="17"/>
    <x v="92"/>
    <x v="92"/>
    <n v="-144.65"/>
    <s v=""/>
  </r>
  <r>
    <x v="97"/>
    <x v="31"/>
    <x v="0"/>
    <x v="0"/>
    <x v="4"/>
    <x v="18"/>
    <x v="10"/>
    <x v="35"/>
    <m/>
    <x v="5"/>
    <n v="280"/>
    <m/>
    <s v="TJX"/>
    <x v="0"/>
    <x v="0"/>
    <n v="280"/>
    <n v="280"/>
    <x v="13"/>
    <n v="19800"/>
    <s v=""/>
    <s v=""/>
    <n v="277200"/>
    <n v="277200"/>
    <n v="0.3686868686868687"/>
    <n v="65.06666666666666"/>
    <x v="0"/>
    <x v="18"/>
    <x v="93"/>
    <x v="93"/>
    <n v="280"/>
    <s v=""/>
  </r>
  <r>
    <x v="98"/>
    <x v="31"/>
    <x v="1"/>
    <x v="0"/>
    <x v="29"/>
    <x v="28"/>
    <x v="14"/>
    <x v="36"/>
    <m/>
    <x v="5"/>
    <n v="388"/>
    <m/>
    <s v="TJX"/>
    <x v="0"/>
    <x v="0"/>
    <n v="388"/>
    <n v="668"/>
    <x v="25"/>
    <n v="19650"/>
    <s v=""/>
    <s v=""/>
    <n v="117900"/>
    <n v="395100"/>
    <n v="0.6171095925082257"/>
    <n v="63.27333333333333"/>
    <x v="0"/>
    <x v="29"/>
    <x v="94"/>
    <x v="94"/>
    <n v="388"/>
    <s v=""/>
  </r>
  <r>
    <x v="99"/>
    <x v="31"/>
    <x v="2"/>
    <x v="0"/>
    <x v="29"/>
    <x v="18"/>
    <x v="10"/>
    <x v="35"/>
    <m/>
    <x v="5"/>
    <n v="-304.99"/>
    <m/>
    <s v="TJX"/>
    <x v="0"/>
    <x v="0"/>
    <n v="-304.99"/>
    <n v="458.02"/>
    <x v="2"/>
    <n v="19800"/>
    <s v=""/>
    <s v=""/>
    <n v="19800"/>
    <n v="454050"/>
    <n v="0.3681913886135888"/>
    <n v="64.47326666666666"/>
    <x v="0"/>
    <x v="18"/>
    <x v="95"/>
    <x v="95"/>
    <n v="-304.99"/>
    <s v=""/>
  </r>
  <r>
    <x v="100"/>
    <x v="31"/>
    <x v="2"/>
    <x v="0"/>
    <x v="42"/>
    <x v="28"/>
    <x v="14"/>
    <x v="36"/>
    <m/>
    <x v="5"/>
    <n v="-412.99"/>
    <m/>
    <s v="TJX"/>
    <x v="0"/>
    <x v="0"/>
    <n v="-412.99"/>
    <n v="458.02"/>
    <x v="2"/>
    <n v="19650"/>
    <s v=""/>
    <s v=""/>
    <n v="19650"/>
    <n v="454050"/>
    <n v="0.3681913886135888"/>
    <n v="63.97326666666667"/>
    <x v="0"/>
    <x v="29"/>
    <x v="96"/>
    <x v="96"/>
    <n v="-412.99"/>
    <s v=""/>
  </r>
  <r>
    <x v="101"/>
    <x v="31"/>
    <x v="2"/>
    <x v="0"/>
    <x v="42"/>
    <x v="25"/>
    <x v="15"/>
    <x v="1"/>
    <m/>
    <x v="5"/>
    <n v="508"/>
    <m/>
    <s v="TJX"/>
    <x v="0"/>
    <x v="0"/>
    <n v="508"/>
    <n v="458.02"/>
    <x v="2"/>
    <n v="19500"/>
    <s v=""/>
    <s v=""/>
    <n v="19500"/>
    <n v="454050"/>
    <n v="0.3681913886135888"/>
    <n v="63.47326666666667"/>
    <x v="0"/>
    <x v="26"/>
    <x v="97"/>
    <x v="97"/>
    <n v="508"/>
    <s v=""/>
  </r>
  <r>
    <x v="102"/>
    <x v="32"/>
    <x v="0"/>
    <x v="0"/>
    <x v="41"/>
    <x v="25"/>
    <x v="13"/>
    <x v="37"/>
    <m/>
    <x v="8"/>
    <n v="156.67"/>
    <m/>
    <s v="HPQ"/>
    <x v="0"/>
    <x v="0"/>
    <n v="156.67"/>
    <n v="156.67"/>
    <x v="26"/>
    <n v="14750"/>
    <s v=""/>
    <s v=""/>
    <n v="162250"/>
    <n v="162250"/>
    <n v="0.3524471494607088"/>
    <n v="29.18666"/>
    <x v="0"/>
    <x v="26"/>
    <x v="98"/>
    <x v="98"/>
    <n v="156.67"/>
    <s v=""/>
  </r>
  <r>
    <x v="103"/>
    <x v="32"/>
    <x v="1"/>
    <x v="0"/>
    <x v="38"/>
    <x v="25"/>
    <x v="14"/>
    <x v="37"/>
    <m/>
    <x v="8"/>
    <n v="551.67"/>
    <m/>
    <s v="HPQ"/>
    <x v="0"/>
    <x v="0"/>
    <n v="551.67"/>
    <n v="708.3399999999999"/>
    <x v="2"/>
    <n v="14750"/>
    <s v=""/>
    <s v=""/>
    <n v="14750"/>
    <n v="177000"/>
    <n v="1.460701129943503"/>
    <n v="28.08332"/>
    <x v="0"/>
    <x v="26"/>
    <x v="99"/>
    <x v="99"/>
    <n v="551.67"/>
    <s v=""/>
  </r>
  <r>
    <x v="104"/>
    <x v="32"/>
    <x v="2"/>
    <x v="0"/>
    <x v="38"/>
    <x v="25"/>
    <x v="13"/>
    <x v="37"/>
    <m/>
    <x v="8"/>
    <n v="-518.3200000000001"/>
    <m/>
    <s v="HPQ"/>
    <x v="0"/>
    <x v="0"/>
    <n v="-518.3200000000001"/>
    <n v="190.0199999999999"/>
    <x v="2"/>
    <n v="14750"/>
    <s v=""/>
    <s v=""/>
    <n v="14750"/>
    <n v="191750"/>
    <n v="0.3617069100391131"/>
    <n v="29.11996"/>
    <x v="0"/>
    <x v="26"/>
    <x v="100"/>
    <x v="100"/>
    <n v="-518.3200000000001"/>
    <s v=""/>
  </r>
  <r>
    <x v="105"/>
    <x v="33"/>
    <x v="0"/>
    <x v="0"/>
    <x v="27"/>
    <x v="19"/>
    <x v="2"/>
    <x v="38"/>
    <m/>
    <x v="3"/>
    <n v="443.34"/>
    <m/>
    <s v="FF"/>
    <x v="0"/>
    <x v="0"/>
    <n v="443.34"/>
    <n v="443.34"/>
    <x v="27"/>
    <n v="10000"/>
    <n v="10000"/>
    <n v="10000"/>
    <n v="370000"/>
    <n v="370000"/>
    <n v="0.4373489189189189"/>
    <n v="9.556660000000001"/>
    <x v="3"/>
    <x v="19"/>
    <x v="64"/>
    <x v="64"/>
    <s v=""/>
    <n v="443.34"/>
  </r>
  <r>
    <x v="106"/>
    <x v="34"/>
    <x v="0"/>
    <x v="0"/>
    <x v="27"/>
    <x v="19"/>
    <x v="14"/>
    <x v="39"/>
    <m/>
    <x v="2"/>
    <n v="277.33"/>
    <m/>
    <s v="BSX"/>
    <x v="0"/>
    <x v="0"/>
    <n v="277.33"/>
    <n v="277.33"/>
    <x v="28"/>
    <n v="16600"/>
    <n v="16600"/>
    <n v="16600"/>
    <n v="381800"/>
    <n v="381800"/>
    <n v="0.2651268988999476"/>
    <n v="40.806675"/>
    <x v="1"/>
    <x v="30"/>
    <x v="64"/>
    <x v="64"/>
    <s v=""/>
    <n v="277.33"/>
  </r>
  <r>
    <x v="107"/>
    <x v="35"/>
    <x v="0"/>
    <x v="0"/>
    <x v="27"/>
    <x v="19"/>
    <x v="2"/>
    <x v="0"/>
    <m/>
    <x v="1"/>
    <n v="194.34"/>
    <m/>
    <s v="BLL"/>
    <x v="0"/>
    <x v="0"/>
    <n v="194.34"/>
    <n v="194.34"/>
    <x v="27"/>
    <n v="8000"/>
    <n v="8000"/>
    <n v="8000"/>
    <n v="296000"/>
    <n v="296000"/>
    <n v="0.2396422297297298"/>
    <n v="78.0566"/>
    <x v="2"/>
    <x v="19"/>
    <x v="64"/>
    <x v="64"/>
    <s v=""/>
    <n v="194.34"/>
  </r>
  <r>
    <x v="108"/>
    <x v="36"/>
    <x v="0"/>
    <x v="0"/>
    <x v="27"/>
    <x v="19"/>
    <x v="13"/>
    <x v="40"/>
    <m/>
    <x v="5"/>
    <n v="307"/>
    <m/>
    <s v="MU"/>
    <x v="0"/>
    <x v="0"/>
    <n v="307"/>
    <n v="307"/>
    <x v="9"/>
    <n v="22800"/>
    <n v="22800"/>
    <n v="22800"/>
    <n v="364800"/>
    <n v="364800"/>
    <n v="0.3071683114035088"/>
    <n v="74.97666666666667"/>
    <x v="4"/>
    <x v="31"/>
    <x v="101"/>
    <x v="101"/>
    <e v="#VALUE!"/>
    <s v=""/>
  </r>
  <r>
    <x v="109"/>
    <x v="37"/>
    <x v="0"/>
    <x v="0"/>
    <x v="43"/>
    <x v="19"/>
    <x v="2"/>
    <x v="41"/>
    <m/>
    <x v="0"/>
    <n v="428.67"/>
    <m/>
    <s v="SAVE"/>
    <x v="0"/>
    <x v="0"/>
    <n v="428.67"/>
    <n v="428.67"/>
    <x v="29"/>
    <n v="7000"/>
    <n v="7000"/>
    <n v="7000"/>
    <n v="252000"/>
    <n v="252000"/>
    <n v="0.6208910714285715"/>
    <n v="32.85665"/>
    <x v="5"/>
    <x v="19"/>
    <x v="64"/>
    <x v="64"/>
    <s v=""/>
    <n v="428.67"/>
  </r>
  <r>
    <x v="110"/>
    <x v="37"/>
    <x v="1"/>
    <x v="0"/>
    <x v="39"/>
    <x v="19"/>
    <x v="2"/>
    <x v="41"/>
    <m/>
    <x v="0"/>
    <n v="526.67"/>
    <m/>
    <s v="SAVE"/>
    <x v="0"/>
    <x v="0"/>
    <n v="526.67"/>
    <n v="955.3399999999999"/>
    <x v="28"/>
    <n v="7000"/>
    <n v="7000"/>
    <n v="7000"/>
    <n v="161000"/>
    <n v="413000"/>
    <n v="0.8443077481840193"/>
    <n v="30.2233"/>
    <x v="5"/>
    <x v="19"/>
    <x v="64"/>
    <x v="64"/>
    <s v=""/>
    <n v="526.67"/>
  </r>
  <r>
    <x v="111"/>
    <x v="38"/>
    <x v="0"/>
    <x v="0"/>
    <x v="34"/>
    <x v="19"/>
    <x v="16"/>
    <x v="42"/>
    <m/>
    <x v="1"/>
    <n v="187.34"/>
    <m/>
    <s v="CHWY"/>
    <x v="0"/>
    <x v="0"/>
    <n v="187.34"/>
    <n v="187.34"/>
    <x v="15"/>
    <n v="7150"/>
    <n v="7150"/>
    <n v="7150"/>
    <n v="200200"/>
    <n v="200200"/>
    <n v="0.3415539460539461"/>
    <n v="69.6266"/>
    <x v="2"/>
    <x v="32"/>
    <x v="64"/>
    <x v="64"/>
    <s v=""/>
    <n v="187.34"/>
  </r>
  <r>
    <x v="112"/>
    <x v="39"/>
    <x v="0"/>
    <x v="0"/>
    <x v="34"/>
    <x v="19"/>
    <x v="14"/>
    <x v="43"/>
    <m/>
    <x v="2"/>
    <n v="461.33"/>
    <m/>
    <s v="DAL"/>
    <x v="0"/>
    <x v="0"/>
    <n v="461.33"/>
    <n v="461.33"/>
    <x v="30"/>
    <n v="18400"/>
    <n v="18400"/>
    <n v="18400"/>
    <n v="386400"/>
    <n v="386400"/>
    <n v="0.4357801501035196"/>
    <n v="44.846675"/>
    <x v="1"/>
    <x v="30"/>
    <x v="102"/>
    <x v="101"/>
    <e v="#VALUE!"/>
    <s v=""/>
  </r>
  <r>
    <x v="113"/>
    <x v="40"/>
    <x v="0"/>
    <x v="0"/>
    <x v="44"/>
    <x v="19"/>
    <x v="2"/>
    <x v="44"/>
    <m/>
    <x v="5"/>
    <n v="199"/>
    <m/>
    <s v="SBH"/>
    <x v="0"/>
    <x v="0"/>
    <n v="199"/>
    <n v="199"/>
    <x v="31"/>
    <n v="6000"/>
    <n v="6000"/>
    <n v="6000"/>
    <n v="192000"/>
    <n v="192000"/>
    <n v="0.3783072916666667"/>
    <n v="19.33666666666667"/>
    <x v="4"/>
    <x v="19"/>
    <x v="64"/>
    <x v="64"/>
    <s v=""/>
    <n v="199"/>
  </r>
  <r>
    <x v="114"/>
    <x v="41"/>
    <x v="0"/>
    <x v="0"/>
    <x v="45"/>
    <x v="19"/>
    <x v="14"/>
    <x v="45"/>
    <m/>
    <x v="2"/>
    <n v="437.33"/>
    <m/>
    <s v="BBBY"/>
    <x v="0"/>
    <x v="0"/>
    <n v="437.33"/>
    <n v="437.33"/>
    <x v="9"/>
    <n v="10600"/>
    <n v="10600"/>
    <n v="10600"/>
    <n v="169600"/>
    <n v="169600"/>
    <n v="0.9411877948113206"/>
    <n v="25.406675"/>
    <x v="1"/>
    <x v="30"/>
    <x v="64"/>
    <x v="64"/>
    <s v=""/>
    <n v="437.33"/>
  </r>
  <r>
    <x v="115"/>
    <x v="42"/>
    <x v="0"/>
    <x v="0"/>
    <x v="39"/>
    <x v="19"/>
    <x v="2"/>
    <x v="41"/>
    <m/>
    <x v="0"/>
    <n v="126.67"/>
    <m/>
    <s v="CWH"/>
    <x v="0"/>
    <x v="0"/>
    <n v="126.67"/>
    <n v="126.67"/>
    <x v="28"/>
    <n v="7000"/>
    <n v="7000"/>
    <n v="7000"/>
    <n v="161000"/>
    <n v="161000"/>
    <n v="0.2871711180124224"/>
    <n v="34.36665"/>
    <x v="5"/>
    <x v="19"/>
    <x v="64"/>
    <x v="64"/>
    <s v=""/>
    <n v="126.67"/>
  </r>
  <r>
    <x v="116"/>
    <x v="42"/>
    <x v="1"/>
    <x v="0"/>
    <x v="39"/>
    <x v="19"/>
    <x v="2"/>
    <x v="41"/>
    <m/>
    <x v="8"/>
    <n v="251.67"/>
    <m/>
    <s v="CWH"/>
    <x v="0"/>
    <x v="0"/>
    <n v="251.67"/>
    <n v="378.34"/>
    <x v="28"/>
    <n v="17500"/>
    <n v="17500"/>
    <n v="17500"/>
    <n v="402500"/>
    <n v="563500"/>
    <n v="0.2450649511978704"/>
    <n v="34.24332"/>
    <x v="6"/>
    <x v="19"/>
    <x v="64"/>
    <x v="64"/>
    <s v=""/>
    <n v="251.67"/>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9.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9.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9.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9.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55:N45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4"/>
      <x v="0"/>
      <x v="10"/>
      <x v="77"/>
      <x v="2"/>
      <x v="259"/>
      <x v="197"/>
      <x v="93"/>
      <x v="13"/>
    </i>
    <i i="0" r="0" t="grand">
      <x v="0"/>
    </i>
  </rowItems>
  <colFields count="1">
    <field x="-2"/>
  </colFields>
  <colItems count="5">
    <i i="0" r="0" t="data">
      <x v="0"/>
    </i>
    <i i="1" r="0" t="data">
      <x v="1"/>
    </i>
    <i i="2" r="0" t="data">
      <x v="2"/>
    </i>
    <i i="3" r="0" t="data">
      <x v="3"/>
    </i>
    <i i="4" r="0" t="data">
      <x v="4"/>
    </i>
  </colItems>
  <pageFields count="1">
    <pageField fld="1" hier="-1" item="6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43">
      <pivotArea dataOnly="1" fieldPosition="0" outline="0" type="normal">
        <references count="1">
          <reference field="4294967294" selected="0">
            <x v="0"/>
          </reference>
        </references>
      </pivotArea>
    </format>
    <format action="formatting" dxfId="144">
      <pivotArea dataOnly="0" fieldPosition="0" labelOnly="1" outline="0" type="normal">
        <references count="1">
          <reference field="4294967294">
            <x v="0"/>
          </reference>
        </references>
      </pivotArea>
    </format>
    <format action="formatting" dxfId="145">
      <pivotArea axis="axisPage" dataOnly="0" field="1" fieldPosition="0" labelOnly="1" outline="0" type="button"/>
    </format>
    <format action="formatting" dxfId="14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89:N9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16"/>
      <x v="0"/>
      <x v="10"/>
      <x v="22"/>
      <x v="7"/>
      <x v="232"/>
      <x v="213"/>
      <x v="86"/>
      <x v="25"/>
    </i>
    <i i="0" r="0" t="data">
      <x v="141"/>
      <x v="1"/>
      <x v="10"/>
      <x v="22"/>
      <x v="7"/>
      <x v="243"/>
      <x v="213"/>
      <x v="86"/>
      <x v="61"/>
    </i>
    <i i="0" r="0" t="data">
      <x v="142"/>
      <x v="2"/>
      <x v="10"/>
      <x v="165"/>
      <x v="7"/>
      <x v="243"/>
      <x v="213"/>
      <x v="90"/>
      <x v="61"/>
    </i>
    <i i="0" r="0" t="data">
      <x v="143"/>
      <x v="3"/>
      <x v="10"/>
      <x v="165"/>
      <x v="7"/>
      <x v="243"/>
      <x v="213"/>
      <x v="90"/>
      <x v="61"/>
    </i>
    <i i="0" r="0" t="grand">
      <x v="0"/>
    </i>
  </rowItems>
  <colFields count="1">
    <field x="-2"/>
  </colFields>
  <colItems count="5">
    <i i="0" r="0" t="data">
      <x v="0"/>
    </i>
    <i i="1" r="0" t="data">
      <x v="1"/>
    </i>
    <i i="2" r="0" t="data">
      <x v="2"/>
    </i>
    <i i="3" r="0" t="data">
      <x v="3"/>
    </i>
    <i i="4" r="0" t="data">
      <x v="4"/>
    </i>
  </colItems>
  <pageFields count="1">
    <pageField fld="1" hier="-1" item="3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31">
      <pivotArea dataOnly="1" fieldPosition="0" outline="0" type="normal">
        <references count="1">
          <reference field="4294967294" selected="0">
            <x v="0"/>
          </reference>
        </references>
      </pivotArea>
    </format>
    <format action="formatting" dxfId="132">
      <pivotArea dataOnly="0" fieldPosition="0" labelOnly="1" outline="0" type="normal">
        <references count="1">
          <reference field="4294967294">
            <x v="0"/>
          </reference>
        </references>
      </pivotArea>
    </format>
    <format action="formatting" dxfId="133">
      <pivotArea axis="axisPage" dataOnly="0" field="1" fieldPosition="0" labelOnly="1" outline="0" type="button"/>
    </format>
    <format action="formatting" dxfId="13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2:N2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01"/>
      <x v="0"/>
      <x v="10"/>
      <x v="41"/>
      <x v="1"/>
      <x v="224"/>
      <x v="202"/>
      <x v="81"/>
      <x v="9"/>
    </i>
    <i i="0" r="0" t="data">
      <x v="102"/>
      <x v="1"/>
      <x v="10"/>
      <x v="41"/>
      <x v="1"/>
      <x v="225"/>
      <x v="202"/>
      <x v="81"/>
      <x v="61"/>
    </i>
    <i i="0" r="0" t="grand">
      <x v="0"/>
    </i>
  </rowItems>
  <colFields count="1">
    <field x="-2"/>
  </colFields>
  <colItems count="5">
    <i i="0" r="0" t="data">
      <x v="0"/>
    </i>
    <i i="1" r="0" t="data">
      <x v="1"/>
    </i>
    <i i="2" r="0" t="data">
      <x v="2"/>
    </i>
    <i i="3" r="0" t="data">
      <x v="3"/>
    </i>
    <i i="4" r="0" t="data">
      <x v="4"/>
    </i>
  </colItems>
  <pageFields count="1">
    <pageField fld="1" hier="-1" item="3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15">
      <pivotArea dataOnly="1" fieldPosition="0" outline="0" type="normal">
        <references count="1">
          <reference field="4294967294" selected="0">
            <x v="0"/>
          </reference>
        </references>
      </pivotArea>
    </format>
    <format action="formatting" dxfId="116">
      <pivotArea dataOnly="0" fieldPosition="0" labelOnly="1" outline="0" type="normal">
        <references count="1">
          <reference field="4294967294">
            <x v="0"/>
          </reference>
        </references>
      </pivotArea>
    </format>
    <format action="formatting" dxfId="117">
      <pivotArea axis="axisPage" dataOnly="0" field="1" fieldPosition="0" labelOnly="1" outline="0" type="button"/>
    </format>
    <format action="formatting" dxfId="11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57:N360"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80"/>
      <x v="0"/>
      <x v="10"/>
      <x v="141"/>
      <x v="1"/>
      <x v="254"/>
      <x v="224"/>
      <x v="91"/>
      <x v="5"/>
    </i>
    <i i="0" r="0" t="grand">
      <x v="0"/>
    </i>
  </rowItems>
  <colFields count="1">
    <field x="-2"/>
  </colFields>
  <colItems count="5">
    <i i="0" r="0" t="data">
      <x v="0"/>
    </i>
    <i i="1" r="0" t="data">
      <x v="1"/>
    </i>
    <i i="2" r="0" t="data">
      <x v="2"/>
    </i>
    <i i="3" r="0" t="data">
      <x v="3"/>
    </i>
    <i i="4" r="0" t="data">
      <x v="4"/>
    </i>
  </colItems>
  <pageFields count="1">
    <pageField fld="1" hier="-1" item="6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9">
      <pivotArea dataOnly="1" fieldPosition="0" outline="0" type="normal">
        <references count="1">
          <reference field="4294967294" selected="0">
            <x v="0"/>
          </reference>
        </references>
      </pivotArea>
    </format>
    <format action="formatting" dxfId="80">
      <pivotArea dataOnly="0" fieldPosition="0" labelOnly="1" outline="0" type="normal">
        <references count="1">
          <reference field="4294967294">
            <x v="0"/>
          </reference>
        </references>
      </pivotArea>
    </format>
    <format action="formatting" dxfId="81">
      <pivotArea axis="axisPage" dataOnly="0" field="1" fieldPosition="0" labelOnly="1" outline="0" type="button"/>
    </format>
    <format action="formatting" dxfId="8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63:N7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11">
    <i i="0" r="0" t="data">
      <x v="112"/>
      <x v="0"/>
      <x v="10"/>
      <x v="52"/>
      <x v="1"/>
      <x v="225"/>
      <x v="207"/>
      <x v="81"/>
      <x v="7"/>
    </i>
    <i i="0" r="0" t="data">
      <x v="113"/>
      <x v="1"/>
      <x v="10"/>
      <x v="52"/>
      <x v="1"/>
      <x v="231"/>
      <x v="207"/>
      <x v="81"/>
      <x v="61"/>
    </i>
    <i i="0" r="0" t="data">
      <x v="114"/>
      <x v="2"/>
      <x v="10"/>
      <x v="52"/>
      <x v="1"/>
      <x v="231"/>
      <x v="211"/>
      <x v="85"/>
      <x v="12"/>
    </i>
    <i i="0" r="0" t="data">
      <x v="131"/>
      <x v="3"/>
      <x v="10"/>
      <x v="52"/>
      <x v="1"/>
      <x v="238"/>
      <x v="211"/>
      <x v="85"/>
      <x v="61"/>
    </i>
    <i i="0" r="0" t="data">
      <x v="132"/>
      <x v="4"/>
      <x v="10"/>
      <x v="51"/>
      <x v="1"/>
      <x v="238"/>
      <x v="216"/>
      <x v="82"/>
      <x v="9"/>
    </i>
    <i i="0" r="0" t="data">
      <x v="150"/>
      <x v="5"/>
      <x v="10"/>
      <x v="51"/>
      <x v="0"/>
      <x v="246"/>
      <x v="216"/>
      <x v="82"/>
      <x v="61"/>
    </i>
    <i i="0" r="0" t="data">
      <x v="151"/>
      <x v="6"/>
      <x v="10"/>
      <x v="48"/>
      <x v="0"/>
      <x v="246"/>
      <x v="221"/>
      <x v="88"/>
      <x v="11"/>
    </i>
    <i i="0" r="0" t="data">
      <x v="152"/>
      <x v="7"/>
      <x v="10"/>
      <x v="51"/>
      <x v="0"/>
      <x v="246"/>
      <x v="216"/>
      <x v="82"/>
      <x v="61"/>
    </i>
    <i i="0" r="0" t="data">
      <x v="153"/>
      <x v="8"/>
      <x v="10"/>
      <x v="48"/>
      <x v="0"/>
      <x v="246"/>
      <x v="221"/>
      <x v="88"/>
      <x v="11"/>
    </i>
    <i i="0" r="0" t="data">
      <x v="173"/>
      <x v="9"/>
      <x v="10"/>
      <x v="48"/>
      <x v="1"/>
      <x v="253"/>
      <x v="221"/>
      <x v="88"/>
      <x v="61"/>
    </i>
    <i i="0" r="0" t="grand">
      <x v="0"/>
    </i>
  </rowItems>
  <colFields count="1">
    <field x="-2"/>
  </colFields>
  <colItems count="5">
    <i i="0" r="0" t="data">
      <x v="0"/>
    </i>
    <i i="1" r="0" t="data">
      <x v="1"/>
    </i>
    <i i="2" r="0" t="data">
      <x v="2"/>
    </i>
    <i i="3" r="0" t="data">
      <x v="3"/>
    </i>
    <i i="4" r="0" t="data">
      <x v="4"/>
    </i>
  </colItems>
  <pageFields count="1">
    <pageField fld="1" hier="-1" item="3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1">
      <pivotArea dataOnly="1" fieldPosition="0" outline="0" type="normal">
        <references count="1">
          <reference field="4294967294" selected="0">
            <x v="0"/>
          </reference>
        </references>
      </pivotArea>
    </format>
    <format action="formatting" dxfId="32">
      <pivotArea dataOnly="0" fieldPosition="0" labelOnly="1" outline="0" type="normal">
        <references count="1">
          <reference field="4294967294">
            <x v="0"/>
          </reference>
        </references>
      </pivotArea>
    </format>
    <format action="formatting" dxfId="33">
      <pivotArea axis="axisPage" dataOnly="0" field="1" fieldPosition="0" labelOnly="1" outline="0" type="button"/>
    </format>
    <format action="formatting" dxfId="3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527:N530"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205"/>
      <x v="0"/>
      <x v="10"/>
      <x v="172"/>
      <x v="3"/>
      <x v="264"/>
      <x v="197"/>
      <x v="95"/>
      <x v="13"/>
    </i>
    <i i="0" r="0" t="grand">
      <x v="0"/>
    </i>
  </rowItems>
  <colFields count="1">
    <field x="-2"/>
  </colFields>
  <colItems count="5">
    <i i="0" r="0" t="data">
      <x v="0"/>
    </i>
    <i i="1" r="0" t="data">
      <x v="1"/>
    </i>
    <i i="2" r="0" t="data">
      <x v="2"/>
    </i>
    <i i="3" r="0" t="data">
      <x v="3"/>
    </i>
    <i i="4" r="0" t="data">
      <x v="4"/>
    </i>
  </colItems>
  <pageFields count="1">
    <pageField fld="1" hier="-1" item="7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91">
      <pivotArea dataOnly="1" fieldPosition="0" outline="0" type="normal">
        <references count="1">
          <reference field="4294967294" selected="0">
            <x v="0"/>
          </reference>
        </references>
      </pivotArea>
    </format>
    <format action="formatting" dxfId="192">
      <pivotArea dataOnly="0" fieldPosition="0" labelOnly="1" outline="0" type="normal">
        <references count="1">
          <reference field="4294967294">
            <x v="0"/>
          </reference>
        </references>
      </pivotArea>
    </format>
    <format action="formatting" dxfId="193">
      <pivotArea axis="axisPage" dataOnly="0" field="1" fieldPosition="0" labelOnly="1" outline="0" type="button"/>
    </format>
    <format action="formatting" dxfId="19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35:N139"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20"/>
      <x v="0"/>
      <x v="10"/>
      <x v="45"/>
      <x v="2"/>
      <x v="233"/>
      <x v="210"/>
      <x v="82"/>
      <x v="5"/>
    </i>
    <i i="0" r="0" t="data">
      <x v="128"/>
      <x v="1"/>
      <x v="10"/>
      <x v="45"/>
      <x v="2"/>
      <x v="236"/>
      <x v="210"/>
      <x v="82"/>
      <x v="61"/>
    </i>
    <i i="0" r="0" t="grand">
      <x v="0"/>
    </i>
  </rowItems>
  <colFields count="1">
    <field x="-2"/>
  </colFields>
  <colItems count="5">
    <i i="0" r="0" t="data">
      <x v="0"/>
    </i>
    <i i="1" r="0" t="data">
      <x v="1"/>
    </i>
    <i i="2" r="0" t="data">
      <x v="2"/>
    </i>
    <i i="3" r="0" t="data">
      <x v="3"/>
    </i>
    <i i="4" r="0" t="data">
      <x v="4"/>
    </i>
  </colItems>
  <pageFields count="1">
    <pageField fld="1" hier="-1" item="4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71">
      <pivotArea dataOnly="1" fieldPosition="0" outline="0" type="normal">
        <references count="1">
          <reference field="4294967294" selected="0">
            <x v="0"/>
          </reference>
        </references>
      </pivotArea>
    </format>
    <format action="formatting" dxfId="172">
      <pivotArea dataOnly="0" fieldPosition="0" labelOnly="1" outline="0" type="normal">
        <references count="1">
          <reference field="4294967294">
            <x v="0"/>
          </reference>
        </references>
      </pivotArea>
    </format>
    <format action="formatting" dxfId="173">
      <pivotArea axis="axisPage" dataOnly="0" field="1" fieldPosition="0" labelOnly="1" outline="0" type="button"/>
    </format>
    <format action="formatting" dxfId="17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92:N198" rowPageCount="1"/>
  <pivotFields count="31">
    <pivotField axis="axisRow" compact="0" defaultSubtotal="0" dragOff="1" dragToCol="1" dragToData="1" dragToPage="1" dragToRow="1" itemPageCount="10" name="`"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ascending"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4"/>
        <item m="1" sd="1" t="data" x="15"/>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30"/>
      <x v="0"/>
      <x v="10"/>
      <x v="52"/>
      <x v="1"/>
      <x v="237"/>
      <x v="214"/>
      <x v="86"/>
      <x v="5"/>
    </i>
    <i i="0" r="0" t="data">
      <x v="138"/>
      <x v="2"/>
      <x v="10"/>
      <x v="49"/>
      <x v="1"/>
      <x v="241"/>
      <x v="226"/>
      <x v="88"/>
      <x v="29"/>
    </i>
    <i i="0" r="0" t="data">
      <x v="139"/>
      <x v="1"/>
      <x v="10"/>
      <x v="52"/>
      <x v="1"/>
      <x v="241"/>
      <x v="214"/>
      <x v="86"/>
      <x v="61"/>
    </i>
    <i i="0" r="0" t="data">
      <x v="189"/>
      <x v="3"/>
      <x v="10"/>
      <x v="49"/>
      <x v="1"/>
      <x v="259"/>
      <x v="226"/>
      <x v="88"/>
      <x v="61"/>
    </i>
    <i i="0" r="0" t="grand">
      <x v="0"/>
    </i>
  </rowItems>
  <colFields count="1">
    <field x="-2"/>
  </colFields>
  <colItems count="5">
    <i i="0" r="0" t="data">
      <x v="0"/>
    </i>
    <i i="1" r="0" t="data">
      <x v="1"/>
    </i>
    <i i="2" r="0" t="data">
      <x v="2"/>
    </i>
    <i i="3" r="0" t="data">
      <x v="3"/>
    </i>
    <i i="4" r="0" t="data">
      <x v="4"/>
    </i>
  </colItems>
  <pageFields count="1">
    <pageField fld="1" hier="-1" item="4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51">
      <pivotArea dataOnly="1" fieldPosition="0" outline="0" type="normal">
        <references count="1">
          <reference field="4294967294" selected="0">
            <x v="0"/>
          </reference>
        </references>
      </pivotArea>
    </format>
    <format action="formatting" dxfId="152">
      <pivotArea dataOnly="0" fieldPosition="0" labelOnly="1" outline="0" type="normal">
        <references count="1">
          <reference field="4294967294">
            <x v="0"/>
          </reference>
        </references>
      </pivotArea>
    </format>
    <format action="formatting" dxfId="153">
      <pivotArea axis="axisPage" dataOnly="0" field="1" fieldPosition="0" labelOnly="1" outline="0" type="button"/>
    </format>
    <format action="formatting" dxfId="15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81:N38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n=" "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6">
    <i i="0" r="0" t="data">
      <x v="183"/>
      <x v="0"/>
      <x v="10"/>
      <x v="169"/>
      <x v="2"/>
      <x v="255"/>
      <x v="228"/>
      <x v="89"/>
      <x v="11"/>
    </i>
    <i i="0" r="0" t="data">
      <x v="203"/>
      <x v="1"/>
      <x v="10"/>
      <x v="171"/>
      <x v="2"/>
      <x v="262"/>
      <x v="231"/>
      <x v="95"/>
      <x v="65"/>
    </i>
    <i i="0" r="0" t="data">
      <x v="204"/>
      <x v="2"/>
      <x v="10"/>
      <x v="169"/>
      <x v="2"/>
      <x v="262"/>
      <x v="228"/>
      <x v="89"/>
      <x v="61"/>
    </i>
    <i i="0" r="0" t="data">
      <x v="210"/>
      <x v="2"/>
      <x v="10"/>
      <x v="171"/>
      <x v="2"/>
      <x v="266"/>
      <x v="231"/>
      <x v="95"/>
      <x v="61"/>
    </i>
    <i i="0" r="0" t="data">
      <x v="211"/>
      <x v="2"/>
      <x v="10"/>
      <x v="75"/>
      <x v="2"/>
      <x v="266"/>
      <x v="229"/>
      <x v="97"/>
      <x v="61"/>
    </i>
    <i i="0" r="0" t="grand">
      <x v="0"/>
    </i>
  </rowItems>
  <colFields count="1">
    <field x="-2"/>
  </colFields>
  <colItems count="5">
    <i i="0" r="0" t="data">
      <x v="0"/>
    </i>
    <i i="1" r="0" t="data">
      <x v="1"/>
    </i>
    <i i="2" r="0" t="data">
      <x v="2"/>
    </i>
    <i i="3" r="0" t="data">
      <x v="3"/>
    </i>
    <i i="4" r="0" t="data">
      <x v="4"/>
    </i>
  </colItems>
  <pageFields count="1">
    <pageField fld="1" hier="-1" item="6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9">
      <pivotArea dataOnly="1" fieldPosition="0" outline="0" type="normal">
        <references count="1">
          <reference field="4294967294" selected="0">
            <x v="0"/>
          </reference>
        </references>
      </pivotArea>
    </format>
    <format action="formatting" dxfId="100">
      <pivotArea dataOnly="0" fieldPosition="0" labelOnly="1" outline="0" type="normal">
        <references count="1">
          <reference field="4294967294">
            <x v="0"/>
          </reference>
        </references>
      </pivotArea>
    </format>
    <format action="formatting" dxfId="101">
      <pivotArea axis="axisPage" dataOnly="0" field="1" fieldPosition="0" labelOnly="1" outline="0" type="button"/>
    </format>
    <format action="formatting" dxfId="10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41:N444"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3"/>
      <x v="0"/>
      <x v="10"/>
      <x v="78"/>
      <x v="0"/>
      <x v="259"/>
      <x v="197"/>
      <x v="92"/>
      <x v="32"/>
    </i>
    <i i="0" r="0" t="grand">
      <x v="0"/>
    </i>
  </rowItems>
  <colFields count="1">
    <field x="-2"/>
  </colFields>
  <colItems count="5">
    <i i="0" r="0" t="data">
      <x v="0"/>
    </i>
    <i i="1" r="0" t="data">
      <x v="1"/>
    </i>
    <i i="2" r="0" t="data">
      <x v="2"/>
    </i>
    <i i="3" r="0" t="data">
      <x v="3"/>
    </i>
    <i i="4" r="0" t="data">
      <x v="4"/>
    </i>
  </colItems>
  <pageFields count="1">
    <pageField fld="1" hier="-1" item="6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7">
      <pivotArea dataOnly="1" fieldPosition="0" outline="0" type="normal">
        <references count="1">
          <reference field="4294967294" selected="0">
            <x v="0"/>
          </reference>
        </references>
      </pivotArea>
    </format>
    <format action="formatting" dxfId="68">
      <pivotArea dataOnly="0" fieldPosition="0" labelOnly="1" outline="0" type="normal">
        <references count="1">
          <reference field="4294967294">
            <x v="0"/>
          </reference>
        </references>
      </pivotArea>
    </format>
    <format action="formatting" dxfId="69">
      <pivotArea axis="axisPage" dataOnly="0" field="1" fieldPosition="0" labelOnly="1" outline="0" type="button"/>
    </format>
    <format action="formatting" dxfId="7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98:N403"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86"/>
      <x v="0"/>
      <x v="10"/>
      <x v="31"/>
      <x v="4"/>
      <x v="257"/>
      <x v="229"/>
      <x v="93"/>
      <x v="8"/>
    </i>
    <i i="0" r="0" t="data">
      <x v="208"/>
      <x v="1"/>
      <x v="10"/>
      <x v="31"/>
      <x v="4"/>
      <x v="265"/>
      <x v="229"/>
      <x v="95"/>
      <x v="61"/>
    </i>
    <i i="0" r="0" t="data">
      <x v="209"/>
      <x v="2"/>
      <x v="10"/>
      <x v="31"/>
      <x v="4"/>
      <x v="265"/>
      <x v="229"/>
      <x v="93"/>
      <x v="61"/>
    </i>
    <i i="0" r="0" t="grand">
      <x v="0"/>
    </i>
  </rowItems>
  <colFields count="1">
    <field x="-2"/>
  </colFields>
  <colItems count="5">
    <i i="0" r="0" t="data">
      <x v="0"/>
    </i>
    <i i="1" r="0" t="data">
      <x v="1"/>
    </i>
    <i i="2" r="0" t="data">
      <x v="2"/>
    </i>
    <i i="3" r="0" t="data">
      <x v="3"/>
    </i>
    <i i="4" r="0" t="data">
      <x v="4"/>
    </i>
  </colItems>
  <pageFields count="1">
    <pageField fld="1" hier="-1" item="6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7">
      <pivotArea dataOnly="1" fieldPosition="0" outline="0" type="normal">
        <references count="1">
          <reference field="4294967294" selected="0">
            <x v="0"/>
          </reference>
        </references>
      </pivotArea>
    </format>
    <format action="formatting" dxfId="48">
      <pivotArea dataOnly="0" fieldPosition="0" labelOnly="1" outline="0" type="normal">
        <references count="1">
          <reference field="4294967294">
            <x v="0"/>
          </reference>
        </references>
      </pivotArea>
    </format>
    <format action="formatting" dxfId="49">
      <pivotArea axis="axisPage" dataOnly="0" field="1" fieldPosition="0" labelOnly="1" outline="0" type="button"/>
    </format>
    <format action="formatting" dxfId="5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98:N501"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9"/>
      <x v="0"/>
      <x v="10"/>
      <x v="53"/>
      <x v="3"/>
      <x v="261"/>
      <x v="197"/>
      <x v="95"/>
      <x v="18"/>
    </i>
    <i i="0" r="0" t="grand">
      <x v="0"/>
    </i>
  </rowItems>
  <colFields count="1">
    <field x="-2"/>
  </colFields>
  <colItems count="5">
    <i i="0" r="0" t="data">
      <x v="0"/>
    </i>
    <i i="1" r="0" t="data">
      <x v="1"/>
    </i>
    <i i="2" r="0" t="data">
      <x v="2"/>
    </i>
    <i i="3" r="0" t="data">
      <x v="3"/>
    </i>
    <i i="4" r="0" t="data">
      <x v="4"/>
    </i>
  </colItems>
  <pageFields count="1">
    <pageField fld="1" hier="-1" item="7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23">
      <pivotArea dataOnly="1" fieldPosition="0" outline="0" type="normal">
        <references count="1">
          <reference field="4294967294" selected="0">
            <x v="0"/>
          </reference>
        </references>
      </pivotArea>
    </format>
    <format action="formatting" dxfId="124">
      <pivotArea dataOnly="0" fieldPosition="0" labelOnly="1" outline="0" type="normal">
        <references count="1">
          <reference field="4294967294">
            <x v="0"/>
          </reference>
        </references>
      </pivotArea>
    </format>
    <format action="formatting" dxfId="125">
      <pivotArea axis="axisPage" dataOnly="0" field="1" fieldPosition="0" labelOnly="1" outline="0" type="button"/>
    </format>
    <format action="formatting" dxfId="12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1:N47"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06"/>
      <x v="0"/>
      <x v="10"/>
      <x v="48"/>
      <x v="1"/>
      <x v="228"/>
      <x v="205"/>
      <x v="83"/>
      <x v="62"/>
    </i>
    <i i="0" r="0" t="data">
      <x v="107"/>
      <x v="1"/>
      <x v="10"/>
      <x v="48"/>
      <x v="1"/>
      <x v="229"/>
      <x v="205"/>
      <x v="83"/>
      <x v="61"/>
    </i>
    <i i="0" r="0" t="data">
      <x v="108"/>
      <x v="2"/>
      <x v="10"/>
      <x v="45"/>
      <x v="1"/>
      <x v="229"/>
      <x v="208"/>
      <x v="84"/>
      <x v="13"/>
    </i>
    <i i="0" r="0" t="data">
      <x v="121"/>
      <x v="2"/>
      <x v="10"/>
      <x v="45"/>
      <x v="1"/>
      <x v="234"/>
      <x v="208"/>
      <x v="84"/>
      <x v="61"/>
    </i>
    <i i="0" r="0" t="grand">
      <x v="0"/>
    </i>
  </rowItems>
  <colFields count="1">
    <field x="-2"/>
  </colFields>
  <colItems count="5">
    <i i="0" r="0" t="data">
      <x v="0"/>
    </i>
    <i i="1" r="0" t="data">
      <x v="1"/>
    </i>
    <i i="2" r="0" t="data">
      <x v="2"/>
    </i>
    <i i="3" r="0" t="data">
      <x v="3"/>
    </i>
    <i i="4" r="0" t="data">
      <x v="4"/>
    </i>
  </colItems>
  <pageFields count="1">
    <pageField fld="1" hier="-1" item="3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5">
      <pivotArea dataOnly="1" fieldPosition="0" outline="0" type="normal">
        <references count="1">
          <reference field="4294967294" selected="0">
            <x v="0"/>
          </reference>
        </references>
      </pivotArea>
    </format>
    <format action="formatting" dxfId="36">
      <pivotArea dataOnly="0" fieldPosition="0" labelOnly="1" outline="0" type="normal">
        <references count="1">
          <reference field="4294967294">
            <x v="0"/>
          </reference>
        </references>
      </pivotArea>
    </format>
    <format action="formatting" dxfId="37">
      <pivotArea axis="axisPage" dataOnly="0" field="1" fieldPosition="0" labelOnly="1" outline="0" type="button"/>
    </format>
    <format action="formatting" dxfId="3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22:N22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40"/>
      <x v="0"/>
      <x v="10"/>
      <x v="82"/>
      <x v="1"/>
      <x v="241"/>
      <x v="215"/>
      <x v="89"/>
      <x v="3"/>
    </i>
    <i i="0" r="0" t="data">
      <x v="147"/>
      <x v="1"/>
      <x v="10"/>
      <x v="82"/>
      <x v="1"/>
      <x v="244"/>
      <x v="215"/>
      <x v="89"/>
      <x v="61"/>
    </i>
    <i i="0" r="0" t="grand">
      <x v="0"/>
    </i>
  </rowItems>
  <colFields count="1">
    <field x="-2"/>
  </colFields>
  <colItems count="5">
    <i i="0" r="0" t="data">
      <x v="0"/>
    </i>
    <i i="1" r="0" t="data">
      <x v="1"/>
    </i>
    <i i="2" r="0" t="data">
      <x v="2"/>
    </i>
    <i i="3" r="0" t="data">
      <x v="3"/>
    </i>
    <i i="4" r="0" t="data">
      <x v="4"/>
    </i>
  </colItems>
  <pageFields count="1">
    <pageField fld="1" hier="-1" item="4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75">
      <pivotArea dataOnly="1" fieldPosition="0" outline="0" type="normal">
        <references count="1">
          <reference field="4294967294" selected="0">
            <x v="0"/>
          </reference>
        </references>
      </pivotArea>
    </format>
    <format action="formatting" dxfId="176">
      <pivotArea dataOnly="0" fieldPosition="0" labelOnly="1" outline="0" type="normal">
        <references count="1">
          <reference field="4294967294">
            <x v="0"/>
          </reference>
        </references>
      </pivotArea>
    </format>
    <format action="formatting" dxfId="177">
      <pivotArea axis="axisPage" dataOnly="0" field="1" fieldPosition="0" labelOnly="1" outline="0" type="button"/>
    </format>
    <format action="formatting" dxfId="17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6:N17"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10">
    <i i="0" r="0" t="data">
      <x v="97"/>
      <x v="0"/>
      <x v="10"/>
      <x v="78"/>
      <x v="1"/>
      <x v="221"/>
      <x v="200"/>
      <x v="81"/>
      <x v="22"/>
    </i>
    <i i="0" r="0" t="data">
      <x v="98"/>
      <x v="1"/>
      <x v="10"/>
      <x v="75"/>
      <x v="1"/>
      <x v="222"/>
      <x v="200"/>
      <x v="81"/>
      <x v="19"/>
    </i>
    <i i="0" r="0" t="data">
      <x v="99"/>
      <x v="2"/>
      <x v="10"/>
      <x v="78"/>
      <x v="1"/>
      <x v="223"/>
      <x v="200"/>
      <x v="81"/>
      <x v="61"/>
    </i>
    <i i="0" r="0" t="data">
      <x v="100"/>
      <x v="3"/>
      <x v="10"/>
      <x v="161"/>
      <x v="1"/>
      <x v="223"/>
      <x v="219"/>
      <x v="82"/>
      <x v="28"/>
    </i>
    <i i="0" r="0" t="data">
      <x v="166"/>
      <x v="4"/>
      <x v="10"/>
      <x v="161"/>
      <x v="0"/>
      <x v="250"/>
      <x v="219"/>
      <x v="82"/>
      <x v="61"/>
    </i>
    <i i="0" r="1" t="data">
      <x v="5"/>
      <x v="10"/>
      <x v="161"/>
      <x v="0"/>
      <x v="250"/>
      <x v="219"/>
      <x v="82"/>
      <x v="61"/>
    </i>
    <i i="0" r="0" t="data">
      <x v="167"/>
      <x v="6"/>
      <x v="10"/>
      <x v="160"/>
      <x v="1"/>
      <x v="250"/>
      <x v="223"/>
      <x v="92"/>
      <x v="10"/>
    </i>
    <i i="0" r="1" t="data">
      <x v="7"/>
      <x v="10"/>
      <x v="160"/>
      <x v="1"/>
      <x v="250"/>
      <x v="223"/>
      <x v="92"/>
      <x v="10"/>
    </i>
    <i i="0" r="0" t="data">
      <x v="181"/>
      <x v="8"/>
      <x v="10"/>
      <x v="160"/>
      <x v="3"/>
      <x v="255"/>
      <x v="223"/>
      <x v="92"/>
      <x v="61"/>
    </i>
    <i i="0" r="0" t="grand">
      <x v="0"/>
    </i>
  </rowItems>
  <colFields count="1">
    <field x="-2"/>
  </colFields>
  <colItems count="5">
    <i i="0" r="0" t="data">
      <x v="0"/>
    </i>
    <i i="1" r="0" t="data">
      <x v="1"/>
    </i>
    <i i="2" r="0" t="data">
      <x v="2"/>
    </i>
    <i i="3" r="0" t="data">
      <x v="3"/>
    </i>
    <i i="4" r="0" t="data">
      <x v="4"/>
    </i>
  </colItems>
  <pageFields count="1">
    <pageField fld="1" hier="-1" item="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35">
      <pivotArea dataOnly="1" fieldPosition="0" outline="0" type="normal">
        <references count="1">
          <reference field="4294967294" selected="0">
            <x v="0"/>
          </reference>
        </references>
      </pivotArea>
    </format>
    <format action="formatting" dxfId="136">
      <pivotArea dataOnly="0" fieldPosition="0" labelOnly="1" outline="0" type="normal">
        <references count="1">
          <reference field="4294967294">
            <x v="0"/>
          </reference>
        </references>
      </pivotArea>
    </format>
    <format action="formatting" dxfId="137">
      <pivotArea axis="axisPage" dataOnly="0" field="1" fieldPosition="0" labelOnly="1" outline="0" type="button"/>
    </format>
    <format action="formatting" dxfId="13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08:N313"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71"/>
      <x v="0"/>
      <x v="10"/>
      <x v="90"/>
      <x v="0"/>
      <x v="251"/>
      <x v="225"/>
      <x v="89"/>
      <x v="12"/>
    </i>
    <i i="0" r="0" t="data">
      <x v="187"/>
      <x v="1"/>
      <x v="10"/>
      <x v="90"/>
      <x v="0"/>
      <x v="258"/>
      <x v="225"/>
      <x v="89"/>
      <x v="61"/>
    </i>
    <i i="0" r="0" t="data">
      <x v="188"/>
      <x v="2"/>
      <x v="10"/>
      <x v="90"/>
      <x v="0"/>
      <x v="258"/>
      <x v="197"/>
      <x v="94"/>
      <x v="60"/>
    </i>
    <i i="0" r="0" t="grand">
      <x v="0"/>
    </i>
  </rowItems>
  <colFields count="1">
    <field x="-2"/>
  </colFields>
  <colItems count="5">
    <i i="0" r="0" t="data">
      <x v="0"/>
    </i>
    <i i="1" r="0" t="data">
      <x v="1"/>
    </i>
    <i i="2" r="0" t="data">
      <x v="2"/>
    </i>
    <i i="3" r="0" t="data">
      <x v="3"/>
    </i>
    <i i="4" r="0" t="data">
      <x v="4"/>
    </i>
  </colItems>
  <pageFields count="1">
    <pageField fld="1" hier="-1" item="5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03">
      <pivotArea dataOnly="1" fieldPosition="0" outline="0" type="normal">
        <references count="1">
          <reference field="4294967294" selected="0">
            <x v="0"/>
          </reference>
        </references>
      </pivotArea>
    </format>
    <format action="formatting" dxfId="104">
      <pivotArea dataOnly="0" fieldPosition="0" labelOnly="1" outline="0" type="normal">
        <references count="1">
          <reference field="4294967294">
            <x v="0"/>
          </reference>
        </references>
      </pivotArea>
    </format>
    <format action="formatting" dxfId="105">
      <pivotArea axis="axisPage" dataOnly="0" field="1" fieldPosition="0" labelOnly="1" outline="0" type="button"/>
    </format>
    <format action="formatting" dxfId="10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512:N51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202"/>
      <x v="0"/>
      <x v="10"/>
      <x v="20"/>
      <x v="2"/>
      <x v="263"/>
      <x v="197"/>
      <x v="92"/>
      <x v="27"/>
    </i>
    <i i="0" r="0" t="grand">
      <x v="0"/>
    </i>
  </rowItems>
  <colFields count="1">
    <field x="-2"/>
  </colFields>
  <colItems count="5">
    <i i="0" r="0" t="data">
      <x v="0"/>
    </i>
    <i i="1" r="0" t="data">
      <x v="1"/>
    </i>
    <i i="2" r="0" t="data">
      <x v="2"/>
    </i>
    <i i="3" r="0" t="data">
      <x v="3"/>
    </i>
    <i i="4" r="0" t="data">
      <x v="4"/>
    </i>
  </colItems>
  <pageFields count="1">
    <pageField fld="1" hier="-1" item="7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3">
      <pivotArea dataOnly="1" fieldPosition="0" outline="0" type="normal">
        <references count="1">
          <reference field="4294967294" selected="0">
            <x v="0"/>
          </reference>
        </references>
      </pivotArea>
    </format>
    <format action="formatting" dxfId="84">
      <pivotArea dataOnly="0" fieldPosition="0" labelOnly="1" outline="0" type="normal">
        <references count="1">
          <reference field="4294967294">
            <x v="0"/>
          </reference>
        </references>
      </pivotArea>
    </format>
    <format action="formatting" dxfId="85">
      <pivotArea axis="axisPage" dataOnly="0" field="1" fieldPosition="0" labelOnly="1" outline="0" type="button"/>
    </format>
    <format action="formatting" dxfId="8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82:N287"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63"/>
      <x v="0"/>
      <x v="10"/>
      <x v="37"/>
      <x v="0"/>
      <x v="249"/>
      <x v="227"/>
      <x v="89"/>
      <x v="22"/>
    </i>
    <i i="0" r="0" t="data">
      <x v="164"/>
      <x v="1"/>
      <x v="10"/>
      <x v="37"/>
      <x v="1"/>
      <x v="249"/>
      <x v="227"/>
      <x v="89"/>
      <x v="22"/>
    </i>
    <i i="0" r="0" t="data">
      <x v="196"/>
      <x v="2"/>
      <x v="10"/>
      <x v="37"/>
      <x v="2"/>
      <x v="261"/>
      <x v="227"/>
      <x v="89"/>
      <x v="61"/>
    </i>
    <i i="0" r="0" t="grand">
      <x v="0"/>
    </i>
  </rowItems>
  <colFields count="1">
    <field x="-2"/>
  </colFields>
  <colItems count="5">
    <i i="0" r="0" t="data">
      <x v="0"/>
    </i>
    <i i="1" r="0" t="data">
      <x v="1"/>
    </i>
    <i i="2" r="0" t="data">
      <x v="2"/>
    </i>
    <i i="3" r="0" t="data">
      <x v="3"/>
    </i>
    <i i="4" r="0" t="data">
      <x v="4"/>
    </i>
  </colItems>
  <pageFields count="1">
    <pageField fld="1" hier="-1" item="5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1">
      <pivotArea dataOnly="1" fieldPosition="0" outline="0" type="normal">
        <references count="1">
          <reference field="4294967294" selected="0">
            <x v="0"/>
          </reference>
        </references>
      </pivotArea>
    </format>
    <format action="formatting" dxfId="52">
      <pivotArea dataOnly="0" fieldPosition="0" labelOnly="1" outline="0" type="normal">
        <references count="1">
          <reference field="4294967294">
            <x v="0"/>
          </reference>
        </references>
      </pivotArea>
    </format>
    <format action="formatting" dxfId="53">
      <pivotArea axis="axisPage" dataOnly="0" field="1" fieldPosition="0" labelOnly="1" outline="0" type="button"/>
    </format>
    <format action="formatting" dxfId="5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23:N127"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19"/>
      <x v="0"/>
      <x v="10"/>
      <x v="56"/>
      <x v="3"/>
      <x v="233"/>
      <x v="217"/>
      <x v="82"/>
      <x v="22"/>
    </i>
    <i i="0" r="0" t="data">
      <x v="154"/>
      <x v="1"/>
      <x v="10"/>
      <x v="56"/>
      <x v="3"/>
      <x v="247"/>
      <x v="217"/>
      <x v="82"/>
      <x v="61"/>
    </i>
    <i i="0" r="0" t="grand">
      <x v="0"/>
    </i>
  </rowItems>
  <colFields count="1">
    <field x="-2"/>
  </colFields>
  <colItems count="5">
    <i i="0" r="0" t="data">
      <x v="0"/>
    </i>
    <i i="1" r="0" t="data">
      <x v="1"/>
    </i>
    <i i="2" r="0" t="data">
      <x v="2"/>
    </i>
    <i i="3" r="0" t="data">
      <x v="3"/>
    </i>
    <i i="4" r="0" t="data">
      <x v="4"/>
    </i>
  </colItems>
  <pageFields count="1">
    <pageField fld="1" hier="-1" item="4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55">
      <pivotArea dataOnly="1" fieldPosition="0" outline="0" type="normal">
        <references count="1">
          <reference field="4294967294" selected="0">
            <x v="0"/>
          </reference>
        </references>
      </pivotArea>
    </format>
    <format action="formatting" dxfId="156">
      <pivotArea dataOnly="0" fieldPosition="0" labelOnly="1" outline="0" type="normal">
        <references count="1">
          <reference field="4294967294">
            <x v="0"/>
          </reference>
        </references>
      </pivotArea>
    </format>
    <format action="formatting" dxfId="157">
      <pivotArea axis="axisPage" dataOnly="0" field="1" fieldPosition="0" labelOnly="1" outline="0" type="button"/>
    </format>
    <format action="formatting" dxfId="15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96:N300"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65"/>
      <x v="0"/>
      <x v="10"/>
      <x v="167"/>
      <x v="1"/>
      <x v="249"/>
      <x v="227"/>
      <x v="88"/>
      <x v="22"/>
    </i>
    <i i="0" r="0" t="data">
      <x v="197"/>
      <x v="1"/>
      <x v="10"/>
      <x v="167"/>
      <x v="1"/>
      <x v="261"/>
      <x v="227"/>
      <x v="88"/>
      <x v="61"/>
    </i>
    <i i="0" r="0" t="grand">
      <x v="0"/>
    </i>
  </rowItems>
  <colFields count="1">
    <field x="-2"/>
  </colFields>
  <colItems count="5">
    <i i="0" r="0" t="data">
      <x v="0"/>
    </i>
    <i i="1" r="0" t="data">
      <x v="1"/>
    </i>
    <i i="2" r="0" t="data">
      <x v="2"/>
    </i>
    <i i="3" r="0" t="data">
      <x v="3"/>
    </i>
    <i i="4" r="0" t="data">
      <x v="4"/>
    </i>
  </colItems>
  <pageFields count="1">
    <pageField fld="1" hier="-1" item="5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19">
      <pivotArea dataOnly="1" fieldPosition="0" outline="0" type="normal">
        <references count="1">
          <reference field="4294967294" selected="0">
            <x v="0"/>
          </reference>
        </references>
      </pivotArea>
    </format>
    <format action="formatting" dxfId="120">
      <pivotArea dataOnly="0" fieldPosition="0" labelOnly="1" outline="0" type="normal">
        <references count="1">
          <reference field="4294967294">
            <x v="0"/>
          </reference>
        </references>
      </pivotArea>
    </format>
    <format action="formatting" dxfId="121">
      <pivotArea axis="axisPage" dataOnly="0" field="1" fieldPosition="0" labelOnly="1" outline="0" type="button"/>
    </format>
    <format action="formatting" dxfId="12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70:N27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62"/>
      <x v="0"/>
      <x v="10"/>
      <x v="146"/>
      <x v="1"/>
      <x v="249"/>
      <x v="221"/>
      <x v="89"/>
      <x v="6"/>
    </i>
    <i i="0" r="0" t="data">
      <x v="177"/>
      <x v="1"/>
      <x v="10"/>
      <x v="146"/>
      <x v="0"/>
      <x v="253"/>
      <x v="221"/>
      <x v="89"/>
      <x v="61"/>
    </i>
    <i i="0" r="1" t="data">
      <x v="2"/>
      <x v="10"/>
      <x v="146"/>
      <x v="0"/>
      <x v="253"/>
      <x v="221"/>
      <x v="89"/>
      <x v="61"/>
    </i>
    <i i="0" r="0" t="grand">
      <x v="0"/>
    </i>
  </rowItems>
  <colFields count="1">
    <field x="-2"/>
  </colFields>
  <colItems count="5">
    <i i="0" r="0" t="data">
      <x v="0"/>
    </i>
    <i i="1" r="0" t="data">
      <x v="1"/>
    </i>
    <i i="2" r="0" t="data">
      <x v="2"/>
    </i>
    <i i="3" r="0" t="data">
      <x v="3"/>
    </i>
    <i i="4" r="0" t="data">
      <x v="4"/>
    </i>
  </colItems>
  <pageFields count="1">
    <pageField fld="1" hier="-1" item="5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1">
      <pivotArea dataOnly="1" fieldPosition="0" outline="0" type="normal">
        <references count="1">
          <reference field="4294967294" selected="0">
            <x v="0"/>
          </reference>
        </references>
      </pivotArea>
    </format>
    <format action="formatting" dxfId="72">
      <pivotArea dataOnly="0" fieldPosition="0" labelOnly="1" outline="0" type="normal">
        <references count="1">
          <reference field="4294967294">
            <x v="0"/>
          </reference>
        </references>
      </pivotArea>
    </format>
    <format action="formatting" dxfId="73">
      <pivotArea axis="axisPage" dataOnly="0" field="1" fieldPosition="0" labelOnly="1" outline="0" type="button"/>
    </format>
    <format action="formatting" dxfId="7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1:N3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03"/>
      <x v="0"/>
      <x v="10"/>
      <x v="25"/>
      <x v="1"/>
      <x v="226"/>
      <x v="204"/>
      <x v="81"/>
      <x v="2"/>
    </i>
    <i i="0" r="0" t="data">
      <x v="104"/>
      <x v="1"/>
      <x v="10"/>
      <x v="25"/>
      <x v="7"/>
      <x v="227"/>
      <x v="204"/>
      <x v="81"/>
      <x v="1"/>
    </i>
    <i i="0" r="0" t="data">
      <x v="105"/>
      <x v="2"/>
      <x v="10"/>
      <x v="25"/>
      <x v="24"/>
      <x v="228"/>
      <x v="204"/>
      <x v="81"/>
      <x v="61"/>
    </i>
    <i i="0" r="0" t="grand">
      <x v="0"/>
    </i>
  </rowItems>
  <colFields count="1">
    <field x="-2"/>
  </colFields>
  <colItems count="5">
    <i i="0" r="0" t="data">
      <x v="0"/>
    </i>
    <i i="1" r="0" t="data">
      <x v="1"/>
    </i>
    <i i="2" r="0" t="data">
      <x v="2"/>
    </i>
    <i i="3" r="0" t="data">
      <x v="3"/>
    </i>
    <i i="4" r="0" t="data">
      <x v="4"/>
    </i>
  </colItems>
  <pageFields count="1">
    <pageField fld="1" hier="-1" item="3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79">
      <pivotArea dataOnly="1" fieldPosition="0" outline="0" type="normal">
        <references count="1">
          <reference field="4294967294" selected="0">
            <x v="0"/>
          </reference>
        </references>
      </pivotArea>
    </format>
    <format action="formatting" dxfId="180">
      <pivotArea dataOnly="0" fieldPosition="0" labelOnly="1" outline="0" type="normal">
        <references count="1">
          <reference field="4294967294">
            <x v="0"/>
          </reference>
        </references>
      </pivotArea>
    </format>
    <format action="formatting" dxfId="181">
      <pivotArea axis="axisPage" dataOnly="0" field="1" fieldPosition="0" labelOnly="1" outline="0" type="button"/>
    </format>
    <format action="formatting" dxfId="18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46:N250"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48"/>
      <x v="0"/>
      <x v="10"/>
      <x v="57"/>
      <x v="1"/>
      <x v="244"/>
      <x v="220"/>
      <x v="90"/>
      <x v="11"/>
    </i>
    <i i="0" r="0" t="data">
      <x v="170"/>
      <x v="1"/>
      <x v="10"/>
      <x v="57"/>
      <x v="1"/>
      <x v="251"/>
      <x v="220"/>
      <x v="90"/>
      <x v="61"/>
    </i>
    <i i="0" r="0" t="grand">
      <x v="0"/>
    </i>
  </rowItems>
  <colFields count="1">
    <field x="-2"/>
  </colFields>
  <colItems count="5">
    <i i="0" r="0" t="data">
      <x v="0"/>
    </i>
    <i i="1" r="0" t="data">
      <x v="1"/>
    </i>
    <i i="2" r="0" t="data">
      <x v="2"/>
    </i>
    <i i="3" r="0" t="data">
      <x v="3"/>
    </i>
    <i i="4" r="0" t="data">
      <x v="4"/>
    </i>
  </colItems>
  <pageFields count="1">
    <pageField fld="1" hier="-1" item="5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1">
      <pivotArea dataOnly="1" fieldPosition="0" outline="0" type="normal">
        <references count="1">
          <reference field="4294967294" selected="0">
            <x v="0"/>
          </reference>
        </references>
      </pivotArea>
    </format>
    <format action="formatting" dxfId="92">
      <pivotArea dataOnly="0" fieldPosition="0" labelOnly="1" outline="0" type="normal">
        <references count="1">
          <reference field="4294967294">
            <x v="0"/>
          </reference>
        </references>
      </pivotArea>
    </format>
    <format action="formatting" dxfId="93">
      <pivotArea axis="axisPage" dataOnly="0" field="1" fieldPosition="0" labelOnly="1" outline="0" type="button"/>
    </format>
    <format action="formatting" dxfId="9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56:N161"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24"/>
      <x v="0"/>
      <x v="10"/>
      <x v="72"/>
      <x v="2"/>
      <x v="235"/>
      <x v="214"/>
      <x v="82"/>
      <x v="7"/>
    </i>
    <i i="0" r="0" t="data">
      <x v="136"/>
      <x v="1"/>
      <x v="10"/>
      <x v="72"/>
      <x v="1"/>
      <x v="241"/>
      <x v="214"/>
      <x v="82"/>
      <x v="61"/>
    </i>
    <i i="0" r="0" t="data">
      <x v="137"/>
      <x v="2"/>
      <x v="10"/>
      <x v="72"/>
      <x v="0"/>
      <x v="241"/>
      <x v="214"/>
      <x v="82"/>
      <x v="61"/>
    </i>
    <i i="0" r="0" t="grand">
      <x v="0"/>
    </i>
  </rowItems>
  <colFields count="1">
    <field x="-2"/>
  </colFields>
  <colItems count="5">
    <i i="0" r="0" t="data">
      <x v="0"/>
    </i>
    <i i="1" r="0" t="data">
      <x v="1"/>
    </i>
    <i i="2" r="0" t="data">
      <x v="2"/>
    </i>
    <i i="3" r="0" t="data">
      <x v="3"/>
    </i>
    <i i="4" r="0" t="data">
      <x v="4"/>
    </i>
  </colItems>
  <pageFields count="1">
    <pageField fld="1" hier="-1" item="4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59">
      <pivotArea dataOnly="1" fieldPosition="0" outline="0" type="normal">
        <references count="1">
          <reference field="4294967294" selected="0">
            <x v="0"/>
          </reference>
        </references>
      </pivotArea>
    </format>
    <format action="formatting" dxfId="160">
      <pivotArea dataOnly="0" fieldPosition="0" labelOnly="1" outline="0" type="normal">
        <references count="1">
          <reference field="4294967294">
            <x v="0"/>
          </reference>
        </references>
      </pivotArea>
    </format>
    <format action="formatting" dxfId="161">
      <pivotArea axis="axisPage" dataOnly="0" field="1" fieldPosition="0" labelOnly="1" outline="0" type="button"/>
    </format>
    <format action="formatting" dxfId="16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58:N263"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49"/>
      <x v="0"/>
      <x v="10"/>
      <x v="163"/>
      <x v="3"/>
      <x v="245"/>
      <x v="221"/>
      <x v="91"/>
      <x v="12"/>
    </i>
    <i i="0" r="0" t="data">
      <x v="175"/>
      <x v="1"/>
      <x v="10"/>
      <x v="163"/>
      <x v="2"/>
      <x v="253"/>
      <x v="221"/>
      <x v="91"/>
      <x v="61"/>
    </i>
    <i i="0" r="0" t="data">
      <x v="176"/>
      <x v="2"/>
      <x v="10"/>
      <x v="163"/>
      <x v="0"/>
      <x v="253"/>
      <x v="221"/>
      <x v="91"/>
      <x v="61"/>
    </i>
    <i i="0" r="0" t="grand">
      <x v="0"/>
    </i>
  </rowItems>
  <colFields count="1">
    <field x="-2"/>
  </colFields>
  <colItems count="5">
    <i i="0" r="0" t="data">
      <x v="0"/>
    </i>
    <i i="1" r="0" t="data">
      <x v="1"/>
    </i>
    <i i="2" r="0" t="data">
      <x v="2"/>
    </i>
    <i i="3" r="0" t="data">
      <x v="3"/>
    </i>
    <i i="4" r="0" t="data">
      <x v="4"/>
    </i>
  </colItems>
  <pageFields count="1">
    <pageField fld="1" hier="-1" item="5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39">
      <pivotArea dataOnly="1" fieldPosition="0" outline="0" type="normal">
        <references count="1">
          <reference field="4294967294" selected="0">
            <x v="0"/>
          </reference>
        </references>
      </pivotArea>
    </format>
    <format action="formatting" dxfId="140">
      <pivotArea dataOnly="0" fieldPosition="0" labelOnly="1" outline="0" type="normal">
        <references count="1">
          <reference field="4294967294">
            <x v="0"/>
          </reference>
        </references>
      </pivotArea>
    </format>
    <format action="formatting" dxfId="141">
      <pivotArea axis="axisPage" dataOnly="0" field="1" fieldPosition="0" labelOnly="1" outline="0" type="button"/>
    </format>
    <format action="formatting" dxfId="14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26:N429"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2"/>
      <x v="0"/>
      <x v="10"/>
      <x v="47"/>
      <x v="3"/>
      <x v="259"/>
      <x v="197"/>
      <x v="95"/>
      <x v="20"/>
    </i>
    <i i="0" r="0" t="grand">
      <x v="0"/>
    </i>
  </rowItems>
  <colFields count="1">
    <field x="-2"/>
  </colFields>
  <colItems count="5">
    <i i="0" r="0" t="data">
      <x v="0"/>
    </i>
    <i i="1" r="0" t="data">
      <x v="1"/>
    </i>
    <i i="2" r="0" t="data">
      <x v="2"/>
    </i>
    <i i="3" r="0" t="data">
      <x v="3"/>
    </i>
    <i i="4" r="0" t="data">
      <x v="4"/>
    </i>
  </colItems>
  <pageFields count="1">
    <pageField fld="1" hier="-1" item="6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07">
      <pivotArea dataOnly="1" fieldPosition="0" outline="0" type="normal">
        <references count="1">
          <reference field="4294967294" selected="0">
            <x v="0"/>
          </reference>
        </references>
      </pivotArea>
    </format>
    <format action="formatting" dxfId="108">
      <pivotArea dataOnly="0" fieldPosition="0" labelOnly="1" outline="0" type="normal">
        <references count="1">
          <reference field="4294967294">
            <x v="0"/>
          </reference>
        </references>
      </pivotArea>
    </format>
    <format action="formatting" dxfId="109">
      <pivotArea axis="axisPage" dataOnly="0" field="1" fieldPosition="0" labelOnly="1" outline="0" type="button"/>
    </format>
    <format action="formatting" dxfId="11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68:N174"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25"/>
      <x v="0"/>
      <x v="10"/>
      <x v="164"/>
      <x v="5"/>
      <x v="235"/>
      <x v="218"/>
      <x v="87"/>
      <x v="14"/>
    </i>
    <i i="0" r="0" t="data">
      <x v="156"/>
      <x v="1"/>
      <x v="10"/>
      <x v="164"/>
      <x v="5"/>
      <x v="248"/>
      <x v="218"/>
      <x v="87"/>
      <x v="61"/>
    </i>
    <i i="0" r="0" t="data">
      <x v="157"/>
      <x v="2"/>
      <x v="10"/>
      <x v="166"/>
      <x v="5"/>
      <x v="248"/>
      <x v="217"/>
      <x v="82"/>
      <x v="61"/>
    </i>
    <i i="0" r="0" t="data">
      <x v="158"/>
      <x v="3"/>
      <x v="10"/>
      <x v="166"/>
      <x v="5"/>
      <x v="247"/>
      <x v="217"/>
      <x v="82"/>
      <x v="61"/>
    </i>
    <i i="0" r="0" t="grand">
      <x v="0"/>
    </i>
  </rowItems>
  <colFields count="1">
    <field x="-2"/>
  </colFields>
  <colItems count="5">
    <i i="0" r="0" t="data">
      <x v="0"/>
    </i>
    <i i="1" r="0" t="data">
      <x v="1"/>
    </i>
    <i i="2" r="0" t="data">
      <x v="2"/>
    </i>
    <i i="3" r="0" t="data">
      <x v="3"/>
    </i>
    <i i="4" r="0" t="data">
      <x v="4"/>
    </i>
  </colItems>
  <pageFields count="1">
    <pageField fld="1" hier="-1" item="4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7">
      <pivotArea dataOnly="1" fieldPosition="0" outline="0" type="normal">
        <references count="1">
          <reference field="4294967294" selected="0">
            <x v="0"/>
          </reference>
        </references>
      </pivotArea>
    </format>
    <format action="formatting" dxfId="88">
      <pivotArea dataOnly="0" fieldPosition="0" labelOnly="1" outline="0" type="normal">
        <references count="1">
          <reference field="4294967294">
            <x v="0"/>
          </reference>
        </references>
      </pivotArea>
    </format>
    <format action="formatting" dxfId="89">
      <pivotArea axis="axisPage" dataOnly="0" field="1" fieldPosition="0" labelOnly="1" outline="0" type="button"/>
    </format>
    <format action="formatting" dxfId="9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08:N21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7">
    <i i="0" r="0" t="data">
      <x v="133"/>
      <x v="0"/>
      <x v="10"/>
      <x v="75"/>
      <x v="1"/>
      <x v="238"/>
      <x v="219"/>
      <x v="82"/>
      <x v="16"/>
    </i>
    <i i="0" r="0" t="data">
      <x v="135"/>
      <x v="1"/>
      <x v="10"/>
      <x v="75"/>
      <x v="1"/>
      <x v="240"/>
      <x v="219"/>
      <x v="82"/>
      <x v="12"/>
    </i>
    <i i="0" r="0" t="data">
      <x v="168"/>
      <x v="2"/>
      <x v="10"/>
      <x v="75"/>
      <x v="3"/>
      <x v="250"/>
      <x v="219"/>
      <x v="82"/>
      <x v="61"/>
    </i>
    <i i="0" r="0" t="data">
      <x v="169"/>
      <x v="3"/>
      <x v="10"/>
      <x v="75"/>
      <x v="3"/>
      <x v="250"/>
      <x v="228"/>
      <x v="89"/>
      <x v="23"/>
    </i>
    <i i="0" r="0" t="data">
      <x v="200"/>
      <x v="4"/>
      <x v="10"/>
      <x v="75"/>
      <x v="3"/>
      <x v="262"/>
      <x v="228"/>
      <x v="89"/>
      <x v="61"/>
    </i>
    <i i="0" r="0" t="data">
      <x v="201"/>
      <x v="4"/>
      <x v="10"/>
      <x v="75"/>
      <x v="3"/>
      <x v="262"/>
      <x v="197"/>
      <x v="92"/>
      <x v="26"/>
    </i>
    <i i="0" r="0" t="grand">
      <x v="0"/>
    </i>
  </rowItems>
  <colFields count="1">
    <field x="-2"/>
  </colFields>
  <colItems count="5">
    <i i="0" r="0" t="data">
      <x v="0"/>
    </i>
    <i i="1" r="0" t="data">
      <x v="1"/>
    </i>
    <i i="2" r="0" t="data">
      <x v="2"/>
    </i>
    <i i="3" r="0" t="data">
      <x v="3"/>
    </i>
    <i i="4" r="0" t="data">
      <x v="4"/>
    </i>
  </colItems>
  <pageFields count="1">
    <pageField fld="1" hier="-1" item="4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5">
      <pivotArea dataOnly="1" fieldPosition="0" outline="0" type="normal">
        <references count="1">
          <reference field="4294967294" selected="0">
            <x v="0"/>
          </reference>
        </references>
      </pivotArea>
    </format>
    <format action="formatting" dxfId="76">
      <pivotArea dataOnly="0" fieldPosition="0" labelOnly="1" outline="0" type="normal">
        <references count="1">
          <reference field="4294967294">
            <x v="0"/>
          </reference>
        </references>
      </pivotArea>
    </format>
    <format action="formatting" dxfId="77">
      <pivotArea axis="axisPage" dataOnly="0" field="1" fieldPosition="0" labelOnly="1" outline="0" type="button"/>
    </format>
    <format action="formatting" dxfId="7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20:N323"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72"/>
      <x v="0"/>
      <x v="10"/>
      <x v="168"/>
      <x v="7"/>
      <x v="252"/>
      <x v="222"/>
      <x v="90"/>
      <x v="3"/>
    </i>
    <i i="0" r="0" t="grand">
      <x v="0"/>
    </i>
  </rowItems>
  <colFields count="1">
    <field x="-2"/>
  </colFields>
  <colItems count="5">
    <i i="0" r="0" t="data">
      <x v="0"/>
    </i>
    <i i="1" r="0" t="data">
      <x v="1"/>
    </i>
    <i i="2" r="0" t="data">
      <x v="2"/>
    </i>
    <i i="3" r="0" t="data">
      <x v="3"/>
    </i>
    <i i="4" r="0" t="data">
      <x v="4"/>
    </i>
  </colItems>
  <pageFields count="1">
    <pageField fld="1" hier="-1" item="5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5">
      <pivotArea dataOnly="1" fieldPosition="0" outline="0" type="normal">
        <references count="1">
          <reference field="4294967294" selected="0">
            <x v="0"/>
          </reference>
        </references>
      </pivotArea>
    </format>
    <format action="formatting" dxfId="56">
      <pivotArea dataOnly="0" fieldPosition="0" labelOnly="1" outline="0" type="normal">
        <references count="1">
          <reference field="4294967294">
            <x v="0"/>
          </reference>
        </references>
      </pivotArea>
    </format>
    <format action="formatting" dxfId="57">
      <pivotArea axis="axisPage" dataOnly="0" field="1" fieldPosition="0" labelOnly="1" outline="0" type="button"/>
    </format>
    <format action="formatting" dxfId="5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234:N23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44"/>
      <x v="0"/>
      <x v="10"/>
      <x v="21"/>
      <x v="7"/>
      <x v="243"/>
      <x v="221"/>
      <x v="91"/>
      <x v="16"/>
    </i>
    <i i="0" r="0" t="data">
      <x v="174"/>
      <x v="1"/>
      <x v="10"/>
      <x v="21"/>
      <x v="7"/>
      <x v="253"/>
      <x v="221"/>
      <x v="91"/>
      <x v="61"/>
    </i>
    <i i="0" r="0" t="grand">
      <x v="0"/>
    </i>
  </rowItems>
  <colFields count="1">
    <field x="-2"/>
  </colFields>
  <colItems count="5">
    <i i="0" r="0" t="data">
      <x v="0"/>
    </i>
    <i i="1" r="0" t="data">
      <x v="1"/>
    </i>
    <i i="2" r="0" t="data">
      <x v="2"/>
    </i>
    <i i="3" r="0" t="data">
      <x v="3"/>
    </i>
    <i i="4" r="0" t="data">
      <x v="4"/>
    </i>
  </colItems>
  <pageFields count="1">
    <pageField fld="1" hier="-1" item="5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3">
      <pivotArea dataOnly="1" fieldPosition="0" outline="0" type="normal">
        <references count="1">
          <reference field="4294967294" selected="0">
            <x v="0"/>
          </reference>
        </references>
      </pivotArea>
    </format>
    <format action="formatting" dxfId="24">
      <pivotArea dataOnly="0" fieldPosition="0" labelOnly="1" outline="0" type="normal">
        <references count="1">
          <reference field="4294967294">
            <x v="0"/>
          </reference>
        </references>
      </pivotArea>
    </format>
    <format action="formatting" dxfId="25">
      <pivotArea axis="axisPage" dataOnly="0" field="1" fieldPosition="0" labelOnly="1" outline="0" type="button"/>
    </format>
    <format action="formatting" dxfId="2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44:N14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23"/>
      <x v="0"/>
      <x v="10"/>
      <x v="163"/>
      <x v="7"/>
      <x v="234"/>
      <x v="217"/>
      <x v="82"/>
      <x v="19"/>
    </i>
    <i i="0" r="0" t="data">
      <x v="155"/>
      <x v="1"/>
      <x v="10"/>
      <x v="163"/>
      <x v="7"/>
      <x v="247"/>
      <x v="217"/>
      <x v="82"/>
      <x v="61"/>
    </i>
    <i i="0" r="0" t="grand">
      <x v="0"/>
    </i>
  </rowItems>
  <colFields count="1">
    <field x="-2"/>
  </colFields>
  <colItems count="5">
    <i i="0" r="0" t="data">
      <x v="0"/>
    </i>
    <i i="1" r="0" t="data">
      <x v="1"/>
    </i>
    <i i="2" r="0" t="data">
      <x v="2"/>
    </i>
    <i i="3" r="0" t="data">
      <x v="3"/>
    </i>
    <i i="4" r="0" t="data">
      <x v="4"/>
    </i>
  </colItems>
  <pageFields count="1">
    <pageField fld="1" hier="-1" item="4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63">
      <pivotArea dataOnly="1" fieldPosition="0" outline="0" type="normal">
        <references count="1">
          <reference field="4294967294" selected="0">
            <x v="0"/>
          </reference>
        </references>
      </pivotArea>
    </format>
    <format action="formatting" dxfId="164">
      <pivotArea dataOnly="0" fieldPosition="0" labelOnly="1" outline="0" type="normal">
        <references count="1">
          <reference field="4294967294">
            <x v="0"/>
          </reference>
        </references>
      </pivotArea>
    </format>
    <format action="formatting" dxfId="165">
      <pivotArea axis="axisPage" dataOnly="0" field="1" fieldPosition="0" labelOnly="1" outline="0" type="button"/>
    </format>
    <format action="formatting" dxfId="16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01:N10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17"/>
      <x v="0"/>
      <x v="10"/>
      <x v="155"/>
      <x v="7"/>
      <x v="232"/>
      <x v="214"/>
      <x v="86"/>
      <x v="24"/>
    </i>
    <i i="0" r="0" t="data">
      <x v="134"/>
      <x v="1"/>
      <x v="10"/>
      <x v="155"/>
      <x v="7"/>
      <x v="239"/>
      <x v="214"/>
      <x v="86"/>
      <x v="2"/>
    </i>
    <i i="0" r="0" t="grand">
      <x v="0"/>
    </i>
  </rowItems>
  <colFields count="1">
    <field x="-2"/>
  </colFields>
  <colItems count="5">
    <i i="0" r="0" t="data">
      <x v="0"/>
    </i>
    <i i="1" r="0" t="data">
      <x v="1"/>
    </i>
    <i i="2" r="0" t="data">
      <x v="2"/>
    </i>
    <i i="3" r="0" t="data">
      <x v="3"/>
    </i>
    <i i="4" r="0" t="data">
      <x v="4"/>
    </i>
  </colItems>
  <pageFields count="1">
    <pageField fld="1" hier="-1" item="3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83">
      <pivotArea dataOnly="1" fieldPosition="0" outline="0" type="normal">
        <references count="1">
          <reference field="4294967294" selected="0">
            <x v="0"/>
          </reference>
        </references>
      </pivotArea>
    </format>
    <format action="formatting" dxfId="184">
      <pivotArea dataOnly="0" fieldPosition="0" labelOnly="1" outline="0" type="normal">
        <references count="1">
          <reference field="4294967294">
            <x v="0"/>
          </reference>
        </references>
      </pivotArea>
    </format>
    <format action="formatting" dxfId="185">
      <pivotArea axis="axisPage" dataOnly="0" field="1" fieldPosition="0" labelOnly="1" outline="0" type="button"/>
    </format>
    <format action="formatting" dxfId="18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3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32:N33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78"/>
      <x v="0"/>
      <x v="10"/>
      <x v="45"/>
      <x v="1"/>
      <x v="254"/>
      <x v="229"/>
      <x v="89"/>
      <x v="19"/>
    </i>
    <i i="0" r="0" t="data">
      <x v="206"/>
      <x v="1"/>
      <x v="10"/>
      <x v="45"/>
      <x v="3"/>
      <x v="265"/>
      <x v="224"/>
      <x v="89"/>
      <x v="61"/>
    </i>
    <i i="0" r="0" t="data">
      <x v="207"/>
      <x v="2"/>
      <x v="10"/>
      <x v="173"/>
      <x v="3"/>
      <x v="265"/>
      <x v="232"/>
      <x v="93"/>
      <x v="62"/>
    </i>
    <i i="0" r="0" t="data">
      <x v="212"/>
      <x v="3"/>
      <x v="10"/>
      <x v="173"/>
      <x v="3"/>
      <x v="267"/>
      <x v="232"/>
      <x v="93"/>
      <x v="61"/>
    </i>
    <i i="0" r="0" t="grand">
      <x v="0"/>
    </i>
  </rowItems>
  <colFields count="1">
    <field x="-2"/>
  </colFields>
  <colItems count="5">
    <i i="0" r="0" t="data">
      <x v="0"/>
    </i>
    <i i="1" r="0" t="data">
      <x v="1"/>
    </i>
    <i i="2" r="0" t="data">
      <x v="2"/>
    </i>
    <i i="3" r="0" t="data">
      <x v="3"/>
    </i>
    <i i="4" r="0" t="data">
      <x v="4"/>
    </i>
  </colItems>
  <pageFields count="1">
    <pageField fld="1" hier="-1" item="5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47">
      <pivotArea dataOnly="1" fieldPosition="0" outline="0" type="normal">
        <references count="1">
          <reference field="4294967294" selected="0">
            <x v="0"/>
          </reference>
        </references>
      </pivotArea>
    </format>
    <format action="formatting" dxfId="148">
      <pivotArea dataOnly="0" fieldPosition="0" labelOnly="1" outline="0" type="normal">
        <references count="1">
          <reference field="4294967294">
            <x v="0"/>
          </reference>
        </references>
      </pivotArea>
    </format>
    <format action="formatting" dxfId="149">
      <pivotArea axis="axisPage" dataOnly="0" field="1" fieldPosition="0" labelOnly="1" outline="0" type="button"/>
    </format>
    <format action="formatting" dxfId="15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45:N34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79"/>
      <x v="0"/>
      <x v="10"/>
      <x v="60"/>
      <x v="3"/>
      <x v="254"/>
      <x v="224"/>
      <x v="91"/>
      <x v="5"/>
    </i>
    <i i="0" r="0" t="grand">
      <x v="0"/>
    </i>
  </rowItems>
  <colFields count="1">
    <field x="-2"/>
  </colFields>
  <colItems count="5">
    <i i="0" r="0" t="data">
      <x v="0"/>
    </i>
    <i i="1" r="0" t="data">
      <x v="1"/>
    </i>
    <i i="2" r="0" t="data">
      <x v="2"/>
    </i>
    <i i="3" r="0" t="data">
      <x v="3"/>
    </i>
    <i i="4" r="0" t="data">
      <x v="4"/>
    </i>
  </colItems>
  <pageFields count="1">
    <pageField fld="1" hier="-1" item="5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9">
      <pivotArea dataOnly="1" fieldPosition="0" outline="0" type="normal">
        <references count="1">
          <reference field="4294967294" selected="0">
            <x v="0"/>
          </reference>
        </references>
      </pivotArea>
    </format>
    <format action="formatting" dxfId="40">
      <pivotArea dataOnly="0" fieldPosition="0" labelOnly="1" outline="0" type="normal">
        <references count="1">
          <reference field="4294967294">
            <x v="0"/>
          </reference>
        </references>
      </pivotArea>
    </format>
    <format action="formatting" dxfId="41">
      <pivotArea axis="axisPage" dataOnly="0" field="1" fieldPosition="0" labelOnly="1" outline="0" type="button"/>
    </format>
    <format action="formatting" dxfId="4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81:N84"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15"/>
      <x v="0"/>
      <x v="10"/>
      <x v="28"/>
      <x v="7"/>
      <x v="229"/>
      <x v="200"/>
      <x v="81"/>
      <x v="7"/>
    </i>
    <i i="0" r="0" t="grand">
      <x v="0"/>
    </i>
  </rowItems>
  <colFields count="1">
    <field x="-2"/>
  </colFields>
  <colItems count="5">
    <i i="0" r="0" t="data">
      <x v="0"/>
    </i>
    <i i="1" r="0" t="data">
      <x v="1"/>
    </i>
    <i i="2" r="0" t="data">
      <x v="2"/>
    </i>
    <i i="3" r="0" t="data">
      <x v="3"/>
    </i>
    <i i="4" r="0" t="data">
      <x v="4"/>
    </i>
  </colItems>
  <pageFields count="1">
    <pageField fld="1" hier="-1" item="3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27">
      <pivotArea dataOnly="1" fieldPosition="0" outline="0" type="normal">
        <references count="1">
          <reference field="4294967294" selected="0">
            <x v="0"/>
          </reference>
        </references>
      </pivotArea>
    </format>
    <format action="formatting" dxfId="128">
      <pivotArea dataOnly="0" fieldPosition="0" labelOnly="1" outline="0" type="normal">
        <references count="1">
          <reference field="4294967294">
            <x v="0"/>
          </reference>
        </references>
      </pivotArea>
    </format>
    <format action="formatting" dxfId="129">
      <pivotArea axis="axisPage" dataOnly="0" field="1" fieldPosition="0" labelOnly="1" outline="0" type="button"/>
    </format>
    <format action="formatting" dxfId="13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369:N37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82"/>
      <x v="0"/>
      <x v="10"/>
      <x v="72"/>
      <x v="2"/>
      <x v="255"/>
      <x v="226"/>
      <x v="89"/>
      <x v="5"/>
    </i>
    <i i="0" r="0" t="data">
      <x v="184"/>
      <x v="1"/>
      <x v="10"/>
      <x v="72"/>
      <x v="1"/>
      <x v="256"/>
      <x v="226"/>
      <x v="89"/>
      <x v="65"/>
    </i>
    <i i="0" r="0" t="data">
      <x v="185"/>
      <x v="2"/>
      <x v="10"/>
      <x v="72"/>
      <x v="1"/>
      <x v="257"/>
      <x v="226"/>
      <x v="89"/>
      <x v="1"/>
    </i>
    <i i="0" r="0" t="data">
      <x v="190"/>
      <x v="3"/>
      <x v="10"/>
      <x v="72"/>
      <x v="6"/>
      <x v="259"/>
      <x v="226"/>
      <x v="89"/>
      <x v="61"/>
    </i>
    <i i="0" r="0" t="grand">
      <x v="0"/>
    </i>
  </rowItems>
  <colFields count="1">
    <field x="-2"/>
  </colFields>
  <colItems count="5">
    <i i="0" r="0" t="data">
      <x v="0"/>
    </i>
    <i i="1" r="0" t="data">
      <x v="1"/>
    </i>
    <i i="2" r="0" t="data">
      <x v="2"/>
    </i>
    <i i="3" r="0" t="data">
      <x v="3"/>
    </i>
    <i i="4" r="0" t="data">
      <x v="4"/>
    </i>
  </colItems>
  <pageFields count="1">
    <pageField fld="1" hier="-1" item="6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5">
      <pivotArea dataOnly="1" fieldPosition="0" outline="0" type="normal">
        <references count="1">
          <reference field="4294967294" selected="0">
            <x v="0"/>
          </reference>
        </references>
      </pivotArea>
    </format>
    <format action="formatting" dxfId="96">
      <pivotArea dataOnly="0" fieldPosition="0" labelOnly="1" outline="0" type="normal">
        <references count="1">
          <reference field="4294967294">
            <x v="0"/>
          </reference>
        </references>
      </pivotArea>
    </format>
    <format action="formatting" dxfId="97">
      <pivotArea axis="axisPage" dataOnly="0" field="1" fieldPosition="0" labelOnly="1" outline="0" type="button"/>
    </format>
    <format action="formatting" dxfId="9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12:N41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1"/>
      <x v="0"/>
      <x v="10"/>
      <x v="6"/>
      <x v="7"/>
      <x v="259"/>
      <x v="197"/>
      <x v="92"/>
      <x v="32"/>
    </i>
    <i i="0" r="0" t="grand">
      <x v="0"/>
    </i>
  </rowItems>
  <colFields count="1">
    <field x="-2"/>
  </colFields>
  <colItems count="5">
    <i i="0" r="0" t="data">
      <x v="0"/>
    </i>
    <i i="1" r="0" t="data">
      <x v="1"/>
    </i>
    <i i="2" r="0" t="data">
      <x v="2"/>
    </i>
    <i i="3" r="0" t="data">
      <x v="3"/>
    </i>
    <i i="4" r="0" t="data">
      <x v="4"/>
    </i>
  </colItems>
  <pageFields count="1">
    <pageField fld="1" hier="-1" item="6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3">
      <pivotArea dataOnly="1" fieldPosition="0" outline="0" type="normal">
        <references count="1">
          <reference field="4294967294" selected="0">
            <x v="0"/>
          </reference>
        </references>
      </pivotArea>
    </format>
    <format action="formatting" dxfId="64">
      <pivotArea dataOnly="0" fieldPosition="0" labelOnly="1" outline="0" type="normal">
        <references count="1">
          <reference field="4294967294">
            <x v="0"/>
          </reference>
        </references>
      </pivotArea>
    </format>
    <format action="formatting" dxfId="65">
      <pivotArea axis="axisPage" dataOnly="0" field="1" fieldPosition="0" labelOnly="1" outline="0" type="button"/>
    </format>
    <format action="formatting" dxfId="6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541:N545"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213"/>
      <x v="0"/>
      <x v="10"/>
      <x v="40"/>
      <x v="1"/>
      <x v="267"/>
      <x v="197"/>
      <x v="92"/>
      <x v="20"/>
    </i>
    <i i="0" r="0" t="data">
      <x v="214"/>
      <x v="1"/>
      <x v="10"/>
      <x v="40"/>
      <x v="4"/>
      <x v="267"/>
      <x v="197"/>
      <x v="92"/>
      <x v="20"/>
    </i>
    <i i="0" r="0" t="grand">
      <x v="0"/>
    </i>
  </rowItems>
  <colFields count="1">
    <field x="-2"/>
  </colFields>
  <colItems count="5">
    <i i="0" r="0" t="data">
      <x v="0"/>
    </i>
    <i i="1" r="0" t="data">
      <x v="1"/>
    </i>
    <i i="2" r="0" t="data">
      <x v="2"/>
    </i>
    <i i="3" r="0" t="data">
      <x v="3"/>
    </i>
    <i i="4" r="0" t="data">
      <x v="4"/>
    </i>
  </colItems>
  <pageFields count="1">
    <pageField fld="1" hier="-1" item="7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3">
      <pivotArea dataOnly="1" fieldPosition="0" outline="0" type="normal">
        <references count="1">
          <reference field="4294967294" selected="0">
            <x v="0"/>
          </reference>
        </references>
      </pivotArea>
    </format>
    <format action="formatting" dxfId="44">
      <pivotArea dataOnly="0" fieldPosition="0" labelOnly="1" outline="0" type="normal">
        <references count="1">
          <reference field="4294967294">
            <x v="0"/>
          </reference>
        </references>
      </pivotArea>
    </format>
    <format action="formatting" dxfId="45">
      <pivotArea axis="axisPage" dataOnly="0" field="1" fieldPosition="0" labelOnly="1" outline="0" type="button"/>
    </format>
    <format action="formatting" dxfId="4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issingCaption="-----"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11" firstDataRow="2" firstHeaderRow="1" ref="A6:N22"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214"/>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Row" compact="0" defaultSubtotal="0" dragOff="1" dragToCol="1" dragToData="1" dragToPage="1" dragToRow="1" itemPageCount="10" outline="0" showAll="0" showDropDowns="1" sortType="manual" subtotalTop="1" topAutoShow="1">
      <items count="205">
        <item sd="1" t="data" x="0"/>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m="1" sd="1" t="data" x="43"/>
        <item m="1" sd="1" t="data" x="186"/>
        <item m="1" sd="1" t="data" x="179"/>
      </items>
    </pivotField>
    <pivotField axis="axisRow" compact="0" defaultSubtotal="0" dragOff="1" dragToCol="1" dragToData="1" dragToPage="1" dragToRow="1" itemPageCount="10" outline="0" showAll="0" showDropDowns="1" sortType="manual" subtotalTop="0" topAutoShow="1">
      <items count="18">
        <item sd="1" t="data" x="0"/>
        <item sd="1" t="data" x="2"/>
        <item sd="1" t="data" x="1"/>
        <item sd="1" t="data" x="3"/>
        <item sd="1" t="data" x="6"/>
        <item sd="1" t="data" x="5"/>
        <item sd="1" t="data" x="4"/>
        <item sd="1" t="data" x="7"/>
        <item m="1" sd="1" t="data" x="10"/>
        <item m="1" sd="1" t="data" x="17"/>
        <item m="1" sd="1" t="data" x="16"/>
        <item sd="1" t="data" x="9"/>
        <item sd="1" t="data" x="8"/>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Page" compact="0" defaultSubtotal="0" dragOff="1" dragToCol="1" dragToData="1" dragToPage="1" dragToRow="1" itemPageCount="10" multipleItemSelectionAllowed="1" outline="0" showAll="0" showDropDowns="1" sortType="manual" subtotalTop="1" topAutoShow="1">
      <items count="233">
        <item m="1" sd="1" t="data" x="99"/>
        <item h="1" m="1" sd="1" t="data" x="231"/>
        <item h="1" m="1" sd="1" t="data" x="210"/>
        <item h="1" m="1" sd="1" t="data" x="91"/>
        <item h="1" m="1" sd="1" t="data" x="68"/>
        <item h="1" m="1" sd="1" t="data" x="159"/>
        <item h="1" m="1" sd="1" t="data" x="198"/>
        <item h="1" m="1" sd="1" t="data" x="167"/>
        <item h="1" m="1" sd="1" t="data" x="152"/>
        <item h="1" m="1" sd="1" t="data" x="31"/>
        <item h="1" m="1" sd="1" t="data" x="224"/>
        <item h="1" m="1" sd="1" t="data" x="105"/>
        <item h="1" m="1" sd="1" t="data" x="54"/>
        <item h="1" m="1" sd="1" t="data" x="102"/>
        <item h="1" m="1" sd="1" t="data" x="194"/>
        <item h="1" m="1" sd="1" t="data" x="201"/>
        <item h="1" m="1" sd="1" t="data" x="79"/>
        <item h="1" m="1" sd="1" t="data" x="180"/>
        <item h="1" m="1" sd="1" t="data" x="127"/>
        <item h="1" m="1" sd="1" t="data" x="175"/>
        <item h="1" m="1" sd="1" t="data" x="230"/>
        <item h="1" m="1" sd="1" t="data" x="126"/>
        <item h="1" m="1" sd="1" t="data" x="64"/>
        <item h="1" m="1" sd="1" t="data" x="220"/>
        <item h="1" m="1" sd="1" t="data" x="116"/>
        <item h="1" m="1" sd="1" t="data" x="212"/>
        <item h="1" m="1" sd="1" t="data" x="59"/>
        <item h="1" m="1" sd="1" t="data" x="219"/>
        <item h="1" m="1" sd="1" t="data" x="51"/>
        <item h="1" m="1" sd="1" t="data" x="206"/>
        <item h="1" m="1" sd="1" t="data" x="149"/>
        <item h="1" m="1" sd="1" t="data" x="146"/>
        <item h="1" m="1" sd="1" t="data" x="42"/>
        <item h="1" m="1" sd="1" t="data" x="197"/>
        <item h="1" m="1" sd="1" t="data" x="141"/>
        <item h="1" m="1" sd="1" t="data" x="100"/>
        <item h="1" m="1" sd="1" t="data" x="148"/>
        <item h="1" m="1" sd="1" t="data" x="196"/>
        <item h="1" m="1" sd="1" t="data" x="35"/>
        <item h="1" m="1" sd="1" t="data" x="84"/>
        <item h="1" m="1" sd="1" t="data" x="33"/>
        <item h="1" m="1" sd="1" t="data" x="81"/>
        <item h="1" m="1" sd="1" t="data" x="70"/>
        <item h="1" m="1" sd="1" t="data" x="192"/>
        <item h="1" m="1" sd="1" t="data" x="134"/>
        <item h="1" m="1" sd="1" t="data" x="77"/>
        <item h="1" m="1" sd="1" t="data" x="185"/>
        <item h="1" m="1" sd="1" t="data" x="226"/>
        <item h="1" m="1" sd="1" t="data" x="160"/>
        <item h="1" m="1" sd="1" t="data" x="65"/>
        <item h="1" m="1" sd="1" t="data" x="119"/>
        <item h="1" m="1" sd="1" t="data" x="114"/>
        <item h="1" m="1" sd="1" t="data" x="56"/>
        <item h="1" m="1" sd="1" t="data" x="158"/>
        <item h="1" m="1" sd="1" t="data" x="44"/>
        <item h="1" m="1" sd="1" t="data" x="92"/>
        <item h="1" m="1" sd="1" t="data" x="183"/>
        <item h="1" m="1" sd="1" t="data" x="223"/>
        <item h="1" m="1" sd="1" t="data" x="169"/>
        <item h="1" m="1" sd="1" t="data" x="73"/>
        <item h="1" m="1" sd="1" t="data" x="172"/>
        <item h="1" m="1" sd="1" t="data" x="62"/>
        <item h="1" m="1" sd="1" t="data" x="165"/>
        <item h="1" m="1" sd="1" t="data" x="52"/>
        <item h="1" m="1" sd="1" t="data" x="154"/>
        <item h="1" m="1" sd="1" t="data" x="162"/>
        <item h="1" m="1" sd="1" t="data" x="117"/>
        <item h="1" m="1" sd="1" t="data" x="214"/>
        <item h="1" m="1" sd="1" t="data" x="207"/>
        <item h="1" m="1" sd="1" t="data" x="101"/>
        <item h="1" m="1" sd="1" t="data" x="47"/>
        <item h="1" m="1" sd="1" t="data" x="204"/>
        <item h="1" m="1" sd="1" t="data" x="94"/>
        <item h="1" m="1" sd="1" t="data" x="39"/>
        <item h="1" m="1" sd="1" t="data" x="136"/>
        <item h="1" m="1" sd="1" t="data" x="147"/>
        <item h="1" m="1" sd="1" t="data" x="96"/>
        <item h="1" m="1" sd="1" t="data" x="199"/>
        <item h="1" m="1" sd="1" t="data" x="143"/>
        <item h="1" m="1" sd="1" t="data" x="139"/>
        <item h="1" m="1" sd="1" t="data" x="34"/>
        <item h="1" m="1" sd="1" t="data" x="193"/>
        <item h="1" m="1" sd="1" t="data" x="130"/>
        <item h="1" m="1" sd="1" t="data" x="78"/>
        <item h="1" m="1" sd="1" t="data" x="29"/>
        <item h="1" m="1" sd="1" t="data" x="179"/>
        <item h="1" m="1" sd="1" t="data" x="66"/>
        <item h="1" m="1" sd="1" t="data" x="123"/>
        <item h="1" m="1" sd="1" t="data" x="75"/>
        <item h="1" m="1" sd="1" t="data" x="128"/>
        <item h="1" m="1" sd="1" t="data" x="125"/>
        <item h="1" m="1" sd="1" t="data" x="168"/>
        <item h="1" m="1" sd="1" t="data" x="115"/>
        <item h="1" m="1" sd="1" t="data" x="217"/>
        <item h="1" m="1" sd="1" t="data" x="107"/>
        <item h="1" m="1" sd="1" t="data" x="61"/>
        <item h="1" m="1" sd="1" t="data" x="164"/>
        <item h="1" m="1" sd="1" t="data" x="161"/>
        <item h="1" m="1" sd="1" t="data" x="112"/>
        <item h="1" m="1" sd="1" t="data" x="153"/>
        <item h="1" m="1" sd="1" t="data" x="104"/>
        <item h="1" m="1" sd="1" t="data" x="203"/>
        <item h="1" m="1" sd="1" t="data" x="140"/>
        <item h="1" m="1" sd="1" t="data" x="93"/>
        <item h="1" m="1" sd="1" t="data" x="36"/>
        <item h="1" m="1" sd="1" t="data" x="98"/>
        <item h="1" m="1" sd="1" t="data" x="45"/>
        <item h="1" m="1" sd="1" t="data" x="89"/>
        <item h="1" m="1" sd="1" t="data" x="83"/>
        <item h="1" m="1" sd="1" t="data" x="190"/>
        <item h="1" m="1" sd="1" t="data" x="132"/>
        <item h="1" m="1" sd="1" t="data" x="74"/>
        <item h="1" m="1" sd="1" t="data" x="181"/>
        <item h="1" m="1" sd="1" t="data" x="228"/>
        <item h="1" m="1" sd="1" t="data" x="176"/>
        <item h="1" m="1" sd="1" t="data" x="82"/>
        <item h="1" m="1" sd="1" t="data" x="30"/>
        <item h="1" m="1" sd="1" t="data" x="184"/>
        <item h="1" m="1" sd="1" t="data" x="129"/>
        <item h="1" m="1" sd="1" t="data" x="72"/>
        <item h="1" m="1" sd="1" t="data" x="225"/>
        <item h="1" m="1" sd="1" t="data" x="174"/>
        <item h="1" m="1" sd="1" t="data" x="122"/>
        <item h="1" m="1" sd="1" t="data" x="171"/>
        <item h="1" m="1" sd="1" t="data" x="221"/>
        <item h="1" m="1" sd="1" t="data" x="163"/>
        <item h="1" m="1" sd="1" t="data" x="111"/>
        <item h="1" m="1" sd="1" t="data" x="53"/>
        <item h="1" m="1" sd="1" t="data" x="215"/>
        <item h="1" m="1" sd="1" t="data" x="222"/>
        <item h="1" m="1" sd="1" t="data" x="166"/>
        <item h="1" m="1" sd="1" t="data" x="118"/>
        <item h="1" m="1" sd="1" t="data" x="60"/>
        <item h="1" m="1" sd="1" t="data" x="55"/>
        <item h="1" m="1" sd="1" t="data" x="216"/>
        <item h="1" m="1" sd="1" t="data" x="157"/>
        <item h="1" m="1" sd="1" t="data" x="110"/>
        <item h="1" m="1" sd="1" t="data" x="106"/>
        <item h="1" m="1" sd="1" t="data" x="150"/>
        <item h="1" m="1" sd="1" t="data" x="43"/>
        <item h="1" m="1" sd="1" t="data" x="200"/>
        <item h="1" m="1" sd="1" t="data" x="103"/>
        <item h="1" m="1" sd="1" t="data" x="205"/>
        <item h="1" m="1" sd="1" t="data" x="46"/>
        <item h="1" m="1" sd="1" t="data" x="202"/>
        <item h="1" m="1" sd="1" t="data" x="145"/>
        <item h="1" m="1" sd="1" t="data" x="40"/>
        <item h="1" m="1" sd="1" t="data" x="90"/>
        <item h="1" m="1" sd="1" t="data" x="195"/>
        <item h="1" m="1" sd="1" t="data" x="85"/>
        <item h="1" m="1" sd="1" t="data" x="57"/>
        <item h="1" m="1" sd="1" t="data" x="186"/>
        <item h="1" m="1" sd="1" t="data" x="38"/>
        <item h="1" m="1" sd="1" t="data" x="95"/>
        <item h="1" m="1" sd="1" t="data" x="97"/>
        <item h="1" m="1" sd="1" t="data" x="113"/>
        <item h="1" m="1" sd="1" t="data" x="32"/>
        <item h="1" m="1" sd="1" t="data" x="135"/>
        <item h="1" m="1" sd="1" t="data" x="155"/>
        <item h="1" m="1" sd="1" t="data" x="208"/>
        <item h="1" m="1" sd="1" t="data" x="156"/>
        <item h="1" m="1" sd="1" t="data" x="218"/>
        <item h="1" m="1" sd="1" t="data" x="63"/>
        <item h="1" m="1" sd="1" t="data" x="211"/>
        <item h="1" m="1" sd="1" t="data" x="229"/>
        <item h="1" m="1" sd="1" t="data" x="177"/>
        <item h="1" m="1" sd="1" t="data" x="37"/>
        <item h="1" m="1" sd="1" t="data" x="173"/>
        <item h="1" m="1" sd="1" t="data" x="187"/>
        <item h="1" m="1" sd="1" t="data" x="88"/>
        <item h="1" m="1" sd="1" t="data" x="50"/>
        <item h="1" m="1" sd="1" t="data" x="209"/>
        <item h="1" m="1" sd="1" t="data" x="227"/>
        <item h="1" m="1" sd="1" t="data" x="69"/>
        <item h="1" m="1" sd="1" t="data" x="178"/>
        <item h="1" m="1" sd="1" t="data" x="76"/>
        <item h="1" m="1" sd="1" t="data" x="133"/>
        <item h="1" m="1" sd="1" t="data" x="109"/>
        <item h="1" m="1" sd="1" t="data" x="121"/>
        <item h="1" m="1" sd="1" t="data" x="124"/>
        <item h="1" m="1" sd="1" t="data" x="191"/>
        <item h="1" m="1" sd="1" t="data" x="86"/>
        <item h="1" m="1" sd="1" t="data" x="41"/>
        <item h="1" m="1" sd="1" t="data" x="48"/>
        <item h="1" m="1" sd="1" t="data" x="151"/>
        <item h="1" m="1" sd="1" t="data" x="137"/>
        <item h="1" m="1" sd="1" t="data" x="71"/>
        <item h="1" m="1" sd="1" t="data" x="188"/>
        <item h="1" m="1" sd="1" t="data" x="182"/>
        <item h="1" m="1" sd="1" t="data" x="232"/>
        <item h="1" m="1" sd="1" t="data" x="67"/>
        <item h="1" m="1" sd="1" t="data" x="120"/>
        <item h="1" m="1" sd="1" t="data" x="58"/>
        <item h="1" m="1" sd="1" t="data" x="170"/>
        <item h="1" m="1" sd="1" t="data" x="213"/>
        <item h="1" m="1" sd="1" t="data" x="49"/>
        <item h="1" m="1" sd="1" t="data" x="108"/>
        <item sd="1" t="data" x="19"/>
        <item h="1" m="1" sd="1" t="data" x="189"/>
        <item h="1" m="1" sd="1" t="data" x="144"/>
        <item h="1" sd="1" t="data" x="0"/>
        <item h="1" m="1" sd="1" t="data" x="142"/>
        <item h="1" sd="1" t="data" x="3"/>
        <item h="1" m="1" sd="1" t="data" x="87"/>
        <item h="1" sd="1" t="data" x="4"/>
        <item h="1" sd="1" t="data" x="5"/>
        <item h="1" sd="1" t="data" x="7"/>
        <item h="1" sd="1" t="data" x="8"/>
        <item h="1" sd="1" t="data" x="6"/>
        <item h="1" m="1" sd="1" t="data" x="80"/>
        <item h="1" sd="1" t="data" x="14"/>
        <item h="1" sd="1" t="data" x="9"/>
        <item h="1" m="1" sd="1" t="data" x="131"/>
        <item h="1" sd="1" t="data" x="12"/>
        <item h="1" sd="1" t="data" x="13"/>
        <item h="1" sd="1" t="data" x="20"/>
        <item h="1" sd="1" t="data" x="10"/>
        <item h="1" sd="1" t="data" x="15"/>
        <item h="1" sd="1" t="data" x="16"/>
        <item h="1" sd="1" t="data" x="1"/>
        <item h="1" sd="1" t="data" x="21"/>
        <item h="1" sd="1" t="data" x="11"/>
        <item h="1" sd="1" t="data" x="24"/>
        <item h="1" sd="1" t="data" x="2"/>
        <item h="1" sd="1" t="data" x="26"/>
        <item h="1" sd="1" t="data" x="23"/>
        <item h="1" sd="1" t="data" x="17"/>
        <item h="1" sd="1" t="data" x="22"/>
        <item h="1" sd="1" t="data" x="18"/>
        <item h="1" sd="1" t="data" x="25"/>
        <item h="1" m="1" sd="1" t="data" x="138"/>
        <item h="1" sd="1" t="data" x="28"/>
        <item h="1" sd="1" t="data" x="27"/>
      </items>
    </pivotField>
    <pivotField axis="axisRow" compact="0" defaultSubtotal="0" dragOff="1" dragToCol="1" dragToData="1" dragToPage="1" dragToRow="1" itemPageCount="10" outline="0" showAll="0" showDropDowns="1" sortType="ascending"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25"/>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59"/>
        <item m="1" sd="1" t="data" x="18"/>
        <item m="1" sd="1" t="data" x="37"/>
        <item m="1" sd="1" t="data" x="42"/>
        <item m="1" sd="1" t="data" x="56"/>
        <item m="1" sd="1" t="data" x="75"/>
        <item m="1" sd="1" t="data" x="91"/>
        <item m="1" sd="1" t="data" x="34"/>
        <item m="1" sd="1" t="data" x="51"/>
        <item m="1" sd="1" t="data" x="68"/>
        <item m="1" sd="1" t="data" x="87"/>
        <item m="1" sd="1" t="data" x="22"/>
        <item m="1" sd="1" t="data" x="47"/>
        <item m="1" sd="1" t="data" x="26"/>
        <item m="1" sd="1" t="data" x="45"/>
        <item m="1" sd="1" t="data" x="61"/>
        <item m="1" sd="1" t="data" x="77"/>
        <item m="1" sd="1" t="data" x="20"/>
        <item m="1" sd="1" t="data" x="39"/>
        <item m="1" sd="1" t="data" x="55"/>
        <item m="1" sd="1" t="data" x="73"/>
        <item m="1" sd="1" t="data" x="90"/>
        <item m="1" sd="1" t="data" x="33"/>
        <item m="1" sd="1" t="data" x="50"/>
        <item m="1" sd="1" t="data" x="69"/>
        <item m="1" sd="1" t="data" x="67"/>
        <item m="1" sd="1" t="data" x="84"/>
        <item m="1" sd="1" t="data" x="89"/>
        <item m="1" sd="1" t="data" x="86"/>
        <item m="1" sd="1" t="data" x="24"/>
        <item m="1" sd="1" t="data" x="44"/>
        <item m="1" sd="1" t="data" x="58"/>
        <item m="1" sd="1" t="data" x="81"/>
        <item m="1" sd="1" t="data" x="19"/>
        <item m="1" sd="1" t="data" x="38"/>
        <item m="1" sd="1" t="data" x="72"/>
        <item m="1" sd="1" t="data" x="30"/>
        <item m="1" sd="1" t="data" x="17"/>
        <item m="1" sd="1" t="data" x="94"/>
        <item m="1" sd="1" t="data" x="28"/>
        <item m="1" sd="1" t="data" x="60"/>
        <item m="1" sd="1" t="data" x="76"/>
        <item m="1" sd="1" t="data" x="29"/>
        <item sd="1" t="data" x="3"/>
        <item sd="1" t="data" x="0"/>
        <item sd="1" t="data" x="4"/>
        <item sd="1" t="data" x="5"/>
        <item sd="1" t="data" x="7"/>
        <item sd="1" t="data" x="9"/>
        <item sd="1" t="data" x="1"/>
        <item sd="1" t="data" x="8"/>
        <item sd="1" t="data" x="11"/>
        <item sd="1" t="data" x="6"/>
        <item sd="1" t="data" x="10"/>
        <item sd="1" t="data" x="13"/>
        <item sd="1" t="data" x="14"/>
        <item sd="1" t="data" x="16"/>
        <item sd="1" t="data" x="2"/>
        <item sd="1" t="data" x="15"/>
        <item sd="1" t="data" x="12"/>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sd="1" t="data" x="12"/>
        <item m="1" sd="1" t="data" x="57"/>
        <item m="1" sd="1" t="data" x="141"/>
        <item m="1" sd="1" t="data" x="92"/>
        <item m="1" sd="1" t="data" x="72"/>
        <item m="1" sd="1" t="data" x="63"/>
        <item sd="1" t="data" x="28"/>
        <item m="1" sd="1" t="data" x="158"/>
        <item m="1" sd="1" t="data" x="146"/>
        <item sd="1" t="data" x="41"/>
        <item sd="1" t="data" x="4"/>
        <item m="1" sd="1" t="data" x="103"/>
        <item m="1" sd="1" t="data" x="68"/>
        <item sd="1" t="data" x="7"/>
        <item m="1" sd="1" t="data" x="150"/>
        <item sd="1" t="data" x="39"/>
        <item sd="1" t="data" x="6"/>
        <item sd="1" t="data" x="24"/>
        <item m="1" sd="1" t="data" x="98"/>
        <item sd="1" t="data" x="11"/>
        <item sd="1" t="data" x="10"/>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170"/>
        <item m="1" sd="1" t="data" x="127"/>
        <item m="1" sd="1" t="data" x="109"/>
        <item m="1" sd="1" t="data" x="81"/>
        <item sd="1" t="data" x="37"/>
        <item m="1" sd="1" t="data" x="55"/>
        <item m="1" sd="1" t="data" x="105"/>
        <item sd="1" t="data" x="43"/>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numFmtId="1"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0" topAutoShow="1">
      <items count="663">
        <item m="1" sd="1" t="data" x="72"/>
        <item m="1" sd="1" t="data" x="351"/>
        <item m="1" sd="0" t="data" x="463"/>
        <item m="1" sd="1" t="data" x="16"/>
        <item m="1" sd="1" t="data" x="101"/>
        <item m="1" sd="1" t="data" x="469"/>
        <item m="1" sd="1" t="data" x="122"/>
        <item m="1" sd="1" t="data" x="468"/>
        <item m="1" sd="1" t="data" x="140"/>
        <item m="1" sd="1" t="data" x="582"/>
        <item m="1" sd="1" t="data" x="213"/>
        <item m="1" sd="1" t="data" x="87"/>
        <item m="1" sd="1" t="data" x="22"/>
        <item m="1" sd="1" t="data" x="58"/>
        <item m="1" sd="1" t="data" x="644"/>
        <item m="1" sd="1" t="data" x="79"/>
        <item m="1" sd="1" t="data" x="3"/>
        <item m="1" sd="1" t="data" x="303"/>
        <item m="1" sd="1" t="data" x="546"/>
        <item m="1" sd="1" t="data" x="300"/>
        <item m="1" sd="1" t="data" x="185"/>
        <item m="1" sd="1" t="data" x="290"/>
        <item m="1" sd="1" t="data" x="443"/>
        <item m="1" sd="1" t="data" x="276"/>
        <item m="1" sd="1" t="data" x="424"/>
        <item m="1" sd="1" t="data" x="77"/>
        <item m="1" sd="1" t="data" x="216"/>
        <item m="1" sd="1" t="data" x="382"/>
        <item m="1" sd="1" t="data" x="540"/>
        <item m="1" sd="1" t="data" x="641"/>
        <item m="1" sd="1" t="data" x="86"/>
        <item m="1" sd="1" t="data" x="435"/>
        <item m="1" sd="1" t="data" x="9"/>
        <item m="1" sd="1" t="data" x="587"/>
        <item m="1" sd="1" t="data" x="543"/>
        <item m="1" sd="1" t="data" x="461"/>
        <item m="1" sd="1" t="data" x="653"/>
        <item m="1" sd="1" t="data" x="391"/>
        <item m="1" sd="1" t="data" x="183"/>
        <item m="1" sd="1" t="data" x="137"/>
        <item m="1" sd="1" t="data" x="597"/>
        <item m="1" sd="1" t="data" x="631"/>
        <item m="1" sd="1" t="data" x="103"/>
        <item m="1" sd="1" t="data" x="147"/>
        <item m="1" sd="1" t="data" x="336"/>
        <item m="1" sd="1" t="data" x="659"/>
        <item m="1" sd="1" t="data" x="11"/>
        <item m="1" sd="1" t="data" x="527"/>
        <item m="1" sd="1" t="data" x="321"/>
        <item m="1" sd="1" t="data" x="359"/>
        <item m="1" sd="1" t="data" x="648"/>
        <item m="1" sd="1" t="data" x="280"/>
        <item m="1" sd="1" t="data" x="65"/>
        <item m="1" sd="1" t="data" x="40"/>
        <item m="1" sd="1" t="data" x="63"/>
        <item m="1" sd="1" t="data" x="306"/>
        <item m="1" sd="1" t="data" x="45"/>
        <item m="1" sd="1" t="data" x="249"/>
        <item m="1" sd="1" t="data" x="515"/>
        <item m="1" sd="1" t="data" x="315"/>
        <item m="1" sd="1" t="data" x="271"/>
        <item m="1" sd="1" t="data" x="152"/>
        <item m="1" sd="1" t="data" x="292"/>
        <item m="1" sd="1" t="data" x="148"/>
        <item m="1" sd="1" t="data" x="497"/>
        <item m="1" sd="1" t="data" x="68"/>
        <item m="1" sd="1" t="data" x="562"/>
        <item m="1" sd="1" t="data" x="471"/>
        <item m="1" sd="1" t="data" x="27"/>
        <item m="1" sd="1" t="data" x="43"/>
        <item m="1" sd="1" t="data" x="601"/>
        <item m="1" sd="1" t="data" x="494"/>
        <item m="1" sd="1" t="data" x="442"/>
        <item m="1" sd="1" t="data" x="36"/>
        <item m="1" sd="1" t="data" x="219"/>
        <item m="1" sd="1" t="data" x="197"/>
        <item m="1" sd="1" t="data" x="194"/>
        <item m="1" sd="1" t="data" x="490"/>
        <item m="1" sd="1" t="data" x="522"/>
        <item m="1" sd="1" t="data" x="638"/>
        <item m="1" sd="1" t="data" x="376"/>
        <item m="1" sd="1" t="data" x="277"/>
        <item m="1" sd="1" t="data" x="384"/>
        <item m="1" sd="1" t="data" x="20"/>
        <item m="1" sd="1" t="data" x="656"/>
        <item m="1" sd="1" t="data" x="581"/>
        <item m="1" sd="1" t="data" x="434"/>
        <item m="1" sd="1" t="data" x="390"/>
        <item m="1" sd="1" t="data" x="54"/>
        <item m="1" sd="1" t="data" x="422"/>
        <item m="1" sd="1" t="data" x="533"/>
        <item m="1" sd="1" t="data" x="221"/>
        <item m="1" sd="1" t="data" x="237"/>
        <item m="1" sd="1" t="data" x="285"/>
        <item m="1" sd="1" t="data" x="2"/>
        <item m="1" sd="1" t="data" x="293"/>
        <item m="1" sd="1" t="data" x="640"/>
        <item m="1" sd="1" t="data" x="441"/>
        <item m="1" sd="1" t="data" x="267"/>
        <item m="1" sd="1" t="data" x="380"/>
        <item m="1" sd="1" t="data" x="624"/>
        <item m="1" sd="1" t="data" x="372"/>
        <item m="1" sd="1" t="data" x="444"/>
        <item m="1" sd="1" t="data" x="123"/>
        <item m="1" sd="1" t="data" x="196"/>
        <item m="1" sd="1" t="data" x="416"/>
        <item m="1" sd="1" t="data" x="162"/>
        <item m="1" sd="1" t="data" x="89"/>
        <item m="1" sd="1" t="data" x="182"/>
        <item m="1" sd="1" t="data" x="401"/>
        <item m="1" sd="1" t="data" x="479"/>
        <item m="1" sd="1" t="data" x="559"/>
        <item m="1" sd="1" t="data" x="521"/>
        <item m="1" sd="1" t="data" x="190"/>
        <item m="1" sd="1" t="data" x="180"/>
        <item m="1" sd="1" t="data" x="173"/>
        <item m="1" sd="1" t="data" x="265"/>
        <item m="1" sd="1" t="data" x="302"/>
        <item m="1" sd="1" t="data" x="614"/>
        <item m="1" sd="1" t="data" x="427"/>
        <item m="1" sd="1" t="data" x="607"/>
        <item m="1" sd="1" t="data" x="470"/>
        <item m="1" sd="1" t="data" x="246"/>
        <item m="1" sd="1" t="data" x="554"/>
        <item m="1" sd="1" t="data" x="319"/>
        <item m="1" sd="1" t="data" x="566"/>
        <item m="1" sd="1" t="data" x="602"/>
        <item m="1" sd="1" t="data" x="155"/>
        <item m="1" sd="1" t="data" x="288"/>
        <item m="1" sd="1" t="data" x="564"/>
        <item m="1" sd="1" t="data" x="605"/>
        <item m="1" sd="1" t="data" x="455"/>
        <item m="1" sd="1" t="data" x="163"/>
        <item m="1" sd="1" t="data" x="594"/>
        <item m="1" sd="1" t="data" x="12"/>
        <item m="1" sd="1" t="data" x="230"/>
        <item m="1" sd="1" t="data" x="495"/>
        <item m="1" sd="1" t="data" x="627"/>
        <item m="1" sd="1" t="data" x="610"/>
        <item m="1" sd="1" t="data" x="117"/>
        <item m="1" sd="1" t="data" x="511"/>
        <item m="1" sd="1" t="data" x="252"/>
        <item m="1" sd="1" t="data" x="5"/>
        <item m="1" sd="1" t="data" x="440"/>
        <item m="1" sd="1" t="data" x="639"/>
        <item m="1" sd="1" t="data" x="13"/>
        <item m="1" sd="1" t="data" x="520"/>
        <item m="1" sd="1" t="data" x="236"/>
        <item m="1" sd="1" t="data" x="402"/>
        <item m="1" sd="1" t="data" x="118"/>
        <item m="1" sd="1" t="data" x="228"/>
        <item m="1" sd="1" t="data" x="274"/>
        <item m="1" sd="1" t="data" x="560"/>
        <item m="1" sd="1" t="data" x="348"/>
        <item m="1" sd="1" t="data" x="128"/>
        <item m="1" sd="1" t="data" x="164"/>
        <item m="1" sd="1" t="data" x="547"/>
        <item m="1" sd="1" t="data" x="524"/>
        <item m="1" sd="1" t="data" x="417"/>
        <item m="1" sd="1" t="data" x="91"/>
        <item m="1" sd="1" t="data" x="146"/>
        <item m="1" sd="1" t="data" x="343"/>
        <item m="1" sd="1" t="data" x="414"/>
        <item m="1" sd="1" t="data" x="538"/>
        <item m="1" sd="1" t="data" x="532"/>
        <item m="1" sd="1" t="data" x="473"/>
        <item m="1" sd="1" t="data" x="632"/>
        <item m="1" sd="1" t="data" x="652"/>
        <item m="1" sd="1" t="data" x="23"/>
        <item m="1" sd="1" t="data" x="421"/>
        <item m="1" sd="1" t="data" x="498"/>
        <item m="1" sd="1" t="data" x="111"/>
        <item m="1" sd="1" t="data" x="430"/>
        <item m="1" sd="1" t="data" x="493"/>
        <item m="1" sd="1" t="data" x="206"/>
        <item m="1" sd="1" t="data" x="233"/>
        <item m="1" sd="1" t="data" x="287"/>
        <item m="1" sd="1" t="data" x="339"/>
        <item m="1" sd="1" t="data" x="97"/>
        <item m="1" sd="1" t="data" x="56"/>
        <item m="1" sd="1" t="data" x="69"/>
        <item m="1" sd="1" t="data" x="17"/>
        <item m="1" sd="1" t="data" x="44"/>
        <item m="1" sd="1" t="data" x="449"/>
        <item m="1" sd="1" t="data" x="254"/>
        <item m="1" sd="1" t="data" x="595"/>
        <item m="1" sd="1" t="data" x="1"/>
        <item m="1" sd="1" t="data" x="170"/>
        <item m="1" sd="1" t="data" x="166"/>
        <item m="1" sd="1" t="data" x="34"/>
        <item m="1" sd="1" t="data" x="413"/>
        <item m="1" sd="1" t="data" x="420"/>
        <item m="1" sd="1" t="data" x="158"/>
        <item m="1" sd="1" t="data" x="320"/>
        <item m="1" sd="1" t="data" x="599"/>
        <item m="1" sd="1" t="data" x="481"/>
        <item m="1" sd="1" t="data" x="460"/>
        <item m="1" sd="1" t="data" x="109"/>
        <item m="1" sd="1" t="data" x="102"/>
        <item m="1" sd="1" t="data" x="337"/>
        <item m="1" sd="1" t="data" x="42"/>
        <item m="1" sd="1" t="data" x="30"/>
        <item m="1" sd="1" t="data" x="496"/>
        <item m="1" sd="1" t="data" x="462"/>
        <item m="1" sd="1" t="data" x="64"/>
        <item m="1" sd="1" t="data" x="131"/>
        <item m="1" sd="1" t="data" x="174"/>
        <item m="1" sd="1" t="data" x="189"/>
        <item m="1" sd="1" t="data" x="329"/>
        <item m="1" sd="1" t="data" x="383"/>
        <item m="1" sd="1" t="data" x="33"/>
        <item m="1" sd="1" t="data" x="100"/>
        <item m="1" sd="1" t="data" x="465"/>
        <item m="1" sd="1" t="data" x="385"/>
        <item m="1" sd="1" t="data" x="482"/>
        <item m="1" sd="1" t="data" x="478"/>
        <item m="1" sd="1" t="data" x="439"/>
        <item m="1" sd="1" t="data" x="188"/>
        <item m="1" sd="1" t="data" x="307"/>
        <item m="1" sd="1" t="data" x="346"/>
        <item m="1" sd="1" t="data" x="106"/>
        <item m="1" sd="1" t="data" x="222"/>
        <item m="1" sd="1" t="data" x="49"/>
        <item m="1" sd="1" t="data" x="104"/>
        <item m="1" sd="1" t="data" x="438"/>
        <item m="1" sd="1" t="data" x="132"/>
        <item m="1" sd="1" t="data" x="244"/>
        <item m="1" sd="1" t="data" x="622"/>
        <item m="1" sd="1" t="data" x="308"/>
        <item m="1" sd="1" t="data" x="629"/>
        <item m="1" sd="1" t="data" x="576"/>
        <item m="1" sd="1" t="data" x="73"/>
        <item m="1" sd="1" t="data" x="585"/>
        <item m="1" sd="1" t="data" x="411"/>
        <item m="1" sd="1" t="data" x="165"/>
        <item m="1" sd="1" t="data" x="161"/>
        <item m="1" sd="1" t="data" x="389"/>
        <item m="1" sd="1" t="data" x="316"/>
        <item m="1" sd="1" t="data" x="620"/>
        <item m="1" sd="1" t="data" x="67"/>
        <item m="1" sd="1" t="data" x="567"/>
        <item m="1" sd="1" t="data" x="107"/>
        <item m="1" sd="1" t="data" x="466"/>
        <item m="1" sd="1" t="data" x="398"/>
        <item m="1" sd="1" t="data" x="502"/>
        <item m="1" sd="1" t="data" x="242"/>
        <item m="1" sd="1" t="data" x="353"/>
        <item m="1" sd="1" t="data" x="264"/>
        <item m="1" sd="1" t="data" x="367"/>
        <item m="1" sd="1" t="data" x="80"/>
        <item m="1" sd="1" t="data" x="541"/>
        <item m="1" sd="1" t="data" x="386"/>
        <item m="1" sd="1" t="data" x="365"/>
        <item m="1" sd="1" t="data" x="433"/>
        <item m="1" sd="1" t="data" x="354"/>
        <item m="1" sd="1" t="data" x="618"/>
        <item m="1" sd="1" t="data" x="448"/>
        <item m="1" sd="1" t="data" x="324"/>
        <item m="1" sd="1" t="data" x="623"/>
        <item m="1" sd="1" t="data" x="342"/>
        <item m="1" sd="1" t="data" x="129"/>
        <item m="1" sd="1" t="data" x="403"/>
        <item m="1" sd="1" t="data" x="333"/>
        <item m="1" sd="1" t="data" x="119"/>
        <item m="1" sd="1" t="data" x="516"/>
        <item m="1" sd="1" t="data" x="584"/>
        <item m="1" sd="1" t="data" x="485"/>
        <item m="1" sd="1" t="data" x="291"/>
        <item m="1" sd="1" t="data" x="361"/>
        <item m="1" sd="1" t="data" x="518"/>
        <item m="1" sd="1" t="data" x="548"/>
        <item m="1" sd="1" t="data" x="120"/>
        <item m="1" sd="1" t="data" x="98"/>
        <item m="1" sd="1" t="data" x="257"/>
        <item m="1" sd="1" t="data" x="642"/>
        <item m="1" sd="1" t="data" x="266"/>
        <item m="1" sd="1" t="data" x="169"/>
        <item m="1" sd="1" t="data" x="57"/>
        <item m="1" sd="1" t="data" x="262"/>
        <item m="1" sd="1" t="data" x="156"/>
        <item m="1" sd="1" t="data" x="360"/>
        <item m="1" sd="1" t="data" x="283"/>
        <item m="1" sd="1" t="data" x="452"/>
        <item m="1" sd="1" t="data" x="275"/>
        <item m="1" sd="1" t="data" x="88"/>
        <item m="1" sd="1" t="data" x="53"/>
        <item m="1" sd="1" t="data" x="203"/>
        <item m="1" sd="1" t="data" x="261"/>
        <item m="1" sd="1" t="data" x="149"/>
        <item m="1" sd="1" t="data" x="138"/>
        <item m="1" sd="1" t="data" x="168"/>
        <item m="1" sd="1" t="data" x="535"/>
        <item m="1" sd="1" t="data" x="114"/>
        <item m="1" sd="1" t="data" x="536"/>
        <item m="1" sd="1" t="data" x="231"/>
        <item m="1" sd="1" t="data" x="542"/>
        <item m="1" sd="1" t="data" x="651"/>
        <item m="1" sd="1" t="data" x="456"/>
        <item m="1" sd="1" t="data" x="47"/>
        <item m="1" sd="1" t="data" x="491"/>
        <item m="1" sd="1" t="data" x="635"/>
        <item m="1" sd="1" t="data" x="78"/>
        <item m="1" sd="1" t="data" x="499"/>
        <item m="1" sd="1" t="data" x="200"/>
        <item m="1" sd="1" t="data" x="451"/>
        <item m="1" sd="1" t="data" x="25"/>
        <item m="1" sd="1" t="data" x="407"/>
        <item m="1" sd="1" t="data" x="8"/>
        <item m="1" sd="1" t="data" x="347"/>
        <item m="1" sd="1" t="data" x="181"/>
        <item m="1" sd="1" t="data" x="187"/>
        <item m="1" sd="1" t="data" x="553"/>
        <item m="1" sd="1" t="data" x="573"/>
        <item m="1" sd="1" t="data" x="406"/>
        <item m="1" sd="1" t="data" x="71"/>
        <item m="1" sd="1" t="data" x="215"/>
        <item m="1" sd="1" t="data" x="539"/>
        <item m="1" sd="1" t="data" x="558"/>
        <item m="1" sd="1" t="data" x="317"/>
        <item m="1" sd="1" t="data" x="19"/>
        <item m="1" sd="1" t="data" x="484"/>
        <item m="1" sd="1" t="data" x="32"/>
        <item m="1" sd="1" t="data" x="208"/>
        <item m="1" sd="1" t="data" x="84"/>
        <item m="1" sd="1" t="data" x="654"/>
        <item m="1" sd="1" t="data" x="116"/>
        <item m="1" sd="1" t="data" x="506"/>
        <item m="1" sd="1" t="data" x="108"/>
        <item m="1" sd="1" t="data" x="509"/>
        <item m="1" sd="1" t="data" x="525"/>
        <item m="1" sd="1" t="data" x="286"/>
        <item m="1" sd="1" t="data" x="298"/>
        <item m="1" sd="1" t="data" x="247"/>
        <item m="1" sd="1" t="data" x="289"/>
        <item m="1" sd="1" t="data" x="110"/>
        <item m="1" sd="1" t="data" x="250"/>
        <item m="1" sd="1" t="data" x="487"/>
        <item m="1" sd="1" t="data" x="85"/>
        <item m="1" sd="1" t="data" x="218"/>
        <item m="1" sd="1" t="data" x="295"/>
        <item m="1" sd="1" t="data" x="596"/>
        <item m="1" sd="1" t="data" x="327"/>
        <item m="1" sd="1" t="data" x="507"/>
        <item m="1" sd="1" t="data" x="26"/>
        <item m="1" sd="1" t="data" x="239"/>
        <item m="1" sd="1" t="data" x="373"/>
        <item m="1" sd="1" t="data" x="269"/>
        <item m="1" sd="1" t="data" x="619"/>
        <item m="1" sd="1" t="data" x="28"/>
        <item m="1" sd="1" t="data" x="512"/>
        <item m="1" sd="1" t="data" x="551"/>
        <item m="1" sd="1" t="data" x="426"/>
        <item m="1" sd="1" t="data" x="504"/>
        <item m="1" sd="1" t="data" x="450"/>
        <item m="1" sd="1" t="data" x="598"/>
        <item m="1" sd="1" t="data" x="375"/>
        <item m="1" sd="1" t="data" x="453"/>
        <item m="1" sd="1" t="data" x="500"/>
        <item m="1" sd="1" t="data" x="363"/>
        <item m="1" sd="1" t="data" x="126"/>
        <item m="1" sd="1" t="data" x="660"/>
        <item m="1" sd="1" t="data" x="240"/>
        <item m="1" sd="1" t="data" x="154"/>
        <item m="1" sd="1" t="data" x="658"/>
        <item m="1" sd="1" t="data" x="592"/>
        <item m="1" sd="1" t="data" x="557"/>
        <item m="1" sd="1" t="data" x="489"/>
        <item m="1" sd="1" t="data" x="143"/>
        <item m="1" sd="1" t="data" x="349"/>
        <item m="1" sd="1" t="data" x="127"/>
        <item m="1" sd="1" t="data" x="446"/>
        <item m="1" sd="1" t="data" x="223"/>
        <item m="1" sd="1" t="data" x="428"/>
        <item m="1" sd="1" t="data" x="192"/>
        <item m="1" sd="1" t="data" x="214"/>
        <item m="1" sd="1" t="data" x="15"/>
        <item m="1" sd="1" t="data" x="284"/>
        <item m="1" sd="1" t="data" x="75"/>
        <item m="1" sd="1" t="data" x="645"/>
        <item m="1" sd="1" t="data" x="591"/>
        <item m="1" sd="1" t="data" x="263"/>
        <item m="1" sd="1" t="data" x="330"/>
        <item m="1" sd="1" t="data" x="235"/>
        <item m="1" sd="1" t="data" x="371"/>
        <item m="1" sd="1" t="data" x="464"/>
        <item m="1" sd="1" t="data" x="574"/>
        <item m="1" sd="1" t="data" x="408"/>
        <item m="1" sd="1" t="data" x="630"/>
        <item m="1" sd="1" t="data" x="323"/>
        <item m="1" sd="1" t="data" x="121"/>
        <item m="1" sd="1" t="data" x="362"/>
        <item m="1" sd="1" t="data" x="150"/>
        <item m="1" sd="1" t="data" x="142"/>
        <item m="1" sd="1" t="data" x="24"/>
        <item m="1" sd="1" t="data" x="139"/>
        <item m="1" sd="1" t="data" x="649"/>
        <item m="1" sd="1" t="data" x="52"/>
        <item m="1" sd="1" t="data" x="616"/>
        <item m="1" sd="1" t="data" x="575"/>
        <item m="1" sd="1" t="data" x="144"/>
        <item m="1" sd="1" t="data" x="606"/>
        <item m="1" sd="1" t="data" x="243"/>
        <item m="1" sd="1" t="data" x="475"/>
        <item m="1" sd="1" t="data" x="488"/>
        <item m="1" sd="1" t="data" x="534"/>
        <item m="1" sd="1" t="data" x="310"/>
        <item m="1" sd="1" t="data" x="51"/>
        <item m="1" sd="1" t="data" x="529"/>
        <item m="1" sd="1" t="data" x="211"/>
        <item m="1" sd="1" t="data" x="379"/>
        <item m="1" sd="1" t="data" x="4"/>
        <item m="1" sd="1" t="data" x="377"/>
        <item m="1" sd="1" t="data" x="209"/>
        <item m="1" sd="1" t="data" x="405"/>
        <item m="1" sd="1" t="data" x="368"/>
        <item m="1" sd="1" t="data" x="467"/>
        <item m="1" sd="1" t="data" x="328"/>
        <item m="1" sd="1" t="data" x="61"/>
        <item m="1" sd="1" t="data" x="397"/>
        <item m="1" sd="1" t="data" x="270"/>
        <item m="1" sd="1" t="data" x="590"/>
        <item m="1" sd="1" t="data" x="95"/>
        <item m="1" sd="1" t="data" x="325"/>
        <item m="1" sd="1" t="data" x="90"/>
        <item m="1" sd="1" t="data" x="82"/>
        <item m="1" sd="1" t="data" x="477"/>
        <item m="1" sd="1" t="data" x="335"/>
        <item m="1" sd="1" t="data" x="99"/>
        <item m="1" sd="1" t="data" x="225"/>
        <item m="1" sd="1" t="data" x="410"/>
        <item m="1" sd="1" t="data" x="258"/>
        <item m="1" sd="1" t="data" x="634"/>
        <item m="1" sd="1" t="data" x="396"/>
        <item m="1" sd="1" t="data" x="199"/>
        <item m="1" sd="1" t="data" x="18"/>
        <item m="1" sd="1" t="data" x="572"/>
        <item m="1" sd="1" t="data" x="387"/>
        <item m="1" sd="1" t="data" x="10"/>
        <item m="1" sd="1" t="data" x="151"/>
        <item m="1" sd="1" t="data" x="526"/>
        <item m="1" sd="1" t="data" x="177"/>
        <item m="1" sd="1" t="data" x="457"/>
        <item m="1" sd="1" t="data" x="647"/>
        <item m="1" sd="1" t="data" x="431"/>
        <item m="1" sd="1" t="data" x="93"/>
        <item m="1" sd="1" t="data" x="646"/>
        <item m="1" sd="1" t="data" x="357"/>
        <item m="1" sd="1" t="data" x="212"/>
        <item m="1" sd="1" t="data" x="326"/>
        <item m="1" sd="1" t="data" x="312"/>
        <item m="1" sd="1" t="data" x="556"/>
        <item m="1" sd="1" t="data" x="609"/>
        <item m="1" sd="1" t="data" x="611"/>
        <item m="1" sd="1" t="data" x="124"/>
        <item m="1" sd="1" t="data" x="633"/>
        <item m="1" sd="1" t="data" x="226"/>
        <item m="1" sd="1" t="data" x="661"/>
        <item m="1" sd="1" t="data" x="113"/>
        <item m="1" sd="1" t="data" x="545"/>
        <item m="1" sd="1" t="data" x="94"/>
        <item m="1" sd="1" t="data" x="134"/>
        <item m="1" sd="1" t="data" x="404"/>
        <item m="1" sd="1" t="data" x="352"/>
        <item m="1" sd="1" t="data" x="436"/>
        <item m="1" sd="1" t="data" x="255"/>
        <item m="1" sd="1" t="data" x="523"/>
        <item m="1" sd="1" t="data" x="458"/>
        <item m="1" sd="1" t="data" x="157"/>
        <item m="1" sd="1" t="data" x="568"/>
        <item m="1" sd="1" t="data" x="480"/>
        <item m="1" sd="1" t="data" x="345"/>
        <item m="1" sd="1" t="data" x="115"/>
        <item m="1" sd="1" t="data" x="409"/>
        <item m="1" sd="1" t="data" x="202"/>
        <item m="1" sd="1" t="data" x="577"/>
        <item m="1" sd="1" t="data" x="657"/>
        <item m="1" sd="1" t="data" x="589"/>
        <item m="1" sd="1" t="data" x="604"/>
        <item m="1" sd="1" t="data" x="544"/>
        <item m="1" sd="1" t="data" x="625"/>
        <item m="1" sd="1" t="data" x="503"/>
        <item m="1" sd="1" t="data" x="655"/>
        <item m="1" sd="1" t="data" x="29"/>
        <item m="1" sd="1" t="data" x="37"/>
        <item m="1" sd="1" t="data" x="588"/>
        <item m="1" sd="1" t="data" x="395"/>
        <item m="1" sd="1" t="data" x="273"/>
        <item m="1" sd="1" t="data" x="59"/>
        <item m="1" sd="1" t="data" x="412"/>
        <item m="1" sd="1" t="data" x="229"/>
        <item m="1" sd="1" t="data" x="207"/>
        <item m="1" sd="1" t="data" x="355"/>
        <item m="1" sd="1" t="data" x="301"/>
        <item m="1" sd="1" t="data" x="332"/>
        <item m="1" sd="1" t="data" x="563"/>
        <item m="1" sd="1" t="data" x="338"/>
        <item m="1" sd="1" t="data" x="394"/>
        <item m="1" sd="1" t="data" x="508"/>
        <item m="1" sd="1" t="data" x="311"/>
        <item m="1" sd="1" t="data" x="399"/>
        <item m="1" sd="1" t="data" x="454"/>
        <item m="1" sd="1" t="data" x="38"/>
        <item m="1" sd="1" t="data" x="519"/>
        <item m="1" sd="1" t="data" x="476"/>
        <item m="1" sd="1" t="data" x="561"/>
        <item m="1" sd="1" t="data" x="153"/>
        <item m="1" sd="1" t="data" x="81"/>
        <item m="1" sd="1" t="data" x="232"/>
        <item m="1" sd="1" t="data" x="486"/>
        <item m="1" sd="1" t="data" x="549"/>
        <item m="1" sd="1" t="data" x="578"/>
        <item m="1" sd="1" t="data" x="272"/>
        <item m="1" sd="1" t="data" x="340"/>
        <item m="1" sd="1" t="data" x="643"/>
        <item m="1" sd="1" t="data" x="370"/>
        <item m="1" sd="1" t="data" x="92"/>
        <item m="1" sd="1" t="data" x="130"/>
        <item m="1" sd="1" t="data" x="176"/>
        <item m="1" sd="1" t="data" x="418"/>
        <item m="1" sd="1" t="data" x="586"/>
        <item m="1" sd="1" t="data" x="637"/>
        <item m="1" sd="1" t="data" x="459"/>
        <item m="1" sd="1" t="data" x="650"/>
        <item m="1" sd="1" t="data" x="378"/>
        <item m="1" sd="1" t="data" x="517"/>
        <item m="1" sd="1" t="data" x="662"/>
        <item m="1" sd="1" t="data" x="483"/>
        <item m="1" sd="1" t="data" x="48"/>
        <item m="1" sd="1" t="data" x="62"/>
        <item m="1" sd="1" t="data" x="445"/>
        <item m="1" sd="1" t="data" x="621"/>
        <item m="1" sd="1" t="data" x="112"/>
        <item m="1" sd="1" t="data" x="31"/>
        <item m="1" sd="1" t="data" x="565"/>
        <item m="1" sd="1" t="data" x="392"/>
        <item m="1" sd="1" t="data" x="626"/>
        <item m="1" sd="1" t="data" x="331"/>
        <item m="1" sd="1" t="data" x="76"/>
        <item m="1" sd="1" t="data" x="179"/>
        <item m="1" sd="1" t="data" x="579"/>
        <item m="1" sd="1" t="data" x="70"/>
        <item m="1" sd="1" t="data" x="419"/>
        <item m="1" sd="1" t="data" x="50"/>
        <item m="1" sd="1" t="data" x="617"/>
        <item m="1" sd="1" t="data" x="296"/>
        <item m="1" sd="1" t="data" x="593"/>
        <item m="1" sd="1" t="data" x="135"/>
        <item m="1" sd="1" t="data" x="423"/>
        <item m="1" sd="1" t="data" x="552"/>
        <item m="1" sd="1" t="data" x="472"/>
        <item m="1" sd="1" t="data" x="613"/>
        <item m="1" sd="1" t="data" x="248"/>
        <item m="1" sd="1" t="data" x="7"/>
        <item m="1" sd="1" t="data" x="191"/>
        <item m="1" sd="1" t="data" x="136"/>
        <item m="1" sd="1" t="data" x="388"/>
        <item m="1" sd="1" t="data" x="224"/>
        <item m="1" sd="1" t="data" x="14"/>
        <item m="1" sd="1" t="data" x="184"/>
        <item m="1" sd="1" t="data" x="74"/>
        <item m="1" sd="1" t="data" x="60"/>
        <item m="1" sd="1" t="data" x="415"/>
        <item m="1" sd="1" t="data" x="39"/>
        <item m="1" sd="1" t="data" x="400"/>
        <item m="1" sd="1" t="data" x="41"/>
        <item m="1" sd="1" t="data" x="393"/>
        <item m="1" sd="1" t="data" x="313"/>
        <item m="1" sd="1" t="data" x="369"/>
        <item m="1" sd="1" t="data" x="6"/>
        <item m="1" sd="1" t="data" x="513"/>
        <item m="1" sd="1" t="data" x="341"/>
        <item m="1" sd="1" t="data" x="294"/>
        <item m="1" sd="1" t="data" x="583"/>
        <item m="1" sd="1" t="data" x="281"/>
        <item m="1" sd="1" t="data" x="172"/>
        <item m="1" sd="1" t="data" x="195"/>
        <item m="1" sd="1" t="data" x="555"/>
        <item m="1" sd="1" t="data" x="304"/>
        <item m="1" sd="1" t="data" x="356"/>
        <item m="1" sd="1" t="data" x="46"/>
        <item m="1" sd="1" t="data" x="21"/>
        <item m="1" sd="1" t="data" x="447"/>
        <item m="1" sd="1" t="data" x="603"/>
        <item m="1" sd="1" t="data" x="344"/>
        <item m="1" sd="1" t="data" x="205"/>
        <item m="1" sd="1" t="data" x="238"/>
        <item m="1" sd="1" t="data" x="125"/>
        <item m="1" sd="1" t="data" x="537"/>
        <item m="1" sd="1" t="data" x="241"/>
        <item m="1" sd="1" t="data" x="204"/>
        <item m="1" sd="1" t="data" x="193"/>
        <item m="1" sd="1" t="data" x="425"/>
        <item m="1" sd="1" t="data" x="615"/>
        <item m="1" sd="1" t="data" x="105"/>
        <item m="1" sd="1" t="data" x="501"/>
        <item m="1" sd="1" t="data" x="171"/>
        <item m="1" sd="1" t="data" x="608"/>
        <item m="1" sd="1" t="data" x="314"/>
        <item m="1" sd="1" t="data" x="381"/>
        <item m="1" sd="1" t="data" x="167"/>
        <item m="1" sd="1" t="data" x="141"/>
        <item m="1" sd="1" t="data" x="96"/>
        <item m="1" sd="1" t="data" x="256"/>
        <item m="1" sd="1" t="data" x="569"/>
        <item m="1" sd="1" t="data" x="492"/>
        <item m="1" sd="1" t="data" x="145"/>
        <item m="1" sd="1" t="data" x="220"/>
        <item m="1" sd="1" t="data" x="334"/>
        <item m="1" sd="1" t="data" x="253"/>
        <item m="1" sd="1" t="data" x="510"/>
        <item m="1" sd="1" t="data" x="279"/>
        <item m="1" sd="1" t="data" x="432"/>
        <item m="1" sd="1" t="data" x="530"/>
        <item m="1" sd="1" t="data" x="580"/>
        <item m="1" sd="1" t="data" x="260"/>
        <item m="1" sd="1" t="data" x="429"/>
        <item m="1" sd="1" t="data" x="83"/>
        <item m="1" sd="1" t="data" x="35"/>
        <item m="1" sd="1" t="data" x="374"/>
        <item m="1" sd="1" t="data" x="186"/>
        <item m="1" sd="1" t="data" x="322"/>
        <item m="1" sd="1" t="data" x="210"/>
        <item m="1" sd="1" t="data" x="198"/>
        <item m="1" sd="1" t="data" x="437"/>
        <item m="1" sd="1" t="data" x="234"/>
        <item m="1" sd="1" t="data" x="474"/>
        <item m="1" sd="1" t="data" x="66"/>
        <item m="1" sd="1" t="data" x="309"/>
        <item m="1" sd="1" t="data" x="297"/>
        <item m="1" sd="1" t="data" x="278"/>
        <item m="1" sd="1" t="data" x="268"/>
        <item m="1" sd="1" t="data" x="600"/>
        <item m="1" sd="1" t="data" x="251"/>
        <item m="1" sd="1" t="data" x="550"/>
        <item m="1" sd="1" t="data" x="55"/>
        <item m="1" sd="1" t="data" x="227"/>
        <item m="1" sd="1" t="data" x="528"/>
        <item m="1" sd="1" t="data" x="612"/>
        <item m="1" sd="1" t="data" x="570"/>
        <item m="1" sd="1" t="data" x="217"/>
        <item m="1" sd="1" t="data" x="514"/>
        <item m="1" sd="1" t="data" x="299"/>
        <item m="1" sd="1" t="data" x="305"/>
        <item m="1" sd="1" t="data" x="133"/>
        <item m="1" sd="1" t="data" x="366"/>
        <item m="1" sd="1" t="data" x="636"/>
        <item m="1" sd="1" t="data" x="571"/>
        <item m="1" sd="1" t="data" x="159"/>
        <item m="1" sd="1" t="data" x="201"/>
        <item m="1" sd="1" t="data" x="628"/>
        <item m="1" sd="1" t="data" x="505"/>
        <item m="1" sd="1" t="data" x="364"/>
        <item m="1" sd="1" t="data" x="178"/>
        <item m="1" sd="1" t="data" x="358"/>
        <item m="1" sd="1" t="data" x="160"/>
        <item m="1" sd="1" t="data" x="350"/>
        <item m="1" sd="1" t="data" x="259"/>
        <item m="1" sd="1" t="data" x="531"/>
        <item m="1" sd="1" t="data" x="245"/>
        <item m="1" sd="1" t="data" x="318"/>
        <item m="1" sd="1" t="data" x="282"/>
        <item m="1" sd="1" t="data" x="175"/>
        <item sd="1" t="data" x="0"/>
      </items>
    </pivotField>
    <pivotField axis="axisRow" compact="0" defaultSubtotal="0" dragOff="1" dragToCol="1" dragToData="1" dragToPage="1" dragToRow="1" itemPageCount="10" outline="0" showAll="0" showDropDowns="1" sortType="manual" subtotalTop="0" topAutoShow="1">
      <items count="190">
        <item m="1" sd="1" t="data" x="1"/>
        <item m="1" sd="1" t="data" x="174"/>
        <item m="1" sd="1" t="data" x="160"/>
        <item m="1" sd="1" t="data" x="166"/>
        <item m="1" sd="1" t="data" x="73"/>
        <item m="1" sd="1" t="data" x="48"/>
        <item m="1" sd="1" t="data" x="124"/>
        <item m="1" sd="1" t="data" x="89"/>
        <item m="1" sd="1" t="data" x="38"/>
        <item m="1" sd="1" t="data" x="63"/>
        <item m="1" sd="1" t="data" x="72"/>
        <item m="1" sd="1" t="data" x="94"/>
        <item m="1" sd="1" t="data" x="28"/>
        <item m="1" sd="1" t="data" x="26"/>
        <item m="1" sd="1" t="data" x="60"/>
        <item m="1" sd="1" t="data" x="125"/>
        <item m="1" sd="1" t="data" x="105"/>
        <item m="1" sd="1" t="data" x="25"/>
        <item m="1" sd="1" t="data" x="158"/>
        <item m="1" sd="1" t="data" x="114"/>
        <item m="1" sd="1" t="data" x="33"/>
        <item m="1" sd="1" t="data" x="107"/>
        <item m="1" sd="1" t="data" x="69"/>
        <item m="1" sd="1" t="data" x="126"/>
        <item m="1" sd="1" t="data" x="15"/>
        <item m="1" sd="1" t="data" x="12"/>
        <item m="1" sd="1" t="data" x="155"/>
        <item m="1" sd="1" t="data" x="71"/>
        <item m="1" sd="1" t="data" x="131"/>
        <item m="1" sd="1" t="data" x="121"/>
        <item m="1" sd="1" t="data" x="49"/>
        <item m="1" sd="1" t="data" x="110"/>
        <item m="1" sd="1" t="data" x="148"/>
        <item m="1" sd="1" t="data" x="87"/>
        <item m="1" sd="1" t="data" x="4"/>
        <item m="1" sd="1" t="data" x="152"/>
        <item m="1" sd="1" t="data" x="19"/>
        <item m="1" sd="1" t="data" x="135"/>
        <item m="1" sd="1" t="data" x="172"/>
        <item m="1" sd="1" t="data" x="29"/>
        <item m="1" sd="1" t="data" x="182"/>
        <item m="1" sd="1" t="data" x="138"/>
        <item m="1" sd="1" t="data" x="82"/>
        <item m="1" sd="1" t="data" x="142"/>
        <item m="1" sd="1" t="data" x="149"/>
        <item m="1" sd="1" t="data" x="92"/>
        <item m="1" sd="1" t="data" x="186"/>
        <item m="1" sd="1" t="data" x="113"/>
        <item m="1" sd="1" t="data" x="98"/>
        <item m="1" sd="1" t="data" x="45"/>
        <item m="1" sd="1" t="data" x="180"/>
        <item m="1" sd="1" t="data" x="112"/>
        <item m="1" sd="1" t="data" x="53"/>
        <item m="1" sd="1" t="data" x="95"/>
        <item m="1" sd="1" t="data" x="40"/>
        <item m="1" sd="1" t="data" x="77"/>
        <item m="1" sd="1" t="data" x="75"/>
        <item m="1" sd="1" t="data" x="80"/>
        <item m="1" sd="1" t="data" x="93"/>
        <item m="1" sd="1" t="data" x="64"/>
        <item m="1" sd="1" t="data" x="161"/>
        <item m="1" sd="1" t="data" x="176"/>
        <item m="1" sd="1" t="data" x="90"/>
        <item m="1" sd="1" t="data" x="83"/>
        <item m="1" sd="1" t="data" x="129"/>
        <item m="1" sd="1" t="data" x="137"/>
        <item m="1" sd="1" t="data" x="11"/>
        <item m="1" sd="1" t="data" x="165"/>
        <item m="1" sd="1" t="data" x="42"/>
        <item m="1" sd="1" t="data" x="100"/>
        <item m="1" sd="1" t="data" x="59"/>
        <item m="1" sd="1" t="data" x="22"/>
        <item m="1" sd="1" t="data" x="56"/>
        <item m="1" sd="1" t="data" x="151"/>
        <item m="1" sd="1" t="data" x="109"/>
        <item m="1" sd="1" t="data" x="143"/>
        <item m="1" sd="1" t="data" x="31"/>
        <item m="1" sd="1" t="data" x="156"/>
        <item m="1" sd="1" t="data" x="27"/>
        <item m="1" sd="1" t="data" x="181"/>
        <item m="1" sd="1" t="data" x="128"/>
        <item m="1" sd="1" t="data" x="111"/>
        <item m="1" sd="1" t="data" x="150"/>
        <item m="1" sd="1" t="data" x="76"/>
        <item m="1" sd="1" t="data" x="153"/>
        <item m="1" sd="1" t="data" x="104"/>
        <item m="1" sd="1" t="data" x="103"/>
        <item m="1" sd="1" t="data" x="57"/>
        <item m="1" sd="1" t="data" x="9"/>
        <item m="1" sd="1" t="data" x="97"/>
        <item m="1" sd="1" t="data" x="163"/>
        <item m="1" sd="1" t="data" x="67"/>
        <item m="1" sd="1" t="data" x="3"/>
        <item m="1" sd="1" t="data" x="119"/>
        <item m="1" sd="1" t="data" x="17"/>
        <item m="1" sd="1" t="data" x="154"/>
        <item m="1" sd="1" t="data" x="24"/>
        <item m="1" sd="1" t="data" x="145"/>
        <item m="1" sd="1" t="data" x="51"/>
        <item m="1" sd="1" t="data" x="34"/>
        <item m="1" sd="1" t="data" x="115"/>
        <item m="1" sd="1" t="data" x="102"/>
        <item m="1" sd="1" t="data" x="62"/>
        <item m="1" sd="1" t="data" x="179"/>
        <item m="1" sd="1" t="data" x="96"/>
        <item m="1" sd="1" t="data" x="144"/>
        <item m="1" sd="1" t="data" x="170"/>
        <item m="1" sd="1" t="data" x="61"/>
        <item m="1" sd="1" t="data" x="58"/>
        <item m="1" sd="1" t="data" x="177"/>
        <item m="1" sd="1" t="data" x="46"/>
        <item m="1" sd="1" t="data" x="85"/>
        <item m="1" sd="1" t="data" x="157"/>
        <item m="1" sd="1" t="data" x="79"/>
        <item m="1" sd="1" t="data" x="188"/>
        <item m="1" sd="1" t="data" x="101"/>
        <item m="1" sd="1" t="data" x="185"/>
        <item m="1" sd="1" t="data" x="164"/>
        <item m="1" sd="1" t="data" x="139"/>
        <item m="1" sd="1" t="data" x="116"/>
        <item m="1" sd="1" t="data" x="146"/>
        <item m="1" sd="1" t="data" x="147"/>
        <item m="1" sd="1" t="data" x="88"/>
        <item m="1" sd="1" t="data" x="47"/>
        <item m="1" sd="1" t="data" x="8"/>
        <item m="1" sd="1" t="data" x="10"/>
        <item m="1" sd="1" t="data" x="187"/>
        <item m="1" sd="1" t="data" x="55"/>
        <item m="1" sd="1" t="data" x="86"/>
        <item m="1" sd="1" t="data" x="32"/>
        <item m="1" sd="1" t="data" x="78"/>
        <item m="1" sd="1" t="data" x="168"/>
        <item m="1" sd="1" t="data" x="162"/>
        <item m="1" sd="1" t="data" x="44"/>
        <item m="1" sd="1" t="data" x="118"/>
        <item m="1" sd="1" t="data" x="54"/>
        <item m="1" sd="1" t="data" x="14"/>
        <item m="1" sd="1" t="data" x="178"/>
        <item m="1" sd="1" t="data" x="169"/>
        <item m="1" sd="1" t="data" x="91"/>
        <item m="1" sd="1" t="data" x="37"/>
        <item m="1" sd="1" t="data" x="167"/>
        <item m="1" sd="1" t="data" x="5"/>
        <item m="1" sd="1" t="data" x="13"/>
        <item m="1" sd="1" t="data" x="123"/>
        <item m="1" sd="1" t="data" x="39"/>
        <item m="1" sd="1" t="data" x="16"/>
        <item m="1" sd="1" t="data" x="140"/>
        <item m="1" sd="1" t="data" x="2"/>
        <item m="1" sd="1" t="data" x="134"/>
        <item m="1" sd="1" t="data" x="66"/>
        <item m="1" sd="1" t="data" x="184"/>
        <item m="1" sd="1" t="data" x="50"/>
        <item m="1" sd="1" t="data" x="68"/>
        <item m="1" sd="1" t="data" x="173"/>
        <item m="1" sd="1" t="data" x="133"/>
        <item m="1" sd="1" t="data" x="70"/>
        <item m="1" sd="1" t="data" x="35"/>
        <item m="1" sd="1" t="data" x="159"/>
        <item m="1" sd="1" t="data" x="21"/>
        <item m="1" sd="1" t="data" x="141"/>
        <item m="1" sd="1" t="data" x="7"/>
        <item m="1" sd="1" t="data" x="65"/>
        <item m="1" sd="1" t="data" x="74"/>
        <item m="1" sd="1" t="data" x="127"/>
        <item m="1" sd="1" t="data" x="36"/>
        <item m="1" sd="1" t="data" x="6"/>
        <item m="1" sd="1" t="data" x="84"/>
        <item m="1" sd="1" t="data" x="81"/>
        <item m="1" sd="1" t="data" x="20"/>
        <item m="1" sd="1" t="data" x="52"/>
        <item m="1" sd="1" t="data" x="18"/>
        <item m="1" sd="1" t="data" x="171"/>
        <item m="1" sd="1" t="data" x="189"/>
        <item m="1" sd="1" t="data" x="183"/>
        <item m="1" sd="1" t="data" x="106"/>
        <item m="1" sd="1" t="data" x="99"/>
        <item m="1" sd="1" t="data" x="175"/>
        <item m="1" sd="1" t="data" x="108"/>
        <item m="1" sd="1" t="data" x="117"/>
        <item m="1" sd="1" t="data" x="136"/>
        <item m="1" sd="1" t="data" x="132"/>
        <item m="1" sd="1" t="data" x="41"/>
        <item m="1" sd="1" t="data" x="30"/>
        <item m="1" sd="1" t="data" x="23"/>
        <item m="1" sd="1" t="data" x="122"/>
        <item m="1" sd="1" t="data" x="130"/>
        <item m="1" sd="1" t="data" x="43"/>
        <item m="1" sd="1" t="data" x="120"/>
        <item sd="1" t="data" x="0"/>
      </items>
    </pivotField>
    <pivotField compact="0" defaultSubtotal="0" dragOff="1" dragToCol="1" dragToData="1" dragToPage="1" dragToRow="1" itemPageCount="10" numFmtId="2"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0" topAutoShow="1">
      <items count="7">
        <item sd="1" t="data" x="2"/>
        <item sd="1" t="data" x="5"/>
        <item sd="1" t="data" x="4"/>
        <item sd="1" t="data" x="1"/>
        <item sd="1" t="data" x="6"/>
        <item sd="1" t="data" x="3"/>
        <item sd="1" t="data" x="0"/>
      </items>
    </pivotField>
    <pivotField axis="axisRow" compact="0" defaultSubtotal="0" dragOff="1" dragToCol="1" dragToData="1" dragToPage="1" dragToRow="1" itemPageCount="10" numFmtId="14"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items count="103">
        <item sd="1" t="data" x="63"/>
        <item sd="1" t="data" x="61"/>
        <item sd="1" t="data" x="56"/>
        <item sd="1" t="data" x="35"/>
        <item sd="1" t="data" x="5"/>
        <item sd="1" t="data" x="4"/>
        <item sd="1" t="data" x="83"/>
        <item sd="1" t="data" x="33"/>
        <item sd="1" t="data" x="7"/>
        <item sd="1" t="data" x="2"/>
        <item sd="1" t="data" x="100"/>
        <item sd="1" t="data" x="28"/>
        <item sd="1" t="data" x="12"/>
        <item sd="1" t="data" x="96"/>
        <item sd="1" t="data" x="49"/>
        <item sd="1" t="data" x="18"/>
        <item sd="1" t="data" x="26"/>
        <item sd="1" t="data" x="30"/>
        <item sd="1" t="data" x="95"/>
        <item sd="1" t="data" x="24"/>
        <item sd="1" t="data" x="14"/>
        <item sd="1" t="data" x="66"/>
        <item sd="1" t="data" x="53"/>
        <item sd="1" t="data" x="92"/>
        <item sd="1" t="data" x="51"/>
        <item sd="1" t="data" x="22"/>
        <item sd="1" t="data" x="44"/>
        <item sd="1" t="data" x="1"/>
        <item sd="1" t="data" x="43"/>
        <item sd="1" t="data" x="46"/>
        <item sd="1" t="data" x="41"/>
        <item sd="1" t="data" x="68"/>
        <item sd="1" t="data" x="37"/>
        <item sd="1" t="data" x="76"/>
        <item sd="1" t="data" x="75"/>
        <item sd="1" t="data" x="47"/>
        <item sd="1" t="data" x="79"/>
        <item sd="1" t="data" x="20"/>
        <item sd="1" t="data" x="15"/>
        <item sd="1" t="data" x="87"/>
        <item sd="1" t="data" x="81"/>
        <item sd="1" t="data" x="9"/>
        <item sd="1" t="data" x="72"/>
        <item sd="1" t="data" x="39"/>
        <item sd="1" t="data" x="70"/>
        <item sd="1" t="data" x="73"/>
        <item sd="1" t="data" x="58"/>
        <item sd="1" t="data" x="77"/>
        <item sd="1" t="data" x="13"/>
        <item sd="1" t="data" x="38"/>
        <item sd="1" t="data" x="91"/>
        <item sd="1" t="data" x="8"/>
        <item sd="1" t="data" x="82"/>
        <item sd="1" t="data" x="88"/>
        <item sd="1" t="data" x="84"/>
        <item sd="1" t="data" x="98"/>
        <item sd="1" t="data" x="10"/>
        <item sd="1" t="data" x="78"/>
        <item sd="1" t="data" x="85"/>
        <item sd="1" t="data" x="55"/>
        <item sd="1" t="data" x="59"/>
        <item sd="1" t="data" x="21"/>
        <item sd="1" t="data" x="19"/>
        <item sd="1" t="data" x="40"/>
        <item sd="1" t="data" x="42"/>
        <item sd="1" t="data" x="16"/>
        <item sd="1" t="data" x="71"/>
        <item sd="1" t="data" x="74"/>
        <item sd="1" t="data" x="93"/>
        <item sd="1" t="data" x="17"/>
        <item sd="1" t="data" x="86"/>
        <item sd="1" t="data" x="69"/>
        <item sd="1" t="data" x="0"/>
        <item sd="1" t="data" x="101"/>
        <item sd="1" t="data" x="48"/>
        <item sd="1" t="data" x="52"/>
        <item sd="1" t="data" x="54"/>
        <item sd="1" t="data" x="90"/>
        <item sd="1" t="data" x="31"/>
        <item sd="1" t="data" x="23"/>
        <item sd="1" t="data" x="45"/>
        <item sd="1" t="data" x="94"/>
        <item sd="1" t="data" x="36"/>
        <item sd="1" t="data" x="60"/>
        <item sd="1" t="data" x="102"/>
        <item sd="1" t="data" x="29"/>
        <item sd="1" t="data" x="27"/>
        <item sd="1" t="data" x="65"/>
        <item sd="1" t="data" x="97"/>
        <item sd="1" t="data" x="80"/>
        <item sd="1" t="data" x="99"/>
        <item sd="1" t="data" x="67"/>
        <item sd="1" t="data" x="25"/>
        <item sd="1" t="data" x="50"/>
        <item sd="1" t="data" x="11"/>
        <item sd="1" t="data" x="3"/>
        <item sd="1" t="data" x="89"/>
        <item sd="1" t="data" x="32"/>
        <item sd="1" t="data" x="34"/>
        <item sd="1" t="data" x="6"/>
        <item sd="1" t="data" x="57"/>
        <item sd="1" t="data" x="62"/>
        <item sd="1" t="data" x="64"/>
      </items>
    </pivotField>
    <pivotField compact="0" defaultSubtotal="0" dragOff="1" dragToCol="1" dragToData="1" dragToPage="1" dragToRow="1" itemPageCount="10" outline="0" showAll="0" showDropDowns="1" sortType="manual" subtotalTop="0" topAutoShow="1">
      <items count="102">
        <item sd="1" t="data" x="63"/>
        <item sd="1" t="data" x="61"/>
        <item sd="1" t="data" x="56"/>
        <item sd="1" t="data" x="35"/>
        <item sd="1" t="data" x="5"/>
        <item sd="1" t="data" x="4"/>
        <item sd="1" t="data" x="83"/>
        <item sd="1" t="data" x="33"/>
        <item sd="1" t="data" x="7"/>
        <item sd="1" t="data" x="2"/>
        <item sd="1" t="data" x="100"/>
        <item sd="1" t="data" x="28"/>
        <item sd="1" t="data" x="12"/>
        <item sd="1" t="data" x="96"/>
        <item sd="1" t="data" x="49"/>
        <item sd="1" t="data" x="18"/>
        <item sd="1" t="data" x="26"/>
        <item sd="1" t="data" x="30"/>
        <item sd="1" t="data" x="95"/>
        <item sd="1" t="data" x="24"/>
        <item sd="1" t="data" x="14"/>
        <item sd="1" t="data" x="66"/>
        <item sd="1" t="data" x="53"/>
        <item sd="1" t="data" x="92"/>
        <item sd="1" t="data" x="51"/>
        <item sd="1" t="data" x="22"/>
        <item sd="1" t="data" x="44"/>
        <item sd="1" t="data" x="1"/>
        <item sd="1" t="data" x="43"/>
        <item sd="1" t="data" x="46"/>
        <item sd="1" t="data" x="41"/>
        <item sd="1" t="data" x="68"/>
        <item sd="1" t="data" x="37"/>
        <item sd="1" t="data" x="76"/>
        <item sd="1" t="data" x="75"/>
        <item sd="1" t="data" x="47"/>
        <item sd="1" t="data" x="79"/>
        <item sd="1" t="data" x="20"/>
        <item sd="1" t="data" x="15"/>
        <item sd="1" t="data" x="87"/>
        <item sd="1" t="data" x="81"/>
        <item sd="1" t="data" x="9"/>
        <item sd="1" t="data" x="72"/>
        <item sd="1" t="data" x="39"/>
        <item sd="1" t="data" x="70"/>
        <item sd="1" t="data" x="73"/>
        <item sd="1" t="data" x="58"/>
        <item sd="1" t="data" x="77"/>
        <item sd="1" t="data" x="13"/>
        <item sd="1" t="data" x="38"/>
        <item sd="1" t="data" x="91"/>
        <item sd="1" t="data" x="8"/>
        <item sd="1" t="data" x="82"/>
        <item sd="1" t="data" x="88"/>
        <item sd="1" t="data" x="84"/>
        <item sd="1" t="data" x="98"/>
        <item sd="1" t="data" x="10"/>
        <item sd="1" t="data" x="78"/>
        <item sd="1" t="data" x="85"/>
        <item sd="1" t="data" x="55"/>
        <item sd="1" t="data" x="59"/>
        <item sd="1" t="data" x="21"/>
        <item sd="1" t="data" x="19"/>
        <item sd="1" t="data" x="40"/>
        <item sd="1" t="data" x="42"/>
        <item sd="1" t="data" x="16"/>
        <item sd="1" t="data" x="71"/>
        <item sd="1" t="data" x="74"/>
        <item sd="1" t="data" x="93"/>
        <item sd="1" t="data" x="17"/>
        <item sd="1" t="data" x="86"/>
        <item sd="1" t="data" x="69"/>
        <item sd="1" t="data" x="0"/>
        <item sd="1" t="data" x="48"/>
        <item sd="1" t="data" x="52"/>
        <item sd="1" t="data" x="54"/>
        <item sd="1" t="data" x="90"/>
        <item sd="1" t="data" x="31"/>
        <item sd="1" t="data" x="23"/>
        <item sd="1" t="data" x="45"/>
        <item sd="1" t="data" x="94"/>
        <item sd="1" t="data" x="36"/>
        <item sd="1" t="data" x="60"/>
        <item sd="1" t="data" x="29"/>
        <item sd="1" t="data" x="27"/>
        <item sd="1" t="data" x="65"/>
        <item sd="1" t="data" x="97"/>
        <item sd="1" t="data" x="80"/>
        <item sd="1" t="data" x="99"/>
        <item sd="1" t="data" x="67"/>
        <item sd="1" t="data" x="25"/>
        <item sd="1" t="data" x="50"/>
        <item sd="1" t="data" x="11"/>
        <item sd="1" t="data" x="3"/>
        <item sd="1" t="data" x="89"/>
        <item sd="1" t="data" x="32"/>
        <item sd="1" t="data" x="34"/>
        <item sd="1" t="data" x="6"/>
        <item sd="1" t="data" x="57"/>
        <item sd="1" t="data" x="62"/>
        <item sd="1" t="data" x="64"/>
        <item sd="1" t="data" x="101"/>
      </items>
    </pivotField>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11">
    <field x="6"/>
    <field x="1"/>
    <field x="0"/>
    <field x="2"/>
    <field x="3"/>
    <field x="4"/>
    <field x="7"/>
    <field x="13"/>
    <field x="14"/>
    <field x="9"/>
    <field x="26"/>
  </rowFields>
  <rowItems count="15">
    <i i="0" r="0" t="data">
      <x v="92"/>
      <x v="36"/>
      <x v="194"/>
      <x v="0"/>
      <x v="10"/>
      <x v="259"/>
      <x v="69"/>
      <x v="662"/>
      <x v="189"/>
      <x v="2"/>
      <x v="28"/>
    </i>
    <i i="0" r="0" t="data">
      <x v="93"/>
      <x v="34"/>
      <x v="192"/>
      <x v="0"/>
      <x v="10"/>
      <x v="259"/>
      <x v="41"/>
      <x v="662"/>
      <x v="189"/>
      <x v="3"/>
      <x v="29"/>
    </i>
    <i i="0" r="1" t="data">
      <x v="39"/>
      <x v="199"/>
      <x v="0"/>
      <x v="10"/>
      <x v="261"/>
      <x v="138"/>
      <x v="662"/>
      <x v="189"/>
      <x v="3"/>
      <x v="29"/>
    </i>
    <i i="0" r="1" t="data">
      <x v="41"/>
      <x v="205"/>
      <x v="0"/>
      <x v="10"/>
      <x v="264"/>
      <x v="172"/>
      <x v="662"/>
      <x v="189"/>
      <x v="3"/>
      <x v="29"/>
    </i>
    <i i="0" r="0" t="data">
      <x v="94"/>
      <x v="38"/>
      <x v="198"/>
      <x v="0"/>
      <x v="10"/>
      <x v="261"/>
      <x v="170"/>
      <x v="662"/>
      <x v="189"/>
      <x v="0"/>
      <x v="30"/>
    </i>
    <i i="0" r="0" t="data">
      <x v="95"/>
      <x v="17"/>
      <x v="201"/>
      <x v="6"/>
      <x v="10"/>
      <x v="262"/>
      <x v="67"/>
      <x v="662"/>
      <x v="189"/>
      <x v="3"/>
      <x v="31"/>
    </i>
    <i i="0" r="1" t="data">
      <x v="33"/>
      <x v="191"/>
      <x v="0"/>
      <x v="10"/>
      <x v="259"/>
      <x v="6"/>
      <x v="662"/>
      <x v="189"/>
      <x v="7"/>
      <x v="31"/>
    </i>
    <i i="0" r="1" t="data">
      <x v="35"/>
      <x v="193"/>
      <x v="0"/>
      <x v="10"/>
      <x v="259"/>
      <x v="70"/>
      <x v="662"/>
      <x v="189"/>
      <x v="0"/>
      <x v="31"/>
    </i>
    <i i="0" r="1" t="data">
      <x v="37"/>
      <x v="195"/>
      <x v="0"/>
      <x v="10"/>
      <x v="260"/>
      <x v="35"/>
      <x v="662"/>
      <x v="189"/>
      <x v="1"/>
      <x v="31"/>
    </i>
    <i i="0" r="2" t="data">
      <x v="215"/>
      <x v="2"/>
      <x v="10"/>
      <x v="267"/>
      <x v="35"/>
      <x v="662"/>
      <x v="189"/>
      <x v="1"/>
      <x v="31"/>
    </i>
    <i i="0" r="1" t="data">
      <x v="40"/>
      <x v="202"/>
      <x v="0"/>
      <x v="10"/>
      <x v="263"/>
      <x v="20"/>
      <x v="662"/>
      <x v="189"/>
      <x v="2"/>
      <x v="31"/>
    </i>
    <i i="0" r="1" t="data">
      <x v="42"/>
      <x v="213"/>
      <x v="0"/>
      <x v="10"/>
      <x v="267"/>
      <x v="35"/>
      <x v="662"/>
      <x v="189"/>
      <x v="1"/>
      <x v="31"/>
    </i>
    <i i="0" r="2" t="data">
      <x v="214"/>
      <x v="2"/>
      <x v="10"/>
      <x v="267"/>
      <x v="35"/>
      <x v="662"/>
      <x v="189"/>
      <x v="4"/>
      <x v="31"/>
    </i>
    <i i="0" r="0" t="data">
      <x v="97"/>
      <x v="25"/>
      <x v="188"/>
      <x v="1"/>
      <x v="10"/>
      <x v="258"/>
      <x v="82"/>
      <x v="662"/>
      <x v="189"/>
      <x v="0"/>
      <x v="32"/>
    </i>
    <i i="0" r="0" t="grand">
      <x v="0"/>
    </i>
  </rowItems>
  <colFields count="1">
    <field x="-2"/>
  </colFields>
  <colItems count="3">
    <i i="0" r="0" t="data">
      <x v="0"/>
    </i>
    <i i="1" r="0" t="data">
      <x v="1"/>
    </i>
    <i i="2" r="0" t="data">
      <x v="2"/>
    </i>
  </colItems>
  <pageFields count="1">
    <pageField fld="5" hier="-1"/>
  </pageFields>
  <dataFields count="3">
    <dataField baseField="6" baseItem="67" fld="19" name="Req uired Cap" showDataAs="normal" subtotal="sum"/>
    <dataField baseField="0" baseItem="0" fld="16" name="Sum of TotPrem" showDataAs="normal" subtotal="sum"/>
    <dataField baseField="0" baseItem="0" fld="23" name="Sum of AROI" showDataAs="normal" subtotal="sum"/>
  </dataFields>
  <formats count="9">
    <format action="formatting" dxfId="14">
      <pivotArea axis="axisRow" dataOnly="0" field="6" fieldPosition="0" labelOnly="1" outline="0" type="button"/>
    </format>
    <format action="formatting" dxfId="15">
      <pivotArea axis="axisRow" dataOnly="0" field="0" fieldPosition="2" labelOnly="1" outline="0" type="button"/>
    </format>
    <format action="formatting" dxfId="16">
      <pivotArea dataOnly="0" fieldPosition="0" labelOnly="1" outline="0" type="normal">
        <references count="7">
          <reference field="0" selected="0">
            <x v="172"/>
          </reference>
          <reference field="1" selected="0">
            <x v="26"/>
          </reference>
          <reference field="2" selected="0">
            <x v="0"/>
          </reference>
          <reference field="3" selected="0"/>
          <reference field="4" selected="0">
            <x v="252"/>
          </reference>
          <reference field="6" selected="0">
            <x v="88"/>
          </reference>
          <reference field="7">
            <x v="168"/>
          </reference>
        </references>
      </pivotArea>
    </format>
    <format action="formatting" dxfId="17">
      <pivotArea dataOnly="0" fieldPosition="0" labelOnly="1" outline="0" type="normal">
        <references count="7">
          <reference field="0" selected="0">
            <x v="138"/>
          </reference>
          <reference field="1" selected="0">
            <x v="16"/>
          </reference>
          <reference field="2" selected="0">
            <x v="1"/>
          </reference>
          <reference field="3" selected="0"/>
          <reference field="4" selected="0">
            <x v="241"/>
          </reference>
          <reference field="6" selected="0">
            <x v="90"/>
          </reference>
          <reference field="7">
            <x v="43"/>
          </reference>
        </references>
      </pivotArea>
    </format>
    <format action="formatting" dxfId="18">
      <pivotArea dataOnly="0" fieldPosition="0" labelOnly="1" outline="0" type="normal">
        <references count="7">
          <reference field="0" selected="0">
            <x v="165"/>
          </reference>
          <reference field="1" selected="0">
            <x v="24"/>
          </reference>
          <reference field="2" selected="0">
            <x v="0"/>
          </reference>
          <reference field="3" selected="0"/>
          <reference field="4" selected="0">
            <x v="249"/>
          </reference>
          <reference field="6" selected="0">
            <x v="90"/>
          </reference>
          <reference field="7">
            <x v="167"/>
          </reference>
        </references>
      </pivotArea>
    </format>
    <format action="formatting" dxfId="19">
      <pivotArea dataOnly="0" fieldPosition="0" labelOnly="1" outline="0" type="normal">
        <references count="7">
          <reference field="0" selected="0">
            <x v="169"/>
          </reference>
          <reference field="1" selected="0">
            <x v="17"/>
          </reference>
          <reference field="2" selected="0">
            <x v="3"/>
          </reference>
          <reference field="3" selected="0"/>
          <reference field="4" selected="0">
            <x v="250"/>
          </reference>
          <reference field="6" selected="0">
            <x v="91"/>
          </reference>
          <reference field="7">
            <x v="67"/>
          </reference>
        </references>
      </pivotArea>
    </format>
    <format action="formatting" dxfId="20">
      <pivotArea dataOnly="0" fieldPosition="0" labelOnly="1" outline="0" type="normal">
        <references count="7">
          <reference field="0" selected="0">
            <x v="163"/>
          </reference>
          <reference field="1" selected="0">
            <x v="23"/>
          </reference>
          <reference field="2" selected="0">
            <x v="0"/>
          </reference>
          <reference field="3" selected="0"/>
          <reference field="4" selected="0">
            <x v="249"/>
          </reference>
          <reference field="6" selected="0">
            <x v="91"/>
          </reference>
          <reference field="7">
            <x v="32"/>
          </reference>
        </references>
      </pivotArea>
    </format>
    <format action="formatting" dxfId="21">
      <pivotArea dataOnly="0" fieldPosition="0" labelOnly="1" outline="0" type="normal">
        <references count="7">
          <reference field="0" selected="0">
            <x v="171"/>
          </reference>
          <reference field="1" selected="0">
            <x v="25"/>
          </reference>
          <reference field="2" selected="0">
            <x v="0"/>
          </reference>
          <reference field="3" selected="0"/>
          <reference field="4" selected="0">
            <x v="251"/>
          </reference>
          <reference field="6" selected="0">
            <x v="91"/>
          </reference>
          <reference field="7">
            <x v="82"/>
          </reference>
        </references>
      </pivotArea>
    </format>
    <format action="formatting" dxfId="22">
      <pivotArea dataOnly="0" fieldPosition="0" labelOnly="1" outline="0" type="normal">
        <references count="7">
          <reference field="0" selected="0">
            <x v="167"/>
          </reference>
          <reference field="1" selected="0">
            <x v="0"/>
          </reference>
          <reference field="2" selected="0">
            <x v="4"/>
          </reference>
          <reference field="3" selected="0"/>
          <reference field="4" selected="0">
            <x v="250"/>
          </reference>
          <reference field="6" selected="0">
            <x v="95"/>
          </reference>
          <reference field="7">
            <x v="160"/>
          </reference>
        </references>
      </pivotArea>
    </format>
  </formats>
  <pivotTableStyleInfo name="PivotStyleLight16" showColHeaders="1" showColStripes="0" showLastColumn="1" showRowHeaders="1" showRowStripes="0"/>
</pivotTableDefinition>
</file>

<file path=xl/pivotTables/pivotTable4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0" showCalcMbrs="1" showDataDropDown="1" showDataTips="1" showDrill="0" showDropZones="1" showEmptyCol="0" showEmptyRow="0" showError="0" showHeaders="1" showItems="1" showMemberPropertyTips="1" showMissing="1" showMultipleLabel="1" subtotalHiddenItems="0" updatedVersion="7" useAutoFormatting="0" visualTotals="1" r:id="rId1">
  <location firstDataCol="0" firstDataRow="2" firstHeaderRow="1" ref="A11:AH12"/>
  <pivotFields count="3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axis="axisCol" compact="0" defaultSubtotal="0" dragOff="1" dragToCol="1" dragToData="1" dragToPage="1" dragToRow="1" itemPageCount="10" numFmtId="166" outline="0" showAll="0" showDropDowns="1" sortType="manual" subtotalTop="1"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s>
  <rowItems count="1">
    <i i="0" r="0" t="data"/>
  </rowItems>
  <colFields count="1">
    <field x="26"/>
  </colFields>
  <colItems count="34">
    <i i="0" r="0" t="data">
      <x v="0"/>
    </i>
    <i i="0" r="0" t="data">
      <x v="1"/>
    </i>
    <i i="0" r="0" t="data">
      <x v="2"/>
    </i>
    <i i="0" r="0" t="data">
      <x v="3"/>
    </i>
    <i i="0" r="0" t="data">
      <x v="4"/>
    </i>
    <i i="0" r="0" t="data">
      <x v="5"/>
    </i>
    <i i="0" r="0" t="data">
      <x v="6"/>
    </i>
    <i i="0" r="0" t="data">
      <x v="7"/>
    </i>
    <i i="0" r="0" t="data">
      <x v="8"/>
    </i>
    <i i="0" r="0" t="data">
      <x v="9"/>
    </i>
    <i i="0" r="0" t="data">
      <x v="10"/>
    </i>
    <i i="0" r="0" t="data">
      <x v="11"/>
    </i>
    <i i="0" r="0" t="data">
      <x v="12"/>
    </i>
    <i i="0" r="0" t="data">
      <x v="13"/>
    </i>
    <i i="0" r="0" t="data">
      <x v="14"/>
    </i>
    <i i="0" r="0" t="data">
      <x v="15"/>
    </i>
    <i i="0" r="0" t="data">
      <x v="16"/>
    </i>
    <i i="0" r="0" t="data">
      <x v="17"/>
    </i>
    <i i="0" r="0" t="data">
      <x v="18"/>
    </i>
    <i i="0" r="0" t="data">
      <x v="19"/>
    </i>
    <i i="0" r="0" t="data">
      <x v="20"/>
    </i>
    <i i="0" r="0" t="data">
      <x v="21"/>
    </i>
    <i i="0" r="0" t="data">
      <x v="22"/>
    </i>
    <i i="0" r="0" t="data">
      <x v="23"/>
    </i>
    <i i="0" r="0" t="data">
      <x v="24"/>
    </i>
    <i i="0" r="0" t="data">
      <x v="25"/>
    </i>
    <i i="0" r="0" t="data">
      <x v="26"/>
    </i>
    <i i="0" r="0" t="data">
      <x v="27"/>
    </i>
    <i i="0" r="0" t="data">
      <x v="28"/>
    </i>
    <i i="0" r="0" t="data">
      <x v="29"/>
    </i>
    <i i="0" r="0" t="data">
      <x v="30"/>
    </i>
    <i i="0" r="0" t="data">
      <x v="31"/>
    </i>
    <i i="0" r="0" t="data">
      <x v="32"/>
    </i>
    <i i="0" r="0" t="grand">
      <x v="0"/>
    </i>
  </colItems>
  <formats count="1">
    <format action="formatting" dxfId="13">
      <pivotArea collapsedLevelsAreSubtotals="1" dataOnly="1" fieldPosition="0" outline="0" type="normal"/>
    </format>
  </formats>
  <pivotTableStyleInfo name="PivotStyleLight16" showColHeaders="1" showColStripes="0" showLastColumn="1" showRowHeaders="1" showRowStripes="0"/>
</pivotTableDefinition>
</file>

<file path=xl/pivotTables/pivotTable4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0" showCalcMbrs="1" showDataDropDown="1" showDataTips="1" showDrill="0" showDropZones="1" showEmptyCol="0" showEmptyRow="0" showError="0" showHeaders="0" showItems="1" showMemberPropertyTips="1" showMissing="1" showMultipleLabel="1" subtotalHiddenItems="0" updatedVersion="7" useAutoFormatting="0" visualTotals="1" r:id="rId1">
  <location firstDataCol="1" firstDataRow="1" firstHeaderRow="0" ref="A16:AI17"/>
  <pivotFields count="3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ataField="1"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axis="axisCol" compact="0" defaultSubtotal="1" dragOff="1" dragToCol="1" dragToData="1" dragToPage="1" dragToRow="1" itemPageCount="10" numFmtId="166" outline="0" showAll="0" showDropDowns="1" sortType="manual" subtotalTop="1" topAutoShow="1">
      <items count="34">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 sd="1" t="default"/>
      </items>
    </pivotField>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s>
  <rowItems count="1">
    <i i="0" r="0" t="data"/>
  </rowItems>
  <colFields count="1">
    <field x="26"/>
  </colFields>
  <colItems count="34">
    <i i="0" r="0" t="data">
      <x v="0"/>
    </i>
    <i i="0" r="0" t="data">
      <x v="1"/>
    </i>
    <i i="0" r="0" t="data">
      <x v="2"/>
    </i>
    <i i="0" r="0" t="data">
      <x v="3"/>
    </i>
    <i i="0" r="0" t="data">
      <x v="4"/>
    </i>
    <i i="0" r="0" t="data">
      <x v="5"/>
    </i>
    <i i="0" r="0" t="data">
      <x v="6"/>
    </i>
    <i i="0" r="0" t="data">
      <x v="7"/>
    </i>
    <i i="0" r="0" t="data">
      <x v="8"/>
    </i>
    <i i="0" r="0" t="data">
      <x v="9"/>
    </i>
    <i i="0" r="0" t="data">
      <x v="10"/>
    </i>
    <i i="0" r="0" t="data">
      <x v="11"/>
    </i>
    <i i="0" r="0" t="data">
      <x v="12"/>
    </i>
    <i i="0" r="0" t="data">
      <x v="13"/>
    </i>
    <i i="0" r="0" t="data">
      <x v="14"/>
    </i>
    <i i="0" r="0" t="data">
      <x v="15"/>
    </i>
    <i i="0" r="0" t="data">
      <x v="16"/>
    </i>
    <i i="0" r="0" t="data">
      <x v="17"/>
    </i>
    <i i="0" r="0" t="data">
      <x v="18"/>
    </i>
    <i i="0" r="0" t="data">
      <x v="19"/>
    </i>
    <i i="0" r="0" t="data">
      <x v="20"/>
    </i>
    <i i="0" r="0" t="data">
      <x v="21"/>
    </i>
    <i i="0" r="0" t="data">
      <x v="22"/>
    </i>
    <i i="0" r="0" t="data">
      <x v="23"/>
    </i>
    <i i="0" r="0" t="data">
      <x v="24"/>
    </i>
    <i i="0" r="0" t="data">
      <x v="25"/>
    </i>
    <i i="0" r="0" t="data">
      <x v="26"/>
    </i>
    <i i="0" r="0" t="data">
      <x v="27"/>
    </i>
    <i i="0" r="0" t="data">
      <x v="28"/>
    </i>
    <i i="0" r="0" t="data">
      <x v="29"/>
    </i>
    <i i="0" r="0" t="data">
      <x v="30"/>
    </i>
    <i i="0" r="0" t="data">
      <x v="31"/>
    </i>
    <i i="0" r="0" t="data">
      <x v="32"/>
    </i>
    <i i="0" r="0" t="grand">
      <x v="0"/>
    </i>
  </colItems>
  <dataFields count="1">
    <dataField baseField="0" baseItem="0" fld="15" name="Sum of NetPrem" showDataAs="normal" subtotal="sum"/>
  </dataFields>
  <pivotTableStyleInfo name="PivotStyleLight16" showColHeaders="1" showColStripes="0" showLastColumn="1" showRowHeaders="1" showRowStripes="0"/>
</pivotTableDefinition>
</file>

<file path=xl/pivotTables/pivotTable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83:N48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2">
    <i i="0" r="0" t="data">
      <x v="198"/>
      <x v="0"/>
      <x v="10"/>
      <x v="170"/>
      <x v="0"/>
      <x v="261"/>
      <x v="197"/>
      <x v="96"/>
      <x v="24"/>
    </i>
    <i i="0" r="0" t="grand">
      <x v="0"/>
    </i>
  </rowItems>
  <colFields count="1">
    <field x="-2"/>
  </colFields>
  <colItems count="5">
    <i i="0" r="0" t="data">
      <x v="0"/>
    </i>
    <i i="1" r="0" t="data">
      <x v="1"/>
    </i>
    <i i="2" r="0" t="data">
      <x v="2"/>
    </i>
    <i i="3" r="0" t="data">
      <x v="3"/>
    </i>
    <i i="4" r="0" t="data">
      <x v="4"/>
    </i>
  </colItems>
  <pageFields count="1">
    <pageField fld="1" hier="-1" item="6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11">
      <pivotArea dataOnly="1" fieldPosition="0" outline="0" type="normal">
        <references count="1">
          <reference field="4294967294" selected="0">
            <x v="0"/>
          </reference>
        </references>
      </pivotArea>
    </format>
    <format action="formatting" dxfId="112">
      <pivotArea dataOnly="0" fieldPosition="0" labelOnly="1" outline="0" type="normal">
        <references count="1">
          <reference field="4294967294">
            <x v="0"/>
          </reference>
        </references>
      </pivotArea>
    </format>
    <format action="formatting" dxfId="113">
      <pivotArea axis="axisPage" dataOnly="0" field="1" fieldPosition="0" labelOnly="1" outline="0" type="button"/>
    </format>
    <format action="formatting" dxfId="11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80:N186"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29"/>
    </i>
    <i i="0" r="0" t="data">
      <x v="159"/>
      <x v="1"/>
      <x v="10"/>
      <x v="59"/>
      <x v="3"/>
      <x v="248"/>
      <x v="218"/>
      <x v="87"/>
      <x v="61"/>
    </i>
    <i i="0" r="0" t="data">
      <x v="160"/>
      <x v="2"/>
      <x v="10"/>
      <x v="57"/>
      <x v="3"/>
      <x v="248"/>
      <x v="217"/>
      <x v="82"/>
      <x v="61"/>
    </i>
    <i i="0" r="0" t="data">
      <x v="161"/>
      <x v="3"/>
      <x v="10"/>
      <x v="57"/>
      <x v="3"/>
      <x v="247"/>
      <x v="217"/>
      <x v="82"/>
      <x v="61"/>
    </i>
    <i i="0" r="0" t="grand">
      <x v="0"/>
    </i>
  </rowItems>
  <colFields count="1">
    <field x="-2"/>
  </colFields>
  <colItems count="5">
    <i i="0" r="0" t="data">
      <x v="0"/>
    </i>
    <i i="1" r="0" t="data">
      <x v="1"/>
    </i>
    <i i="2" r="0" t="data">
      <x v="2"/>
    </i>
    <i i="3" r="0" t="data">
      <x v="3"/>
    </i>
    <i i="4" r="0" t="data">
      <x v="4"/>
    </i>
  </colItems>
  <pageFields count="1">
    <pageField fld="1" hier="-1" item="4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9">
      <pivotArea dataOnly="1" fieldPosition="0" outline="0" type="normal">
        <references count="1">
          <reference field="4294967294" selected="0">
            <x v="0"/>
          </reference>
        </references>
      </pivotArea>
    </format>
    <format action="formatting" dxfId="60">
      <pivotArea dataOnly="0" fieldPosition="0" labelOnly="1" outline="0" type="normal">
        <references count="1">
          <reference field="4294967294">
            <x v="0"/>
          </reference>
        </references>
      </pivotArea>
    </format>
    <format action="formatting" dxfId="61">
      <pivotArea axis="axisPage" dataOnly="0" field="1" fieldPosition="0" labelOnly="1" outline="0" type="button"/>
    </format>
    <format action="formatting" dxfId="6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469:N473"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0"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3">
    <i i="0" r="0" t="data">
      <x v="195"/>
      <x v="0"/>
      <x v="10"/>
      <x v="40"/>
      <x v="1"/>
      <x v="260"/>
      <x v="197"/>
      <x v="92"/>
      <x v="31"/>
    </i>
    <i i="0" r="0" t="data">
      <x v="215"/>
      <x v="1"/>
      <x v="10"/>
      <x v="40"/>
      <x v="1"/>
      <x v="267"/>
      <x v="197"/>
      <x v="92"/>
      <x v="20"/>
    </i>
    <i i="0" r="0" t="grand">
      <x v="0"/>
    </i>
  </rowItems>
  <colFields count="1">
    <field x="-2"/>
  </colFields>
  <colItems count="5">
    <i i="0" r="0" t="data">
      <x v="0"/>
    </i>
    <i i="1" r="0" t="data">
      <x v="1"/>
    </i>
    <i i="2" r="0" t="data">
      <x v="2"/>
    </i>
    <i i="3" r="0" t="data">
      <x v="3"/>
    </i>
    <i i="4" r="0" t="data">
      <x v="4"/>
    </i>
  </colItems>
  <pageFields count="1">
    <pageField fld="1" hier="-1" item="6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7">
      <pivotArea dataOnly="1" fieldPosition="0" outline="0" type="normal">
        <references count="1">
          <reference field="4294967294" selected="0">
            <x v="0"/>
          </reference>
        </references>
      </pivotArea>
    </format>
    <format action="formatting" dxfId="28">
      <pivotArea dataOnly="0" fieldPosition="0" labelOnly="1" outline="0" type="normal">
        <references count="1">
          <reference field="4294967294">
            <x v="0"/>
          </reference>
        </references>
      </pivotArea>
    </format>
    <format action="formatting" dxfId="29">
      <pivotArea axis="axisPage" dataOnly="0" field="1" fieldPosition="0" labelOnly="1" outline="0" type="button"/>
    </format>
    <format action="formatting" dxfId="3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52:N5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5">
    <i i="0" r="0" t="data">
      <x v="109"/>
      <x v="0"/>
      <x v="10"/>
      <x v="18"/>
      <x v="3"/>
      <x v="225"/>
      <x v="206"/>
      <x v="81"/>
      <x v="3"/>
    </i>
    <i i="0" r="0" t="data">
      <x v="110"/>
      <x v="1"/>
      <x v="10"/>
      <x v="18"/>
      <x v="3"/>
      <x v="230"/>
      <x v="206"/>
      <x v="81"/>
      <x v="61"/>
    </i>
    <i i="0" r="0" t="data">
      <x v="111"/>
      <x v="2"/>
      <x v="10"/>
      <x v="16"/>
      <x v="3"/>
      <x v="230"/>
      <x v="208"/>
      <x v="84"/>
      <x v="10"/>
    </i>
    <i i="0" r="0" t="data">
      <x v="122"/>
      <x v="3"/>
      <x v="10"/>
      <x v="16"/>
      <x v="3"/>
      <x v="234"/>
      <x v="208"/>
      <x v="84"/>
      <x v="61"/>
    </i>
    <i i="0" r="0" t="grand">
      <x v="0"/>
    </i>
  </rowItems>
  <colFields count="1">
    <field x="-2"/>
  </colFields>
  <colItems count="5">
    <i i="0" r="0" t="data">
      <x v="0"/>
    </i>
    <i i="1" r="0" t="data">
      <x v="1"/>
    </i>
    <i i="2" r="0" t="data">
      <x v="2"/>
    </i>
    <i i="3" r="0" t="data">
      <x v="3"/>
    </i>
    <i i="4" r="0" t="data">
      <x v="4"/>
    </i>
  </colItems>
  <pageFields count="1">
    <pageField fld="1" hier="-1" item="3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67">
      <pivotArea dataOnly="1" fieldPosition="0" outline="0" type="normal">
        <references count="1">
          <reference field="4294967294" selected="0">
            <x v="0"/>
          </reference>
        </references>
      </pivotArea>
    </format>
    <format action="formatting" dxfId="168">
      <pivotArea dataOnly="0" fieldPosition="0" labelOnly="1" outline="0" type="normal">
        <references count="1">
          <reference field="4294967294">
            <x v="0"/>
          </reference>
        </references>
      </pivotArea>
    </format>
    <format action="formatting" dxfId="169">
      <pivotArea axis="axisPage" dataOnly="0" field="1" fieldPosition="0" labelOnly="1" outline="0" type="button"/>
    </format>
    <format action="formatting" dxfId="17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10"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2" firstHeaderRow="1" ref="A113:N118" rowPageCount="1"/>
  <pivotFields count="31">
    <pivotField axis="axisRow" compact="0" defaultSubtotal="0" dragOff="1" dragToCol="1" dragToData="1" dragToPage="1" dragToRow="1" itemPageCount="10" outline="0" showAll="0" showDropDowns="1" sortType="manual" subtotalTop="1" topAutoShow="1">
      <items count="216">
        <item m="1" sd="1" t="data" x="134"/>
        <item m="1" sd="1" t="data" x="179"/>
        <item m="1" sd="1" t="data" x="140"/>
        <item m="1" sd="1" t="data" x="185"/>
        <item m="1" sd="1" t="data" x="206"/>
        <item m="1" sd="1" t="data" x="214"/>
        <item m="1" sd="1" t="data" x="174"/>
        <item m="1" sd="1" t="data" x="147"/>
        <item m="1" sd="1" t="data" x="193"/>
        <item m="1" sd="1" t="data" x="145"/>
        <item m="1" sd="1" t="data" x="123"/>
        <item m="1" sd="1" t="data" x="142"/>
        <item m="1" sd="1" t="data" x="143"/>
        <item m="1" sd="1" t="data" x="197"/>
        <item m="1" sd="1" t="data" x="177"/>
        <item m="1" sd="1" t="data" x="136"/>
        <item m="1" sd="1" t="data" x="144"/>
        <item m="1" sd="1" t="data" x="141"/>
        <item m="1" sd="1" t="data" x="155"/>
        <item m="1" sd="1" t="data" x="156"/>
        <item m="1" sd="1" t="data" x="209"/>
        <item m="1" sd="1" t="data" x="178"/>
        <item m="1" sd="1" t="data" x="173"/>
        <item m="1" sd="1" t="data" x="201"/>
        <item m="1" sd="1" t="data" x="138"/>
        <item m="1" sd="1" t="data" x="132"/>
        <item m="1" sd="1" t="data" x="161"/>
        <item m="1" sd="1" t="data" x="172"/>
        <item m="1" sd="1" t="data" x="130"/>
        <item m="1" sd="1" t="data" x="191"/>
        <item m="1" sd="1" t="data" x="158"/>
        <item m="1" sd="1" t="data" x="182"/>
        <item m="1" sd="1" t="data" x="192"/>
        <item m="1" sd="1" t="data" x="170"/>
        <item m="1" sd="1" t="data" x="127"/>
        <item m="1" sd="1" t="data" x="184"/>
        <item m="1" sd="1" t="data" x="166"/>
        <item m="1" sd="1" t="data" x="117"/>
        <item m="1" sd="1" t="data" x="190"/>
        <item m="1" sd="1" t="data" x="196"/>
        <item m="1" sd="1" t="data" x="167"/>
        <item m="1" sd="1" t="data" x="118"/>
        <item m="1" sd="1" t="data" x="121"/>
        <item m="1" sd="1" t="data" x="168"/>
        <item m="1" sd="1" t="data" x="139"/>
        <item m="1" sd="1" t="data" x="200"/>
        <item m="1" sd="1" t="data" x="153"/>
        <item m="1" sd="1" t="data" x="133"/>
        <item m="1" sd="1" t="data" x="164"/>
        <item m="1" sd="1" t="data" x="187"/>
        <item m="1" sd="1" t="data" x="150"/>
        <item m="1" sd="1" t="data" x="186"/>
        <item m="1" sd="1" t="data" x="120"/>
        <item m="1" sd="1" t="data" x="189"/>
        <item m="1" sd="1" t="data" x="194"/>
        <item m="1" sd="1" t="data" x="125"/>
        <item m="1" sd="1" t="data" x="165"/>
        <item m="1" sd="1" t="data" x="210"/>
        <item m="1" sd="1" t="data" x="215"/>
        <item m="1" sd="1" t="data" x="128"/>
        <item m="1" sd="1" t="data" x="129"/>
        <item m="1" sd="1" t="data" x="181"/>
        <item m="1" sd="1" t="data" x="171"/>
        <item m="1" sd="1" t="data" x="212"/>
        <item m="1" sd="1" t="data" x="157"/>
        <item m="1" sd="1" t="data" x="159"/>
        <item m="1" sd="1" t="data" x="188"/>
        <item m="1" sd="1" t="data" x="146"/>
        <item m="1" sd="1" t="data" x="152"/>
        <item m="1" sd="1" t="data" x="119"/>
        <item m="1" sd="1" t="data" x="162"/>
        <item m="1" sd="1" t="data" x="160"/>
        <item m="1" sd="1" t="data" x="213"/>
        <item m="1" sd="1" t="data" x="183"/>
        <item m="1" sd="1" t="data" x="122"/>
        <item m="1" sd="1" t="data" x="124"/>
        <item m="1" sd="1" t="data" x="199"/>
        <item m="1" sd="1" t="data" x="211"/>
        <item m="1" sd="1" t="data" x="135"/>
        <item m="1" sd="1" t="data" x="205"/>
        <item m="1" sd="1" t="data" x="207"/>
        <item m="1" sd="1" t="data" x="195"/>
        <item m="1" sd="1" t="data" x="163"/>
        <item m="1" sd="1" t="data" x="137"/>
        <item m="1" sd="1" t="data" x="148"/>
        <item m="1" sd="1" t="data" x="151"/>
        <item m="1" sd="1" t="data" x="154"/>
        <item m="1" sd="1" t="data" x="204"/>
        <item m="1" sd="1" t="data" x="203"/>
        <item m="1" sd="1" t="data" x="175"/>
        <item m="1" sd="1" t="data" x="176"/>
        <item m="1" sd="1" t="data" x="208"/>
        <item m="1" sd="1" t="data" x="202"/>
        <item m="1" sd="1" t="data" x="198"/>
        <item m="1" sd="1" t="data" x="180"/>
        <item m="1" sd="1" t="data" x="131"/>
        <item m="1" sd="1" t="data" x="149"/>
        <item sd="1" t="data" x="0"/>
        <item sd="1" t="data" x="1"/>
        <item sd="1" t="data" x="2"/>
        <item sd="1" t="data" x="3"/>
        <item sd="1" t="data" x="7"/>
        <item sd="1" t="data" x="8"/>
        <item sd="1" t="data" x="9"/>
        <item sd="1" t="data" x="10"/>
        <item sd="1" t="data" x="11"/>
        <item sd="1" t="data" x="12"/>
        <item sd="1" t="data" x="13"/>
        <item sd="1" t="data" x="15"/>
        <item sd="1" t="data" x="16"/>
        <item sd="1" t="data" x="17"/>
        <item sd="1" t="data" x="18"/>
        <item sd="1" t="data" x="20"/>
        <item sd="1" t="data" x="21"/>
        <item sd="1" t="data" x="22"/>
        <item sd="1" t="data" x="30"/>
        <item sd="1" t="data" x="31"/>
        <item sd="1" t="data" x="35"/>
        <item sd="1" t="data" x="37"/>
        <item sd="1" t="data" x="40"/>
        <item sd="1" t="data" x="42"/>
        <item sd="1" t="data" x="14"/>
        <item sd="1" t="data" x="19"/>
        <item sd="1" t="data" x="44"/>
        <item sd="1" t="data" x="46"/>
        <item sd="1" t="data" x="49"/>
        <item sd="1" t="data" x="38"/>
        <item sd="1" t="data" x="39"/>
        <item sd="1" t="data" x="43"/>
        <item sd="1" t="data" x="53"/>
        <item sd="1" t="data" x="57"/>
        <item sd="1" t="data" x="23"/>
        <item sd="1" t="data" x="24"/>
        <item sd="1" t="data" x="61"/>
        <item sd="1" t="data" x="36"/>
        <item sd="1" t="data" x="62"/>
        <item sd="1" t="data" x="47"/>
        <item sd="1" t="data" x="48"/>
        <item sd="1" t="data" x="59"/>
        <item sd="1" t="data" x="58"/>
        <item sd="1" t="data" x="67"/>
        <item sd="1" t="data" x="32"/>
        <item sd="1" t="data" x="33"/>
        <item sd="1" t="data" x="34"/>
        <item sd="1" t="data" x="69"/>
        <item m="1" sd="1" t="data" x="126"/>
        <item m="1" sd="1" t="data" x="169"/>
        <item sd="1" t="data" x="68"/>
        <item sd="1" t="data" x="71"/>
        <item sd="1" t="data" x="73"/>
        <item sd="1" t="data" x="25"/>
        <item sd="1" t="data" x="26"/>
        <item sd="1" t="data" x="27"/>
        <item sd="1" t="data" x="28"/>
        <item sd="1" t="data" x="41"/>
        <item sd="1" t="data" x="45"/>
        <item sd="1" t="data" x="50"/>
        <item sd="1" t="data" x="51"/>
        <item sd="1" t="data" x="52"/>
        <item sd="1" t="data" x="54"/>
        <item sd="1" t="data" x="55"/>
        <item sd="1" t="data" x="56"/>
        <item sd="1" t="data" x="76"/>
        <item sd="1" t="data" x="78"/>
        <item sd="1" t="data" x="79"/>
        <item sd="1" t="data" x="81"/>
        <item sd="1" t="data" x="4"/>
        <item sd="1" t="data" x="5"/>
        <item sd="1" t="data" x="63"/>
        <item sd="1" t="data" x="64"/>
        <item sd="1" t="data" x="72"/>
        <item sd="1" t="data" x="83"/>
        <item sd="1" t="data" x="86"/>
        <item sd="1" t="data" x="29"/>
        <item sd="1" t="data" x="70"/>
        <item sd="1" t="data" x="74"/>
        <item sd="1" t="data" x="75"/>
        <item sd="1" t="data" x="77"/>
        <item sd="1" t="data" x="87"/>
        <item sd="1" t="data" x="91"/>
        <item sd="1" t="data" x="92"/>
        <item sd="1" t="data" x="6"/>
        <item sd="1" t="data" x="93"/>
        <item sd="1" t="data" x="97"/>
        <item sd="1" t="data" x="94"/>
        <item sd="1" t="data" x="95"/>
        <item sd="1" t="data" x="102"/>
        <item sd="1" t="data" x="84"/>
        <item sd="1" t="data" x="85"/>
        <item sd="1" t="data" x="60"/>
        <item sd="1" t="data" x="96"/>
        <item sd="1" t="data" x="105"/>
        <item sd="1" t="data" x="106"/>
        <item sd="1" t="data" x="107"/>
        <item sd="1" t="data" x="108"/>
        <item sd="1" t="data" x="109"/>
        <item sd="1" t="data" x="80"/>
        <item sd="1" t="data" x="82"/>
        <item sd="1" t="data" x="111"/>
        <item sd="1" t="data" x="112"/>
        <item sd="1" t="data" x="65"/>
        <item sd="1" t="data" x="66"/>
        <item sd="1" t="data" x="113"/>
        <item sd="1" t="data" x="98"/>
        <item sd="1" t="data" x="99"/>
        <item sd="1" t="data" x="114"/>
        <item sd="1" t="data" x="88"/>
        <item sd="1" t="data" x="89"/>
        <item sd="1" t="data" x="103"/>
        <item sd="1" t="data" x="104"/>
        <item sd="1" t="data" x="100"/>
        <item sd="1" t="data" x="101"/>
        <item sd="1" t="data" x="90"/>
        <item sd="1" t="data" x="115"/>
        <item sd="1" t="data" x="116"/>
        <item sd="1" t="data" x="110"/>
      </items>
    </pivotField>
    <pivotField axis="axisPage" compact="0" defaultSubtotal="0" dragOff="1" dragToCol="1" dragToData="1" dragToPage="1" dragToRow="1" itemPageCount="10" outline="0" showAll="0" showDropDowns="1" sortType="manual" subtotalTop="1" topAutoShow="1">
      <items count="205">
        <item m="1" sd="1" t="data" x="43"/>
        <item sd="1" t="data" x="0"/>
        <item m="1" sd="1" t="data" x="129"/>
        <item m="1" sd="1" t="data" x="111"/>
        <item m="1" sd="1" t="data" x="154"/>
        <item m="1" sd="1" t="data" x="198"/>
        <item m="1" sd="1" t="data" x="86"/>
        <item m="1" sd="1" t="data" x="67"/>
        <item m="1" sd="1" t="data" x="118"/>
        <item m="1" sd="1" t="data" x="160"/>
        <item m="1" sd="1" t="data" x="204"/>
        <item m="1" sd="1" t="data" x="188"/>
        <item m="1" sd="1" t="data" x="76"/>
        <item m="1" sd="1" t="data" x="124"/>
        <item m="1" sd="1" t="data" x="166"/>
        <item m="1" sd="1" t="data" x="151"/>
        <item m="1" sd="1" t="data" x="194"/>
        <item m="1" sd="1" t="data" x="81"/>
        <item m="1" sd="1" t="data" x="131"/>
        <item m="1" sd="1" t="data" x="114"/>
        <item m="1" sd="1" t="data" x="157"/>
        <item m="1" sd="1" t="data" x="200"/>
        <item m="1" sd="1" t="data" x="88"/>
        <item m="1" sd="1" t="data" x="71"/>
        <item m="1" sd="1" t="data" x="120"/>
        <item m="1" sd="1" t="data" x="162"/>
        <item m="1" sd="1" t="data" x="46"/>
        <item m="1" sd="1" t="data" x="95"/>
        <item m="1" sd="1" t="data" x="78"/>
        <item m="1" sd="1" t="data" x="125"/>
        <item m="1" sd="1" t="data" x="169"/>
        <item m="1" sd="1" t="data" x="52"/>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m="1" sd="1" t="data" x="109"/>
        <item m="1" sd="1" t="data" x="85"/>
        <item m="1" sd="1" t="data" x="59"/>
        <item m="1" sd="1" t="data" x="193"/>
        <item m="1" sd="1" t="data" x="172"/>
        <item m="1" sd="1" t="data" x="148"/>
        <item m="1" sd="1" t="data" x="128"/>
        <item m="1" sd="1" t="data" x="102"/>
        <item m="1" sd="1" t="data" x="75"/>
        <item m="1" sd="1" t="data" x="51"/>
        <item m="1" sd="1" t="data" x="185"/>
        <item m="1" sd="1" t="data" x="165"/>
        <item m="1" sd="1" t="data" x="143"/>
        <item m="1" sd="1" t="data" x="119"/>
        <item m="1" sd="1" t="data" x="94"/>
        <item m="1" sd="1" t="data" x="66"/>
        <item m="1" sd="1" t="data" x="203"/>
        <item m="1" sd="1" t="data" x="178"/>
        <item m="1" sd="1" t="data" x="156"/>
        <item m="1" sd="1" t="data" x="136"/>
        <item m="1" sd="1" t="data" x="108"/>
        <item m="1" sd="1" t="data" x="98"/>
        <item m="1" sd="1" t="data" x="84"/>
        <item m="1" sd="1" t="data" x="70"/>
        <item m="1" sd="1" t="data" x="58"/>
        <item m="1" sd="1" t="data" x="47"/>
        <item m="1" sd="1" t="data" x="192"/>
        <item m="1" sd="1" t="data" x="181"/>
        <item m="1" sd="1" t="data" x="171"/>
        <item m="1" sd="1" t="data" x="159"/>
        <item m="1" sd="1" t="data" x="147"/>
        <item m="1" sd="1" t="data" x="139"/>
        <item m="1" sd="1" t="data" x="127"/>
        <item m="1" sd="1" t="data" x="113"/>
        <item m="1" sd="1" t="data" x="101"/>
        <item m="1" sd="1" t="data" x="90"/>
        <item m="1" sd="1" t="data" x="74"/>
        <item m="1" sd="1" t="data" x="62"/>
        <item m="1" sd="1" t="data" x="50"/>
        <item m="1" sd="1" t="data" x="197"/>
        <item m="1" sd="1" t="data" x="184"/>
        <item m="1" sd="1" t="data" x="175"/>
        <item m="1" sd="1" t="data" x="164"/>
        <item m="1" sd="1" t="data" x="152"/>
        <item m="1" sd="1" t="data" x="142"/>
        <item m="1" sd="1" t="data" x="133"/>
        <item m="1" sd="1" t="data" x="117"/>
        <item m="1" sd="1" t="data" x="105"/>
        <item m="1" sd="1" t="data" x="93"/>
        <item m="1" sd="1" t="data" x="80"/>
        <item m="1" sd="1" t="data" x="65"/>
        <item m="1" sd="1" t="data" x="55"/>
        <item m="1" sd="1" t="data" x="202"/>
        <item m="1" sd="1" t="data" x="189"/>
        <item m="1" sd="1" t="data" x="177"/>
        <item m="1" sd="1" t="data" x="168"/>
        <item m="1" sd="1" t="data" x="155"/>
        <item m="1" sd="1" t="data" x="145"/>
        <item m="1" sd="1" t="data" x="135"/>
        <item m="1" sd="1" t="data" x="122"/>
        <item m="1" sd="1" t="data" x="107"/>
        <item m="1" sd="1" t="data" x="97"/>
        <item m="1" sd="1" t="data" x="83"/>
        <item m="1" sd="1" t="data" x="69"/>
        <item m="1" sd="1" t="data" x="57"/>
        <item m="1" sd="1" t="data" x="45"/>
        <item m="1" sd="1" t="data" x="191"/>
        <item m="1" sd="1" t="data" x="180"/>
        <item m="1" sd="1" t="data" x="170"/>
        <item m="1" sd="1" t="data" x="158"/>
        <item m="1" sd="1" t="data" x="146"/>
        <item m="1" sd="1" t="data" x="138"/>
        <item m="1" sd="1" t="data" x="126"/>
        <item m="1" sd="1" t="data" x="112"/>
        <item m="1" sd="1" t="data" x="100"/>
        <item m="1" sd="1" t="data" x="89"/>
        <item m="1" sd="1" t="data" x="73"/>
        <item m="1" sd="1" t="data" x="61"/>
        <item m="1" sd="1" t="data" x="49"/>
        <item m="1" sd="1" t="data" x="196"/>
        <item m="1" sd="1" t="data" x="183"/>
        <item m="1" sd="1" t="data" x="174"/>
        <item m="1" sd="1" t="data" x="163"/>
        <item m="1" sd="1" t="data" x="150"/>
        <item m="1" sd="1" t="data" x="141"/>
        <item m="1" sd="1" t="data" x="137"/>
        <item m="1" sd="1" t="data" x="132"/>
        <item m="1" sd="1" t="data" x="123"/>
        <item m="1" sd="1" t="data" x="116"/>
        <item m="1" sd="1" t="data" x="110"/>
        <item m="1" sd="1" t="data" x="104"/>
        <item m="1" sd="1" t="data" x="99"/>
        <item m="1" sd="1" t="data" x="92"/>
        <item m="1" sd="1" t="data" x="87"/>
        <item m="1" sd="1" t="data" x="79"/>
        <item m="1" sd="1" t="data" x="72"/>
        <item m="1" sd="1" t="data" x="64"/>
        <item m="1" sd="1" t="data" x="60"/>
        <item m="1" sd="1" t="data" x="54"/>
        <item m="1" sd="1" t="data" x="48"/>
        <item m="1" sd="1" t="data" x="201"/>
        <item m="1" sd="1" t="data" x="195"/>
        <item m="1" sd="1" t="data" x="187"/>
        <item m="1" sd="1" t="data" x="182"/>
        <item m="1" sd="1" t="data" x="176"/>
        <item m="1" sd="1" t="data" x="173"/>
        <item m="1" sd="1" t="data" x="167"/>
        <item m="1" sd="1" t="data" x="161"/>
        <item m="1" sd="1" t="data" x="153"/>
        <item m="1" sd="1" t="data" x="149"/>
        <item m="1" sd="1" t="data" x="144"/>
        <item m="1" sd="1" t="data" x="140"/>
        <item m="1" sd="1" t="data" x="134"/>
        <item m="1" sd="1" t="data" x="130"/>
        <item m="1" sd="1" t="data" x="121"/>
        <item m="1" sd="1" t="data" x="115"/>
        <item m="1" sd="1" t="data" x="106"/>
        <item m="1" sd="1" t="data" x="103"/>
        <item m="1" sd="1" t="data" x="96"/>
        <item m="1" sd="1" t="data" x="91"/>
        <item m="1" sd="1" t="data" x="82"/>
        <item m="1" sd="1" t="data" x="77"/>
        <item m="1" sd="1" t="data" x="68"/>
        <item m="1" sd="1" t="data" x="63"/>
        <item m="1" sd="1" t="data" x="56"/>
        <item m="1" sd="1" t="data" x="53"/>
        <item m="1" sd="1" t="data" x="44"/>
        <item m="1" sd="1" t="data" x="199"/>
        <item m="1" sd="1" t="data" x="190"/>
        <item m="1" sd="1" t="data" x="186"/>
        <item m="1" sd="1" t="data" x="179"/>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sd="1" t="data" x="9"/>
        <item m="1" sd="1" t="data" x="16"/>
        <item m="1" sd="1" t="data" x="17"/>
        <item m="1" sd="1" t="data" x="10"/>
        <item m="1" sd="1" t="data" x="11"/>
        <item m="1" sd="1" t="data" x="12"/>
        <item m="1" sd="1" t="data" x="13"/>
        <item m="1" sd="1" t="data" x="15"/>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68">
        <item m="1" sd="1" t="data" x="182"/>
        <item m="1" sd="1" t="data" x="78"/>
        <item m="1" sd="1" t="data" x="175"/>
        <item m="1" sd="1" t="data" x="234"/>
        <item m="1" sd="1" t="data" x="225"/>
        <item m="1" sd="1" t="data" x="51"/>
        <item m="1" sd="1" t="data" x="152"/>
        <item m="1" sd="1" t="data" x="96"/>
        <item m="1" sd="1" t="data" x="267"/>
        <item m="1" sd="1" t="data" x="211"/>
        <item m="1" sd="1" t="data" x="263"/>
        <item m="1" sd="1" t="data" x="254"/>
        <item m="1" sd="1" t="data" x="245"/>
        <item m="1" sd="1" t="data" x="136"/>
        <item m="1" sd="1" t="data" x="84"/>
        <item m="1" sd="1" t="data" x="79"/>
        <item m="1" sd="1" t="data" x="187"/>
        <item m="1" sd="1" t="data" x="75"/>
        <item m="1" sd="1" t="data" x="125"/>
        <item m="1" sd="1" t="data" x="176"/>
        <item m="1" sd="1" t="data" x="121"/>
        <item m="1" sd="1" t="data" x="172"/>
        <item m="1" sd="1" t="data" x="63"/>
        <item m="1" sd="1" t="data" x="226"/>
        <item m="1" sd="1" t="data" x="166"/>
        <item m="1" sd="1" t="data" x="122"/>
        <item m="1" sd="1" t="data" x="170"/>
        <item m="1" sd="1" t="data" x="55"/>
        <item m="1" sd="1" t="data" x="222"/>
        <item m="1" sd="1" t="data" x="107"/>
        <item m="1" sd="1" t="data" x="49"/>
        <item m="1" sd="1" t="data" x="100"/>
        <item m="1" sd="1" t="data" x="158"/>
        <item m="1" sd="1" t="data" x="103"/>
        <item m="1" sd="1" t="data" x="214"/>
        <item m="1" sd="1" t="data" x="208"/>
        <item m="1" sd="1" t="data" x="260"/>
        <item m="1" sd="1" t="data" x="252"/>
        <item m="1" sd="1" t="data" x="139"/>
        <item m="1" sd="1" t="data" x="88"/>
        <item m="1" sd="1" t="data" x="193"/>
        <item m="1" sd="1" t="data" x="249"/>
        <item m="1" sd="1" t="data" x="189"/>
        <item m="1" sd="1" t="data" x="61"/>
        <item m="1" sd="1" t="data" x="162"/>
        <item m="1" sd="1" t="data" x="156"/>
        <item m="1" sd="1" t="data" x="151"/>
        <item m="1" sd="1" t="data" x="264"/>
        <item m="1" sd="1" t="data" x="90"/>
        <item m="1" sd="1" t="data" x="202"/>
        <item m="1" sd="1" t="data" x="87"/>
        <item m="1" sd="1" t="data" x="197"/>
        <item m="1" sd="1" t="data" x="192"/>
        <item m="1" sd="1" t="data" x="80"/>
        <item m="1" sd="1" t="data" x="181"/>
        <item m="1" sd="1" t="data" x="194"/>
        <item m="1" sd="1" t="data" x="190"/>
        <item m="1" sd="1" t="data" x="130"/>
        <item m="1" sd="1" t="data" x="247"/>
        <item m="1" sd="1" t="data" x="185"/>
        <item m="1" sd="1" t="data" x="241"/>
        <item m="1" sd="1" t="data" x="179"/>
        <item m="1" sd="1" t="data" x="123"/>
        <item m="1" sd="1" t="data" x="238"/>
        <item m="1" sd="1" t="data" x="230"/>
        <item m="1" sd="1" t="data" x="115"/>
        <item m="1" sd="1" t="data" x="111"/>
        <item m="1" sd="1" t="data" x="56"/>
        <item m="1" sd="1" t="data" x="160"/>
        <item m="1" sd="1" t="data" x="118"/>
        <item m="1" sd="1" t="data" x="227"/>
        <item m="1" sd="1" t="data" x="167"/>
        <item m="1" sd="1" t="data" x="224"/>
        <item m="1" sd="1" t="data" x="163"/>
        <item m="1" sd="1" t="data" x="109"/>
        <item m="1" sd="1" t="data" x="54"/>
        <item m="1" sd="1" t="data" x="104"/>
        <item m="1" sd="1" t="data" x="47"/>
        <item m="1" sd="1" t="data" x="95"/>
        <item m="1" sd="1" t="data" x="209"/>
        <item m="1" sd="1" t="data" x="91"/>
        <item m="1" sd="1" t="data" x="101"/>
        <item m="1" sd="1" t="data" x="147"/>
        <item m="1" sd="1" t="data" x="207"/>
        <item m="1" sd="1" t="data" x="143"/>
        <item m="1" sd="1" t="data" x="199"/>
        <item m="1" sd="1" t="data" x="134"/>
        <item m="1" sd="1" t="data" x="82"/>
        <item m="1" sd="1" t="data" x="184"/>
        <item m="1" sd="1" t="data" x="86"/>
        <item m="1" sd="1" t="data" x="195"/>
        <item m="1" sd="1" t="data" x="135"/>
        <item m="1" sd="1" t="data" x="253"/>
        <item m="1" sd="1" t="data" x="191"/>
        <item m="1" sd="1" t="data" x="132"/>
        <item m="1" sd="1" t="data" x="186"/>
        <item m="1" sd="1" t="data" x="180"/>
        <item m="1" sd="1" t="data" x="240"/>
        <item m="1" sd="1" t="data" x="69"/>
        <item m="1" sd="1" t="data" x="232"/>
        <item m="1" sd="1" t="data" x="113"/>
        <item m="1" sd="1" t="data" x="57"/>
        <item m="1" sd="1" t="data" x="70"/>
        <item m="1" sd="1" t="data" x="237"/>
        <item m="1" sd="1" t="data" x="119"/>
        <item m="1" sd="1" t="data" x="66"/>
        <item m="1" sd="1" t="data" x="114"/>
        <item m="1" sd="1" t="data" x="164"/>
        <item m="1" sd="1" t="data" x="110"/>
        <item m="1" sd="1" t="data" x="159"/>
        <item m="1" sd="1" t="data" x="106"/>
        <item m="1" sd="1" t="data" x="219"/>
        <item m="1" sd="1" t="data" x="154"/>
        <item m="1" sd="1" t="data" x="215"/>
        <item m="1" sd="1" t="data" x="99"/>
        <item m="1" sd="1" t="data" x="266"/>
        <item m="1" sd="1" t="data" x="210"/>
        <item m="1" sd="1" t="data" x="261"/>
        <item m="1" sd="1" t="data" x="206"/>
        <item m="1" sd="1" t="data" x="157"/>
        <item m="1" sd="1" t="data" x="105"/>
        <item m="1" sd="1" t="data" x="50"/>
        <item m="1" sd="1" t="data" x="102"/>
        <item m="1" sd="1" t="data" x="213"/>
        <item m="1" sd="1" t="data" x="149"/>
        <item m="1" sd="1" t="data" x="94"/>
        <item m="1" sd="1" t="data" x="144"/>
        <item m="1" sd="1" t="data" x="259"/>
        <item m="1" sd="1" t="data" x="205"/>
        <item m="1" sd="1" t="data" x="141"/>
        <item m="1" sd="1" t="data" x="201"/>
        <item m="1" sd="1" t="data" x="138"/>
        <item m="1" sd="1" t="data" x="256"/>
        <item m="1" sd="1" t="data" x="251"/>
        <item m="1" sd="1" t="data" x="131"/>
        <item m="1" sd="1" t="data" x="77"/>
        <item m="1" sd="1" t="data" x="257"/>
        <item m="1" sd="1" t="data" x="198"/>
        <item m="1" sd="1" t="data" x="137"/>
        <item m="1" sd="1" t="data" x="85"/>
        <item m="1" sd="1" t="data" x="133"/>
        <item m="1" sd="1" t="data" x="81"/>
        <item m="1" sd="1" t="data" x="248"/>
        <item m="1" sd="1" t="data" x="188"/>
        <item m="1" sd="1" t="data" x="129"/>
        <item m="1" sd="1" t="data" x="183"/>
        <item m="1" sd="1" t="data" x="126"/>
        <item m="1" sd="1" t="data" x="71"/>
        <item m="1" sd="1" t="data" x="177"/>
        <item m="1" sd="1" t="data" x="233"/>
        <item m="1" sd="1" t="data" x="174"/>
        <item m="1" sd="1" t="data" x="64"/>
        <item m="1" sd="1" t="data" x="228"/>
        <item m="1" sd="1" t="data" x="124"/>
        <item m="1" sd="1" t="data" x="239"/>
        <item m="1" sd="1" t="data" x="68"/>
        <item m="1" sd="1" t="data" x="231"/>
        <item m="1" sd="1" t="data" x="171"/>
        <item m="1" sd="1" t="data" x="60"/>
        <item m="1" sd="1" t="data" x="112"/>
        <item m="1" sd="1" t="data" x="223"/>
        <item m="1" sd="1" t="data" x="108"/>
        <item m="1" sd="1" t="data" x="165"/>
        <item m="1" sd="1" t="data" x="221"/>
        <item m="1" sd="1" t="data" x="98"/>
        <item m="1" sd="1" t="data" x="46"/>
        <item m="1" sd="1" t="data" x="216"/>
        <item m="1" sd="1" t="data" x="146"/>
        <item m="1" sd="1" t="data" x="59"/>
        <item m="1" sd="1" t="data" x="178"/>
        <item m="1" sd="1" t="data" x="116"/>
        <item m="1" sd="1" t="data" x="242"/>
        <item m="1" sd="1" t="data" x="62"/>
        <item m="1" sd="1" t="data" x="53"/>
        <item m="1" sd="1" t="data" x="120"/>
        <item m="1" sd="1" t="data" x="244"/>
        <item m="1" sd="1" t="data" x="145"/>
        <item m="1" sd="1" t="data" x="89"/>
        <item m="1" sd="1" t="data" x="142"/>
        <item m="1" sd="1" t="data" x="262"/>
        <item m="1" sd="1" t="data" x="67"/>
        <item m="1" sd="1" t="data" x="58"/>
        <item m="1" sd="1" t="data" x="203"/>
        <item m="1" sd="1" t="data" x="173"/>
        <item m="1" sd="1" t="data" x="74"/>
        <item m="1" sd="1" t="data" x="243"/>
        <item m="1" sd="1" t="data" x="150"/>
        <item m="1" sd="1" t="data" x="250"/>
        <item m="1" sd="1" t="data" x="200"/>
        <item m="1" sd="1" t="data" x="93"/>
        <item m="1" sd="1" t="data" x="212"/>
        <item m="1" sd="1" t="data" x="72"/>
        <item m="1" sd="1" t="data" x="65"/>
        <item m="1" sd="1" t="data" x="128"/>
        <item m="1" sd="1" t="data" x="140"/>
        <item m="1" sd="1" t="data" x="220"/>
        <item m="1" sd="1" t="data" x="235"/>
        <item m="1" sd="1" t="data" x="83"/>
        <item m="1" sd="1" t="data" x="258"/>
        <item m="1" sd="1" t="data" x="161"/>
        <item m="1" sd="1" t="data" x="148"/>
        <item m="1" sd="1" t="data" x="52"/>
        <item m="1" sd="1" t="data" x="155"/>
        <item m="1" sd="1" t="data" x="265"/>
        <item m="1" sd="1" t="data" x="92"/>
        <item m="1" sd="1" t="data" x="97"/>
        <item m="1" sd="1" t="data" x="196"/>
        <item m="1" sd="1" t="data" x="217"/>
        <item m="1" sd="1" t="data" x="204"/>
        <item m="1" sd="1" t="data" x="255"/>
        <item m="1" sd="1" t="data" x="76"/>
        <item m="1" sd="1" t="data" x="246"/>
        <item m="1" sd="1" t="data" x="127"/>
        <item m="1" sd="1" t="data" x="73"/>
        <item m="1" sd="1" t="data" x="169"/>
        <item m="1" sd="1" t="data" x="117"/>
        <item m="1" sd="1" t="data" x="229"/>
        <item m="1" sd="1" t="data" x="236"/>
        <item m="1" sd="1" t="data" x="218"/>
        <item m="1" sd="1" t="data" x="153"/>
        <item m="1" sd="1" t="data" x="168"/>
        <item sd="1" t="data" x="0"/>
        <item sd="1" t="data" x="1"/>
        <item sd="1" t="data" x="2"/>
        <item sd="1" t="data" x="5"/>
        <item sd="1" t="data" x="6"/>
        <item sd="1" t="data" x="7"/>
        <item sd="1" t="data" x="8"/>
        <item sd="1" t="data" x="9"/>
        <item sd="1" t="data" x="10"/>
        <item sd="1" t="data" x="12"/>
        <item sd="1" t="data" x="13"/>
        <item sd="1" t="data" x="17"/>
        <item sd="1" t="data" x="21"/>
        <item sd="1" t="data" x="11"/>
        <item sd="1" t="data" x="23"/>
        <item sd="1" t="data" x="20"/>
        <item sd="1" t="data" x="26"/>
        <item sd="1" t="data" x="14"/>
        <item sd="1" t="data" x="19"/>
        <item sd="1" t="data" x="28"/>
        <item sd="1" t="data" x="24"/>
        <item m="1" sd="1" t="data" x="48"/>
        <item sd="1" t="data" x="18"/>
        <item sd="1" t="data" x="30"/>
        <item sd="1" t="data" x="32"/>
        <item sd="1" t="data" x="15"/>
        <item sd="1" t="data" x="22"/>
        <item sd="1" t="data" x="25"/>
        <item sd="1" t="data" x="33"/>
        <item sd="1" t="data" x="3"/>
        <item sd="1" t="data" x="31"/>
        <item sd="1" t="data" x="36"/>
        <item sd="1" t="data" x="16"/>
        <item sd="1" t="data" x="37"/>
        <item sd="1" t="data" x="4"/>
        <item sd="1" t="data" x="40"/>
        <item sd="1" t="data" x="41"/>
        <item sd="1" t="data" x="35"/>
        <item sd="1" t="data" x="27"/>
        <item sd="1" t="data" x="43"/>
        <item sd="1" t="data" x="34"/>
        <item sd="1" t="data" x="29"/>
        <item sd="1" t="data" x="44"/>
        <item sd="1" t="data" x="45"/>
        <item sd="1" t="data" x="38"/>
        <item sd="1" t="data" x="42"/>
        <item sd="1" t="data" x="39"/>
      </items>
    </pivotField>
    <pivotField axis="axisRow" compact="0" defaultSubtotal="0" dragOff="1" dragToCol="1" dragToData="1" dragToPage="1" dragToRow="1" itemPageCount="10" outline="0" showAll="0" showDropDowns="1" sortType="manual" subtotalTop="1" topAutoShow="1">
      <items count="233">
        <item m="1" sd="1" t="data" x="99"/>
        <item m="1" sd="1" t="data" x="231"/>
        <item m="1" sd="1" t="data" x="210"/>
        <item m="1" sd="1" t="data" x="91"/>
        <item m="1" sd="1" t="data" x="68"/>
        <item m="1" sd="1" t="data" x="159"/>
        <item m="1" sd="1" t="data" x="198"/>
        <item m="1" sd="1" t="data" x="167"/>
        <item m="1" sd="1" t="data" x="152"/>
        <item m="1" sd="1" t="data" x="31"/>
        <item m="1" sd="1" t="data" x="224"/>
        <item m="1" sd="1" t="data" x="105"/>
        <item m="1" sd="1" t="data" x="54"/>
        <item m="1" sd="1" t="data" x="102"/>
        <item m="1" sd="1" t="data" x="194"/>
        <item m="1" sd="1" t="data" x="201"/>
        <item m="1" sd="1" t="data" x="79"/>
        <item m="1" sd="1" t="data" x="180"/>
        <item m="1" sd="1" t="data" x="127"/>
        <item m="1" sd="1" t="data" x="175"/>
        <item m="1" sd="1" t="data" x="230"/>
        <item m="1" sd="1" t="data" x="126"/>
        <item m="1" sd="1" t="data" x="64"/>
        <item m="1" sd="1" t="data" x="220"/>
        <item m="1" sd="1" t="data" x="116"/>
        <item m="1" sd="1" t="data" x="212"/>
        <item m="1" sd="1" t="data" x="59"/>
        <item m="1" sd="1" t="data" x="219"/>
        <item m="1" sd="1" t="data" x="51"/>
        <item m="1" sd="1" t="data" x="206"/>
        <item m="1" sd="1" t="data" x="149"/>
        <item m="1" sd="1" t="data" x="146"/>
        <item m="1" sd="1" t="data" x="42"/>
        <item m="1" sd="1" t="data" x="197"/>
        <item m="1" sd="1" t="data" x="141"/>
        <item m="1" sd="1" t="data" x="100"/>
        <item m="1" sd="1" t="data" x="148"/>
        <item m="1" sd="1" t="data" x="196"/>
        <item m="1" sd="1" t="data" x="35"/>
        <item m="1" sd="1" t="data" x="84"/>
        <item m="1" sd="1" t="data" x="33"/>
        <item m="1" sd="1" t="data" x="81"/>
        <item m="1" sd="1" t="data" x="70"/>
        <item m="1" sd="1" t="data" x="192"/>
        <item m="1" sd="1" t="data" x="134"/>
        <item m="1" sd="1" t="data" x="77"/>
        <item m="1" sd="1" t="data" x="185"/>
        <item m="1" sd="1" t="data" x="226"/>
        <item m="1" sd="1" t="data" x="160"/>
        <item m="1" sd="1" t="data" x="65"/>
        <item m="1" sd="1" t="data" x="119"/>
        <item m="1" sd="1" t="data" x="114"/>
        <item m="1" sd="1" t="data" x="56"/>
        <item m="1" sd="1" t="data" x="158"/>
        <item m="1" sd="1" t="data" x="44"/>
        <item m="1" sd="1" t="data" x="92"/>
        <item m="1" sd="1" t="data" x="183"/>
        <item m="1" sd="1" t="data" x="223"/>
        <item m="1" sd="1" t="data" x="169"/>
        <item m="1" sd="1" t="data" x="73"/>
        <item m="1" sd="1" t="data" x="172"/>
        <item m="1" sd="1" t="data" x="62"/>
        <item m="1" sd="1" t="data" x="165"/>
        <item m="1" sd="1" t="data" x="52"/>
        <item m="1" sd="1" t="data" x="154"/>
        <item m="1" sd="1" t="data" x="162"/>
        <item m="1" sd="1" t="data" x="117"/>
        <item m="1" sd="1" t="data" x="214"/>
        <item m="1" sd="1" t="data" x="207"/>
        <item m="1" sd="1" t="data" x="101"/>
        <item m="1" sd="1" t="data" x="47"/>
        <item m="1" sd="1" t="data" x="204"/>
        <item m="1" sd="1" t="data" x="94"/>
        <item m="1" sd="1" t="data" x="39"/>
        <item m="1" sd="1" t="data" x="136"/>
        <item m="1" sd="1" t="data" x="147"/>
        <item m="1" sd="1" t="data" x="96"/>
        <item m="1" sd="1" t="data" x="199"/>
        <item m="1" sd="1" t="data" x="143"/>
        <item m="1" sd="1" t="data" x="139"/>
        <item m="1" sd="1" t="data" x="34"/>
        <item m="1" sd="1" t="data" x="193"/>
        <item m="1" sd="1" t="data" x="130"/>
        <item m="1" sd="1" t="data" x="78"/>
        <item m="1" sd="1" t="data" x="29"/>
        <item m="1" sd="1" t="data" x="179"/>
        <item m="1" sd="1" t="data" x="66"/>
        <item m="1" sd="1" t="data" x="123"/>
        <item m="1" sd="1" t="data" x="75"/>
        <item m="1" sd="1" t="data" x="128"/>
        <item m="1" sd="1" t="data" x="125"/>
        <item m="1" sd="1" t="data" x="168"/>
        <item m="1" sd="1" t="data" x="115"/>
        <item m="1" sd="1" t="data" x="217"/>
        <item m="1" sd="1" t="data" x="107"/>
        <item m="1" sd="1" t="data" x="61"/>
        <item m="1" sd="1" t="data" x="164"/>
        <item m="1" sd="1" t="data" x="161"/>
        <item m="1" sd="1" t="data" x="112"/>
        <item m="1" sd="1" t="data" x="153"/>
        <item m="1" sd="1" t="data" x="104"/>
        <item m="1" sd="1" t="data" x="203"/>
        <item m="1" sd="1" t="data" x="140"/>
        <item m="1" sd="1" t="data" x="93"/>
        <item m="1" sd="1" t="data" x="36"/>
        <item m="1" sd="1" t="data" x="98"/>
        <item m="1" sd="1" t="data" x="45"/>
        <item m="1" sd="1" t="data" x="89"/>
        <item m="1" sd="1" t="data" x="83"/>
        <item m="1" sd="1" t="data" x="190"/>
        <item m="1" sd="1" t="data" x="132"/>
        <item m="1" sd="1" t="data" x="74"/>
        <item m="1" sd="1" t="data" x="181"/>
        <item m="1" sd="1" t="data" x="228"/>
        <item m="1" sd="1" t="data" x="176"/>
        <item m="1" sd="1" t="data" x="82"/>
        <item m="1" sd="1" t="data" x="30"/>
        <item m="1" sd="1" t="data" x="184"/>
        <item m="1" sd="1" t="data" x="129"/>
        <item m="1" sd="1" t="data" x="72"/>
        <item m="1" sd="1" t="data" x="225"/>
        <item m="1" sd="1" t="data" x="174"/>
        <item m="1" sd="1" t="data" x="122"/>
        <item m="1" sd="1" t="data" x="171"/>
        <item m="1" sd="1" t="data" x="221"/>
        <item m="1" sd="1" t="data" x="163"/>
        <item m="1" sd="1" t="data" x="111"/>
        <item m="1" sd="1" t="data" x="53"/>
        <item m="1" sd="1" t="data" x="215"/>
        <item m="1" sd="1" t="data" x="222"/>
        <item m="1" sd="1" t="data" x="166"/>
        <item m="1" sd="1" t="data" x="118"/>
        <item m="1" sd="1" t="data" x="60"/>
        <item m="1" sd="1" t="data" x="55"/>
        <item m="1" sd="1" t="data" x="216"/>
        <item m="1" sd="1" t="data" x="157"/>
        <item m="1" sd="1" t="data" x="110"/>
        <item m="1" sd="1" t="data" x="106"/>
        <item m="1" sd="1" t="data" x="150"/>
        <item m="1" sd="1" t="data" x="43"/>
        <item m="1" sd="1" t="data" x="200"/>
        <item m="1" sd="1" t="data" x="103"/>
        <item m="1" sd="1" t="data" x="205"/>
        <item m="1" sd="1" t="data" x="46"/>
        <item m="1" sd="1" t="data" x="202"/>
        <item m="1" sd="1" t="data" x="145"/>
        <item m="1" sd="1" t="data" x="40"/>
        <item m="1" sd="1" t="data" x="90"/>
        <item m="1" sd="1" t="data" x="195"/>
        <item m="1" sd="1" t="data" x="85"/>
        <item m="1" sd="1" t="data" x="57"/>
        <item m="1" sd="1" t="data" x="186"/>
        <item m="1" sd="1" t="data" x="38"/>
        <item m="1" sd="1" t="data" x="95"/>
        <item m="1" sd="1" t="data" x="97"/>
        <item m="1" sd="1" t="data" x="113"/>
        <item m="1" sd="1" t="data" x="32"/>
        <item m="1" sd="1" t="data" x="135"/>
        <item m="1" sd="1" t="data" x="155"/>
        <item m="1" sd="1" t="data" x="208"/>
        <item m="1" sd="1" t="data" x="156"/>
        <item m="1" sd="1" t="data" x="218"/>
        <item m="1" sd="1" t="data" x="63"/>
        <item m="1" sd="1" t="data" x="211"/>
        <item m="1" sd="1" t="data" x="229"/>
        <item m="1" sd="1" t="data" x="177"/>
        <item m="1" sd="1" t="data" x="37"/>
        <item m="1" sd="1" t="data" x="173"/>
        <item m="1" sd="1" t="data" x="187"/>
        <item m="1" sd="1" t="data" x="88"/>
        <item m="1" sd="1" t="data" x="50"/>
        <item m="1" sd="1" t="data" x="209"/>
        <item m="1" sd="1" t="data" x="227"/>
        <item m="1" sd="1" t="data" x="69"/>
        <item m="1" sd="1" t="data" x="178"/>
        <item m="1" sd="1" t="data" x="76"/>
        <item m="1" sd="1" t="data" x="133"/>
        <item m="1" sd="1" t="data" x="109"/>
        <item m="1" sd="1" t="data" x="121"/>
        <item m="1" sd="1" t="data" x="124"/>
        <item m="1" sd="1" t="data" x="191"/>
        <item m="1" sd="1" t="data" x="86"/>
        <item m="1" sd="1" t="data" x="41"/>
        <item m="1" sd="1" t="data" x="48"/>
        <item m="1" sd="1" t="data" x="151"/>
        <item m="1" sd="1" t="data" x="137"/>
        <item m="1" sd="1" t="data" x="71"/>
        <item m="1" sd="1" t="data" x="188"/>
        <item m="1" sd="1" t="data" x="182"/>
        <item m="1" sd="1" t="data" x="232"/>
        <item m="1" sd="1" t="data" x="67"/>
        <item m="1" sd="1" t="data" x="120"/>
        <item m="1" sd="1" t="data" x="58"/>
        <item m="1" sd="1" t="data" x="170"/>
        <item m="1" sd="1" t="data" x="213"/>
        <item m="1" sd="1" t="data" x="49"/>
        <item m="1" sd="1" t="data" x="108"/>
        <item sd="1" t="data" x="19"/>
        <item m="1" sd="1" t="data" x="189"/>
        <item m="1" sd="1" t="data" x="144"/>
        <item sd="1" t="data" x="0"/>
        <item m="1" sd="1" t="data" x="142"/>
        <item sd="1" t="data" x="3"/>
        <item m="1" sd="1" t="data" x="87"/>
        <item sd="1" t="data" x="4"/>
        <item sd="1" t="data" x="5"/>
        <item sd="1" t="data" x="7"/>
        <item sd="1" t="data" x="8"/>
        <item sd="1" t="data" x="6"/>
        <item m="1" sd="1" t="data" x="80"/>
        <item sd="1" t="data" x="14"/>
        <item sd="1" t="data" x="9"/>
        <item m="1" sd="1" t="data" x="131"/>
        <item sd="1" t="data" x="12"/>
        <item sd="1" t="data" x="13"/>
        <item sd="1" t="data" x="20"/>
        <item sd="1" t="data" x="10"/>
        <item sd="1" t="data" x="15"/>
        <item sd="1" t="data" x="16"/>
        <item sd="1" t="data" x="1"/>
        <item sd="1" t="data" x="21"/>
        <item sd="1" t="data" x="11"/>
        <item sd="1" t="data" x="24"/>
        <item sd="1" t="data" x="2"/>
        <item sd="1" t="data" x="26"/>
        <item sd="1" t="data" x="23"/>
        <item sd="1" t="data" x="17"/>
        <item sd="1" t="data" x="22"/>
        <item sd="1" t="data" x="18"/>
        <item sd="1" t="data" x="25"/>
        <item m="1" sd="1" t="data" x="138"/>
        <item sd="1" t="data" x="28"/>
        <item sd="1" t="data" x="27"/>
      </items>
    </pivotField>
    <pivotField axis="axisRow" compact="0" defaultSubtotal="0" dragOff="1" dragToCol="1" dragToData="1" dragToPage="1" dragToRow="1" itemPageCount="10" outline="0" showAll="0" showDropDowns="1" sortType="manual" subtotalTop="1" topAutoShow="1">
      <items count="98">
        <item m="1" sd="1" t="data" x="32"/>
        <item m="1" sd="1" t="data" x="49"/>
        <item m="1" sd="1" t="data" x="82"/>
        <item m="1" sd="1" t="data" x="85"/>
        <item m="1" sd="1" t="data" x="43"/>
        <item m="1" sd="1" t="data" x="57"/>
        <item m="1" sd="1" t="data" x="97"/>
        <item m="1" sd="1" t="data" x="35"/>
        <item m="1" sd="1" t="data" x="52"/>
        <item m="1" sd="1" t="data" x="92"/>
        <item m="1" sd="1" t="data" x="31"/>
        <item m="1" sd="1" t="data" x="48"/>
        <item m="1" sd="1" t="data" x="64"/>
        <item m="1" sd="1" t="data" x="66"/>
        <item m="1" sd="1" t="data" x="83"/>
        <item m="1" sd="1" t="data" x="21"/>
        <item m="1" sd="1" t="data" x="41"/>
        <item m="1" sd="1" t="data" x="62"/>
        <item m="1" sd="1" t="data" x="79"/>
        <item m="1" sd="1" t="data" x="96"/>
        <item m="1" sd="1" t="data" x="36"/>
        <item m="1" sd="1" t="data" x="54"/>
        <item m="1" sd="1" t="data" x="71"/>
        <item m="1" sd="1" t="data" x="46"/>
        <item m="1" sd="1" t="data" x="78"/>
        <item m="1" sd="1" t="data" x="95"/>
        <item m="1" sd="1" t="data" x="40"/>
        <item m="1" sd="1" t="data" x="93"/>
        <item m="1" sd="1" t="data" x="74"/>
        <item m="1" sd="1" t="data" x="53"/>
        <item m="1" sd="1" t="data" x="70"/>
        <item m="1" sd="1" t="data" x="27"/>
        <item m="1" sd="1" t="data" x="88"/>
        <item m="1" sd="1" t="data" x="23"/>
        <item m="1" sd="1" t="data" x="63"/>
        <item m="1" sd="1" t="data" x="65"/>
        <item m="1" sd="1" t="data" x="80"/>
        <item m="1" sd="1" t="data" x="18"/>
        <item m="1" sd="1" t="data" x="37"/>
        <item m="1" sd="1" t="data" x="42"/>
        <item m="1" sd="1" t="data" x="56"/>
        <item m="1" sd="1" t="data" x="75"/>
        <item m="1" sd="1" t="data" x="91"/>
        <item m="1" sd="1" t="data" x="34"/>
        <item m="1" sd="1" t="data" x="51"/>
        <item m="1" sd="1" t="data" x="68"/>
        <item m="1" sd="1" t="data" x="87"/>
        <item m="1" sd="1" t="data" x="22"/>
        <item m="1" sd="1" t="data" x="26"/>
        <item m="1" sd="1" t="data" x="45"/>
        <item m="1" sd="1" t="data" x="61"/>
        <item m="1" sd="1" t="data" x="77"/>
        <item m="1" sd="1" t="data" x="20"/>
        <item m="1" sd="1" t="data" x="39"/>
        <item m="1" sd="1" t="data" x="55"/>
        <item m="1" sd="1" t="data" x="73"/>
        <item m="1" sd="1" t="data" x="90"/>
        <item m="1" sd="1" t="data" x="33"/>
        <item m="1" sd="1" t="data" x="50"/>
        <item m="1" sd="1" t="data" x="67"/>
        <item m="1" sd="1" t="data" x="84"/>
        <item m="1" sd="1" t="data" x="89"/>
        <item m="1" sd="1" t="data" x="86"/>
        <item m="1" sd="1" t="data" x="24"/>
        <item m="1" sd="1" t="data" x="44"/>
        <item m="1" sd="1" t="data" x="58"/>
        <item m="1" sd="1" t="data" x="81"/>
        <item m="1" sd="1" t="data" x="19"/>
        <item m="1" sd="1" t="data" x="38"/>
        <item m="1" sd="1" t="data" x="59"/>
        <item m="1" sd="1" t="data" x="47"/>
        <item m="1" sd="1" t="data" x="30"/>
        <item m="1" sd="1" t="data" x="25"/>
        <item m="1" sd="1" t="data" x="17"/>
        <item m="1" sd="1" t="data" x="69"/>
        <item m="1" sd="1" t="data" x="94"/>
        <item m="1" sd="1" t="data" x="72"/>
        <item m="1" sd="1" t="data" x="28"/>
        <item m="1" sd="1" t="data" x="60"/>
        <item m="1" sd="1" t="data" x="76"/>
        <item m="1" sd="1" t="data" x="29"/>
        <item sd="1" t="data" x="0"/>
        <item sd="1" t="data" x="1"/>
        <item sd="1" t="data" x="3"/>
        <item sd="1" t="data" x="4"/>
        <item sd="1" t="data" x="5"/>
        <item sd="1" t="data" x="7"/>
        <item sd="1" t="data" x="9"/>
        <item sd="1" t="data" x="6"/>
        <item sd="1" t="data" x="10"/>
        <item sd="1" t="data" x="8"/>
        <item sd="1" t="data" x="11"/>
        <item sd="1" t="data" x="2"/>
        <item sd="1" t="data" x="13"/>
        <item sd="1" t="data" x="12"/>
        <item sd="1" t="data" x="14"/>
        <item sd="1" t="data" x="16"/>
        <item sd="1" t="data" x="15"/>
      </items>
    </pivotField>
    <pivotField axis="axisRow" compact="0" defaultSubtotal="0" dragOff="1" dragToCol="1" dragToData="1" dragToPage="1" dragToRow="1" itemPageCount="10" outline="0" showAll="0" showDropDowns="1" sortType="manual" subtotalTop="1" topAutoShow="1">
      <items count="174">
        <item m="1" sd="1" t="data" x="78"/>
        <item m="1" sd="1" t="data" x="100"/>
        <item m="1" sd="1" t="data" x="77"/>
        <item m="1" sd="1" t="data" x="46"/>
        <item m="1" sd="1" t="data" x="143"/>
        <item m="1" sd="1" t="data" x="75"/>
        <item sd="1" t="data" x="38"/>
        <item m="1" sd="1" t="data" x="87"/>
        <item m="1" sd="1" t="data" x="172"/>
        <item m="1" sd="1" t="data" x="129"/>
        <item m="1" sd="1" t="data" x="60"/>
        <item m="1" sd="1" t="data" x="106"/>
        <item m="1" sd="1" t="data" x="119"/>
        <item m="1" sd="1" t="data" x="86"/>
        <item m="1" sd="1" t="data" x="171"/>
        <item m="1" sd="1" t="data" x="152"/>
        <item sd="1" t="data" x="9"/>
        <item m="1" sd="1" t="data" x="112"/>
        <item sd="1" t="data" x="8"/>
        <item m="1" sd="1" t="data" x="82"/>
        <item sd="1" t="data" x="44"/>
        <item sd="1" t="data" x="26"/>
        <item sd="1" t="data" x="13"/>
        <item m="1" sd="1" t="data" x="96"/>
        <item m="1" sd="1" t="data" x="51"/>
        <item sd="1" t="data" x="5"/>
        <item m="1" sd="1" t="data" x="170"/>
        <item m="1" sd="1" t="data" x="127"/>
        <item sd="1" t="data" x="12"/>
        <item m="1" sd="1" t="data" x="81"/>
        <item m="1" sd="1" t="data" x="57"/>
        <item sd="1" t="data" x="37"/>
        <item m="1" sd="1" t="data" x="141"/>
        <item m="1" sd="1" t="data" x="105"/>
        <item m="1" sd="1" t="data" x="92"/>
        <item m="1" sd="1" t="data" x="72"/>
        <item m="1" sd="1" t="data" x="63"/>
        <item sd="1" t="data" x="28"/>
        <item m="1" sd="1" t="data" x="158"/>
        <item m="1" sd="1" t="data" x="146"/>
        <item sd="1" t="data" x="41"/>
        <item sd="1" t="data" x="4"/>
        <item m="1" sd="1" t="data" x="109"/>
        <item m="1" sd="1" t="data" x="103"/>
        <item m="1" sd="1" t="data" x="68"/>
        <item sd="1" t="data" x="7"/>
        <item m="1" sd="1" t="data" x="150"/>
        <item sd="1" t="data" x="39"/>
        <item sd="1" t="data" x="6"/>
        <item sd="1" t="data" x="24"/>
        <item m="1" sd="1" t="data" x="98"/>
        <item sd="1" t="data" x="11"/>
        <item sd="1" t="data" x="10"/>
        <item sd="1" t="data" x="43"/>
        <item m="1" sd="1" t="data" x="162"/>
        <item m="1" sd="1" t="data" x="154"/>
        <item sd="1" t="data" x="17"/>
        <item sd="1" t="data" x="23"/>
        <item m="1" sd="1" t="data" x="101"/>
        <item sd="1" t="data" x="22"/>
        <item sd="1" t="data" x="33"/>
        <item m="1" sd="1" t="data" x="62"/>
        <item m="1" sd="1" t="data" x="165"/>
        <item m="1" sd="1" t="data" x="157"/>
        <item m="1" sd="1" t="data" x="134"/>
        <item m="1" sd="1" t="data" x="102"/>
        <item m="1" sd="1" t="data" x="94"/>
        <item m="1" sd="1" t="data" x="55"/>
        <item m="1" sd="1" t="data" x="169"/>
        <item m="1" sd="1" t="data" x="149"/>
        <item m="1" sd="1" t="data" x="137"/>
        <item m="1" sd="1" t="data" x="126"/>
        <item sd="1" t="data" x="19"/>
        <item m="1" sd="1" t="data" x="111"/>
        <item m="1" sd="1" t="data" x="97"/>
        <item sd="1" t="data" x="1"/>
        <item m="1" sd="1" t="data" x="64"/>
        <item sd="1" t="data" x="40"/>
        <item sd="1" t="data" x="0"/>
        <item m="1" sd="1" t="data" x="145"/>
        <item m="1" sd="1" t="data" x="139"/>
        <item m="1" sd="1" t="data" x="123"/>
        <item sd="1" t="data" x="25"/>
        <item m="1" sd="1" t="data" x="90"/>
        <item m="1" sd="1" t="data" x="66"/>
        <item m="1" sd="1" t="data" x="49"/>
        <item m="1" sd="1" t="data" x="168"/>
        <item m="1" sd="1" t="data" x="48"/>
        <item m="1" sd="1" t="data" x="160"/>
        <item m="1" sd="1" t="data" x="131"/>
        <item sd="1" t="data" x="30"/>
        <item m="1" sd="1" t="data" x="116"/>
        <item m="1" sd="1" t="data" x="113"/>
        <item m="1" sd="1" t="data" x="93"/>
        <item m="1" sd="1" t="data" x="83"/>
        <item m="1" sd="1" t="data" x="65"/>
        <item m="1" sd="1" t="data" x="59"/>
        <item m="1" sd="1" t="data" x="53"/>
        <item m="1" sd="1" t="data" x="163"/>
        <item m="1" sd="1" t="data" x="159"/>
        <item m="1" sd="1" t="data" x="155"/>
        <item m="1" sd="1" t="data" x="148"/>
        <item m="1" sd="1" t="data" x="142"/>
        <item m="1" sd="1" t="data" x="136"/>
        <item m="1" sd="1" t="data" x="124"/>
        <item m="1" sd="1" t="data" x="114"/>
        <item m="1" sd="1" t="data" x="84"/>
        <item m="1" sd="1" t="data" x="61"/>
        <item m="1" sd="1" t="data" x="47"/>
        <item m="1" sd="1" t="data" x="147"/>
        <item m="1" sd="1" t="data" x="132"/>
        <item m="1" sd="1" t="data" x="122"/>
        <item m="1" sd="1" t="data" x="104"/>
        <item m="1" sd="1" t="data" x="167"/>
        <item m="1" sd="1" t="data" x="73"/>
        <item m="1" sd="1" t="data" x="130"/>
        <item m="1" sd="1" t="data" x="120"/>
        <item m="1" sd="1" t="data" x="110"/>
        <item m="1" sd="1" t="data" x="166"/>
        <item m="1" sd="1" t="data" x="91"/>
        <item m="1" sd="1" t="data" x="140"/>
        <item m="1" sd="1" t="data" x="80"/>
        <item m="1" sd="1" t="data" x="69"/>
        <item m="1" sd="1" t="data" x="118"/>
        <item m="1" sd="1" t="data" x="52"/>
        <item m="1" sd="1" t="data" x="107"/>
        <item m="1" sd="1" t="data" x="164"/>
        <item m="1" sd="1" t="data" x="153"/>
        <item m="1" sd="1" t="data" x="138"/>
        <item m="1" sd="1" t="data" x="79"/>
        <item m="1" sd="1" t="data" x="115"/>
        <item m="1" sd="1" t="data" x="50"/>
        <item m="1" sd="1" t="data" x="161"/>
        <item m="1" sd="1" t="data" x="99"/>
        <item m="1" sd="1" t="data" x="151"/>
        <item m="1" sd="1" t="data" x="135"/>
        <item m="1" sd="1" t="data" x="76"/>
        <item m="1" sd="1" t="data" x="125"/>
        <item m="1" sd="1" t="data" x="88"/>
        <item m="1" sd="1" t="data" x="74"/>
        <item m="1" sd="1" t="data" x="85"/>
        <item sd="1" t="data" x="34"/>
        <item m="1" sd="1" t="data" x="67"/>
        <item m="1" sd="1" t="data" x="173"/>
        <item m="1" sd="1" t="data" x="56"/>
        <item m="1" sd="1" t="data" x="128"/>
        <item sd="1" t="data" x="27"/>
        <item m="1" sd="1" t="data" x="108"/>
        <item m="1" sd="1" t="data" x="117"/>
        <item m="1" sd="1" t="data" x="89"/>
        <item m="1" sd="1" t="data" x="156"/>
        <item m="1" sd="1" t="data" x="133"/>
        <item m="1" sd="1" t="data" x="121"/>
        <item m="1" sd="1" t="data" x="95"/>
        <item m="1" sd="1" t="data" x="70"/>
        <item sd="1" t="data" x="15"/>
        <item m="1" sd="1" t="data" x="71"/>
        <item m="1" sd="1" t="data" x="54"/>
        <item m="1" sd="1" t="data" x="144"/>
        <item m="1" sd="1" t="data" x="58"/>
        <item sd="1" t="data" x="3"/>
        <item sd="1" t="data" x="2"/>
        <item sd="1" t="data" x="16"/>
        <item sd="1" t="data" x="18"/>
        <item sd="1" t="data" x="20"/>
        <item sd="1" t="data" x="14"/>
        <item sd="1" t="data" x="21"/>
        <item sd="1" t="data" x="29"/>
        <item sd="1" t="data" x="31"/>
        <item sd="1" t="data" x="35"/>
        <item sd="1" t="data" x="42"/>
        <item sd="1" t="data" x="36"/>
        <item sd="1" t="data" x="45"/>
        <item sd="1" t="data" x="32"/>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1"/>
        <item sd="1" t="data" x="0"/>
        <item sd="1" t="data" x="5"/>
        <item sd="1" t="data" x="2"/>
        <item sd="1" t="data" x="8"/>
        <item sd="1" t="data" x="6"/>
        <item sd="1" t="data" x="7"/>
        <item sd="1" t="data" x="3"/>
        <item m="1" sd="1" t="data" x="9"/>
        <item m="1" sd="1" t="data" x="23"/>
        <item m="1" sd="1" t="data" x="17"/>
        <item m="1" sd="1" t="data" x="24"/>
        <item m="1" sd="1" t="data" x="11"/>
        <item m="1" sd="1" t="data" x="19"/>
        <item m="1" sd="1" t="data" x="13"/>
        <item m="1" sd="1" t="data" x="12"/>
        <item m="1" sd="1" t="data" x="16"/>
        <item m="1" sd="1" t="data" x="15"/>
        <item m="1" sd="1" t="data" x="21"/>
        <item m="1" sd="1" t="data" x="22"/>
        <item m="1" sd="1" t="data" x="18"/>
        <item m="1" sd="1" t="data" x="20"/>
        <item m="1" sd="1" t="data" x="10"/>
        <item m="1" sd="1" t="data" x="14"/>
        <item sd="1" t="data" x="4"/>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6">
        <item m="1" sd="1" t="data" x="32"/>
        <item sd="1" t="data" x="7"/>
        <item sd="1" t="data" x="6"/>
        <item sd="1" t="data" x="10"/>
        <item m="1" sd="1" t="data" x="33"/>
        <item sd="1" t="data" x="17"/>
        <item sd="1" t="data" x="23"/>
        <item sd="1" t="data" x="11"/>
        <item sd="1" t="data" x="26"/>
        <item sd="1" t="data" x="5"/>
        <item sd="1" t="data" x="4"/>
        <item sd="1" t="data" x="13"/>
        <item sd="1" t="data" x="12"/>
        <item sd="1" t="data" x="9"/>
        <item sd="1" t="data" x="18"/>
        <item sd="1" t="data" x="16"/>
        <item sd="1" t="data" x="20"/>
        <item m="1" sd="1" t="data" x="61"/>
        <item sd="1" t="data" x="30"/>
        <item sd="1" t="data" x="1"/>
        <item sd="1" t="data" x="28"/>
        <item m="1" sd="1" t="data" x="55"/>
        <item sd="1" t="data" x="0"/>
        <item sd="1" t="data" x="21"/>
        <item sd="1" t="data" x="15"/>
        <item sd="1" t="data" x="14"/>
        <item sd="1" t="data" x="22"/>
        <item sd="1" t="data" x="31"/>
        <item sd="1" t="data" x="3"/>
        <item sd="1" t="data" x="19"/>
        <item m="1" sd="1" t="data" x="59"/>
        <item sd="1" t="data" x="29"/>
        <item sd="1" t="data" x="27"/>
        <item m="1" sd="1" t="data" x="47"/>
        <item m="1" sd="1" t="data" x="39"/>
        <item m="1" sd="1" t="data" x="58"/>
        <item m="1" sd="1" t="data" x="50"/>
        <item m="1" sd="1" t="data" x="37"/>
        <item m="1" sd="1" t="data" x="64"/>
        <item m="1" sd="1" t="data" x="54"/>
        <item m="1" sd="1" t="data" x="51"/>
        <item m="1" sd="1" t="data" x="65"/>
        <item m="1" sd="1" t="data" x="48"/>
        <item m="1" sd="1" t="data" x="42"/>
        <item m="1" sd="1" t="data" x="63"/>
        <item m="1" sd="1" t="data" x="49"/>
        <item m="1" sd="1" t="data" x="45"/>
        <item m="1" sd="1" t="data" x="40"/>
        <item m="1" sd="1" t="data" x="38"/>
        <item m="1" sd="1" t="data" x="35"/>
        <item m="1" sd="1" t="data" x="62"/>
        <item m="1" sd="1" t="data" x="57"/>
        <item m="1" sd="1" t="data" x="44"/>
        <item m="1" sd="1" t="data" x="53"/>
        <item m="1" sd="1" t="data" x="34"/>
        <item m="1" sd="1" t="data" x="43"/>
        <item m="1" sd="1" t="data" x="56"/>
        <item m="1" sd="1" t="data" x="36"/>
        <item m="1" sd="1" t="data" x="52"/>
        <item m="1" sd="1" t="data" x="41"/>
        <item sd="1" t="data" x="24"/>
        <item sd="1" t="data" x="2"/>
        <item sd="1" t="data" x="8"/>
        <item m="1" sd="1" t="data" x="60"/>
        <item m="1" sd="1" t="data" x="46"/>
        <item sd="1" t="data" x="25"/>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items count="33">
        <item sd="1" t="data" x="4"/>
        <item sd="1" t="data" x="3"/>
        <item sd="1" t="data" x="5"/>
        <item sd="1" t="data" x="7"/>
        <item sd="1" t="data" x="8"/>
        <item sd="1" t="data" x="0"/>
        <item sd="1" t="data" x="6"/>
        <item sd="1" t="data" x="14"/>
        <item sd="1" t="data" x="9"/>
        <item sd="1" t="data" x="13"/>
        <item sd="1" t="data" x="12"/>
        <item sd="1" t="data" x="20"/>
        <item sd="1" t="data" x="10"/>
        <item sd="1" t="data" x="16"/>
        <item sd="1" t="data" x="15"/>
        <item sd="1" t="data" x="1"/>
        <item sd="1" t="data" x="21"/>
        <item sd="1" t="data" x="11"/>
        <item sd="1" t="data" x="25"/>
        <item sd="1" t="data" x="2"/>
        <item sd="1" t="data" x="27"/>
        <item sd="1" t="data" x="23"/>
        <item sd="1" t="data" x="17"/>
        <item sd="1" t="data" x="22"/>
        <item sd="1" t="data" x="18"/>
        <item sd="1" t="data" x="26"/>
        <item sd="1" t="data" x="29"/>
        <item sd="1" t="data" x="28"/>
        <item sd="1" t="data" x="31"/>
        <item sd="1" t="data" x="30"/>
        <item sd="1" t="data" x="32"/>
        <item sd="1" t="data" x="19"/>
        <item sd="1" t="data" x="24"/>
      </items>
    </pivotField>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1" dragOff="1" dragToCol="1" dragToData="1" dragToPage="1" dragToRow="1" itemPageCount="10" outline="0" showAll="0" showDropDowns="1" sortType="manual" subtotalTop="1" topAutoShow="1"/>
  </pivotFields>
  <rowFields count="9">
    <field x="0"/>
    <field x="2"/>
    <field x="3"/>
    <field x="7"/>
    <field x="9"/>
    <field x="4"/>
    <field x="5"/>
    <field x="6"/>
    <field x="17"/>
  </rowFields>
  <rowItems count="4">
    <i i="0" r="0" t="data">
      <x v="118"/>
      <x v="0"/>
      <x v="10"/>
      <x v="162"/>
      <x v="2"/>
      <x v="230"/>
      <x v="210"/>
      <x v="85"/>
      <x v="15"/>
    </i>
    <i i="0" r="0" t="data">
      <x v="126"/>
      <x v="1"/>
      <x v="10"/>
      <x v="162"/>
      <x v="1"/>
      <x v="236"/>
      <x v="210"/>
      <x v="85"/>
      <x v="61"/>
    </i>
    <i i="0" r="0" t="data">
      <x v="127"/>
      <x v="2"/>
      <x v="10"/>
      <x v="162"/>
      <x v="0"/>
      <x v="236"/>
      <x v="210"/>
      <x v="85"/>
      <x v="61"/>
    </i>
    <i i="0" r="0" t="grand">
      <x v="0"/>
    </i>
  </rowItems>
  <colFields count="1">
    <field x="-2"/>
  </colFields>
  <colItems count="5">
    <i i="0" r="0" t="data">
      <x v="0"/>
    </i>
    <i i="1" r="0" t="data">
      <x v="1"/>
    </i>
    <i i="2" r="0" t="data">
      <x v="2"/>
    </i>
    <i i="3" r="0" t="data">
      <x v="3"/>
    </i>
    <i i="4" r="0" t="data">
      <x v="4"/>
    </i>
  </colItems>
  <pageFields count="1">
    <pageField fld="1" hier="-1" item="4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87">
      <pivotArea dataOnly="1" fieldPosition="0" outline="0" type="normal">
        <references count="1">
          <reference field="4294967294" selected="0">
            <x v="0"/>
          </reference>
        </references>
      </pivotArea>
    </format>
    <format action="formatting" dxfId="188">
      <pivotArea dataOnly="0" fieldPosition="0" labelOnly="1" outline="0" type="normal">
        <references count="1">
          <reference field="4294967294">
            <x v="0"/>
          </reference>
        </references>
      </pivotArea>
    </format>
    <format action="formatting" dxfId="189">
      <pivotArea axis="axisPage" dataOnly="0" field="1" fieldPosition="0" labelOnly="1" outline="0" type="button"/>
    </format>
    <format action="formatting" dxfId="19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tables/table1.xml><?xml version="1.0" encoding="utf-8"?>
<table xmlns="http://schemas.openxmlformats.org/spreadsheetml/2006/main" displayName="Table1" headerRowCount="1" id="1" name="Table1" ref="A8:AE90">
  <autoFilter ref="A8:AE90"/>
  <tableColumns count="31">
    <tableColumn id="1" name="SYM"/>
    <tableColumn id="2" name="Trade#"/>
    <tableColumn id="3" name="Leg"/>
    <tableColumn id="4" name="TransType"/>
    <tableColumn id="5" name="OpenDate"/>
    <tableColumn id="6" name="CloseDate"/>
    <tableColumn id="7" name="ExpDate"/>
    <tableColumn id="8" name="Strike"/>
    <tableColumn id="9" name="Strike2"/>
    <tableColumn id="10" name="#Contracts"/>
    <tableColumn id="11" name="OpnPrem"/>
    <tableColumn id="12" name="ClsPrem"/>
    <tableColumn id="13" name="Symbol"/>
    <tableColumn id="14" name="Current value"/>
    <tableColumn id="15" name="ask"/>
    <tableColumn id="16" name="NetPrem"/>
    <tableColumn id="17" name="TotPrem"/>
    <tableColumn id="18" name="Days"/>
    <tableColumn id="19" name="Cap"/>
    <tableColumn id="20" name="OpenCap"/>
    <tableColumn id="21" name="BEcap"/>
    <tableColumn id="22" name="CapDays"/>
    <tableColumn id="23" name="TotCapDays"/>
    <tableColumn id="24" name="AROI"/>
    <tableColumn id="25" name="BreakEven"/>
    <tableColumn id="26" name="ActShares"/>
    <tableColumn id="27" name="ActDate"/>
    <tableColumn id="28" name="Inception"/>
    <tableColumn id="29" name="1YR"/>
    <tableColumn id="30" name="YTD"/>
    <tableColumn id="31" name="unbooked"/>
  </tableColumns>
  <tableStyleInfo name="TableStyleMedium7"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_rels/sheet4.xml.rels><Relationships xmlns="http://schemas.openxmlformats.org/package/2006/relationships"><Relationship Id="rId1" Target="/xl/pivotTables/pivotTable1.xml" Type="http://schemas.openxmlformats.org/officeDocument/2006/relationships/pivotTable" /><Relationship Id="rId2" Target="/xl/pivotTables/pivotTable2.xml" Type="http://schemas.openxmlformats.org/officeDocument/2006/relationships/pivotTable" /><Relationship Id="rId3" Target="/xl/pivotTables/pivotTable3.xml" Type="http://schemas.openxmlformats.org/officeDocument/2006/relationships/pivotTable" /><Relationship Id="rId4" Target="/xl/pivotTables/pivotTable4.xml" Type="http://schemas.openxmlformats.org/officeDocument/2006/relationships/pivotTable" /><Relationship Id="rId5" Target="/xl/pivotTables/pivotTable5.xml" Type="http://schemas.openxmlformats.org/officeDocument/2006/relationships/pivotTable" /><Relationship Id="rId6" Target="/xl/pivotTables/pivotTable6.xml" Type="http://schemas.openxmlformats.org/officeDocument/2006/relationships/pivotTable" /><Relationship Id="rId7" Target="/xl/pivotTables/pivotTable7.xml" Type="http://schemas.openxmlformats.org/officeDocument/2006/relationships/pivotTable" /><Relationship Id="rId8" Target="/xl/pivotTables/pivotTable8.xml" Type="http://schemas.openxmlformats.org/officeDocument/2006/relationships/pivotTable" /><Relationship Id="rId9" Target="/xl/pivotTables/pivotTable9.xml" Type="http://schemas.openxmlformats.org/officeDocument/2006/relationships/pivotTable" /><Relationship Id="rId10" Target="/xl/pivotTables/pivotTable10.xml" Type="http://schemas.openxmlformats.org/officeDocument/2006/relationships/pivotTable" /><Relationship Id="rId11" Target="/xl/pivotTables/pivotTable11.xml" Type="http://schemas.openxmlformats.org/officeDocument/2006/relationships/pivotTable" /><Relationship Id="rId12" Target="/xl/pivotTables/pivotTable12.xml" Type="http://schemas.openxmlformats.org/officeDocument/2006/relationships/pivotTable" /><Relationship Id="rId13" Target="/xl/pivotTables/pivotTable13.xml" Type="http://schemas.openxmlformats.org/officeDocument/2006/relationships/pivotTable" /><Relationship Id="rId14" Target="/xl/pivotTables/pivotTable14.xml" Type="http://schemas.openxmlformats.org/officeDocument/2006/relationships/pivotTable" /><Relationship Id="rId15" Target="/xl/pivotTables/pivotTable15.xml" Type="http://schemas.openxmlformats.org/officeDocument/2006/relationships/pivotTable" /><Relationship Id="rId16" Target="/xl/pivotTables/pivotTable16.xml" Type="http://schemas.openxmlformats.org/officeDocument/2006/relationships/pivotTable" /><Relationship Id="rId17" Target="/xl/pivotTables/pivotTable17.xml" Type="http://schemas.openxmlformats.org/officeDocument/2006/relationships/pivotTable" /><Relationship Id="rId18" Target="/xl/pivotTables/pivotTable18.xml" Type="http://schemas.openxmlformats.org/officeDocument/2006/relationships/pivotTable" /><Relationship Id="rId19" Target="/xl/pivotTables/pivotTable19.xml" Type="http://schemas.openxmlformats.org/officeDocument/2006/relationships/pivotTable" /><Relationship Id="rId20" Target="/xl/pivotTables/pivotTable20.xml" Type="http://schemas.openxmlformats.org/officeDocument/2006/relationships/pivotTable" /><Relationship Id="rId21" Target="/xl/pivotTables/pivotTable21.xml" Type="http://schemas.openxmlformats.org/officeDocument/2006/relationships/pivotTable" /><Relationship Id="rId22" Target="/xl/pivotTables/pivotTable22.xml" Type="http://schemas.openxmlformats.org/officeDocument/2006/relationships/pivotTable" /><Relationship Id="rId23" Target="/xl/pivotTables/pivotTable23.xml" Type="http://schemas.openxmlformats.org/officeDocument/2006/relationships/pivotTable" /><Relationship Id="rId24" Target="/xl/pivotTables/pivotTable24.xml" Type="http://schemas.openxmlformats.org/officeDocument/2006/relationships/pivotTable" /><Relationship Id="rId25" Target="/xl/pivotTables/pivotTable25.xml" Type="http://schemas.openxmlformats.org/officeDocument/2006/relationships/pivotTable" /><Relationship Id="rId26" Target="/xl/pivotTables/pivotTable26.xml" Type="http://schemas.openxmlformats.org/officeDocument/2006/relationships/pivotTable" /><Relationship Id="rId27" Target="/xl/pivotTables/pivotTable27.xml" Type="http://schemas.openxmlformats.org/officeDocument/2006/relationships/pivotTable" /><Relationship Id="rId28" Target="/xl/pivotTables/pivotTable28.xml" Type="http://schemas.openxmlformats.org/officeDocument/2006/relationships/pivotTable" /><Relationship Id="rId29" Target="/xl/pivotTables/pivotTable29.xml" Type="http://schemas.openxmlformats.org/officeDocument/2006/relationships/pivotTable" /><Relationship Id="rId30" Target="/xl/pivotTables/pivotTable30.xml" Type="http://schemas.openxmlformats.org/officeDocument/2006/relationships/pivotTable" /><Relationship Id="rId31" Target="/xl/pivotTables/pivotTable31.xml" Type="http://schemas.openxmlformats.org/officeDocument/2006/relationships/pivotTable" /><Relationship Id="rId32" Target="/xl/pivotTables/pivotTable32.xml" Type="http://schemas.openxmlformats.org/officeDocument/2006/relationships/pivotTable" /><Relationship Id="rId33" Target="/xl/pivotTables/pivotTable33.xml" Type="http://schemas.openxmlformats.org/officeDocument/2006/relationships/pivotTable" /><Relationship Id="rId34" Target="/xl/pivotTables/pivotTable34.xml" Type="http://schemas.openxmlformats.org/officeDocument/2006/relationships/pivotTable" /><Relationship Id="rId35" Target="/xl/pivotTables/pivotTable35.xml" Type="http://schemas.openxmlformats.org/officeDocument/2006/relationships/pivotTable" /><Relationship Id="rId36" Target="/xl/pivotTables/pivotTable36.xml" Type="http://schemas.openxmlformats.org/officeDocument/2006/relationships/pivotTable" /><Relationship Id="rId37" Target="/xl/pivotTables/pivotTable37.xml" Type="http://schemas.openxmlformats.org/officeDocument/2006/relationships/pivotTable" /><Relationship Id="rId38" Target="/xl/pivotTables/pivotTable38.xml" Type="http://schemas.openxmlformats.org/officeDocument/2006/relationships/pivotTable" /><Relationship Id="rId39" Target="/xl/pivotTables/pivotTable39.xml" Type="http://schemas.openxmlformats.org/officeDocument/2006/relationships/pivotTable" /><Relationship Id="rId40" Target="/xl/pivotTables/pivotTable40.xml" Type="http://schemas.openxmlformats.org/officeDocument/2006/relationships/pivotTable" /><Relationship Id="rId41" Target="/xl/pivotTables/pivotTable41.xml" Type="http://schemas.openxmlformats.org/officeDocument/2006/relationships/pivotTable" /><Relationship Id="rId42" Target="/xl/pivotTables/pivotTable42.xml" Type="http://schemas.openxmlformats.org/officeDocument/2006/relationships/pivotTable" /><Relationship Id="rId43" Target="/xl/pivotTables/pivotTable43.xml" Type="http://schemas.openxmlformats.org/officeDocument/2006/relationships/pivotTable" /></Relationships>
</file>

<file path=xl/worksheets/_rels/sheet5.xml.rels><Relationships xmlns="http://schemas.openxmlformats.org/package/2006/relationships"><Relationship Id="rId1" Target="/xl/pivotTables/pivotTable44.xml" Type="http://schemas.openxmlformats.org/officeDocument/2006/relationships/pivotTable" /></Relationships>
</file>

<file path=xl/worksheets/_rels/sheet6.xml.rels><Relationships xmlns="http://schemas.openxmlformats.org/package/2006/relationships"><Relationship Id="rId1" Target="/xl/pivotTables/pivotTable45.xml" Type="http://schemas.openxmlformats.org/officeDocument/2006/relationships/pivotTable" /><Relationship Id="rId2" Target="/xl/pivotTables/pivotTable46.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2:D91"/>
  <sheetViews>
    <sheetView topLeftCell="A9" workbookViewId="0">
      <selection activeCell="A27" sqref="A27"/>
    </sheetView>
  </sheetViews>
  <sheetFormatPr baseColWidth="8" defaultRowHeight="15"/>
  <cols>
    <col customWidth="1" max="1" min="1" style="69" width="18"/>
    <col customWidth="1" max="2" min="2" style="69" width="12.140625"/>
  </cols>
  <sheetData>
    <row r="2">
      <c r="A2" t="inlineStr">
        <is>
          <t>There are four sheets besides this README sheet.  The following is a brief summary.</t>
        </is>
      </c>
    </row>
    <row r="4">
      <c r="A4" t="inlineStr">
        <is>
          <t xml:space="preserve">DATA - </t>
        </is>
      </c>
      <c r="B4" t="inlineStr">
        <is>
          <t xml:space="preserve">This sheet is where all trades are entered. Each trade is identified by Stock Symbol, Trade number, and Leg number.  When adding a </t>
        </is>
      </c>
    </row>
    <row r="5">
      <c r="A5" t="inlineStr">
        <is>
          <t xml:space="preserve"> </t>
        </is>
      </c>
      <c r="B5" t="inlineStr">
        <is>
          <t xml:space="preserve">new trade, a unique trade number must be assigned.  I start with 1 and increment for each new trade.  New trades can be added </t>
        </is>
      </c>
    </row>
    <row r="6">
      <c r="B6" t="inlineStr">
        <is>
          <t>anywhere on the sheet but if added at the beginning, then it is easy to keep track of the last used trade number. If multiple trades</t>
        </is>
      </c>
    </row>
    <row r="7">
      <c r="B7" t="inlineStr">
        <is>
          <t>are made for the same stock symbol that are to be grouped together as a single campaign, then Leg number is used to distinguish</t>
        </is>
      </c>
    </row>
    <row r="8">
      <c r="B8" t="inlineStr">
        <is>
          <t xml:space="preserve">between the trades.  When adding a new trade to an existing campaign, insert a new line ahead of the top line for that campaign, </t>
        </is>
      </c>
    </row>
    <row r="9">
      <c r="B9" t="inlineStr">
        <is>
          <t>fill in the stock symbol, use the same trade number, and set a new leg number.  See details for this sheet below.</t>
        </is>
      </c>
    </row>
    <row r="11">
      <c r="A11" t="inlineStr">
        <is>
          <t xml:space="preserve">OPEN POSITIONS - </t>
        </is>
      </c>
      <c r="B11" t="inlineStr">
        <is>
          <t>This sheet will show all open positions.  It is sorted by expiration date to make it easy to see which ones might need attention first.</t>
        </is>
      </c>
    </row>
    <row r="12">
      <c r="B12" t="inlineStr">
        <is>
          <t>Trade number is the primary identifier for each open position, but stock symbol and leg number are also shown.  Total capital required</t>
        </is>
      </c>
    </row>
    <row r="13">
      <c r="B13" t="inlineStr">
        <is>
          <t>for the open positions is provided so you can determine if you have capital for opening a new position. The trade number can be used</t>
        </is>
      </c>
    </row>
    <row r="14">
      <c r="B14" t="inlineStr">
        <is>
          <t>to find an open transaction on the DATA sheet.  It can also be input on the CAMPAIGN sheet to display more information relating to</t>
        </is>
      </c>
    </row>
    <row r="15">
      <c r="B15" t="inlineStr">
        <is>
          <t xml:space="preserve">the overall campaign such as annualized return and break even value.  </t>
        </is>
      </c>
    </row>
    <row r="17">
      <c r="A17" t="inlineStr">
        <is>
          <t>CAMPAIGN -</t>
        </is>
      </c>
      <c r="B17" t="inlineStr">
        <is>
          <t xml:space="preserve">Will show all trades corresponding to a specified Trade number and summarize annualized return, stock break even value, and total </t>
        </is>
      </c>
    </row>
    <row r="18">
      <c r="B18" t="inlineStr">
        <is>
          <t>capital required for the trade.</t>
        </is>
      </c>
    </row>
    <row r="20">
      <c r="A20" t="inlineStr">
        <is>
          <t>PERFORMANCE -</t>
        </is>
      </c>
      <c r="B20" t="inlineStr">
        <is>
          <t>Shows premiums booked for Year To Date (YTD), prior twelve months (1YR), and since  inception.  Total premiums not yet booked</t>
        </is>
      </c>
    </row>
    <row r="21">
      <c r="B21" t="inlineStr">
        <is>
          <t xml:space="preserve">are also shown.  Premiums collected (both booked and not booked) are shown by year and month. </t>
        </is>
      </c>
    </row>
    <row r="26">
      <c r="A26" t="inlineStr">
        <is>
          <t>DATA sheet details - The first 12 columns are for input:</t>
        </is>
      </c>
    </row>
    <row r="28">
      <c r="B28" t="inlineStr">
        <is>
          <t>SYM</t>
        </is>
      </c>
      <c r="C28" t="inlineStr">
        <is>
          <t>Stock symbol</t>
        </is>
      </c>
    </row>
    <row r="29">
      <c r="B29" t="inlineStr">
        <is>
          <t>Trade#</t>
        </is>
      </c>
      <c r="C29" t="inlineStr">
        <is>
          <t>Unique identifier for each separate campaign.</t>
        </is>
      </c>
    </row>
    <row r="30">
      <c r="B30" t="inlineStr">
        <is>
          <t>Leg</t>
        </is>
      </c>
      <c r="C30" t="inlineStr">
        <is>
          <t>Identifies each separate leg of a campaign.  This isn't required but it helps with the display on the CAMPAIGN sheet.</t>
        </is>
      </c>
    </row>
    <row r="31">
      <c r="B31" t="inlineStr">
        <is>
          <t>TransType</t>
        </is>
      </c>
      <c r="C31" t="inlineStr">
        <is>
          <t>Identifies the type of trade.  The sheet currently supports the following:</t>
        </is>
      </c>
    </row>
    <row r="32">
      <c r="C32" t="inlineStr">
        <is>
          <t>SP</t>
        </is>
      </c>
      <c r="D32" t="inlineStr">
        <is>
          <t>Short PUT</t>
        </is>
      </c>
    </row>
    <row r="33">
      <c r="C33" t="inlineStr">
        <is>
          <t>BP</t>
        </is>
      </c>
      <c r="D33" t="inlineStr">
        <is>
          <t>Bull PUT Spread</t>
        </is>
      </c>
    </row>
    <row r="34">
      <c r="C34" t="inlineStr">
        <is>
          <t>BC</t>
        </is>
      </c>
      <c r="D34" t="inlineStr">
        <is>
          <t>Bear CALL Spread</t>
        </is>
      </c>
    </row>
    <row r="35">
      <c r="C35" t="inlineStr">
        <is>
          <t>LC</t>
        </is>
      </c>
      <c r="D35" t="inlineStr">
        <is>
          <t>Long CALL</t>
        </is>
      </c>
    </row>
    <row r="36">
      <c r="C36" t="inlineStr">
        <is>
          <t>DIV</t>
        </is>
      </c>
      <c r="D36" t="inlineStr">
        <is>
          <t>Dividends</t>
        </is>
      </c>
    </row>
    <row r="37">
      <c r="C37" t="inlineStr">
        <is>
          <t>CC</t>
        </is>
      </c>
      <c r="D37" t="inlineStr">
        <is>
          <t>Covered CALL</t>
        </is>
      </c>
    </row>
    <row r="38">
      <c r="C38" t="inlineStr">
        <is>
          <t>LS</t>
        </is>
      </c>
      <c r="D38" t="inlineStr">
        <is>
          <t>Long Stock</t>
        </is>
      </c>
    </row>
    <row r="39">
      <c r="C39" t="inlineStr">
        <is>
          <t>AS</t>
        </is>
      </c>
      <c r="D39" t="inlineStr">
        <is>
          <t>Assigned Stock (Put Exercised)</t>
        </is>
      </c>
    </row>
    <row r="40">
      <c r="B40" t="inlineStr">
        <is>
          <t>OpenDate</t>
        </is>
      </c>
      <c r="C40" t="inlineStr">
        <is>
          <t>Date when position opened.</t>
        </is>
      </c>
    </row>
    <row r="41">
      <c r="B41" t="inlineStr">
        <is>
          <t>CloseDate</t>
        </is>
      </c>
      <c r="C41" t="inlineStr">
        <is>
          <t>Date position is closed. If position expires worthless, CloseDate must be set to expiration date.</t>
        </is>
      </c>
    </row>
    <row r="42">
      <c r="B42" t="inlineStr">
        <is>
          <t>ExpDate</t>
        </is>
      </c>
      <c r="C42" t="inlineStr">
        <is>
          <t>Option expiration date. Leave blank for LS, AS, and DIV.</t>
        </is>
      </c>
    </row>
    <row r="43">
      <c r="B43" t="inlineStr">
        <is>
          <t>Strike</t>
        </is>
      </c>
      <c r="C43" t="inlineStr">
        <is>
          <t>This is the option's strike. For a bull put or bear call spread this will be the strike of the short position.</t>
        </is>
      </c>
    </row>
    <row r="44">
      <c r="B44" t="inlineStr">
        <is>
          <t>Strike2</t>
        </is>
      </c>
      <c r="C44" t="inlineStr">
        <is>
          <t>The strike for the long position in a bull put or bear call spread.</t>
        </is>
      </c>
    </row>
    <row r="45">
      <c r="B45" t="inlineStr">
        <is>
          <t>#Contracts</t>
        </is>
      </c>
      <c r="C45" t="inlineStr">
        <is>
          <t>Number of contracts for options. For long stock (LS), the number of shares.</t>
        </is>
      </c>
    </row>
    <row r="46">
      <c r="B46" t="inlineStr">
        <is>
          <t>OpnPrem</t>
        </is>
      </c>
      <c r="C46" t="inlineStr">
        <is>
          <t>Premium received less commissions and fees. If an earlier position was rolled, the cost of closing that position</t>
        </is>
      </c>
    </row>
    <row r="47">
      <c r="C47" t="inlineStr">
        <is>
          <t xml:space="preserve">is deducted from the premiums recieved for the new position. If an option was bought to close the position, </t>
        </is>
      </c>
    </row>
    <row r="48">
      <c r="C48" t="inlineStr">
        <is>
          <t>the premiums paid along with commissions may be deducted here or entered in the next column.</t>
        </is>
      </c>
    </row>
    <row r="49">
      <c r="C49" t="inlineStr">
        <is>
          <t>For long stock (LS) only enter the fees paid as a negative number.</t>
        </is>
      </c>
    </row>
    <row r="50">
      <c r="B50" t="inlineStr">
        <is>
          <t>ClsPrem</t>
        </is>
      </c>
      <c r="C50" t="inlineStr">
        <is>
          <t>This was added more recently so that premiums paid to close a position can be entered separately.</t>
        </is>
      </c>
    </row>
    <row r="51">
      <c r="C51" t="inlineStr">
        <is>
          <t>For long stock (LS) enter the sale proceeds, minus purchase price and fees paid for the sale.</t>
        </is>
      </c>
    </row>
    <row r="53">
      <c r="B53" t="inlineStr">
        <is>
          <t>NOTE:</t>
        </is>
      </c>
      <c r="C53" t="inlineStr">
        <is>
          <t>For DIV, set OpenDate and CloseDate to date the dividend is received.  Set OpnPrem to the amount of dividends received.</t>
        </is>
      </c>
    </row>
    <row r="54">
      <c r="C54" t="inlineStr">
        <is>
          <t>All other input fields are left blank.</t>
        </is>
      </c>
    </row>
    <row r="56">
      <c r="B56" t="inlineStr">
        <is>
          <t xml:space="preserve">The remaining columns are automatically computed.  There is no way to protect against typing into these fields so you just need to </t>
        </is>
      </c>
    </row>
    <row r="57">
      <c r="B57" t="inlineStr">
        <is>
          <t>make sure you don't.  The following brief descriptions apply:</t>
        </is>
      </c>
    </row>
    <row r="59">
      <c r="B59" t="inlineStr">
        <is>
          <t>NetPrem</t>
        </is>
      </c>
      <c r="C59" t="inlineStr">
        <is>
          <t>Net premiums received for this leg.</t>
        </is>
      </c>
    </row>
    <row r="60">
      <c r="B60" t="inlineStr">
        <is>
          <t>TotPrem</t>
        </is>
      </c>
      <c r="C60" t="inlineStr">
        <is>
          <t>Total premiums for all legs of a campaign.  This isn't needed here but I like to see it.</t>
        </is>
      </c>
    </row>
    <row r="61">
      <c r="B61" t="inlineStr">
        <is>
          <t>Days</t>
        </is>
      </c>
      <c r="C61" t="inlineStr">
        <is>
          <t>Number of days a position was open.  If the position is currently open, then this will be number of days from open to expiration.</t>
        </is>
      </c>
    </row>
    <row r="62">
      <c r="B62" t="inlineStr">
        <is>
          <t>Cap</t>
        </is>
      </c>
      <c r="C62" t="inlineStr">
        <is>
          <t>Capital requirement for the leg.</t>
        </is>
      </c>
    </row>
    <row r="63">
      <c r="B63" t="inlineStr">
        <is>
          <t>OpenCap</t>
        </is>
      </c>
      <c r="C63" t="inlineStr">
        <is>
          <t>Capital required if the position is still open.</t>
        </is>
      </c>
    </row>
    <row r="64">
      <c r="B64" t="inlineStr">
        <is>
          <t>Becap</t>
        </is>
      </c>
      <c r="C64" t="inlineStr">
        <is>
          <t>This is capital required that is used in computing the break even value. Uusally this is the same as OpenCap but there are cases where it is different.</t>
        </is>
      </c>
    </row>
    <row r="65">
      <c r="B65" t="inlineStr">
        <is>
          <t>CapDays</t>
        </is>
      </c>
      <c r="C65" t="inlineStr">
        <is>
          <t>This is capital required for leg (Cap) times the number of days open (Days).</t>
        </is>
      </c>
    </row>
    <row r="66">
      <c r="B66" t="inlineStr">
        <is>
          <t>TotCapDays</t>
        </is>
      </c>
      <c r="C66" t="inlineStr">
        <is>
          <t>The sum of CapDays for all legs in a campaign.</t>
        </is>
      </c>
    </row>
    <row r="67">
      <c r="B67" t="inlineStr">
        <is>
          <t>AROI</t>
        </is>
      </c>
      <c r="C67" t="inlineStr">
        <is>
          <t>Annualized return on investment.  I should probably remove this because it isn't always correct. For the correct value, see the CAMPAIGN sheet.</t>
        </is>
      </c>
    </row>
    <row r="68">
      <c r="B68" t="inlineStr">
        <is>
          <t>BreakEven</t>
        </is>
      </c>
      <c r="C68" t="inlineStr">
        <is>
          <t>The break even stock value. As with AROI, this isn't always correct.  See the CAMPAIGN sheet for the correct value.</t>
        </is>
      </c>
    </row>
    <row r="69">
      <c r="B69" t="inlineStr">
        <is>
          <t>ActShares</t>
        </is>
      </c>
      <c r="C69" t="inlineStr">
        <is>
          <t>This is basically the number of shares held or controlled and is used in computing the break even value on the CAMPAIGN sheet.</t>
        </is>
      </c>
    </row>
    <row r="70">
      <c r="B70" t="inlineStr">
        <is>
          <t>ActDate</t>
        </is>
      </c>
      <c r="C70" t="inlineStr">
        <is>
          <t>If the position is closed, this is the closed date.  For an open position of type LS or AS it will be the current date.  Otherwise it is the expiration date.</t>
        </is>
      </c>
    </row>
    <row r="71">
      <c r="B71" t="inlineStr">
        <is>
          <t>Inception</t>
        </is>
      </c>
      <c r="C71" t="inlineStr">
        <is>
          <t>All premiums booked since inception.</t>
        </is>
      </c>
    </row>
    <row r="72">
      <c r="B72" t="inlineStr">
        <is>
          <t>1YR</t>
        </is>
      </c>
      <c r="C72" t="inlineStr">
        <is>
          <t>All premiums booked within the last 12 months.</t>
        </is>
      </c>
    </row>
    <row r="73">
      <c r="B73" t="inlineStr">
        <is>
          <t>YTD</t>
        </is>
      </c>
      <c r="C73" t="inlineStr">
        <is>
          <t>All premiums booked in the current year.</t>
        </is>
      </c>
    </row>
    <row r="74">
      <c r="B74" t="inlineStr">
        <is>
          <t>Unbooked</t>
        </is>
      </c>
      <c r="C74" t="inlineStr">
        <is>
          <t xml:space="preserve">Premiums that have not been booked. </t>
        </is>
      </c>
    </row>
    <row r="77">
      <c r="A77" t="inlineStr">
        <is>
          <t>OPEN POSITIONS sheet details</t>
        </is>
      </c>
    </row>
    <row r="78">
      <c r="B78" t="inlineStr">
        <is>
          <t xml:space="preserve">This will display all open positions.  If changes have been made on the DATA sheet, then this pivot table must be refreshed. Right click on </t>
        </is>
      </c>
    </row>
    <row r="79">
      <c r="B79" t="inlineStr">
        <is>
          <t>any cell in the table and select "Refresh" from the menu. Columns are as described for the DATA sheet.</t>
        </is>
      </c>
    </row>
    <row r="82">
      <c r="A82" t="inlineStr">
        <is>
          <t>CAMPAIGN sheet details</t>
        </is>
      </c>
    </row>
    <row r="83">
      <c r="B83" t="inlineStr">
        <is>
          <t xml:space="preserve">Trade# is an input field. Enter the trade number corresponding to the campaign you want displayed in the yellow cell.  If changes have </t>
        </is>
      </c>
    </row>
    <row r="84">
      <c r="B84" t="inlineStr">
        <is>
          <t xml:space="preserve">been made on the DATA sheet, then this pivot table must be refreshed. Right click on any cell in the table and select "Refresh" from the </t>
        </is>
      </c>
    </row>
    <row r="85">
      <c r="B85" t="inlineStr">
        <is>
          <t>menu. Columns are as described for the DATA sheet.  The green area indicates the annualized ROI, break even value, and required capital.</t>
        </is>
      </c>
    </row>
    <row r="88">
      <c r="A88" t="inlineStr">
        <is>
          <t>PERFORMANCE sheet details</t>
        </is>
      </c>
    </row>
    <row r="89">
      <c r="B89" t="inlineStr">
        <is>
          <t xml:space="preserve">Provides totals for premiums collected as of current date.  You can enter another date in the yellow box (mm/dd/yy) to obtain the values </t>
        </is>
      </c>
    </row>
    <row r="90">
      <c r="B90" t="inlineStr">
        <is>
          <t xml:space="preserve">as of that date. Clear the selected date to go back to using the current date. NOTE - if an alternate date is selected or cleared, you MUST </t>
        </is>
      </c>
    </row>
    <row r="91">
      <c r="B91" t="inlineStr">
        <is>
          <t>refresh the pivot tables.  Right click on any cell in one of the two tables and select "Refresh" from the menu.</t>
        </is>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B79"/>
  <sheetViews>
    <sheetView workbookViewId="0" zoomScaleNormal="100">
      <pane activePane="bottomLeft" state="frozen" topLeftCell="A52" ySplit="2"/>
      <selection activeCell="B1" sqref="B1"/>
      <selection activeCell="M64" pane="bottomLeft" sqref="M64"/>
    </sheetView>
  </sheetViews>
  <sheetFormatPr baseColWidth="8" defaultRowHeight="15"/>
  <cols>
    <col customWidth="1" max="1" min="1" style="69" width="12.5703125"/>
    <col customWidth="1" hidden="1" max="2" min="2" style="69" width="40.85546875"/>
    <col customWidth="1" max="3" min="3" style="34" width="14.5703125"/>
    <col customWidth="1" max="4" min="4" style="34" width="14.140625"/>
    <col customWidth="1" max="5" min="5" style="34" width="14.85546875"/>
    <col bestFit="1" customWidth="1" max="6" min="6" style="34" width="13.85546875"/>
    <col customWidth="1" max="7" min="7" style="34" width="10.140625"/>
    <col customWidth="1" max="8" min="8" style="40" width="6.42578125"/>
    <col customWidth="1" max="9" min="9" style="19" width="14.42578125"/>
    <col customWidth="1" max="10" min="10" style="12" width="9.5703125"/>
    <col customWidth="1" max="11" min="11" style="12" width="6.42578125"/>
    <col customWidth="1" max="13" min="12" style="12" width="9.140625"/>
    <col customWidth="1" max="14" min="14" style="12" width="10.28515625"/>
    <col customWidth="1" max="15" min="15" style="12" width="17.85546875"/>
    <col customWidth="1" max="16" min="16" style="12" width="12.7109375"/>
    <col bestFit="1" customWidth="1" max="17" min="17" style="12" width="10.140625"/>
    <col customWidth="1" max="21" min="21" style="69" width="11.28515625"/>
    <col customWidth="1" max="22" min="22" style="69" width="2.85546875"/>
    <col bestFit="1" customWidth="1" max="24" min="23" style="12" width="15.7109375"/>
    <col bestFit="1" customWidth="1" max="25" min="25" style="12" width="16.42578125"/>
    <col bestFit="1" customWidth="1" max="26" min="26" style="12" width="15.140625"/>
  </cols>
  <sheetData>
    <row r="1">
      <c r="D1" s="34" t="inlineStr">
        <is>
          <t xml:space="preserve">Expected </t>
        </is>
      </c>
      <c r="E1" s="34" t="inlineStr">
        <is>
          <t xml:space="preserve">Actual </t>
        </is>
      </c>
      <c r="H1" s="41" t="n"/>
      <c r="I1" s="16" t="n"/>
      <c r="O1" s="12" t="inlineStr">
        <is>
          <t>Expected</t>
        </is>
      </c>
      <c r="P1" s="12" t="inlineStr">
        <is>
          <t xml:space="preserve">Expected </t>
        </is>
      </c>
      <c r="T1" t="inlineStr">
        <is>
          <t xml:space="preserve">Actual </t>
        </is>
      </c>
      <c r="U1" t="inlineStr">
        <is>
          <t>Actual</t>
        </is>
      </c>
      <c r="W1" s="12" t="inlineStr">
        <is>
          <t>% of Max Profit</t>
        </is>
      </c>
      <c r="X1" s="12" t="inlineStr">
        <is>
          <t xml:space="preserve">% of Time </t>
        </is>
      </c>
      <c r="Y1" s="12" t="inlineStr">
        <is>
          <t>(Cost to Close)</t>
        </is>
      </c>
    </row>
    <row customHeight="1" ht="58.5" r="2" s="69">
      <c r="A2" t="inlineStr">
        <is>
          <t>SYMBOL</t>
        </is>
      </c>
      <c r="B2" t="inlineStr">
        <is>
          <t>Transaction</t>
        </is>
      </c>
      <c r="C2" s="34" t="inlineStr">
        <is>
          <t>Initial Date</t>
        </is>
      </c>
      <c r="D2" s="34" t="inlineStr">
        <is>
          <t>End Date</t>
        </is>
      </c>
      <c r="E2" s="34" t="inlineStr">
        <is>
          <t>End Date</t>
        </is>
      </c>
      <c r="F2" s="34" t="inlineStr">
        <is>
          <t>MARKET</t>
        </is>
      </c>
      <c r="H2" s="41" t="inlineStr">
        <is>
          <t>S</t>
        </is>
      </c>
      <c r="I2" s="16" t="inlineStr">
        <is>
          <t>Cap</t>
        </is>
      </c>
      <c r="J2" s="12" t="inlineStr">
        <is>
          <t>S</t>
        </is>
      </c>
      <c r="K2" s="12" t="inlineStr">
        <is>
          <t>C</t>
        </is>
      </c>
      <c r="L2" s="12" t="inlineStr">
        <is>
          <t>Cap</t>
        </is>
      </c>
      <c r="M2" s="12" t="inlineStr">
        <is>
          <t>P</t>
        </is>
      </c>
      <c r="N2" s="12" t="inlineStr">
        <is>
          <t>P Total</t>
        </is>
      </c>
      <c r="O2" s="12" t="inlineStr">
        <is>
          <t xml:space="preserve"> Hold</t>
        </is>
      </c>
      <c r="P2" s="12" t="inlineStr">
        <is>
          <t>Annuallized</t>
        </is>
      </c>
      <c r="Q2" s="58" t="inlineStr">
        <is>
          <t>Close</t>
        </is>
      </c>
      <c r="R2" s="17" t="inlineStr">
        <is>
          <t xml:space="preserve">Cost To Close </t>
        </is>
      </c>
      <c r="S2" s="12" t="inlineStr">
        <is>
          <t>Net P</t>
        </is>
      </c>
      <c r="T2" s="12" t="inlineStr">
        <is>
          <t>Hold</t>
        </is>
      </c>
      <c r="U2" s="12" t="inlineStr">
        <is>
          <t xml:space="preserve"> Annuallized</t>
        </is>
      </c>
      <c r="W2" s="12" t="inlineStr">
        <is>
          <t>Actual/Expected</t>
        </is>
      </c>
      <c r="X2" s="12" t="inlineStr">
        <is>
          <t>Actual/Expected</t>
        </is>
      </c>
      <c r="Y2" s="12" t="inlineStr">
        <is>
          <t xml:space="preserve">Remaining Profit </t>
        </is>
      </c>
      <c r="Z2" s="12" t="inlineStr">
        <is>
          <t>Remaining Days</t>
        </is>
      </c>
      <c r="AA2" s="14" t="inlineStr">
        <is>
          <t>Remaining ROI</t>
        </is>
      </c>
    </row>
    <row r="3">
      <c r="H3" s="41" t="n"/>
      <c r="I3" s="16" t="n"/>
      <c r="AB3" s="42" t="n"/>
    </row>
    <row r="4">
      <c r="H4" s="41" t="n"/>
      <c r="I4" s="16" t="n"/>
      <c r="P4" s="43" t="n"/>
      <c r="U4" s="44" t="n"/>
      <c r="W4" s="45" t="n"/>
      <c r="X4" s="45" t="n"/>
      <c r="AA4" s="42" t="n"/>
    </row>
    <row r="5">
      <c r="A5" t="e">
        <v>#VALUE!</v>
      </c>
      <c r="B5" t="inlineStr">
        <is>
          <t>JD</t>
        </is>
      </c>
      <c r="C5" s="34" t="n">
        <v>44277</v>
      </c>
      <c r="D5" s="34" t="n">
        <v>44302</v>
      </c>
      <c r="E5" s="34">
        <f>TODAY()</f>
        <v/>
      </c>
      <c r="F5">
        <f>RTD("tos.rtd",,"MARK",A5)</f>
        <v/>
      </c>
      <c r="G5">
        <f>IF(F5&lt;H5,"ITM", "OTM")</f>
        <v/>
      </c>
      <c r="H5" s="41" t="n">
        <v>80</v>
      </c>
      <c r="I5" s="16">
        <f>(H5*K5)*100</f>
        <v/>
      </c>
      <c r="J5" s="12" t="n">
        <v>80</v>
      </c>
      <c r="K5" s="12" t="n">
        <v>2</v>
      </c>
      <c r="L5" s="12">
        <f>(J5*K5)*100</f>
        <v/>
      </c>
      <c r="M5" s="12">
        <f>1.54-0.37</f>
        <v/>
      </c>
      <c r="N5" s="12">
        <f>((K5*M5)*100)-1.33-1.33</f>
        <v/>
      </c>
      <c r="O5" s="12">
        <f>D5-C5</f>
        <v/>
      </c>
      <c r="P5" s="43">
        <f>(N5/L5)*(365/O5)</f>
        <v/>
      </c>
      <c r="Q5" s="18">
        <f>RTD("tos.rtd",,"ASK",".JD210416P80")</f>
        <v/>
      </c>
      <c r="R5">
        <f>(Q5*K5)*100</f>
        <v/>
      </c>
      <c r="S5">
        <f>N5-R5</f>
        <v/>
      </c>
      <c r="T5">
        <f>E5-C5</f>
        <v/>
      </c>
      <c r="U5" s="44">
        <f>(S5/L5)*(365/T5)</f>
        <v/>
      </c>
      <c r="W5" s="45">
        <f>S5/N5</f>
        <v/>
      </c>
      <c r="X5" s="45">
        <f>T5/O5</f>
        <v/>
      </c>
      <c r="Y5" s="12">
        <f>N5-S5</f>
        <v/>
      </c>
      <c r="Z5" s="12">
        <f>D5-E5</f>
        <v/>
      </c>
      <c r="AA5" s="42">
        <f>(Y5/L5)*(365/Z5)</f>
        <v/>
      </c>
    </row>
    <row r="6">
      <c r="A6" t="inlineStr">
        <is>
          <t>SFIX</t>
        </is>
      </c>
      <c r="B6" t="inlineStr">
        <is>
          <t>2 SFIX</t>
        </is>
      </c>
      <c r="C6" s="34" t="n">
        <v>44291</v>
      </c>
      <c r="D6" s="34" t="n">
        <v>44302</v>
      </c>
      <c r="E6" s="34">
        <f>TODAY()</f>
        <v/>
      </c>
      <c r="F6">
        <f>RTD("tos.rtd",,"MARK",A6)</f>
        <v/>
      </c>
      <c r="G6">
        <f>IF(F6&lt;H6,"ITM", "OTM")</f>
        <v/>
      </c>
      <c r="H6" s="40" t="n">
        <v>45</v>
      </c>
      <c r="I6" s="16">
        <f>(H6*K6)*100</f>
        <v/>
      </c>
      <c r="J6" s="12" t="n">
        <v>45</v>
      </c>
      <c r="K6" s="12" t="n">
        <v>2</v>
      </c>
      <c r="L6" s="12">
        <f>(J6*K6)*100</f>
        <v/>
      </c>
      <c r="M6" s="12" t="n">
        <v>1.13</v>
      </c>
      <c r="N6" s="12">
        <f>(K6*M6)*100-1.33</f>
        <v/>
      </c>
      <c r="O6" s="12">
        <f>D6-C6</f>
        <v/>
      </c>
      <c r="P6" s="43">
        <f>(N6/L6)*(365/O6)</f>
        <v/>
      </c>
      <c r="Q6" s="18">
        <f>RTD("tos.rtd", , "ASK", ".SFIX210416P45")</f>
        <v/>
      </c>
      <c r="R6">
        <f>(Q6*K6)*100</f>
        <v/>
      </c>
      <c r="S6">
        <f>N6-R6</f>
        <v/>
      </c>
      <c r="T6">
        <f>E6-C6</f>
        <v/>
      </c>
      <c r="U6" s="44">
        <f>(S6/L6)*(365/T6)</f>
        <v/>
      </c>
      <c r="W6" s="45">
        <f>S6/N6</f>
        <v/>
      </c>
      <c r="X6" s="45">
        <f>T6/O6</f>
        <v/>
      </c>
      <c r="Y6" s="12">
        <f>N6-S6</f>
        <v/>
      </c>
      <c r="Z6" s="12">
        <f>D6-E6</f>
        <v/>
      </c>
      <c r="AA6" s="42">
        <f>(Y6/L6)*(365/Z6)</f>
        <v/>
      </c>
    </row>
    <row r="7">
      <c r="A7" t="inlineStr">
        <is>
          <t>SBGI</t>
        </is>
      </c>
      <c r="B7" t="inlineStr">
        <is>
          <t>SBGI</t>
        </is>
      </c>
      <c r="C7" s="34" t="n">
        <v>44292</v>
      </c>
      <c r="D7" s="34" t="n">
        <v>44302</v>
      </c>
      <c r="E7" s="34">
        <f>TODAY()</f>
        <v/>
      </c>
      <c r="F7">
        <f>RTD("tos.rtd",,"MARK",A7)</f>
        <v/>
      </c>
      <c r="G7">
        <f>IF(F7&lt;H7,"ITM", "OTM")</f>
        <v/>
      </c>
      <c r="H7" s="40" t="n">
        <v>28</v>
      </c>
      <c r="I7" s="16">
        <f>(H7*K7)*100</f>
        <v/>
      </c>
      <c r="J7" s="12" t="n">
        <v>28</v>
      </c>
      <c r="K7" s="12" t="n">
        <v>10</v>
      </c>
      <c r="L7" s="12">
        <f>(J7*K7)*100</f>
        <v/>
      </c>
      <c r="M7" s="12" t="n">
        <v>0.37</v>
      </c>
      <c r="N7" s="12">
        <f>(K7*M7)*100-5.6-0.06</f>
        <v/>
      </c>
      <c r="O7" s="12">
        <f>D7-C7</f>
        <v/>
      </c>
      <c r="P7" s="43">
        <f>(N7/L7)*(365/O7)</f>
        <v/>
      </c>
      <c r="Q7" s="18">
        <f>RTD("tos.rtd", , "ASK", ".SBGI210416P28")</f>
        <v/>
      </c>
      <c r="R7">
        <f>(Q7*K7)*100</f>
        <v/>
      </c>
      <c r="S7">
        <f>N7-R7</f>
        <v/>
      </c>
      <c r="T7">
        <f>E7-C7</f>
        <v/>
      </c>
      <c r="U7" s="44">
        <f>(S7/L7)*(365/T7)</f>
        <v/>
      </c>
      <c r="W7" s="45">
        <f>S7/N7</f>
        <v/>
      </c>
      <c r="X7" s="45">
        <f>T7/O7</f>
        <v/>
      </c>
      <c r="Y7" s="12">
        <f>N7-S7</f>
        <v/>
      </c>
      <c r="Z7" s="12">
        <f>D7-E7</f>
        <v/>
      </c>
      <c r="AA7" s="42">
        <f>(Y7/L7)*(365/Z7)</f>
        <v/>
      </c>
    </row>
    <row r="8">
      <c r="A8" t="inlineStr">
        <is>
          <t>VIAC</t>
        </is>
      </c>
      <c r="B8" t="inlineStr">
        <is>
          <t>VIAC</t>
        </is>
      </c>
      <c r="C8" s="34" t="n">
        <v>44295</v>
      </c>
      <c r="D8" s="34" t="n">
        <v>44309</v>
      </c>
      <c r="E8" s="34">
        <f>TODAY()</f>
        <v/>
      </c>
      <c r="F8">
        <f>RTD("tos.rtd",,"MARK",A8)</f>
        <v/>
      </c>
      <c r="G8">
        <f>IF(F8&lt;H8,"ITM", "OTM")</f>
        <v/>
      </c>
      <c r="H8" s="41" t="n">
        <v>40</v>
      </c>
      <c r="I8" s="16">
        <f>(H8*K8)*100</f>
        <v/>
      </c>
      <c r="J8" s="12" t="n">
        <v>40</v>
      </c>
      <c r="K8" s="12" t="n">
        <v>2</v>
      </c>
      <c r="L8" s="12">
        <f>(J8*K8)*100</f>
        <v/>
      </c>
      <c r="M8" s="12" t="n">
        <v>1.21</v>
      </c>
      <c r="N8" s="12">
        <f>((K8*M8)*100)-1.33</f>
        <v/>
      </c>
      <c r="O8" s="12">
        <f>D8-C8</f>
        <v/>
      </c>
      <c r="P8" s="43">
        <f>(N8/L8)*(365/O8)</f>
        <v/>
      </c>
      <c r="Q8" s="18">
        <f>RTD("tos.rtd", , "ASK", ".VIAC210423P40")</f>
        <v/>
      </c>
      <c r="R8">
        <f>(Q8*K8)*100</f>
        <v/>
      </c>
      <c r="S8">
        <f>N8-R8</f>
        <v/>
      </c>
      <c r="T8">
        <f>E8-C8</f>
        <v/>
      </c>
      <c r="U8" s="44">
        <f>(S8/L8)*(365/T8)</f>
        <v/>
      </c>
      <c r="W8" s="45">
        <f>S8/N8</f>
        <v/>
      </c>
      <c r="X8" s="45">
        <f>T8/O8</f>
        <v/>
      </c>
      <c r="Y8" s="12">
        <f>N8-S8</f>
        <v/>
      </c>
      <c r="Z8" s="12">
        <f>D8-E8</f>
        <v/>
      </c>
      <c r="AA8" s="42">
        <f>(Y8/L8)*(365/Z8)</f>
        <v/>
      </c>
      <c r="AB8" s="42" t="n"/>
    </row>
    <row r="9">
      <c r="A9" t="inlineStr">
        <is>
          <t>BIG</t>
        </is>
      </c>
      <c r="B9" t="inlineStr">
        <is>
          <t xml:space="preserve">4 APA 16 APRIL PUT 17  SOLD TO OPEN for.57 </t>
        </is>
      </c>
      <c r="C9" s="34" t="n">
        <v>44312</v>
      </c>
      <c r="D9" s="34" t="n">
        <v>44337</v>
      </c>
      <c r="E9" s="34">
        <f>TODAY()</f>
        <v/>
      </c>
      <c r="F9">
        <f>RTD("tos.rtd",,"MARK",A9)</f>
        <v/>
      </c>
      <c r="G9">
        <f>IF(F9&lt;H9,"ITM", "OTM")</f>
        <v/>
      </c>
      <c r="H9" s="41" t="n">
        <v>62.5</v>
      </c>
      <c r="I9" s="16">
        <f>(H9*K9)*100</f>
        <v/>
      </c>
      <c r="J9" s="12" t="n">
        <v>62.5</v>
      </c>
      <c r="K9" s="12" t="n">
        <v>3</v>
      </c>
      <c r="L9" s="12">
        <f>(J9*K9)*100</f>
        <v/>
      </c>
      <c r="M9" s="12" t="n">
        <v>1.29</v>
      </c>
      <c r="N9" s="12">
        <f>((K9*M9)*100)-1.33</f>
        <v/>
      </c>
      <c r="O9" s="12">
        <f>D9-C9</f>
        <v/>
      </c>
      <c r="P9" s="43">
        <f>(N9/L9)*(365/O9)</f>
        <v/>
      </c>
      <c r="Q9" s="18" t="n">
        <v>0.35</v>
      </c>
      <c r="R9">
        <f>(Q9*K9)*100</f>
        <v/>
      </c>
      <c r="S9">
        <f>N9-R9</f>
        <v/>
      </c>
      <c r="T9">
        <f>E9-C9</f>
        <v/>
      </c>
      <c r="U9" s="44">
        <f>(S9/L9)*(365/T9)</f>
        <v/>
      </c>
      <c r="W9" s="45">
        <f>S9/N9</f>
        <v/>
      </c>
      <c r="X9" s="45">
        <f>T9/O9</f>
        <v/>
      </c>
      <c r="Y9" s="12">
        <f>N9-S9</f>
        <v/>
      </c>
      <c r="Z9" s="12">
        <f>D9-E9</f>
        <v/>
      </c>
      <c r="AA9" s="42">
        <f>(Y9/L9)*(365/Z9)</f>
        <v/>
      </c>
    </row>
    <row r="10">
      <c r="A10" t="inlineStr">
        <is>
          <t>GE</t>
        </is>
      </c>
      <c r="B10" t="inlineStr">
        <is>
          <t xml:space="preserve">3 GE APRIL 30 13 PUT SOLD TO OPEN  </t>
        </is>
      </c>
      <c r="C10" s="34" t="n">
        <v>44295</v>
      </c>
      <c r="D10" s="34" t="n">
        <v>44316</v>
      </c>
      <c r="E10" s="34">
        <f>TODAY()</f>
        <v/>
      </c>
      <c r="F10">
        <f>RTD("tos.rtd",,"MARK",A10)</f>
        <v/>
      </c>
      <c r="G10">
        <f>IF(F10&lt;H10,"ITM", "OTM")</f>
        <v/>
      </c>
      <c r="H10" s="40" t="n">
        <v>13</v>
      </c>
      <c r="I10" s="16">
        <f>(H10*K10)*100</f>
        <v/>
      </c>
      <c r="J10" s="12" t="n">
        <v>13</v>
      </c>
      <c r="K10" s="12" t="n">
        <v>3</v>
      </c>
      <c r="L10" s="12">
        <f>(J10*K10)*100</f>
        <v/>
      </c>
      <c r="M10" s="12" t="n">
        <v>0.35</v>
      </c>
      <c r="N10" s="12">
        <f>(K10*M10)*100-6.5-0.16</f>
        <v/>
      </c>
      <c r="O10" s="12">
        <f>D10-C10</f>
        <v/>
      </c>
      <c r="P10" s="43">
        <f>(N10/L10)*(365/O10)</f>
        <v/>
      </c>
      <c r="Q10" s="18">
        <f>RTD("tos.rtd", ,"ASK", ".CCL210507P25")</f>
        <v/>
      </c>
      <c r="R10">
        <f>(Q10*K10)*100</f>
        <v/>
      </c>
      <c r="S10">
        <f>N10-R10</f>
        <v/>
      </c>
      <c r="T10">
        <f>E10-C10</f>
        <v/>
      </c>
      <c r="U10" s="44">
        <f>(S10/L10)*(365/T10)</f>
        <v/>
      </c>
      <c r="W10" s="45">
        <f>S10/N10</f>
        <v/>
      </c>
      <c r="X10" s="45">
        <f>T10/O10</f>
        <v/>
      </c>
      <c r="Y10" s="12">
        <f>N10-S10</f>
        <v/>
      </c>
      <c r="Z10" s="12">
        <f>D10-E10</f>
        <v/>
      </c>
      <c r="AA10" s="42">
        <f>(Y10/L10)*(365/Z10)</f>
        <v/>
      </c>
    </row>
    <row r="11">
      <c r="A11" t="inlineStr">
        <is>
          <t>AAL</t>
        </is>
      </c>
      <c r="B11" t="inlineStr">
        <is>
          <t xml:space="preserve"> 10 AAL MAY 07 22 PUT SOLD TO OPEN  </t>
        </is>
      </c>
      <c r="C11" s="34" t="n">
        <v>44294</v>
      </c>
      <c r="D11" s="34" t="n">
        <v>44323</v>
      </c>
      <c r="E11" s="34">
        <f>TODAY()</f>
        <v/>
      </c>
      <c r="F11">
        <f>RTD("tos.rtd",,"MARK",A11)</f>
        <v/>
      </c>
      <c r="G11">
        <f>IF(F11&lt;H11,"ITM", "OTM")</f>
        <v/>
      </c>
      <c r="H11" s="40" t="n">
        <v>22</v>
      </c>
      <c r="I11" s="16">
        <f>(H11*K11)*100</f>
        <v/>
      </c>
      <c r="J11" s="12" t="n">
        <v>22</v>
      </c>
      <c r="K11" s="12" t="n">
        <v>10</v>
      </c>
      <c r="L11" s="12">
        <f>(J11*K11)*100</f>
        <v/>
      </c>
      <c r="M11" s="12" t="n">
        <v>0.86</v>
      </c>
      <c r="N11" s="12">
        <f>(K11*M11)*100-6.5-0.16</f>
        <v/>
      </c>
      <c r="O11" s="12">
        <f>D11-C11</f>
        <v/>
      </c>
      <c r="P11" s="43">
        <f>(N11/L11)*(365/O11)</f>
        <v/>
      </c>
      <c r="Q11" s="18">
        <f>RTD("tos.rtd", , "ASK", ".AAL210507P22")</f>
        <v/>
      </c>
      <c r="R11">
        <f>(Q11*K11)*100</f>
        <v/>
      </c>
      <c r="S11">
        <f>N11-R11</f>
        <v/>
      </c>
      <c r="T11">
        <f>E11-C11</f>
        <v/>
      </c>
      <c r="U11" s="44">
        <f>(S11/L11)*(365/T11)</f>
        <v/>
      </c>
      <c r="W11" s="45">
        <f>S11/N11</f>
        <v/>
      </c>
      <c r="X11" s="45">
        <f>T11/O11</f>
        <v/>
      </c>
      <c r="Y11" s="12">
        <f>N11-S11</f>
        <v/>
      </c>
      <c r="Z11" s="12">
        <f>D11-E11</f>
        <v/>
      </c>
      <c r="AA11" s="42">
        <f>(Y11/L11)*(365/Z11)</f>
        <v/>
      </c>
    </row>
    <row r="12">
      <c r="A12" t="inlineStr">
        <is>
          <t>CCL</t>
        </is>
      </c>
      <c r="B12" t="inlineStr">
        <is>
          <t xml:space="preserve">10 CCL MAY 07 25 PUT SOLD TO OPEN  </t>
        </is>
      </c>
      <c r="C12" s="34" t="n">
        <v>44294</v>
      </c>
      <c r="D12" s="34" t="n">
        <v>44323</v>
      </c>
      <c r="E12" s="34">
        <f>TODAY()</f>
        <v/>
      </c>
      <c r="F12">
        <f>RTD("tos.rtd",,"MARK",A12)</f>
        <v/>
      </c>
      <c r="G12">
        <f>IF(F12&lt;H12,"ITM", "OTM")</f>
        <v/>
      </c>
      <c r="H12" s="40" t="n">
        <v>25</v>
      </c>
      <c r="I12" s="16">
        <f>(H12*K12)*100</f>
        <v/>
      </c>
      <c r="J12" s="12" t="n">
        <v>25</v>
      </c>
      <c r="K12" s="12" t="n">
        <v>10</v>
      </c>
      <c r="L12" s="12">
        <f>(J12*K12)*100</f>
        <v/>
      </c>
      <c r="M12" s="12" t="n">
        <v>0.44</v>
      </c>
      <c r="N12" s="12">
        <f>(K12*M12)*100-6.5-0.16</f>
        <v/>
      </c>
      <c r="O12" s="12">
        <f>D12-C12</f>
        <v/>
      </c>
      <c r="P12" s="43">
        <f>(N12/L12)*(365/O12)</f>
        <v/>
      </c>
      <c r="Q12" s="18">
        <f>RTD("tos.rtd", ,"ASK", ".CCL210507P25")</f>
        <v/>
      </c>
      <c r="R12">
        <f>(Q12*K12)*100</f>
        <v/>
      </c>
      <c r="S12">
        <f>N12-R12</f>
        <v/>
      </c>
      <c r="T12">
        <f>E12-C12</f>
        <v/>
      </c>
      <c r="U12" s="44">
        <f>(S12/L12)*(365/T12)</f>
        <v/>
      </c>
      <c r="W12" s="45">
        <f>S12/N12</f>
        <v/>
      </c>
      <c r="X12" s="45">
        <f>T12/O12</f>
        <v/>
      </c>
      <c r="Y12" s="12">
        <f>N12-S12</f>
        <v/>
      </c>
      <c r="Z12" s="12">
        <f>D12-E12</f>
        <v/>
      </c>
      <c r="AA12" s="42">
        <f>(Y12/L12)*(365/Z12)</f>
        <v/>
      </c>
    </row>
    <row r="13">
      <c r="A13" t="inlineStr">
        <is>
          <t>NRG</t>
        </is>
      </c>
      <c r="C13" s="34" t="n">
        <v>44333</v>
      </c>
      <c r="D13" s="34" t="n">
        <v>44365</v>
      </c>
      <c r="E13" s="34">
        <f>TODAY()</f>
        <v/>
      </c>
      <c r="F13">
        <f>RTD("tos.rtd",,"MARK",A13)</f>
        <v/>
      </c>
      <c r="G13">
        <f>IF(F13&lt;H13,"ITM", "OTM")</f>
        <v/>
      </c>
      <c r="H13" s="40" t="n">
        <v>33</v>
      </c>
      <c r="I13" s="16">
        <f>(H13*K13)*100</f>
        <v/>
      </c>
      <c r="J13" s="12" t="n">
        <v>33</v>
      </c>
      <c r="K13" s="12" t="n">
        <v>3</v>
      </c>
      <c r="L13" s="12">
        <f>(J13*K13)*100</f>
        <v/>
      </c>
      <c r="M13" s="12" t="n">
        <v>0.9399999999999999</v>
      </c>
      <c r="N13" s="12" t="n">
        <v>280</v>
      </c>
      <c r="O13" s="12">
        <f>D13-C13</f>
        <v/>
      </c>
      <c r="P13" s="43">
        <f>(N13/L13)*(365/O13)</f>
        <v/>
      </c>
      <c r="Q13" s="18" t="n">
        <v>0.15</v>
      </c>
      <c r="R13">
        <f>(Q13*K13)*100</f>
        <v/>
      </c>
      <c r="S13">
        <f>N13-R13</f>
        <v/>
      </c>
      <c r="T13">
        <f>E13-C13</f>
        <v/>
      </c>
      <c r="U13" s="44">
        <f>(S13/L13)*(365/T13)</f>
        <v/>
      </c>
      <c r="W13" s="45">
        <f>S13/N13</f>
        <v/>
      </c>
      <c r="X13" s="45">
        <f>T13/O13</f>
        <v/>
      </c>
      <c r="Y13" s="12">
        <f>N13-S13</f>
        <v/>
      </c>
      <c r="Z13" s="12">
        <f>D13-E13</f>
        <v/>
      </c>
      <c r="AA13" s="42">
        <f>(Y13/L13)*(365/Z13)</f>
        <v/>
      </c>
    </row>
    <row r="14">
      <c r="F14" s="12" t="n"/>
      <c r="G14" s="12" t="n"/>
      <c r="H14" s="41" t="n"/>
      <c r="I14" s="16" t="n"/>
      <c r="P14" s="43" t="n"/>
      <c r="U14" s="44" t="n"/>
      <c r="W14" s="45" t="n"/>
      <c r="X14" s="45" t="n"/>
      <c r="AA14" s="42" t="n"/>
    </row>
    <row r="15">
      <c r="F15" s="12" t="n"/>
      <c r="G15" s="12" t="n"/>
      <c r="H15" s="41" t="n"/>
      <c r="I15" s="16" t="n"/>
      <c r="P15" s="43" t="n"/>
      <c r="U15" s="44" t="n"/>
      <c r="W15" s="45" t="n"/>
      <c r="X15" s="45" t="n"/>
      <c r="AA15" s="42" t="n"/>
    </row>
    <row r="16">
      <c r="F16" s="12" t="n"/>
      <c r="G16" s="12" t="n"/>
      <c r="H16" s="41" t="n"/>
      <c r="I16" s="16" t="n"/>
      <c r="P16" s="43" t="n"/>
      <c r="U16" s="44" t="n"/>
      <c r="W16" s="45" t="n"/>
      <c r="X16" s="45" t="n"/>
      <c r="AA16" s="42" t="n"/>
    </row>
    <row r="17">
      <c r="E17" s="12" t="n"/>
      <c r="F17" s="12" t="n"/>
      <c r="G17" s="12" t="n"/>
      <c r="H17" s="41" t="n"/>
      <c r="I17" s="16" t="n"/>
      <c r="P17" s="43" t="n"/>
      <c r="U17" s="44" t="n"/>
      <c r="W17" s="45" t="n"/>
      <c r="X17" s="45" t="n"/>
      <c r="AA17" s="42" t="n"/>
    </row>
    <row r="18">
      <c r="H18" s="41" t="n"/>
      <c r="I18" s="16" t="n"/>
    </row>
    <row r="20">
      <c r="I20" s="16" t="n"/>
      <c r="L20" s="16" t="n"/>
      <c r="W20" s="19" t="n"/>
      <c r="Z20" s="19" t="n"/>
      <c r="AA20" s="42" t="n"/>
    </row>
    <row r="21">
      <c r="S21" s="12" t="n"/>
    </row>
    <row r="22">
      <c r="O22" s="19" t="n"/>
      <c r="P22" s="43" t="n"/>
      <c r="Q22" s="43" t="n"/>
      <c r="S22" s="12" t="n"/>
    </row>
    <row r="23">
      <c r="F23" s="35" t="n"/>
      <c r="G23" s="35" t="n"/>
      <c r="H23" s="46" t="n"/>
      <c r="I23" s="20" t="n"/>
      <c r="S23" s="43" t="n"/>
      <c r="W23" s="43" t="n"/>
      <c r="Z23" s="21" t="n"/>
    </row>
    <row r="24">
      <c r="E24" s="12" t="n"/>
      <c r="F24" s="12" t="n"/>
      <c r="G24" s="12" t="n"/>
      <c r="L24" s="19" t="n"/>
      <c r="O24" s="19" t="n"/>
      <c r="P24" s="43" t="n"/>
      <c r="U24" s="44" t="n"/>
      <c r="W24" s="45" t="n"/>
      <c r="X24" s="45" t="n"/>
      <c r="AA24" s="42" t="n"/>
      <c r="AB24" s="42" t="n"/>
    </row>
    <row r="25">
      <c r="E25" s="12" t="n"/>
      <c r="F25" s="12" t="n"/>
      <c r="G25" s="12" t="n"/>
      <c r="L25" s="19" t="n"/>
      <c r="O25" s="19" t="n"/>
      <c r="P25" s="43" t="n"/>
      <c r="U25" s="44" t="n"/>
      <c r="W25" s="45" t="n"/>
      <c r="X25" s="45" t="n"/>
      <c r="AA25" s="42" t="n"/>
      <c r="AB25" s="42" t="n"/>
    </row>
    <row r="26">
      <c r="E26" s="12" t="n"/>
      <c r="F26" s="12" t="n"/>
      <c r="G26" s="12" t="n"/>
      <c r="L26" s="19" t="n"/>
      <c r="O26" s="19" t="n"/>
      <c r="P26" s="43" t="n"/>
      <c r="U26" s="44" t="n"/>
      <c r="W26" s="45" t="n"/>
      <c r="X26" s="45" t="n"/>
      <c r="AA26" s="42" t="n"/>
      <c r="AB26" s="42" t="n"/>
    </row>
    <row r="27">
      <c r="E27" s="12" t="n"/>
      <c r="F27" s="12" t="n"/>
      <c r="G27" s="12" t="n"/>
      <c r="L27" s="19" t="n"/>
      <c r="O27" s="19" t="n"/>
      <c r="P27" s="43" t="n"/>
      <c r="S27" s="43" t="n"/>
      <c r="U27" s="44" t="n"/>
      <c r="W27" s="45" t="n"/>
      <c r="X27" s="45" t="n"/>
      <c r="AA27" s="42" t="n"/>
      <c r="AB27" s="42" t="n"/>
    </row>
    <row r="28">
      <c r="E28" s="12" t="n"/>
      <c r="F28" s="12" t="n"/>
      <c r="G28" s="12" t="n"/>
      <c r="L28" s="19" t="n"/>
      <c r="O28" s="19" t="n"/>
      <c r="P28" s="43" t="n"/>
      <c r="S28" s="43" t="n"/>
      <c r="U28" s="44" t="n"/>
      <c r="W28" s="45" t="n"/>
      <c r="X28" s="45" t="n"/>
      <c r="AA28" s="42" t="n"/>
      <c r="AB28" s="42" t="n"/>
    </row>
    <row r="29">
      <c r="E29" s="12" t="n"/>
      <c r="F29" s="12" t="n"/>
      <c r="G29" s="12" t="n"/>
      <c r="L29" s="19" t="n"/>
      <c r="O29" s="19" t="n"/>
      <c r="P29" s="43" t="n"/>
      <c r="S29" s="12" t="n"/>
      <c r="U29" s="44" t="n"/>
      <c r="X29" s="45" t="n"/>
      <c r="AA29" s="42" t="n"/>
      <c r="AB29" s="42" t="n"/>
    </row>
    <row r="30">
      <c r="E30" s="12" t="n"/>
      <c r="F30" s="12" t="n"/>
      <c r="G30" s="12" t="n"/>
      <c r="L30" s="19" t="n"/>
      <c r="O30" s="19" t="n"/>
      <c r="P30" s="43" t="n"/>
      <c r="S30" s="43" t="n"/>
      <c r="U30" s="44" t="n"/>
      <c r="W30" s="43" t="n"/>
      <c r="X30" s="45" t="n"/>
      <c r="AA30" s="42" t="n"/>
      <c r="AB30" s="42" t="n"/>
    </row>
    <row r="31">
      <c r="E31" s="12" t="n"/>
      <c r="F31" s="12" t="n"/>
      <c r="G31" s="12" t="n"/>
      <c r="L31" s="19" t="n"/>
      <c r="O31" s="19" t="n"/>
      <c r="P31" s="43" t="n"/>
      <c r="S31" s="43" t="n"/>
      <c r="U31" s="44" t="n"/>
      <c r="W31" s="45" t="n"/>
      <c r="X31" s="45" t="n"/>
      <c r="AA31" s="42" t="n"/>
      <c r="AB31" s="42" t="n"/>
    </row>
    <row r="32">
      <c r="E32" s="12" t="n"/>
      <c r="F32" s="12" t="n"/>
      <c r="G32" s="12" t="n"/>
      <c r="L32" s="19" t="n"/>
      <c r="O32" s="19" t="n"/>
      <c r="P32" s="43" t="n"/>
      <c r="S32" s="43" t="n"/>
      <c r="U32" s="44" t="n"/>
      <c r="W32" s="45" t="n"/>
      <c r="X32" s="45" t="n"/>
      <c r="AA32" s="42" t="n"/>
      <c r="AB32" s="42" t="n"/>
    </row>
    <row r="33">
      <c r="E33" s="12" t="n"/>
      <c r="F33" s="12" t="n"/>
      <c r="G33" s="12" t="n"/>
      <c r="L33" s="19" t="n"/>
      <c r="O33" s="19" t="n"/>
      <c r="P33" s="43" t="n"/>
      <c r="S33" s="43" t="n"/>
      <c r="U33" s="44" t="n"/>
      <c r="W33" s="45" t="n"/>
      <c r="X33" s="45" t="n"/>
      <c r="AA33" s="42" t="n"/>
      <c r="AB33" s="42" t="n"/>
    </row>
    <row r="34">
      <c r="E34" s="12" t="n"/>
      <c r="F34" s="12" t="n"/>
      <c r="G34" s="12" t="n"/>
      <c r="L34" s="19" t="n"/>
      <c r="O34" s="19" t="n"/>
      <c r="P34" s="43" t="n"/>
      <c r="S34" s="43" t="n"/>
      <c r="U34" s="44" t="n"/>
      <c r="W34" s="45" t="n"/>
      <c r="X34" s="45" t="n"/>
      <c r="AA34" s="42" t="n"/>
      <c r="AB34" s="42" t="n"/>
    </row>
    <row r="35">
      <c r="E35" s="12" t="n"/>
      <c r="F35" s="12" t="n"/>
      <c r="G35" s="12" t="n"/>
      <c r="L35" s="19" t="n"/>
      <c r="O35" s="19" t="n"/>
      <c r="P35" s="43" t="n"/>
      <c r="S35" s="43" t="n"/>
      <c r="U35" s="44" t="n"/>
      <c r="W35" s="45" t="n"/>
      <c r="X35" s="45" t="n"/>
      <c r="AA35" s="42" t="n"/>
      <c r="AB35" s="42" t="n"/>
    </row>
    <row r="36">
      <c r="E36" s="12" t="n"/>
      <c r="F36" s="12" t="n"/>
      <c r="G36" s="12" t="n"/>
      <c r="L36" s="19" t="n"/>
      <c r="O36" s="19" t="n"/>
      <c r="P36" s="43" t="n"/>
      <c r="U36" s="44" t="n"/>
      <c r="W36" s="45" t="n"/>
      <c r="X36" s="45" t="n"/>
      <c r="AA36" s="42" t="n"/>
      <c r="AB36" s="42" t="n"/>
    </row>
    <row customHeight="1" ht="45" r="37" s="69">
      <c r="A37" s="13" t="inlineStr">
        <is>
          <t>Potential Adds</t>
        </is>
      </c>
      <c r="B37" s="13" t="n"/>
      <c r="E37" s="55" t="inlineStr">
        <is>
          <t>Weekly or Monthly &amp; increments</t>
        </is>
      </c>
      <c r="F37" s="17" t="inlineStr">
        <is>
          <t>earnings date</t>
        </is>
      </c>
      <c r="G37" s="17" t="inlineStr">
        <is>
          <t>ex div date</t>
        </is>
      </c>
      <c r="H37" s="47" t="inlineStr">
        <is>
          <t>RSI</t>
        </is>
      </c>
      <c r="I37" s="26" t="inlineStr">
        <is>
          <t>MACD</t>
        </is>
      </c>
      <c r="L37" s="19" t="n"/>
      <c r="O37" s="19" t="n"/>
      <c r="P37" s="43" t="n"/>
      <c r="U37" s="44" t="n"/>
      <c r="W37" s="45" t="n"/>
      <c r="X37" s="45" t="n"/>
      <c r="AA37" s="42" t="n"/>
      <c r="AB37" s="42" t="n"/>
    </row>
    <row r="38">
      <c r="P38" s="43" t="n"/>
      <c r="U38" s="44" t="n"/>
      <c r="W38" s="45" t="n"/>
      <c r="X38" s="45" t="n"/>
      <c r="AA38" s="42" t="n"/>
      <c r="AB38" s="42" t="n"/>
    </row>
    <row r="39">
      <c r="A39" t="inlineStr">
        <is>
          <t>dbx</t>
        </is>
      </c>
      <c r="C39" s="34" t="n">
        <v>44326</v>
      </c>
      <c r="D39" s="34" t="n">
        <v>44351</v>
      </c>
      <c r="F39" s="34" t="inlineStr">
        <is>
          <t>8/5 unconf</t>
        </is>
      </c>
      <c r="G39" s="34" t="inlineStr">
        <is>
          <t>no div</t>
        </is>
      </c>
      <c r="H39" s="40" t="n">
        <v>46.03</v>
      </c>
      <c r="I39" s="17" t="inlineStr">
        <is>
          <t>2 bars rising</t>
        </is>
      </c>
      <c r="J39" s="12" t="n">
        <v>24.5</v>
      </c>
      <c r="K39" s="12" t="n">
        <v>4</v>
      </c>
      <c r="L39" s="12">
        <f>(J39*K39)*100</f>
        <v/>
      </c>
      <c r="M39" s="12" t="n">
        <v>0.61</v>
      </c>
      <c r="N39" s="12">
        <f>(K39*M39)*100</f>
        <v/>
      </c>
      <c r="O39" s="12">
        <f>D39-C39</f>
        <v/>
      </c>
      <c r="P39" s="43">
        <f>(N39/L39)*(365/O39)</f>
        <v/>
      </c>
      <c r="Q39" s="12" t="n">
        <v>0.41</v>
      </c>
      <c r="R39">
        <f>(Q39*K39)*100</f>
        <v/>
      </c>
      <c r="S39">
        <f>N39-R39</f>
        <v/>
      </c>
      <c r="T39">
        <f>E39-C39</f>
        <v/>
      </c>
      <c r="U39" s="44">
        <f>(S39/L39)*(365/T39)</f>
        <v/>
      </c>
      <c r="W39" s="45">
        <f>S39/N39</f>
        <v/>
      </c>
      <c r="X39" s="45">
        <f>T39/O39</f>
        <v/>
      </c>
      <c r="Y39" s="12">
        <f>N39-S39</f>
        <v/>
      </c>
      <c r="Z39" s="12">
        <f>D39-E39</f>
        <v/>
      </c>
      <c r="AA39" s="42">
        <f>(Y39/L39)*(365/Z39)</f>
        <v/>
      </c>
      <c r="AB39" s="42" t="n"/>
    </row>
    <row r="40">
      <c r="A40" t="inlineStr">
        <is>
          <t>PCAR</t>
        </is>
      </c>
      <c r="C40" s="34" t="n">
        <v>44322</v>
      </c>
      <c r="D40" s="34" t="n">
        <v>44326</v>
      </c>
      <c r="E40" s="34" t="n">
        <v>44326</v>
      </c>
      <c r="G40" s="17" t="n"/>
      <c r="I40" s="17" t="n"/>
      <c r="J40" s="12" t="n">
        <v>90</v>
      </c>
      <c r="K40" s="12" t="n">
        <v>2</v>
      </c>
      <c r="L40" s="12">
        <f>(J40*K40)*100</f>
        <v/>
      </c>
      <c r="M40" s="12" t="n">
        <v>1.6</v>
      </c>
      <c r="N40" s="12">
        <f>(K40*M40)*100</f>
        <v/>
      </c>
      <c r="O40" s="12">
        <f>D40-C40</f>
        <v/>
      </c>
      <c r="P40" s="43">
        <f>(N40/L40)*(365/O40)</f>
        <v/>
      </c>
      <c r="Q40" s="12" t="n">
        <v>0.9</v>
      </c>
      <c r="R40">
        <f>(Q40*K40)*100</f>
        <v/>
      </c>
      <c r="S40">
        <f>N40-R40</f>
        <v/>
      </c>
      <c r="T40">
        <f>E40-C40</f>
        <v/>
      </c>
      <c r="U40" s="44">
        <f>(S40/L40)*(365/T40)</f>
        <v/>
      </c>
      <c r="W40" s="45">
        <f>S40/N40</f>
        <v/>
      </c>
      <c r="X40" s="45">
        <f>T40/O40</f>
        <v/>
      </c>
      <c r="Y40" s="12">
        <f>N40-S40</f>
        <v/>
      </c>
      <c r="Z40" s="12">
        <f>D40-E40</f>
        <v/>
      </c>
      <c r="AA40" s="42">
        <f>(Y40/L40)*(365/Z40)</f>
        <v/>
      </c>
      <c r="AB40" s="42" t="n"/>
    </row>
    <row r="41">
      <c r="A41" t="inlineStr">
        <is>
          <t>SNAP</t>
        </is>
      </c>
      <c r="C41" s="34" t="n">
        <v>44326</v>
      </c>
      <c r="D41" s="34" t="n">
        <v>44344</v>
      </c>
      <c r="E41" s="34" t="inlineStr">
        <is>
          <t>175 or 200</t>
        </is>
      </c>
      <c r="F41" s="34" t="inlineStr">
        <is>
          <t>7/20/21 unconf</t>
        </is>
      </c>
      <c r="G41" s="17" t="inlineStr">
        <is>
          <t>no div</t>
        </is>
      </c>
      <c r="H41" s="40" t="n">
        <v>41.78</v>
      </c>
      <c r="I41" s="17" t="inlineStr">
        <is>
          <t>1 bar rising</t>
        </is>
      </c>
      <c r="J41" s="58" t="n">
        <v>50</v>
      </c>
      <c r="K41" s="12" t="n">
        <v>2</v>
      </c>
      <c r="L41" s="12">
        <f>(J41*K41)*100</f>
        <v/>
      </c>
      <c r="M41" s="12" t="n">
        <v>1.09</v>
      </c>
      <c r="N41" s="12">
        <f>(K41*M41)*100</f>
        <v/>
      </c>
      <c r="O41" s="12">
        <f>D41-C41</f>
        <v/>
      </c>
      <c r="P41" s="43">
        <f>(N41/L41)*(365/O41)</f>
        <v/>
      </c>
      <c r="Q41" s="12" t="n">
        <v>1.75</v>
      </c>
      <c r="R41">
        <f>(Q41*K41)*100</f>
        <v/>
      </c>
      <c r="S41">
        <f>N41-R41</f>
        <v/>
      </c>
      <c r="T41">
        <f>E41-C41</f>
        <v/>
      </c>
      <c r="U41" s="44">
        <f>(S41/L41)*(365/T41)</f>
        <v/>
      </c>
      <c r="W41" s="45">
        <f>S41/N41</f>
        <v/>
      </c>
      <c r="X41" s="45">
        <f>T41/O41</f>
        <v/>
      </c>
      <c r="Y41" s="12">
        <f>N41-S41</f>
        <v/>
      </c>
      <c r="Z41" s="12">
        <f>D41-E41</f>
        <v/>
      </c>
      <c r="AA41" s="42">
        <f>(Y41/L41)*(365/Z41)</f>
        <v/>
      </c>
      <c r="AB41" s="42" t="n"/>
    </row>
    <row r="42">
      <c r="A42" t="inlineStr">
        <is>
          <t>WU</t>
        </is>
      </c>
      <c r="C42" s="34" t="n">
        <v>44326</v>
      </c>
      <c r="D42" s="34" t="n">
        <v>44323</v>
      </c>
      <c r="F42" s="34" t="inlineStr">
        <is>
          <t>8/3 unconf</t>
        </is>
      </c>
      <c r="G42" s="34" t="n">
        <v>44271</v>
      </c>
      <c r="H42" s="40" t="n">
        <v>44.27</v>
      </c>
      <c r="I42" s="17" t="inlineStr">
        <is>
          <t>no rising bars</t>
        </is>
      </c>
      <c r="J42" s="58" t="n">
        <v>25</v>
      </c>
      <c r="K42" s="12" t="n">
        <v>2</v>
      </c>
      <c r="L42" s="12">
        <f>(J42*K42)*100</f>
        <v/>
      </c>
      <c r="M42" s="12" t="n">
        <v>1.01</v>
      </c>
      <c r="N42" s="12">
        <f>(K42*M42)*100</f>
        <v/>
      </c>
      <c r="O42" s="12">
        <f>D42-C42</f>
        <v/>
      </c>
      <c r="P42" s="43">
        <f>(N42/L42)*(365/O42)</f>
        <v/>
      </c>
      <c r="Q42" s="12" t="n">
        <v>0.77</v>
      </c>
      <c r="R42">
        <f>(Q42*K42)*100</f>
        <v/>
      </c>
      <c r="S42">
        <f>N42-R42</f>
        <v/>
      </c>
      <c r="T42">
        <f>E42-C42</f>
        <v/>
      </c>
      <c r="U42" s="44">
        <f>(S42/L42)*(365/T42)</f>
        <v/>
      </c>
      <c r="W42" s="45">
        <f>S42/N42</f>
        <v/>
      </c>
      <c r="X42" s="45">
        <f>T42/O42</f>
        <v/>
      </c>
      <c r="Y42" s="12">
        <f>N42-S42</f>
        <v/>
      </c>
      <c r="Z42" s="12">
        <f>D42-E42</f>
        <v/>
      </c>
      <c r="AA42" s="42">
        <f>(Y42/L42)*(365/Z42)</f>
        <v/>
      </c>
      <c r="AB42" s="42" t="n"/>
    </row>
    <row r="43">
      <c r="A43" t="inlineStr">
        <is>
          <t>TGI</t>
        </is>
      </c>
      <c r="C43" s="34" t="n">
        <v>44326</v>
      </c>
      <c r="D43" s="34" t="n">
        <v>44365</v>
      </c>
      <c r="E43" s="34" t="n">
        <v>44313</v>
      </c>
      <c r="F43" s="34" t="n">
        <v>44336</v>
      </c>
      <c r="G43" s="34" t="inlineStr">
        <is>
          <t>no div</t>
        </is>
      </c>
      <c r="H43" s="40" t="n">
        <v>41.9</v>
      </c>
      <c r="I43" s="17" t="inlineStr">
        <is>
          <t>3 bars rising</t>
        </is>
      </c>
      <c r="J43" s="12" t="n">
        <v>15</v>
      </c>
      <c r="K43" s="12" t="n">
        <v>5</v>
      </c>
      <c r="L43" s="12">
        <f>(J43*K43)*100</f>
        <v/>
      </c>
      <c r="M43" s="12" t="n">
        <v>0.9</v>
      </c>
      <c r="N43" s="12">
        <f>(K43*M43)*100</f>
        <v/>
      </c>
      <c r="O43" s="12">
        <f>D43-C43</f>
        <v/>
      </c>
      <c r="P43" s="43">
        <f>(N43/L43)*(365/O43)</f>
        <v/>
      </c>
      <c r="Q43" s="12" t="n">
        <v>0.09</v>
      </c>
      <c r="R43" t="n">
        <v>28.99</v>
      </c>
      <c r="S43">
        <f>N43-R43</f>
        <v/>
      </c>
      <c r="T43">
        <f>E43-C43</f>
        <v/>
      </c>
      <c r="U43" s="44">
        <f>(S43/L43)*(365/T43)</f>
        <v/>
      </c>
      <c r="W43" s="45">
        <f>S43/N43</f>
        <v/>
      </c>
      <c r="X43" s="45">
        <f>T43/O43</f>
        <v/>
      </c>
      <c r="Y43" s="12">
        <f>N43-S43</f>
        <v/>
      </c>
      <c r="Z43" s="12">
        <f>D43-E43</f>
        <v/>
      </c>
      <c r="AA43" s="42">
        <f>(Y43/L43)*(365/Z43)</f>
        <v/>
      </c>
      <c r="AB43" s="42" t="n"/>
    </row>
    <row r="44">
      <c r="A44" t="inlineStr">
        <is>
          <t>ABT</t>
        </is>
      </c>
      <c r="C44" s="34" t="n">
        <v>44340</v>
      </c>
      <c r="D44" s="34" t="n">
        <v>44365</v>
      </c>
      <c r="G44" s="34" t="inlineStr">
        <is>
          <t>CLUB TRADE</t>
        </is>
      </c>
      <c r="J44" s="12" t="n">
        <v>115</v>
      </c>
      <c r="K44" s="12" t="n">
        <v>1</v>
      </c>
      <c r="L44" s="12">
        <f>(J44*K44)*100</f>
        <v/>
      </c>
      <c r="M44" s="12" t="n">
        <v>1.35</v>
      </c>
      <c r="N44" s="12">
        <f>(K44*M44)*100</f>
        <v/>
      </c>
      <c r="O44" s="12">
        <f>D44-C44</f>
        <v/>
      </c>
      <c r="P44" s="43">
        <f>(N44/L44)*(365/O44)</f>
        <v/>
      </c>
      <c r="Q44" s="12" t="n">
        <v>0.09</v>
      </c>
      <c r="R44" t="n">
        <v>28.99</v>
      </c>
      <c r="S44">
        <f>N44-R44</f>
        <v/>
      </c>
      <c r="T44">
        <f>E44-C44</f>
        <v/>
      </c>
      <c r="U44" s="44">
        <f>(S44/L44)*(365/T44)</f>
        <v/>
      </c>
      <c r="W44" s="45">
        <f>S44/N44</f>
        <v/>
      </c>
      <c r="X44" s="45">
        <f>T44/O44</f>
        <v/>
      </c>
      <c r="Y44" s="12">
        <f>N44-S44</f>
        <v/>
      </c>
      <c r="Z44" s="12">
        <f>D44-E44</f>
        <v/>
      </c>
      <c r="AA44" s="42">
        <f>(Y44/L44)*(365/Z44)</f>
        <v/>
      </c>
      <c r="AB44" s="42" t="n"/>
    </row>
    <row r="45">
      <c r="A45" t="inlineStr">
        <is>
          <t>CTSH</t>
        </is>
      </c>
      <c r="C45" s="34" t="n">
        <v>44342</v>
      </c>
      <c r="D45" s="34" t="n">
        <v>44358</v>
      </c>
      <c r="F45" s="34" t="inlineStr">
        <is>
          <t>7/28 unconf</t>
        </is>
      </c>
      <c r="G45" s="34" t="n">
        <v>44335</v>
      </c>
      <c r="H45" s="40" t="n">
        <v>31.79</v>
      </c>
      <c r="I45" s="17" t="inlineStr">
        <is>
          <t>6-7 bars rising</t>
        </is>
      </c>
      <c r="J45" s="12" t="n">
        <v>70</v>
      </c>
      <c r="K45" s="12" t="n">
        <v>2</v>
      </c>
      <c r="L45" s="12">
        <f>(J45*K45)*100</f>
        <v/>
      </c>
      <c r="M45" s="12" t="n">
        <v>0.6</v>
      </c>
      <c r="N45" s="12">
        <f>(K45*M45)*100</f>
        <v/>
      </c>
      <c r="O45" s="12">
        <f>D45-C45</f>
        <v/>
      </c>
      <c r="P45" s="43">
        <f>(N45/L45)*(365/O45)</f>
        <v/>
      </c>
      <c r="Q45" s="12" t="n">
        <v>0.09</v>
      </c>
      <c r="R45" t="n">
        <v>28.99</v>
      </c>
      <c r="S45">
        <f>N45-R45</f>
        <v/>
      </c>
      <c r="T45">
        <f>E45-C45</f>
        <v/>
      </c>
      <c r="U45" s="44">
        <f>(S45/L45)*(365/T45)</f>
        <v/>
      </c>
      <c r="W45" s="45">
        <f>S45/N45</f>
        <v/>
      </c>
      <c r="X45" s="45">
        <f>T45/O45</f>
        <v/>
      </c>
      <c r="Y45" s="12">
        <f>N45-S45</f>
        <v/>
      </c>
      <c r="Z45" s="12">
        <f>D45-E45</f>
        <v/>
      </c>
      <c r="AA45" s="42">
        <f>(Y45/L45)*(365/Z45)</f>
        <v/>
      </c>
      <c r="AB45" s="42" t="n"/>
    </row>
    <row r="46">
      <c r="A46" t="inlineStr">
        <is>
          <t>CCL</t>
        </is>
      </c>
      <c r="C46" s="34" t="n">
        <v>44341</v>
      </c>
      <c r="D46" s="34" t="n">
        <v>44344</v>
      </c>
      <c r="F46" s="34" t="inlineStr">
        <is>
          <t>6/18 unconf</t>
        </is>
      </c>
      <c r="G46" s="34" t="inlineStr">
        <is>
          <t>no div</t>
        </is>
      </c>
      <c r="H46" s="40" t="n">
        <v>55</v>
      </c>
      <c r="I46" s="17" t="inlineStr">
        <is>
          <t>none rising</t>
        </is>
      </c>
      <c r="J46" s="12" t="n">
        <v>27.5</v>
      </c>
      <c r="K46" s="12" t="n">
        <v>9</v>
      </c>
      <c r="L46" s="12">
        <f>(J46*K46)*100</f>
        <v/>
      </c>
      <c r="M46" s="12" t="n">
        <v>0.36</v>
      </c>
      <c r="N46" s="12">
        <f>(K46*M46)*100</f>
        <v/>
      </c>
      <c r="O46" s="12">
        <f>D46-C46</f>
        <v/>
      </c>
      <c r="P46" s="43">
        <f>(N46/L46)*(365/O46)</f>
        <v/>
      </c>
      <c r="Q46" s="12" t="n">
        <v>0.09</v>
      </c>
      <c r="R46" t="n">
        <v>28.99</v>
      </c>
      <c r="S46">
        <f>N46-R46</f>
        <v/>
      </c>
      <c r="T46">
        <f>E46-C46</f>
        <v/>
      </c>
      <c r="U46" s="44">
        <f>(S46/L46)*(365/T46)</f>
        <v/>
      </c>
      <c r="W46" s="45">
        <f>S46/N46</f>
        <v/>
      </c>
      <c r="X46" s="45">
        <f>T46/O46</f>
        <v/>
      </c>
      <c r="Y46" s="12">
        <f>N46-S46</f>
        <v/>
      </c>
      <c r="Z46" s="12">
        <f>D46-E46</f>
        <v/>
      </c>
      <c r="AA46" s="42">
        <f>(Y46/L46)*(365/Z46)</f>
        <v/>
      </c>
      <c r="AB46" s="42" t="n"/>
    </row>
    <row r="47">
      <c r="A47" t="inlineStr">
        <is>
          <t>WBA</t>
        </is>
      </c>
      <c r="C47" s="34" t="n">
        <v>44343</v>
      </c>
      <c r="D47" s="34" t="n">
        <v>44351</v>
      </c>
      <c r="F47" s="34" t="inlineStr">
        <is>
          <t>07/07 unconf</t>
        </is>
      </c>
      <c r="G47" s="34" t="n">
        <v>44351</v>
      </c>
      <c r="H47" s="40" t="n">
        <v>39.42</v>
      </c>
      <c r="I47" s="17" t="inlineStr">
        <is>
          <t>one falling</t>
        </is>
      </c>
      <c r="J47" s="12" t="n">
        <v>52</v>
      </c>
      <c r="K47" s="12" t="n">
        <v>4</v>
      </c>
      <c r="L47" s="12">
        <f>(J47*K47)*100</f>
        <v/>
      </c>
      <c r="M47" s="12" t="n">
        <v>0.34</v>
      </c>
      <c r="N47" s="12">
        <f>(K47*M47)*100</f>
        <v/>
      </c>
      <c r="O47" s="12">
        <f>D47-C47</f>
        <v/>
      </c>
      <c r="P47" s="43">
        <f>(N47/L47)*(365/O47)</f>
        <v/>
      </c>
      <c r="T47">
        <f>E47-C47</f>
        <v/>
      </c>
      <c r="U47" s="44" t="n"/>
      <c r="W47" s="45" t="n"/>
      <c r="X47" s="45">
        <f>T47/O47</f>
        <v/>
      </c>
      <c r="Z47" s="12">
        <f>D47-E47</f>
        <v/>
      </c>
      <c r="AA47" s="42" t="n"/>
      <c r="AB47" s="42" t="n"/>
    </row>
    <row r="48">
      <c r="A48" t="inlineStr">
        <is>
          <t>SCCO</t>
        </is>
      </c>
      <c r="C48" s="34" t="n">
        <v>44343</v>
      </c>
      <c r="D48" s="34" t="n">
        <v>44365</v>
      </c>
      <c r="F48" s="34" t="n">
        <v>44403</v>
      </c>
      <c r="G48" s="34" t="n">
        <v>44326</v>
      </c>
      <c r="H48" s="40" t="n">
        <v>38.17</v>
      </c>
      <c r="I48" s="33" t="inlineStr">
        <is>
          <t>5-6 falling</t>
        </is>
      </c>
      <c r="J48" s="12" t="n">
        <v>65</v>
      </c>
      <c r="K48" s="12" t="n">
        <v>2</v>
      </c>
      <c r="L48" s="12">
        <f>(J48*K48)*100</f>
        <v/>
      </c>
      <c r="M48" s="12" t="n">
        <v>2.1</v>
      </c>
      <c r="N48" s="12">
        <f>(K48*M48)*100</f>
        <v/>
      </c>
      <c r="O48" s="12">
        <f>D48-C48</f>
        <v/>
      </c>
      <c r="P48" s="43">
        <f>(N48/L48)*(365/O48)</f>
        <v/>
      </c>
      <c r="T48">
        <f>E48-C48</f>
        <v/>
      </c>
      <c r="U48" s="44" t="n"/>
      <c r="W48" s="45" t="n"/>
      <c r="X48" s="45">
        <f>T48/O48</f>
        <v/>
      </c>
      <c r="Z48" s="12">
        <f>D48-E48</f>
        <v/>
      </c>
      <c r="AA48" s="42" t="n"/>
      <c r="AB48" s="42" t="n"/>
    </row>
    <row r="49">
      <c r="A49" t="inlineStr">
        <is>
          <t>viac</t>
        </is>
      </c>
      <c r="C49" s="34" t="n">
        <v>44343</v>
      </c>
      <c r="D49" s="34" t="n">
        <v>44365</v>
      </c>
      <c r="E49" s="34" t="n">
        <v>44370</v>
      </c>
      <c r="F49" s="34" t="n">
        <v>44412</v>
      </c>
      <c r="G49" s="34" t="n">
        <v>44267</v>
      </c>
      <c r="H49" s="40" t="n">
        <v>51.37</v>
      </c>
      <c r="I49" s="17" t="inlineStr">
        <is>
          <t>3 level</t>
        </is>
      </c>
      <c r="J49" s="12" t="n">
        <v>40</v>
      </c>
      <c r="K49" s="12" t="n">
        <v>2</v>
      </c>
      <c r="L49" s="12">
        <f>(J49*K49)*100</f>
        <v/>
      </c>
      <c r="M49" s="12" t="n">
        <v>0.96</v>
      </c>
      <c r="N49" s="12">
        <f>(K49*M49)*100</f>
        <v/>
      </c>
      <c r="O49" s="12">
        <f>D49-C49</f>
        <v/>
      </c>
      <c r="P49" s="43">
        <f>(N49/L49)*(365/O49)</f>
        <v/>
      </c>
      <c r="Q49" s="12" t="n">
        <v>0.06</v>
      </c>
      <c r="R49">
        <f>(Q49*K49)*100</f>
        <v/>
      </c>
      <c r="S49">
        <f>N49-R49</f>
        <v/>
      </c>
      <c r="T49">
        <f>E49-C49</f>
        <v/>
      </c>
      <c r="U49" s="44">
        <f>(S49/L49)*(365/T49)</f>
        <v/>
      </c>
      <c r="W49" s="45">
        <f>S49/N49</f>
        <v/>
      </c>
      <c r="X49" s="45">
        <f>T49/O49</f>
        <v/>
      </c>
      <c r="Y49" s="12">
        <f>N49-S49</f>
        <v/>
      </c>
      <c r="Z49" s="12">
        <f>D49-E49</f>
        <v/>
      </c>
      <c r="AA49" s="42">
        <f>(Y49/L49)*(365/Z49)</f>
        <v/>
      </c>
    </row>
    <row customHeight="1" ht="87.95" r="50" s="69">
      <c r="A50" t="inlineStr">
        <is>
          <t>DLTR</t>
        </is>
      </c>
      <c r="C50" s="34" t="n">
        <v>44343</v>
      </c>
      <c r="D50" s="34" t="n">
        <v>44365</v>
      </c>
      <c r="G50" s="34" t="inlineStr">
        <is>
          <t>no div</t>
        </is>
      </c>
      <c r="I50" s="17" t="inlineStr">
        <is>
          <t>many rising then one down, Erabning today were good but market reacted badly</t>
        </is>
      </c>
      <c r="J50" s="12" t="n">
        <v>100</v>
      </c>
      <c r="K50" s="12" t="n">
        <v>2</v>
      </c>
      <c r="L50" s="12">
        <f>(J50*K50)*100</f>
        <v/>
      </c>
      <c r="M50" s="12" t="n">
        <v>1.8</v>
      </c>
      <c r="N50" s="12">
        <f>(K50*M50)*100</f>
        <v/>
      </c>
      <c r="O50" s="12">
        <f>D50-C50</f>
        <v/>
      </c>
      <c r="P50" s="43">
        <f>(N50/L50)*(365/O50)</f>
        <v/>
      </c>
      <c r="T50">
        <f>E50-C50</f>
        <v/>
      </c>
      <c r="U50" s="44" t="n"/>
      <c r="W50" s="45" t="n"/>
      <c r="X50" s="45">
        <f>T50/O50</f>
        <v/>
      </c>
      <c r="Z50" s="12">
        <f>D50-E50</f>
        <v/>
      </c>
      <c r="AA50" s="42" t="n"/>
      <c r="AB50" s="42" t="n"/>
    </row>
    <row customHeight="1" ht="43.5" r="51" s="69">
      <c r="A51" t="inlineStr">
        <is>
          <t>BIG</t>
        </is>
      </c>
      <c r="C51" s="34" t="n">
        <v>44356</v>
      </c>
      <c r="D51" s="34" t="n">
        <v>44393</v>
      </c>
      <c r="G51" s="34" t="n">
        <v>44288</v>
      </c>
      <c r="I51" s="17" t="inlineStr">
        <is>
          <t>one down but several rising before 5/28</t>
        </is>
      </c>
      <c r="J51" s="12" t="n">
        <v>62.5</v>
      </c>
      <c r="K51" s="12" t="n">
        <v>3</v>
      </c>
      <c r="L51" s="12">
        <f>(J51*K51)*100</f>
        <v/>
      </c>
      <c r="M51" s="12" t="n">
        <v>0.8</v>
      </c>
      <c r="N51" s="12">
        <f>(K51*M51)*100</f>
        <v/>
      </c>
      <c r="O51" s="12">
        <f>D51-C51</f>
        <v/>
      </c>
      <c r="P51" s="43">
        <f>(N51/L51)*(365/O51)</f>
        <v/>
      </c>
      <c r="T51">
        <f>E51-C51</f>
        <v/>
      </c>
      <c r="X51" s="12">
        <f>T51/O51</f>
        <v/>
      </c>
      <c r="Z51" s="12">
        <f>D51-E51</f>
        <v/>
      </c>
    </row>
    <row r="52">
      <c r="A52" t="inlineStr">
        <is>
          <t>IRBT</t>
        </is>
      </c>
      <c r="C52" s="34" t="n">
        <v>44333</v>
      </c>
      <c r="D52" s="34" t="n">
        <v>44358</v>
      </c>
      <c r="E52" s="34" t="n">
        <v>44348</v>
      </c>
      <c r="J52" s="12" t="n">
        <v>91</v>
      </c>
      <c r="K52" s="12" t="n">
        <v>2</v>
      </c>
      <c r="L52" s="12">
        <f>(J52*K52)*100</f>
        <v/>
      </c>
      <c r="M52" s="12" t="n">
        <v>2.55</v>
      </c>
      <c r="N52" s="12">
        <f>(K52*M52)*100</f>
        <v/>
      </c>
      <c r="O52" s="12">
        <f>D52-C52</f>
        <v/>
      </c>
      <c r="P52" s="43">
        <f>(N52/L52)*(365/O52)</f>
        <v/>
      </c>
      <c r="Q52" s="12" t="n">
        <v>0.65</v>
      </c>
      <c r="R52">
        <f>(Q52*K52)*100</f>
        <v/>
      </c>
      <c r="S52">
        <f>N52-R52</f>
        <v/>
      </c>
      <c r="T52">
        <f>E52-C52</f>
        <v/>
      </c>
      <c r="U52" s="44">
        <f>(S52/L52)*(365/T52)</f>
        <v/>
      </c>
      <c r="W52" s="45">
        <f>S52/N52</f>
        <v/>
      </c>
      <c r="X52" s="45">
        <f>T52/O52</f>
        <v/>
      </c>
      <c r="Y52" s="12">
        <f>N52-S52</f>
        <v/>
      </c>
      <c r="Z52" s="12">
        <f>D52-E52</f>
        <v/>
      </c>
      <c r="AA52" s="42">
        <f>(Y52/L52)*(365/Z52)</f>
        <v/>
      </c>
    </row>
    <row r="53">
      <c r="A53" t="inlineStr">
        <is>
          <t>TJX</t>
        </is>
      </c>
      <c r="C53" s="34" t="n">
        <v>44348</v>
      </c>
      <c r="D53" s="34" t="n">
        <v>44365</v>
      </c>
      <c r="E53" s="34" t="n">
        <v>44393</v>
      </c>
      <c r="F53" s="34" t="inlineStr">
        <is>
          <t>08/17 unconf</t>
        </is>
      </c>
      <c r="G53" s="34" t="n">
        <v>44419</v>
      </c>
      <c r="H53" s="40" t="n">
        <v>41.51</v>
      </c>
      <c r="I53" s="17" t="inlineStr">
        <is>
          <t>4 bars rising</t>
        </is>
      </c>
      <c r="J53" s="12" t="n">
        <v>65</v>
      </c>
      <c r="K53" s="12" t="n">
        <v>3</v>
      </c>
      <c r="L53" s="12">
        <f>(J53*K53)*100</f>
        <v/>
      </c>
      <c r="M53" s="12" t="n">
        <v>0.9399999999999999</v>
      </c>
      <c r="N53" s="12">
        <f>363+45</f>
        <v/>
      </c>
      <c r="O53" s="12">
        <f>D53-C53</f>
        <v/>
      </c>
      <c r="P53" s="43">
        <f>(N53/L53)*(365/O53)</f>
        <v/>
      </c>
      <c r="Q53" s="12">
        <f>0.98-0.89</f>
        <v/>
      </c>
      <c r="R53">
        <f>(Q53*K53)*100</f>
        <v/>
      </c>
      <c r="S53">
        <f>N53-R53</f>
        <v/>
      </c>
      <c r="T53">
        <f>E53-C53</f>
        <v/>
      </c>
      <c r="U53" s="44">
        <f>(S53/L53)*(365/T53)</f>
        <v/>
      </c>
      <c r="W53" s="45">
        <f>S53/N53</f>
        <v/>
      </c>
      <c r="X53" s="45">
        <f>T53/O53</f>
        <v/>
      </c>
      <c r="Y53" s="12">
        <f>N53-S53</f>
        <v/>
      </c>
      <c r="Z53" s="12">
        <f>D53-E53</f>
        <v/>
      </c>
      <c r="AA53" s="42">
        <f>(Y53/L53)*(365/Z53)</f>
        <v/>
      </c>
    </row>
    <row customHeight="1" ht="43.5" r="54" s="69">
      <c r="A54" t="inlineStr">
        <is>
          <t>BIG</t>
        </is>
      </c>
      <c r="C54" s="34" t="n">
        <v>44350</v>
      </c>
      <c r="D54" s="34" t="n">
        <v>44393</v>
      </c>
      <c r="G54" s="34" t="n">
        <v>44288</v>
      </c>
      <c r="I54" s="17" t="inlineStr">
        <is>
          <t>one down but several rising before 5/28</t>
        </is>
      </c>
      <c r="J54" s="12" t="n">
        <v>60</v>
      </c>
      <c r="K54" s="12" t="n">
        <v>2</v>
      </c>
      <c r="L54" s="12">
        <f>(J54*K54)*100</f>
        <v/>
      </c>
      <c r="M54" s="12" t="n">
        <v>1.6</v>
      </c>
      <c r="N54" s="12">
        <f>(K54*M54)*100</f>
        <v/>
      </c>
      <c r="O54" s="12">
        <f>D54-C54</f>
        <v/>
      </c>
      <c r="P54" s="43">
        <f>(N54/L54)*(365/O54)</f>
        <v/>
      </c>
      <c r="T54">
        <f>E54-C54</f>
        <v/>
      </c>
      <c r="X54" s="12">
        <f>T54/O54</f>
        <v/>
      </c>
      <c r="Z54" s="12">
        <f>D54-E54</f>
        <v/>
      </c>
    </row>
    <row customHeight="1" ht="29.1" r="55" s="69">
      <c r="A55" t="inlineStr">
        <is>
          <t>DY</t>
        </is>
      </c>
      <c r="C55" s="34" t="n">
        <v>44351</v>
      </c>
      <c r="D55" s="34" t="n">
        <v>44393</v>
      </c>
      <c r="E55" s="36" t="inlineStr">
        <is>
          <t>monthly exp $5 increments</t>
        </is>
      </c>
      <c r="G55" s="34" t="n">
        <v>44433</v>
      </c>
      <c r="H55" s="40" t="n">
        <v>39.65</v>
      </c>
      <c r="I55" s="17" t="inlineStr">
        <is>
          <t>5or6 rising</t>
        </is>
      </c>
      <c r="J55" s="12" t="n">
        <v>75</v>
      </c>
      <c r="K55" s="12" t="n">
        <v>2</v>
      </c>
      <c r="L55" s="12">
        <f>(J55*K55)*100</f>
        <v/>
      </c>
      <c r="M55" s="12" t="n">
        <v>2.95</v>
      </c>
      <c r="N55" s="12">
        <f>(K55*M55)*100</f>
        <v/>
      </c>
      <c r="O55" s="12">
        <f>D55-C55</f>
        <v/>
      </c>
      <c r="P55" s="43">
        <f>(N55/L55)*(365/O55)</f>
        <v/>
      </c>
      <c r="T55">
        <f>E55-C55</f>
        <v/>
      </c>
      <c r="X55" s="12">
        <f>T55/O55</f>
        <v/>
      </c>
    </row>
    <row r="56">
      <c r="A56" t="inlineStr">
        <is>
          <t>HPQ</t>
        </is>
      </c>
      <c r="C56" s="34" t="n">
        <v>44354</v>
      </c>
      <c r="D56" s="34" t="n">
        <v>44372</v>
      </c>
      <c r="E56" s="36" t="n">
        <v>44372</v>
      </c>
      <c r="G56" s="34" t="inlineStr">
        <is>
          <t>CLUB TRADE</t>
        </is>
      </c>
      <c r="I56" s="17" t="n"/>
      <c r="J56" s="12" t="n">
        <v>29.5</v>
      </c>
      <c r="K56" s="12" t="n">
        <v>5</v>
      </c>
      <c r="L56" s="12">
        <f>(J56*K56)*100</f>
        <v/>
      </c>
      <c r="M56" s="12" t="n">
        <v>0.31</v>
      </c>
      <c r="N56" s="12">
        <f>155+70</f>
        <v/>
      </c>
      <c r="O56" s="12">
        <f>D56-C56</f>
        <v/>
      </c>
      <c r="P56" s="43">
        <f>(N56/L56)*(365/O56)</f>
        <v/>
      </c>
      <c r="Q56" s="12">
        <f>45/500</f>
        <v/>
      </c>
      <c r="R56">
        <f>(Q56*K56)*100</f>
        <v/>
      </c>
      <c r="S56">
        <f>N56-R56</f>
        <v/>
      </c>
      <c r="T56">
        <f>E56-C56</f>
        <v/>
      </c>
      <c r="U56" s="44">
        <f>(S56/L56)*(365/T56)</f>
        <v/>
      </c>
      <c r="W56" s="45">
        <f>S56/N56</f>
        <v/>
      </c>
      <c r="X56" s="45">
        <f>T56/O56</f>
        <v/>
      </c>
      <c r="Y56" s="12">
        <f>N56-S56</f>
        <v/>
      </c>
      <c r="Z56" s="12">
        <f>D56-E56</f>
        <v/>
      </c>
      <c r="AA56" s="42">
        <f>(Y56/L56)*(365/Z56)</f>
        <v/>
      </c>
    </row>
    <row customHeight="1" ht="30" r="57" s="69">
      <c r="A57" t="inlineStr">
        <is>
          <t>BLL</t>
        </is>
      </c>
      <c r="C57" s="34" t="n">
        <v>44356</v>
      </c>
      <c r="D57" s="34" t="n">
        <v>44393</v>
      </c>
      <c r="E57" s="36" t="inlineStr">
        <is>
          <t>monthly  2.5 inc</t>
        </is>
      </c>
      <c r="F57" s="34" t="inlineStr">
        <is>
          <t>8/4 unc</t>
        </is>
      </c>
      <c r="G57" s="34" t="n">
        <v>44344</v>
      </c>
      <c r="H57" s="40" t="n">
        <v>30.68</v>
      </c>
      <c r="I57" s="17" t="inlineStr">
        <is>
          <t>5 rising then goes flat</t>
        </is>
      </c>
      <c r="J57" s="12" t="n">
        <v>80</v>
      </c>
      <c r="K57" s="12" t="n">
        <v>1</v>
      </c>
      <c r="L57" s="12">
        <f>(J57*K57)*100</f>
        <v/>
      </c>
      <c r="M57" s="12" t="n">
        <v>1.95</v>
      </c>
      <c r="N57" s="12">
        <f>(K57*M57)*100</f>
        <v/>
      </c>
      <c r="O57" s="12">
        <f>D57-C57</f>
        <v/>
      </c>
      <c r="P57" s="43">
        <f>(N57/L57)*(365/O57)</f>
        <v/>
      </c>
    </row>
    <row r="58">
      <c r="A58" t="inlineStr">
        <is>
          <t>BSX</t>
        </is>
      </c>
      <c r="C58" s="34" t="n">
        <v>44356</v>
      </c>
      <c r="D58" s="34" t="n">
        <v>44379</v>
      </c>
      <c r="E58" s="36" t="inlineStr">
        <is>
          <t>weekly</t>
        </is>
      </c>
      <c r="F58" s="34" t="inlineStr">
        <is>
          <t>7/27 unc</t>
        </is>
      </c>
      <c r="G58" s="34" t="inlineStr">
        <is>
          <t>no div</t>
        </is>
      </c>
      <c r="H58" s="40" t="n">
        <v>50.24</v>
      </c>
      <c r="I58" s="17" t="inlineStr">
        <is>
          <t>3 rising</t>
        </is>
      </c>
      <c r="J58" s="12" t="n">
        <v>41.5</v>
      </c>
      <c r="K58" s="12" t="n">
        <v>4</v>
      </c>
      <c r="L58" s="12">
        <f>(J58*K58)*100</f>
        <v/>
      </c>
      <c r="M58" s="12" t="n">
        <v>0.7</v>
      </c>
      <c r="N58" s="12">
        <f>(K58*M58)*100</f>
        <v/>
      </c>
      <c r="O58" s="12">
        <f>D58-C58</f>
        <v/>
      </c>
      <c r="P58" s="43">
        <f>(N58/L58)*(365/O58)</f>
        <v/>
      </c>
    </row>
    <row r="59">
      <c r="A59" t="inlineStr">
        <is>
          <t>FF</t>
        </is>
      </c>
      <c r="C59" s="34" t="n">
        <v>44356</v>
      </c>
      <c r="D59" s="34" t="n">
        <v>44393</v>
      </c>
      <c r="E59" s="36" t="inlineStr">
        <is>
          <t>monthly 2.5 inc</t>
        </is>
      </c>
      <c r="F59" s="34" t="inlineStr">
        <is>
          <t>prob august</t>
        </is>
      </c>
      <c r="G59" s="34" t="n">
        <v>44439</v>
      </c>
      <c r="H59" s="40" t="n">
        <v>40.81</v>
      </c>
      <c r="I59" s="17" t="inlineStr">
        <is>
          <t>5or6 rising</t>
        </is>
      </c>
      <c r="J59" s="12" t="n">
        <v>10</v>
      </c>
      <c r="K59" s="12" t="n">
        <v>10</v>
      </c>
      <c r="L59" s="12">
        <f>(J59*K59)*100</f>
        <v/>
      </c>
      <c r="M59" s="12" t="n">
        <v>0.45</v>
      </c>
      <c r="N59" s="12">
        <f>(K59*M59)*100</f>
        <v/>
      </c>
      <c r="O59" s="12">
        <f>D59-C59</f>
        <v/>
      </c>
      <c r="P59" s="43">
        <f>(N59/L59)*(365/O59)</f>
        <v/>
      </c>
    </row>
    <row r="60">
      <c r="A60" t="inlineStr">
        <is>
          <t>MU</t>
        </is>
      </c>
      <c r="C60" s="34" t="n">
        <v>44356</v>
      </c>
      <c r="D60" s="34" t="n">
        <v>44372</v>
      </c>
      <c r="E60" s="36" t="n">
        <v>44370</v>
      </c>
      <c r="F60" s="34" t="n">
        <v>44377</v>
      </c>
      <c r="G60" s="34" t="inlineStr">
        <is>
          <t>no div</t>
        </is>
      </c>
      <c r="H60" s="40" t="n">
        <v>40.51</v>
      </c>
      <c r="I60" s="17" t="inlineStr">
        <is>
          <t>falling</t>
        </is>
      </c>
      <c r="J60" s="12" t="n">
        <v>76</v>
      </c>
      <c r="K60" s="12" t="n">
        <v>3</v>
      </c>
      <c r="L60" s="12">
        <f>(J60*K60)*100</f>
        <v/>
      </c>
      <c r="M60" s="12" t="n">
        <v>1.03</v>
      </c>
      <c r="N60" s="12">
        <f>(K60*M60)*100</f>
        <v/>
      </c>
      <c r="O60" s="12">
        <f>D60-C60</f>
        <v/>
      </c>
      <c r="P60" s="43">
        <f>(N60/L60)*(365/O60)</f>
        <v/>
      </c>
      <c r="Q60" s="12" t="n">
        <v>0.09</v>
      </c>
      <c r="R60">
        <f>(Q60*K60)*100</f>
        <v/>
      </c>
      <c r="S60">
        <f>N60-R60</f>
        <v/>
      </c>
      <c r="T60">
        <f>E60-C60</f>
        <v/>
      </c>
      <c r="U60" s="44">
        <f>(S60/L60)*(365/T60)</f>
        <v/>
      </c>
      <c r="W60" s="45">
        <f>S60/N60</f>
        <v/>
      </c>
      <c r="X60" s="45">
        <f>T60/O60</f>
        <v/>
      </c>
      <c r="Y60" s="12">
        <f>N60-S60</f>
        <v/>
      </c>
      <c r="Z60" s="12">
        <f>D60-E60</f>
        <v/>
      </c>
      <c r="AA60" s="42">
        <f>(Y60/L60)*(365/Z60)</f>
        <v/>
      </c>
    </row>
    <row r="61">
      <c r="A61" t="inlineStr">
        <is>
          <t>CHWY</t>
        </is>
      </c>
      <c r="C61" s="34" t="n">
        <v>44358</v>
      </c>
      <c r="D61" s="34" t="n">
        <v>44386</v>
      </c>
      <c r="E61" s="36" t="inlineStr">
        <is>
          <t>weeklys inc .50</t>
        </is>
      </c>
      <c r="F61" s="56" t="inlineStr">
        <is>
          <t>2022</t>
        </is>
      </c>
      <c r="G61" s="34" t="inlineStr">
        <is>
          <t>no div</t>
        </is>
      </c>
      <c r="H61" s="40" t="n">
        <v>58.08</v>
      </c>
      <c r="I61" s="17" t="inlineStr">
        <is>
          <t>flat to falling</t>
        </is>
      </c>
      <c r="J61" s="12" t="n">
        <v>71.5</v>
      </c>
      <c r="K61" s="12" t="n">
        <v>1</v>
      </c>
      <c r="L61" s="12">
        <f>(J61*K61)*100</f>
        <v/>
      </c>
      <c r="M61" s="12" t="n">
        <v>1.7</v>
      </c>
      <c r="N61" s="12">
        <f>(K61*M61)*100</f>
        <v/>
      </c>
      <c r="O61" s="12">
        <f>D61-C61</f>
        <v/>
      </c>
      <c r="P61" s="43">
        <f>(N61/L61)*(365/O61)</f>
        <v/>
      </c>
    </row>
    <row customHeight="1" ht="29.1" r="62" s="69">
      <c r="C62" s="34" t="n">
        <v>44358</v>
      </c>
      <c r="D62" s="34" t="n">
        <v>44379</v>
      </c>
      <c r="E62" s="36" t="inlineStr">
        <is>
          <t>weekly 1.00 inc</t>
        </is>
      </c>
      <c r="F62" s="34" t="inlineStr">
        <is>
          <t>07/15 inc</t>
        </is>
      </c>
      <c r="G62" s="34" t="inlineStr">
        <is>
          <t>no div</t>
        </is>
      </c>
      <c r="H62" s="40" t="n">
        <v>49.42</v>
      </c>
      <c r="I62" s="17" t="inlineStr">
        <is>
          <t>falling trading at 46.4</t>
        </is>
      </c>
      <c r="J62" s="12" t="n">
        <v>46</v>
      </c>
      <c r="K62" s="12" t="n">
        <v>4</v>
      </c>
      <c r="L62" s="12">
        <f>(J62*K62)*100</f>
        <v/>
      </c>
      <c r="M62" s="12" t="n">
        <v>1.14</v>
      </c>
      <c r="N62" s="12">
        <f>(K62*M62)*100</f>
        <v/>
      </c>
      <c r="O62" s="12">
        <f>D62-C62</f>
        <v/>
      </c>
      <c r="P62" s="43">
        <f>(N62/L62)*(365/O62)</f>
        <v/>
      </c>
    </row>
    <row r="63">
      <c r="A63" t="inlineStr">
        <is>
          <t>BBBY</t>
        </is>
      </c>
      <c r="C63" s="34" t="n">
        <v>44363</v>
      </c>
      <c r="D63" s="34" t="n">
        <v>44379</v>
      </c>
      <c r="E63" s="36" t="inlineStr">
        <is>
          <t>weekly</t>
        </is>
      </c>
      <c r="F63" s="34" t="n">
        <v>44379</v>
      </c>
      <c r="G63" s="34" t="inlineStr">
        <is>
          <t>no div</t>
        </is>
      </c>
      <c r="H63" s="40" t="n">
        <v>48.3</v>
      </c>
      <c r="I63" s="17" t="inlineStr">
        <is>
          <t>2 falling</t>
        </is>
      </c>
      <c r="J63" s="12" t="n">
        <v>26.5</v>
      </c>
      <c r="K63" s="12" t="n">
        <v>4</v>
      </c>
      <c r="L63" s="12">
        <f>(J63*K63)*100</f>
        <v/>
      </c>
      <c r="M63" s="12" t="n">
        <v>1.09</v>
      </c>
      <c r="N63" s="12">
        <f>(K63*M63)*100</f>
        <v/>
      </c>
      <c r="O63" s="12">
        <f>D63-C63</f>
        <v/>
      </c>
      <c r="P63" s="43">
        <f>(N63/L63)*(365/O63)</f>
        <v/>
      </c>
    </row>
    <row r="64">
      <c r="A64" t="inlineStr">
        <is>
          <t>SAVE</t>
        </is>
      </c>
      <c r="C64" s="34" t="n">
        <v>44370</v>
      </c>
      <c r="D64" s="34" t="n">
        <v>44393</v>
      </c>
      <c r="E64" s="36" t="n"/>
      <c r="I64" s="17" t="n"/>
      <c r="J64" s="12" t="n">
        <v>35</v>
      </c>
      <c r="K64" s="12" t="n">
        <v>2</v>
      </c>
      <c r="L64" s="12">
        <f>(J64*K64)*100</f>
        <v/>
      </c>
      <c r="M64" s="12" t="n">
        <v>2.6</v>
      </c>
      <c r="N64" s="12">
        <f>(K64*M64)*100</f>
        <v/>
      </c>
      <c r="O64" s="12">
        <f>D64-C64</f>
        <v/>
      </c>
      <c r="P64" s="43">
        <f>(N64/L64)*(365/O64)</f>
        <v/>
      </c>
    </row>
    <row r="65">
      <c r="I65" s="17" t="n"/>
      <c r="P65" s="43" t="n"/>
    </row>
    <row r="66">
      <c r="I66" s="17" t="n"/>
      <c r="P66" s="43" t="n"/>
    </row>
    <row r="69">
      <c r="A69" s="22" t="inlineStr">
        <is>
          <t>% of Max Profit</t>
        </is>
      </c>
      <c r="B69" s="22" t="n"/>
      <c r="C69" s="22" t="inlineStr">
        <is>
          <t>Days</t>
        </is>
      </c>
      <c r="D69" s="22" t="inlineStr">
        <is>
          <t>% of Time</t>
        </is>
      </c>
      <c r="E69" s="23" t="n"/>
      <c r="F69" s="23" t="n"/>
      <c r="G69" s="23" t="n"/>
      <c r="H69" s="48" t="n"/>
      <c r="I69" s="24" t="n"/>
      <c r="J69" s="23" t="n"/>
      <c r="K69" s="22" t="inlineStr">
        <is>
          <t>% of Max Profit</t>
        </is>
      </c>
      <c r="L69" s="22" t="inlineStr">
        <is>
          <t>Days</t>
        </is>
      </c>
      <c r="M69" s="22" t="inlineStr">
        <is>
          <t>% of Time</t>
        </is>
      </c>
    </row>
    <row r="70">
      <c r="A70" s="22" t="n">
        <v>10</v>
      </c>
      <c r="B70" s="22" t="n"/>
      <c r="C70" s="22" t="n">
        <v>3</v>
      </c>
      <c r="D70" s="25" t="n">
        <v>0.067</v>
      </c>
      <c r="E70" s="23" t="n"/>
      <c r="F70" s="23" t="n"/>
      <c r="G70" s="23" t="n"/>
      <c r="H70" s="48" t="n"/>
      <c r="I70" s="24" t="n"/>
      <c r="J70" s="23" t="n"/>
      <c r="K70" s="22" t="n">
        <v>10</v>
      </c>
      <c r="L70" s="22" t="n">
        <v>2</v>
      </c>
      <c r="M70" s="25" t="n">
        <v>0.057</v>
      </c>
    </row>
    <row r="71">
      <c r="A71" s="22" t="n">
        <v>20</v>
      </c>
      <c r="B71" s="22" t="n"/>
      <c r="C71" s="22" t="n">
        <v>6</v>
      </c>
      <c r="D71" s="25" t="n">
        <v>0.133</v>
      </c>
      <c r="E71" s="23" t="n"/>
      <c r="F71" s="23" t="n"/>
      <c r="G71" s="23" t="n"/>
      <c r="H71" s="48" t="n"/>
      <c r="I71" s="24" t="n"/>
      <c r="J71" s="23" t="n"/>
      <c r="K71" s="22" t="n">
        <v>20</v>
      </c>
      <c r="L71" s="22" t="n">
        <v>5</v>
      </c>
      <c r="M71" s="25" t="n">
        <v>0.143</v>
      </c>
    </row>
    <row r="72">
      <c r="A72" s="22" t="n">
        <v>30</v>
      </c>
      <c r="B72" s="22" t="n"/>
      <c r="C72" s="22" t="n">
        <v>10</v>
      </c>
      <c r="D72" s="25" t="n">
        <v>0.222</v>
      </c>
      <c r="E72" s="23" t="n"/>
      <c r="F72" s="23" t="n"/>
      <c r="G72" s="23" t="n"/>
      <c r="H72" s="48" t="n"/>
      <c r="I72" s="24" t="n"/>
      <c r="J72" s="23" t="n"/>
      <c r="K72" s="22" t="n">
        <v>30</v>
      </c>
      <c r="L72" s="22" t="n">
        <v>8</v>
      </c>
      <c r="M72" s="25" t="n">
        <v>0.229</v>
      </c>
    </row>
    <row r="73">
      <c r="A73" s="22" t="n">
        <v>40</v>
      </c>
      <c r="B73" s="22" t="n"/>
      <c r="C73" s="22" t="n">
        <v>15</v>
      </c>
      <c r="D73" s="25" t="n">
        <v>0.333</v>
      </c>
      <c r="E73" s="23" t="n"/>
      <c r="F73" s="23" t="n"/>
      <c r="G73" s="23" t="n"/>
      <c r="H73" s="48" t="n"/>
      <c r="I73" s="24" t="n"/>
      <c r="J73" s="23" t="n"/>
      <c r="K73" s="22" t="n">
        <v>40</v>
      </c>
      <c r="L73" s="22" t="n">
        <v>12</v>
      </c>
      <c r="M73" s="25" t="n">
        <v>0.343</v>
      </c>
    </row>
    <row r="74">
      <c r="A74" s="22" t="n">
        <v>50</v>
      </c>
      <c r="B74" s="22" t="n"/>
      <c r="C74" s="22" t="n">
        <v>19</v>
      </c>
      <c r="D74" s="25" t="n">
        <v>0.422</v>
      </c>
      <c r="E74" s="23" t="n"/>
      <c r="F74" s="23" t="n"/>
      <c r="G74" s="23" t="n"/>
      <c r="H74" s="48" t="n"/>
      <c r="I74" s="24" t="n"/>
      <c r="J74" s="23" t="n"/>
      <c r="K74" s="22" t="n">
        <v>50</v>
      </c>
      <c r="L74" s="22" t="n">
        <v>15</v>
      </c>
      <c r="M74" s="25" t="n">
        <v>0.429</v>
      </c>
    </row>
    <row r="75">
      <c r="A75" s="22" t="n">
        <v>60</v>
      </c>
      <c r="B75" s="22" t="n"/>
      <c r="C75" s="22" t="n">
        <v>24</v>
      </c>
      <c r="D75" s="25" t="n">
        <v>0.533</v>
      </c>
      <c r="E75" s="23" t="n"/>
      <c r="F75" s="23" t="n"/>
      <c r="G75" s="23" t="n"/>
      <c r="H75" s="48" t="n"/>
      <c r="I75" s="24" t="n"/>
      <c r="J75" s="23" t="n"/>
      <c r="K75" s="22" t="n">
        <v>60</v>
      </c>
      <c r="L75" s="22" t="n">
        <v>19</v>
      </c>
      <c r="M75" s="25" t="n">
        <v>0.543</v>
      </c>
    </row>
    <row r="76">
      <c r="A76" s="22" t="n">
        <v>70</v>
      </c>
      <c r="B76" s="22" t="n"/>
      <c r="C76" s="22" t="n">
        <v>28</v>
      </c>
      <c r="D76" s="25" t="n">
        <v>0.622</v>
      </c>
      <c r="E76" s="23" t="n"/>
      <c r="F76" s="23" t="n"/>
      <c r="G76" s="23" t="n"/>
      <c r="H76" s="48" t="n"/>
      <c r="I76" s="24" t="n"/>
      <c r="J76" s="23" t="n"/>
      <c r="K76" s="22" t="n">
        <v>70</v>
      </c>
      <c r="L76" s="22" t="n">
        <v>22</v>
      </c>
      <c r="M76" s="25" t="n">
        <v>0.629</v>
      </c>
    </row>
    <row r="77">
      <c r="A77" s="22" t="n">
        <v>80</v>
      </c>
      <c r="B77" s="22" t="n"/>
      <c r="C77" s="22" t="n">
        <v>32</v>
      </c>
      <c r="D77" s="25" t="n">
        <v>0.711</v>
      </c>
      <c r="E77" s="23" t="n"/>
      <c r="F77" s="23" t="n"/>
      <c r="G77" s="23" t="n"/>
      <c r="H77" s="48" t="n"/>
      <c r="I77" s="24" t="n"/>
      <c r="J77" s="23" t="n"/>
      <c r="K77" s="22" t="n">
        <v>80</v>
      </c>
      <c r="L77" s="22" t="n">
        <v>25</v>
      </c>
      <c r="M77" s="25" t="n">
        <v>0.714</v>
      </c>
    </row>
    <row r="78">
      <c r="A78" s="22" t="n">
        <v>90</v>
      </c>
      <c r="B78" s="22" t="n"/>
      <c r="C78" s="22" t="n">
        <v>35</v>
      </c>
      <c r="D78" s="25" t="n">
        <v>0.778</v>
      </c>
      <c r="E78" s="23" t="n"/>
      <c r="F78" s="23" t="n"/>
      <c r="G78" s="23" t="n"/>
      <c r="H78" s="48" t="n"/>
      <c r="I78" s="24" t="n"/>
      <c r="J78" s="23" t="n"/>
      <c r="K78" s="22" t="n">
        <v>90</v>
      </c>
      <c r="L78" s="22" t="n">
        <v>27</v>
      </c>
      <c r="M78" s="25" t="n">
        <v>0.771</v>
      </c>
    </row>
    <row r="79">
      <c r="A79" s="22" t="n">
        <v>100</v>
      </c>
      <c r="B79" s="22" t="n"/>
      <c r="C79" s="22" t="n">
        <v>45</v>
      </c>
      <c r="D79" s="25" t="n">
        <v>1</v>
      </c>
      <c r="E79" s="23" t="n"/>
      <c r="F79" s="23" t="n"/>
      <c r="G79" s="23" t="n"/>
      <c r="H79" s="48" t="n"/>
      <c r="I79" s="24" t="n"/>
      <c r="J79" s="23" t="n"/>
      <c r="K79" s="22" t="n">
        <v>100</v>
      </c>
      <c r="L79" s="22" t="n">
        <v>35</v>
      </c>
      <c r="M79" s="25" t="n">
        <v>1</v>
      </c>
    </row>
  </sheetData>
  <conditionalFormatting sqref="G5">
    <cfRule dxfId="9" operator="equal" priority="4" type="cellIs">
      <formula>"ITM"</formula>
    </cfRule>
  </conditionalFormatting>
  <conditionalFormatting sqref="G6:G11">
    <cfRule dxfId="9" operator="equal" priority="3" type="cellIs">
      <formula>"ITM"</formula>
    </cfRule>
  </conditionalFormatting>
  <conditionalFormatting sqref="G12">
    <cfRule dxfId="9" operator="equal" priority="2" type="cellIs">
      <formula>"ITM"</formula>
    </cfRule>
  </conditionalFormatting>
  <conditionalFormatting sqref="G13">
    <cfRule dxfId="9" operator="equal" priority="1" type="cellIs">
      <formula>"ITM"</formula>
    </cfRule>
  </conditionalFormatting>
  <pageMargins bottom="0.75" footer="0.3" header="0.3" left="0.7" right="0.7" top="0.75"/>
  <pageSetup horizontalDpi="1200" orientation="portrait" verticalDpi="120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K128"/>
  <sheetViews>
    <sheetView tabSelected="1" workbookViewId="0" zoomScale="90" zoomScaleNormal="90">
      <selection activeCell="A9" sqref="A9:AG128"/>
    </sheetView>
  </sheetViews>
  <sheetFormatPr baseColWidth="8" defaultColWidth="9.140625" defaultRowHeight="15"/>
  <cols>
    <col bestFit="1" customWidth="1" max="1" min="1" style="73" width="39.140625"/>
    <col customWidth="1" max="2" min="2" style="73" width="5.28515625"/>
    <col customWidth="1" max="3" min="3" style="73" width="4.7109375"/>
    <col customWidth="1" max="4" min="4" style="77" width="6.28515625"/>
    <col customWidth="1" max="5" min="5" style="77" width="12.28515625"/>
    <col customWidth="1" max="6" min="6" style="2" width="13.7109375"/>
    <col customWidth="1" max="7" min="7" style="50" width="14.85546875"/>
    <col customWidth="1" max="9" min="8" style="75" width="6.28515625"/>
    <col customWidth="1" max="10" min="10" style="75" width="6.5703125"/>
    <col customWidth="1" max="11" min="11" style="78" width="8.5703125"/>
    <col customWidth="1" max="12" min="12" style="27" width="7.85546875"/>
    <col customWidth="1" max="14" min="13" style="78" width="7.85546875"/>
    <col bestFit="1" customWidth="1" max="15" min="15" style="78" width="8.42578125"/>
    <col customWidth="1" max="16" min="16" style="78" width="9.140625"/>
    <col bestFit="1" customWidth="1" max="17" min="17" style="75" width="11.28515625"/>
    <col customWidth="1" max="18" min="18" style="75" width="6.28515625"/>
    <col bestFit="1" customWidth="1" max="19" min="19" style="73" width="7.28515625"/>
    <col customWidth="1" max="21" min="20" style="73" width="9.42578125"/>
    <col customWidth="1" max="22" min="22" style="73" width="9.140625"/>
    <col customWidth="1" max="23" min="23" style="73" width="10.5703125"/>
    <col customWidth="1" max="24" min="24" style="76" width="9.7109375"/>
    <col customWidth="1" max="25" min="25" style="73" width="9.140625"/>
    <col customWidth="1" max="26" min="26" style="73" width="7.5703125"/>
    <col customWidth="1" max="27" min="27" style="77" width="13.5703125"/>
    <col customWidth="1" max="28" min="28" style="78" width="9.140625"/>
    <col customWidth="1" max="29" min="29" style="78" width="8.7109375"/>
    <col customWidth="1" max="30" min="30" style="78" width="11.42578125"/>
    <col customWidth="1" max="31" min="31" style="78" width="8.140625"/>
    <col bestFit="1" customWidth="1" max="33" min="32" style="73" width="14.7109375"/>
    <col bestFit="1" customWidth="1" max="34" min="34" style="73" width="15.42578125"/>
    <col bestFit="1" customWidth="1" max="35" min="35" style="73" width="14.140625"/>
    <col bestFit="1" customWidth="1" max="36" min="36" style="73" width="13.140625"/>
    <col customWidth="1" max="51" min="37" style="73" width="9.140625"/>
    <col customWidth="1" max="16384" min="52" style="73" width="9.140625"/>
  </cols>
  <sheetData>
    <row r="1">
      <c r="L1" s="78" t="n"/>
      <c r="S1" s="75" t="n"/>
      <c r="X1" s="73" t="n"/>
    </row>
    <row r="2">
      <c r="L2" s="78" t="n"/>
      <c r="S2" s="75" t="n"/>
      <c r="X2" s="73" t="n"/>
    </row>
    <row r="3">
      <c r="L3" s="78" t="n"/>
      <c r="S3" s="75" t="n"/>
      <c r="X3" s="73" t="n"/>
    </row>
    <row r="4">
      <c r="L4" s="78" t="n"/>
      <c r="S4" s="75" t="n"/>
      <c r="X4" s="73" t="n"/>
    </row>
    <row r="5">
      <c r="E5" s="37" t="inlineStr">
        <is>
          <t>After paste in values from"data to transfer", do a find  / replace with blank on three date columns</t>
        </is>
      </c>
      <c r="L5" s="78" t="n"/>
      <c r="S5" s="75" t="n"/>
      <c r="X5" s="73" t="n"/>
    </row>
    <row r="6">
      <c r="L6" s="78" t="n"/>
      <c r="X6" s="73" t="n"/>
    </row>
    <row r="7">
      <c r="A7" s="59" t="inlineStr">
        <is>
          <t>INPUT</t>
        </is>
      </c>
      <c r="B7" s="58" t="n"/>
      <c r="C7" s="58" t="n"/>
      <c r="D7" s="58" t="n"/>
      <c r="E7" s="58" t="n"/>
      <c r="F7" s="58" t="n"/>
      <c r="G7" s="58" t="n"/>
      <c r="H7" s="58" t="n"/>
      <c r="I7" s="58" t="n"/>
      <c r="J7" s="58" t="n"/>
      <c r="K7" s="58" t="n"/>
      <c r="L7" s="58" t="n"/>
      <c r="M7" s="58" t="n"/>
      <c r="N7" s="58" t="n"/>
      <c r="O7" s="58" t="n"/>
      <c r="P7" s="74" t="inlineStr">
        <is>
          <t>CALCULATED</t>
        </is>
      </c>
      <c r="AF7" s="12" t="inlineStr">
        <is>
          <t>% of Max Profit</t>
        </is>
      </c>
      <c r="AG7" s="12" t="inlineStr">
        <is>
          <t xml:space="preserve">% of Time </t>
        </is>
      </c>
      <c r="AH7" s="12" t="inlineStr">
        <is>
          <t>(Cost to Close)</t>
        </is>
      </c>
      <c r="AI7" s="12" t="n"/>
    </row>
    <row r="8">
      <c r="A8" s="73" t="inlineStr">
        <is>
          <t>SYM</t>
        </is>
      </c>
      <c r="B8" s="73" t="inlineStr">
        <is>
          <t>Trade#</t>
        </is>
      </c>
      <c r="C8" s="73" t="inlineStr">
        <is>
          <t>Leg</t>
        </is>
      </c>
      <c r="D8" s="73" t="inlineStr">
        <is>
          <t>TransType</t>
        </is>
      </c>
      <c r="E8" s="77" t="inlineStr">
        <is>
          <t>OpenDate</t>
        </is>
      </c>
      <c r="F8" s="2" t="inlineStr">
        <is>
          <t>CloseDate</t>
        </is>
      </c>
      <c r="G8" s="77" t="inlineStr">
        <is>
          <t>ExpDate</t>
        </is>
      </c>
      <c r="H8" s="50" t="inlineStr">
        <is>
          <t>Strike</t>
        </is>
      </c>
      <c r="I8" s="50" t="inlineStr">
        <is>
          <t>Strike2</t>
        </is>
      </c>
      <c r="J8" s="75" t="inlineStr">
        <is>
          <t>#Contracts</t>
        </is>
      </c>
      <c r="K8" s="78" t="inlineStr">
        <is>
          <t>OpnPrem</t>
        </is>
      </c>
      <c r="L8" s="78" t="inlineStr">
        <is>
          <t>ClsPrem</t>
        </is>
      </c>
      <c r="M8" s="78" t="inlineStr">
        <is>
          <t>Symbol</t>
        </is>
      </c>
      <c r="N8" s="78" t="inlineStr">
        <is>
          <t>Current value</t>
        </is>
      </c>
      <c r="O8" s="78" t="inlineStr">
        <is>
          <t>ask</t>
        </is>
      </c>
      <c r="P8" s="78" t="inlineStr">
        <is>
          <t>NetPrem</t>
        </is>
      </c>
      <c r="Q8" s="10" t="inlineStr">
        <is>
          <t>TotPrem</t>
        </is>
      </c>
      <c r="R8" s="11" t="inlineStr">
        <is>
          <t>Days</t>
        </is>
      </c>
      <c r="S8" s="11" t="inlineStr">
        <is>
          <t>Cap</t>
        </is>
      </c>
      <c r="T8" s="10" t="inlineStr">
        <is>
          <t>OpenCap</t>
        </is>
      </c>
      <c r="U8" s="10" t="inlineStr">
        <is>
          <t>BEcap</t>
        </is>
      </c>
      <c r="V8" s="10" t="inlineStr">
        <is>
          <t>CapDays</t>
        </is>
      </c>
      <c r="W8" s="10" t="inlineStr">
        <is>
          <t>TotCapDays</t>
        </is>
      </c>
      <c r="X8" s="10" t="inlineStr">
        <is>
          <t>AROI</t>
        </is>
      </c>
      <c r="Y8" s="10" t="inlineStr">
        <is>
          <t>BreakEven</t>
        </is>
      </c>
      <c r="Z8" s="10" t="inlineStr">
        <is>
          <t>ActShares</t>
        </is>
      </c>
      <c r="AA8" s="38" t="inlineStr">
        <is>
          <t>ActDate</t>
        </is>
      </c>
      <c r="AB8" s="10" t="inlineStr">
        <is>
          <t>Inception</t>
        </is>
      </c>
      <c r="AC8" s="10" t="inlineStr">
        <is>
          <t>1YR</t>
        </is>
      </c>
      <c r="AD8" s="10" t="inlineStr">
        <is>
          <t>YTD</t>
        </is>
      </c>
      <c r="AE8" s="10" t="inlineStr">
        <is>
          <t>unbooked</t>
        </is>
      </c>
      <c r="AF8" s="10" t="n"/>
      <c r="AG8" s="12" t="inlineStr">
        <is>
          <t>Actual/Expected</t>
        </is>
      </c>
      <c r="AH8" s="12" t="inlineStr">
        <is>
          <t>Actual/Expected</t>
        </is>
      </c>
      <c r="AI8" s="12" t="inlineStr">
        <is>
          <t xml:space="preserve">Remaining Profit </t>
        </is>
      </c>
      <c r="AJ8" s="12" t="inlineStr">
        <is>
          <t>Remaining Days</t>
        </is>
      </c>
      <c r="AK8" s="14" t="inlineStr">
        <is>
          <t>Remaining ROI</t>
        </is>
      </c>
    </row>
    <row r="9">
      <c r="A9" s="2" t="inlineStr">
        <is>
          <t>Bought to Open 2 JD Apr 16 2021 80.0 Put @ 2.89</t>
        </is>
      </c>
      <c r="B9" t="n">
        <v>1</v>
      </c>
      <c r="C9" t="n">
        <v>1</v>
      </c>
      <c r="D9" s="2" t="inlineStr">
        <is>
          <t>SP</t>
        </is>
      </c>
      <c r="E9" s="49" t="n">
        <v>44302</v>
      </c>
      <c r="F9" s="49" t="n">
        <v>44302</v>
      </c>
      <c r="G9" s="49" t="n">
        <v>44302</v>
      </c>
      <c r="H9" t="n">
        <v>80</v>
      </c>
      <c r="I9" s="75" t="n"/>
      <c r="J9" t="n">
        <v>2</v>
      </c>
      <c r="K9" t="n">
        <v>-579.33</v>
      </c>
      <c r="M9" t="inlineStr">
        <is>
          <t>JD</t>
        </is>
      </c>
      <c r="N9">
        <f>RTD("tos.rtd",,"last", "JD")</f>
        <v/>
      </c>
      <c r="O9">
        <f>RTD("tos.rtd",,"ASK",".JD210416P80")</f>
        <v/>
      </c>
      <c r="P9" s="10">
        <f>IF([TransType]="LS", [OpnPrem]+[ClsPrem],
                                            IF([TransType]="AS", [OpnPrem]+[ClsPrem],
                                               [OpnPrem]-[ClsPrem]))</f>
        <v/>
      </c>
      <c r="Q9" s="51">
        <f>IF([SYM]="","",SUMIFS([NetPrem],[Trade'#],[[Trade'#]],[Leg],"&lt;="&amp;[Leg]))</f>
        <v/>
      </c>
      <c r="R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 s="11">
        <f>IF([TransType]="SP",100*[Strike]*[['#Contracts]],
IF([TransType]="LS",[Strike]*[['#Contracts]],
IF([TransType]="BP",100*([Strike]-[Strike2])*[['#Contracts]],
IF([TransType]="BC",100*([Strike2]-[Strike])*[['#Contracts]],
IF([TransType]="NC",100*[Strike]*[['#Contracts]],
IF([TransType]="AS",100*[Strike]*[['#Contracts]],0))))))</f>
        <v/>
      </c>
      <c r="T9" s="11">
        <f>IF([CloseDate]&gt;0,"",[Cap])</f>
        <v/>
      </c>
      <c r="U9" s="11">
        <f>IF([CloseDate]&gt;0,"",
IF([TransType]="BC","",
IF([TransType]="BP",100*[Strike]*[['#Contracts]],
[Cap])))</f>
        <v/>
      </c>
      <c r="V9" s="11">
        <f>IF([SYM]="","",[Cap]*[Days])</f>
        <v/>
      </c>
      <c r="W9" s="11">
        <f>IF([SYM]="","",SUMIFS([CapDays],[Trade'#],[[Trade'#]],[Leg],"&lt;="&amp;[Leg]))</f>
        <v/>
      </c>
      <c r="X9" s="79">
        <f>IF([TotCapDays],365*[TotPrem]/[TotCapDays],"")</f>
        <v/>
      </c>
      <c r="Y9" s="10">
        <f>IF([SYM]="","",
IF([TransType]="LS",[Strike]-[TotPrem]/[['#Contracts]],
IF([['#Contracts]],[Strike]-[TotPrem]/[['#Contracts]]/100,"")))</f>
        <v/>
      </c>
      <c r="Z9" s="11">
        <f>IF([CloseDate]&gt;0,"",
IF([TransType]="LS",['#Contracts],
IF([TransType]="AS",100*[['#Contracts]],
IF([TransType]="SP",100*[['#Contracts]],
IF([TransType]="BP",100*[['#Contracts]],"")))))</f>
        <v/>
      </c>
      <c r="AA9" s="49">
        <f>IF([CloseDate]&gt;0,[CloseDate],
IF([ExpDate]&gt;0,[ExpDate],
TODAY()))</f>
        <v/>
      </c>
      <c r="AB9" s="10">
        <f>IF(PERFORMANCE!D8&gt;0,
IF(PERFORMANCE!D8&lt;[ActDate],"",[NetPrem]),
IF(TODAY()&lt;[ActDate],"",[NetPrem]))</f>
        <v/>
      </c>
      <c r="AC9" s="10">
        <f>IF(PERFORMANCE!D8&gt;0,
IF(PERFORMANCE!D8&lt;[ActDate],"",
IF(PERFORMANCE!D8 - [ActDate]&lt;366,[NetPrem],"")),
IF(TODAY()&lt;[ActDate],"",
IF(TODAY() - [ActDate]&lt;366,[NetPrem],"")))</f>
        <v/>
      </c>
      <c r="AD9" s="10">
        <f>IF(PERFORMANCE!D8&gt;0,
IF(PERFORMANCE!D8&lt;[ActDate],"",
IF(YEAR(PERFORMANCE!D8)=YEAR([ActDate]),[NetPrem],"")),
IF(TODAY()&lt;[ActDate],"",
IF(YEAR(TODAY())=YEAR([ActDate]),[NetPrem],"")))</f>
        <v/>
      </c>
      <c r="AE9" s="10">
        <f>IF(PERFORMANCE!D8&gt;0,
IF(PERFORMANCE!D8&lt;[ActDate],[NetPrem],""),
IF(TODAY()&lt;[ActDate],[NetPrem],""))</f>
        <v/>
      </c>
      <c r="AF9" s="52" t="n"/>
      <c r="AG9">
        <f>IF(Table1[SYM]="","",SUMIFS(Table1[NetPrem],Table1[Trade'#],Table1[[Trade'#]],Table1[Leg],"&lt;="&amp;Table1[Leg]))</f>
        <v/>
      </c>
    </row>
    <row r="10">
      <c r="A10" s="2" t="inlineStr">
        <is>
          <t>Sold to Close 2 JD May 21 2021 77.5 Put @ 3.68</t>
        </is>
      </c>
      <c r="B10" t="n">
        <v>1</v>
      </c>
      <c r="C10" t="n">
        <v>2</v>
      </c>
      <c r="D10" s="2" t="inlineStr">
        <is>
          <t>SP</t>
        </is>
      </c>
      <c r="E10" s="49" t="n">
        <v>44302</v>
      </c>
      <c r="F10" s="49" t="n">
        <v>44335</v>
      </c>
      <c r="G10" s="49" t="n">
        <v>44337</v>
      </c>
      <c r="H10" t="n">
        <v>77.5</v>
      </c>
      <c r="I10" s="75" t="n"/>
      <c r="J10" t="n">
        <v>2</v>
      </c>
      <c r="K10" t="n">
        <v>734.67</v>
      </c>
      <c r="M10" t="inlineStr">
        <is>
          <t>JD</t>
        </is>
      </c>
      <c r="N10">
        <f>RTD("tos.rtd",,"last", "JD")</f>
        <v/>
      </c>
      <c r="O10">
        <f>RTD("tos.rtd",,"ASK",".JD210521P77.5")</f>
        <v/>
      </c>
      <c r="P10" s="10">
        <f>IF([TransType]="LS", [OpnPrem]+[ClsPrem],
                                            IF([TransType]="AS", [OpnPrem]+[ClsPrem],
                                               [OpnPrem]-[ClsPrem]))</f>
        <v/>
      </c>
      <c r="Q10" s="51">
        <f>IF([SYM]="","",SUMIFS([NetPrem],[Trade'#],[[Trade'#]],[Leg],"&lt;="&amp;[Leg]))</f>
        <v/>
      </c>
      <c r="R1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 s="11">
        <f>IF([TransType]="SP",100*[Strike]*[['#Contracts]],
IF([TransType]="LS",[Strike]*[['#Contracts]],
IF([TransType]="BP",100*([Strike]-[Strike2])*[['#Contracts]],
IF([TransType]="BC",100*([Strike2]-[Strike])*[['#Contracts]],
IF([TransType]="NC",100*[Strike]*[['#Contracts]],
IF([TransType]="AS",100*[Strike]*[['#Contracts]],0))))))</f>
        <v/>
      </c>
      <c r="T10" s="11">
        <f>IF([CloseDate]&gt;0,"",[Cap])</f>
        <v/>
      </c>
      <c r="U10" s="11">
        <f>IF([CloseDate]&gt;0,"",
IF([TransType]="BC","",
IF([TransType]="BP",100*[Strike]*[['#Contracts]],
[Cap])))</f>
        <v/>
      </c>
      <c r="V10" s="11">
        <f>IF([SYM]="","",[Cap]*[Days])</f>
        <v/>
      </c>
      <c r="W10" s="11">
        <f>IF([SYM]="","",SUMIFS([CapDays],[Trade'#],[[Trade'#]],[Leg],"&lt;="&amp;[Leg]))</f>
        <v/>
      </c>
      <c r="X10" s="79">
        <f>IF([TotCapDays],365*[TotPrem]/[TotCapDays],"")</f>
        <v/>
      </c>
      <c r="Y10" s="10">
        <f>IF([SYM]="","",
IF([TransType]="LS",[Strike]-[TotPrem]/[['#Contracts]],
IF([['#Contracts]],[Strike]-[TotPrem]/[['#Contracts]]/100,"")))</f>
        <v/>
      </c>
      <c r="Z10" s="11">
        <f>IF([CloseDate]&gt;0,"",
IF([TransType]="LS",['#Contracts],
IF([TransType]="AS",100*[['#Contracts]],
IF([TransType]="SP",100*[['#Contracts]],
IF([TransType]="BP",100*[['#Contracts]],"")))))</f>
        <v/>
      </c>
      <c r="AA10" s="49">
        <f>IF([CloseDate]&gt;0,[CloseDate],
IF([ExpDate]&gt;0,[ExpDate],
TODAY()))</f>
        <v/>
      </c>
      <c r="AB10" s="10">
        <f>IF(PERFORMANCE!D8&gt;0,
IF(PERFORMANCE!D8&lt;[ActDate],"",[NetPrem]),
IF(TODAY()&lt;[ActDate],"",[NetPrem]))</f>
        <v/>
      </c>
      <c r="AC10" s="10">
        <f>IF(PERFORMANCE!D8&gt;0,
IF(PERFORMANCE!D8&lt;[ActDate],"",
IF(PERFORMANCE!D8 - [ActDate]&lt;366,[NetPrem],"")),
IF(TODAY()&lt;[ActDate],"",
IF(TODAY() - [ActDate]&lt;366,[NetPrem],"")))</f>
        <v/>
      </c>
      <c r="AD10" s="10">
        <f>IF(PERFORMANCE!D8&gt;0,
IF(PERFORMANCE!D8&lt;[ActDate],"",
IF(YEAR(PERFORMANCE!D8)=YEAR([ActDate]),[NetPrem],"")),
IF(TODAY()&lt;[ActDate],"",
IF(YEAR(TODAY())=YEAR([ActDate]),[NetPrem],"")))</f>
        <v/>
      </c>
      <c r="AE10" s="10">
        <f>IF(PERFORMANCE!D8&gt;0,
IF(PERFORMANCE!D8&lt;[ActDate],[NetPrem],""),
IF(TODAY()&lt;[ActDate],[NetPrem],""))</f>
        <v/>
      </c>
      <c r="AF10" s="52" t="n"/>
      <c r="AG10">
        <f>IF(Table1[SYM]="","",SUMIFS(Table1[NetPrem],Table1[Trade'#],Table1[[Trade'#]],Table1[Leg],"&lt;="&amp;Table1[Leg]))</f>
        <v/>
      </c>
    </row>
    <row r="11">
      <c r="A11" s="2" t="inlineStr">
        <is>
          <t>Sold 4 JD Jul 16 2021 72.5 Put @ 5.14</t>
        </is>
      </c>
      <c r="B11" t="n">
        <v>1</v>
      </c>
      <c r="C11" t="n">
        <v>3</v>
      </c>
      <c r="D11" s="2" t="inlineStr">
        <is>
          <t>SP</t>
        </is>
      </c>
      <c r="E11" s="49" t="n">
        <v>44335</v>
      </c>
      <c r="F11" s="49" t="n">
        <v>44348</v>
      </c>
      <c r="G11" s="49" t="n">
        <v>44393</v>
      </c>
      <c r="H11" t="n">
        <v>72.5</v>
      </c>
      <c r="I11" s="75" t="n"/>
      <c r="J11" t="n">
        <v>4</v>
      </c>
      <c r="K11" t="n">
        <v>2053.32</v>
      </c>
      <c r="M11" t="inlineStr">
        <is>
          <t>JD</t>
        </is>
      </c>
      <c r="N11">
        <f>RTD("tos.rtd",,"last", "JD")</f>
        <v/>
      </c>
      <c r="O11">
        <f>RTD("tos.rtd",,"ASK",".JD210716P72.5")</f>
        <v/>
      </c>
      <c r="P11" s="10">
        <f>IF([TransType]="LS", [OpnPrem]+[ClsPrem],
                                            IF([TransType]="AS", [OpnPrem]+[ClsPrem],
                                               [OpnPrem]-[ClsPrem]))</f>
        <v/>
      </c>
      <c r="Q11" s="51">
        <f>IF([SYM]="","",SUMIFS([NetPrem],[Trade'#],[[Trade'#]],[Leg],"&lt;="&amp;[Leg]))</f>
        <v/>
      </c>
      <c r="R1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 s="11">
        <f>IF([TransType]="SP",100*[Strike]*[['#Contracts]],
IF([TransType]="LS",[Strike]*[['#Contracts]],
IF([TransType]="BP",100*([Strike]-[Strike2])*[['#Contracts]],
IF([TransType]="BC",100*([Strike2]-[Strike])*[['#Contracts]],
IF([TransType]="NC",100*[Strike]*[['#Contracts]],
IF([TransType]="AS",100*[Strike]*[['#Contracts]],0))))))</f>
        <v/>
      </c>
      <c r="T11" s="11">
        <f>IF([CloseDate]&gt;0,"",[Cap])</f>
        <v/>
      </c>
      <c r="U11" s="11">
        <f>IF([CloseDate]&gt;0,"",
IF([TransType]="BC","",
IF([TransType]="BP",100*[Strike]*[['#Contracts]],
[Cap])))</f>
        <v/>
      </c>
      <c r="V11" s="11">
        <f>IF([SYM]="","",[Cap]*[Days])</f>
        <v/>
      </c>
      <c r="W11" s="11">
        <f>IF([SYM]="","",SUMIFS([CapDays],[Trade'#],[[Trade'#]],[Leg],"&lt;="&amp;[Leg]))</f>
        <v/>
      </c>
      <c r="X11" s="79">
        <f>IF([TotCapDays],365*[TotPrem]/[TotCapDays],"")</f>
        <v/>
      </c>
      <c r="Y11" s="10">
        <f>IF([SYM]="","",
IF([TransType]="LS",[Strike]-[TotPrem]/[['#Contracts]],
IF([['#Contracts]],[Strike]-[TotPrem]/[['#Contracts]]/100,"")))</f>
        <v/>
      </c>
      <c r="Z11" s="11">
        <f>IF([CloseDate]&gt;0,"",
IF([TransType]="LS",['#Contracts],
IF([TransType]="AS",100*[['#Contracts]],
IF([TransType]="SP",100*[['#Contracts]],
IF([TransType]="BP",100*[['#Contracts]],"")))))</f>
        <v/>
      </c>
      <c r="AA11" s="49">
        <f>IF([CloseDate]&gt;0,[CloseDate],
IF([ExpDate]&gt;0,[ExpDate],
TODAY()))</f>
        <v/>
      </c>
      <c r="AB11" s="10">
        <f>IF(PERFORMANCE!D8&gt;0,
IF(PERFORMANCE!D8&lt;[ActDate],"",[NetPrem]),
IF(TODAY()&lt;[ActDate],"",[NetPrem]))</f>
        <v/>
      </c>
      <c r="AC11" s="10">
        <f>IF(PERFORMANCE!D8&gt;0,
IF(PERFORMANCE!D8&lt;[ActDate],"",
IF(PERFORMANCE!D8 - [ActDate]&lt;366,[NetPrem],"")),
IF(TODAY()&lt;[ActDate],"",
IF(TODAY() - [ActDate]&lt;366,[NetPrem],"")))</f>
        <v/>
      </c>
      <c r="AD11" s="10">
        <f>IF(PERFORMANCE!D8&gt;0,
IF(PERFORMANCE!D8&lt;[ActDate],"",
IF(YEAR(PERFORMANCE!D8)=YEAR([ActDate]),[NetPrem],"")),
IF(TODAY()&lt;[ActDate],"",
IF(YEAR(TODAY())=YEAR([ActDate]),[NetPrem],"")))</f>
        <v/>
      </c>
      <c r="AE11" s="10">
        <f>IF(PERFORMANCE!D8&gt;0,
IF(PERFORMANCE!D8&lt;[ActDate],[NetPrem],""),
IF(TODAY()&lt;[ActDate],[NetPrem],""))</f>
        <v/>
      </c>
      <c r="AF11" s="52" t="n"/>
      <c r="AG11">
        <f>IF(Table1[SYM]="","",SUMIFS(Table1[NetPrem],Table1[Trade'#],Table1[[Trade'#]],Table1[Leg],"&lt;="&amp;Table1[Leg]))</f>
        <v/>
      </c>
    </row>
    <row r="12">
      <c r="A12" s="2" t="inlineStr">
        <is>
          <t>Bought 2 JD May 21 2021 77.5 Put @ 7.22</t>
        </is>
      </c>
      <c r="B12" t="n">
        <v>1</v>
      </c>
      <c r="C12" t="n">
        <v>4</v>
      </c>
      <c r="D12" s="2" t="inlineStr">
        <is>
          <t>SP</t>
        </is>
      </c>
      <c r="E12" s="49" t="n">
        <v>44335</v>
      </c>
      <c r="F12" s="49" t="n">
        <v>44335</v>
      </c>
      <c r="G12" s="49" t="n">
        <v>44337</v>
      </c>
      <c r="H12" t="n">
        <v>77.5</v>
      </c>
      <c r="I12" s="75" t="n"/>
      <c r="J12" t="n">
        <v>2</v>
      </c>
      <c r="K12" t="n">
        <v>-1445.33</v>
      </c>
      <c r="M12" t="inlineStr">
        <is>
          <t>JD</t>
        </is>
      </c>
      <c r="N12">
        <f>RTD("tos.rtd",,"last", "JD")</f>
        <v/>
      </c>
      <c r="O12">
        <f>RTD("tos.rtd",,"ASK",".JD210521P77.5")</f>
        <v/>
      </c>
      <c r="P12" s="10">
        <f>IF([TransType]="LS", [OpnPrem]+[ClsPrem],
                                            IF([TransType]="AS", [OpnPrem]+[ClsPrem],
                                               [OpnPrem]-[ClsPrem]))</f>
        <v/>
      </c>
      <c r="Q12" s="51">
        <f>IF([SYM]="","",SUMIFS([NetPrem],[Trade'#],[[Trade'#]],[Leg],"&lt;="&amp;[Leg]))</f>
        <v/>
      </c>
      <c r="R1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 s="11">
        <f>IF([TransType]="SP",100*[Strike]*[['#Contracts]],
IF([TransType]="LS",[Strike]*[['#Contracts]],
IF([TransType]="BP",100*([Strike]-[Strike2])*[['#Contracts]],
IF([TransType]="BC",100*([Strike2]-[Strike])*[['#Contracts]],
IF([TransType]="NC",100*[Strike]*[['#Contracts]],
IF([TransType]="AS",100*[Strike]*[['#Contracts]],0))))))</f>
        <v/>
      </c>
      <c r="T12" s="11">
        <f>IF([CloseDate]&gt;0,"",[Cap])</f>
        <v/>
      </c>
      <c r="U12" s="11">
        <f>IF([CloseDate]&gt;0,"",
IF([TransType]="BC","",
IF([TransType]="BP",100*[Strike]*[['#Contracts]],
[Cap])))</f>
        <v/>
      </c>
      <c r="V12" s="11">
        <f>IF([SYM]="","",[Cap]*[Days])</f>
        <v/>
      </c>
      <c r="W12" s="11">
        <f>IF([SYM]="","",SUMIFS([CapDays],[Trade'#],[[Trade'#]],[Leg],"&lt;="&amp;[Leg]))</f>
        <v/>
      </c>
      <c r="X12" s="79">
        <f>IF([TotCapDays],365*[TotPrem]/[TotCapDays],"")</f>
        <v/>
      </c>
      <c r="Y12" s="10">
        <f>IF([SYM]="","",
IF([TransType]="LS",[Strike]-[TotPrem]/[['#Contracts]],
IF([['#Contracts]],[Strike]-[TotPrem]/[['#Contracts]]/100,"")))</f>
        <v/>
      </c>
      <c r="Z12" s="11">
        <f>IF([CloseDate]&gt;0,"",
IF([TransType]="LS",['#Contracts],
IF([TransType]="AS",100*[['#Contracts]],
IF([TransType]="SP",100*[['#Contracts]],
IF([TransType]="BP",100*[['#Contracts]],"")))))</f>
        <v/>
      </c>
      <c r="AA12" s="49">
        <f>IF([CloseDate]&gt;0,[CloseDate],
IF([ExpDate]&gt;0,[ExpDate],
TODAY()))</f>
        <v/>
      </c>
      <c r="AB12" s="10">
        <f>IF(PERFORMANCE!D8&gt;0,
IF(PERFORMANCE!D8&lt;[ActDate],"",[NetPrem]),
IF(TODAY()&lt;[ActDate],"",[NetPrem]))</f>
        <v/>
      </c>
      <c r="AC12" s="10">
        <f>IF(PERFORMANCE!D8&gt;0,
IF(PERFORMANCE!D8&lt;[ActDate],"",
IF(PERFORMANCE!D8 - [ActDate]&lt;366,[NetPrem],"")),
IF(TODAY()&lt;[ActDate],"",
IF(TODAY() - [ActDate]&lt;366,[NetPrem],"")))</f>
        <v/>
      </c>
      <c r="AD12" s="10">
        <f>IF(PERFORMANCE!D8&gt;0,
IF(PERFORMANCE!D8&lt;[ActDate],"",
IF(YEAR(PERFORMANCE!D8)=YEAR([ActDate]),[NetPrem],"")),
IF(TODAY()&lt;[ActDate],"",
IF(YEAR(TODAY())=YEAR([ActDate]),[NetPrem],"")))</f>
        <v/>
      </c>
      <c r="AE12" s="10">
        <f>IF(PERFORMANCE!D8&gt;0,
IF(PERFORMANCE!D8&lt;[ActDate],[NetPrem],""),
IF(TODAY()&lt;[ActDate],[NetPrem],""))</f>
        <v/>
      </c>
      <c r="AF12" s="52" t="n"/>
      <c r="AG12">
        <f>IF(Table1[SYM]="","",SUMIFS(Table1[NetPrem],Table1[Trade'#],Table1[[Trade'#]],Table1[Leg],"&lt;="&amp;Table1[Leg]))</f>
        <v/>
      </c>
    </row>
    <row r="13">
      <c r="A13" s="2" t="inlineStr">
        <is>
          <t>Bought 4 JD Jul 16 2021 72.5 Put @ 1.45</t>
        </is>
      </c>
      <c r="B13" t="n">
        <v>1</v>
      </c>
      <c r="C13" t="n">
        <v>4</v>
      </c>
      <c r="D13" s="2" t="inlineStr">
        <is>
          <t>SP</t>
        </is>
      </c>
      <c r="E13" s="49" t="n">
        <v>44348</v>
      </c>
      <c r="F13" s="49" t="n">
        <v>44348</v>
      </c>
      <c r="G13" s="49" t="n">
        <v>44393</v>
      </c>
      <c r="H13" t="n">
        <v>72.5</v>
      </c>
      <c r="I13" s="75" t="n"/>
      <c r="J13" t="n">
        <v>4</v>
      </c>
      <c r="K13" t="n">
        <v>-582.66</v>
      </c>
      <c r="M13" t="inlineStr">
        <is>
          <t>JD</t>
        </is>
      </c>
      <c r="N13">
        <f>RTD("tos.rtd",,"last", "JD")</f>
        <v/>
      </c>
      <c r="O13">
        <f>RTD("tos.rtd",,"ASK",".JD210716P72.5")</f>
        <v/>
      </c>
      <c r="P13" s="10">
        <f>IF([TransType]="LS", [OpnPrem]+[ClsPrem],
                                            IF([TransType]="AS", [OpnPrem]+[ClsPrem],
                                               [OpnPrem]-[ClsPrem]))</f>
        <v/>
      </c>
      <c r="Q13" s="51">
        <f>IF([SYM]="","",SUMIFS([NetPrem],[Trade'#],[[Trade'#]],[Leg],"&lt;="&amp;[Leg]))</f>
        <v/>
      </c>
      <c r="R1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3" s="11">
        <f>IF([TransType]="SP",100*[Strike]*[['#Contracts]],
IF([TransType]="LS",[Strike]*[['#Contracts]],
IF([TransType]="BP",100*([Strike]-[Strike2])*[['#Contracts]],
IF([TransType]="BC",100*([Strike2]-[Strike])*[['#Contracts]],
IF([TransType]="NC",100*[Strike]*[['#Contracts]],
IF([TransType]="AS",100*[Strike]*[['#Contracts]],0))))))</f>
        <v/>
      </c>
      <c r="T13" s="11">
        <f>IF([CloseDate]&gt;0,"",[Cap])</f>
        <v/>
      </c>
      <c r="U13" s="11">
        <f>IF([CloseDate]&gt;0,"",
IF([TransType]="BC","",
IF([TransType]="BP",100*[Strike]*[['#Contracts]],
[Cap])))</f>
        <v/>
      </c>
      <c r="V13" s="11">
        <f>IF([SYM]="","",[Cap]*[Days])</f>
        <v/>
      </c>
      <c r="W13" s="11">
        <f>IF([SYM]="","",SUMIFS([CapDays],[Trade'#],[[Trade'#]],[Leg],"&lt;="&amp;[Leg]))</f>
        <v/>
      </c>
      <c r="X13" s="79">
        <f>IF([TotCapDays],365*[TotPrem]/[TotCapDays],"")</f>
        <v/>
      </c>
      <c r="Y13" s="10">
        <f>IF([SYM]="","",
IF([TransType]="LS",[Strike]-[TotPrem]/[['#Contracts]],
IF([['#Contracts]],[Strike]-[TotPrem]/[['#Contracts]]/100,"")))</f>
        <v/>
      </c>
      <c r="Z13" s="11">
        <f>IF([CloseDate]&gt;0,"",
IF([TransType]="LS",['#Contracts],
IF([TransType]="AS",100*[['#Contracts]],
IF([TransType]="SP",100*[['#Contracts]],
IF([TransType]="BP",100*[['#Contracts]],"")))))</f>
        <v/>
      </c>
      <c r="AA13" s="49">
        <f>IF([CloseDate]&gt;0,[CloseDate],
IF([ExpDate]&gt;0,[ExpDate],
TODAY()))</f>
        <v/>
      </c>
      <c r="AB13" s="10">
        <f>IF(PERFORMANCE!D8&gt;0,
IF(PERFORMANCE!D8&lt;[ActDate],"",[NetPrem]),
IF(TODAY()&lt;[ActDate],"",[NetPrem]))</f>
        <v/>
      </c>
      <c r="AC13" s="10">
        <f>IF(PERFORMANCE!D8&gt;0,
IF(PERFORMANCE!D8&lt;[ActDate],"",
IF(PERFORMANCE!D8 - [ActDate]&lt;366,[NetPrem],"")),
IF(TODAY()&lt;[ActDate],"",
IF(TODAY() - [ActDate]&lt;366,[NetPrem],"")))</f>
        <v/>
      </c>
      <c r="AD13" s="10">
        <f>IF(PERFORMANCE!D8&gt;0,
IF(PERFORMANCE!D8&lt;[ActDate],"",
IF(YEAR(PERFORMANCE!D8)=YEAR([ActDate]),[NetPrem],"")),
IF(TODAY()&lt;[ActDate],"",
IF(YEAR(TODAY())=YEAR([ActDate]),[NetPrem],"")))</f>
        <v/>
      </c>
      <c r="AE13" s="10">
        <f>IF(PERFORMANCE!D8&gt;0,
IF(PERFORMANCE!D8&lt;[ActDate],[NetPrem],""),
IF(TODAY()&lt;[ActDate],[NetPrem],""))</f>
        <v/>
      </c>
      <c r="AF13" s="52" t="n"/>
      <c r="AG13">
        <f>IF(Table1[SYM]="","",SUMIFS(Table1[NetPrem],Table1[Trade'#],Table1[[Trade'#]],Table1[Leg],"&lt;="&amp;Table1[Leg]))</f>
        <v/>
      </c>
    </row>
    <row r="14">
      <c r="A14" s="2" t="inlineStr">
        <is>
          <t>Sold 4 CPB May 21 2021 48.0 Put @ 0.6</t>
        </is>
      </c>
      <c r="B14" t="n">
        <v>2</v>
      </c>
      <c r="C14" t="n">
        <v>1</v>
      </c>
      <c r="D14" s="2" t="inlineStr">
        <is>
          <t>SP</t>
        </is>
      </c>
      <c r="E14" s="49" t="n">
        <v>44305</v>
      </c>
      <c r="F14" s="49" t="n">
        <v>44330</v>
      </c>
      <c r="G14" s="49" t="n">
        <v>44337</v>
      </c>
      <c r="H14" t="n">
        <v>48</v>
      </c>
      <c r="I14" s="75" t="n"/>
      <c r="J14" t="n">
        <v>4</v>
      </c>
      <c r="K14" t="n">
        <v>237.33</v>
      </c>
      <c r="M14" t="inlineStr">
        <is>
          <t>CPB</t>
        </is>
      </c>
      <c r="N14">
        <f>RTD("tos.rtd",,"last", "CPB")</f>
        <v/>
      </c>
      <c r="O14">
        <f>RTD("tos.rtd",,"ASK",".CPB210521P48")</f>
        <v/>
      </c>
      <c r="P14" s="10">
        <f>IF([TransType]="LS", [OpnPrem]+[ClsPrem],
                                            IF([TransType]="AS", [OpnPrem]+[ClsPrem],
                                               [OpnPrem]-[ClsPrem]))</f>
        <v/>
      </c>
      <c r="Q14" s="51">
        <f>IF([SYM]="","",SUMIFS([NetPrem],[Trade'#],[[Trade'#]],[Leg],"&lt;="&amp;[Leg]))</f>
        <v/>
      </c>
      <c r="R1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4" s="11">
        <f>IF([TransType]="SP",100*[Strike]*[['#Contracts]],
IF([TransType]="LS",[Strike]*[['#Contracts]],
IF([TransType]="BP",100*([Strike]-[Strike2])*[['#Contracts]],
IF([TransType]="BC",100*([Strike2]-[Strike])*[['#Contracts]],
IF([TransType]="NC",100*[Strike]*[['#Contracts]],
IF([TransType]="AS",100*[Strike]*[['#Contracts]],0))))))</f>
        <v/>
      </c>
      <c r="T14" s="11">
        <f>IF([CloseDate]&gt;0,"",[Cap])</f>
        <v/>
      </c>
      <c r="U14" s="11">
        <f>IF([CloseDate]&gt;0,"",
IF([TransType]="BC","",
IF([TransType]="BP",100*[Strike]*[['#Contracts]],
[Cap])))</f>
        <v/>
      </c>
      <c r="V14" s="11">
        <f>IF([SYM]="","",[Cap]*[Days])</f>
        <v/>
      </c>
      <c r="W14" s="11">
        <f>IF([SYM]="","",SUMIFS([CapDays],[Trade'#],[[Trade'#]],[Leg],"&lt;="&amp;[Leg]))</f>
        <v/>
      </c>
      <c r="X14" s="79">
        <f>IF([TotCapDays],365*[TotPrem]/[TotCapDays],"")</f>
        <v/>
      </c>
      <c r="Y14" s="10">
        <f>IF([SYM]="","",
IF([TransType]="LS",[Strike]-[TotPrem]/[['#Contracts]],
IF([['#Contracts]],[Strike]-[TotPrem]/[['#Contracts]]/100,"")))</f>
        <v/>
      </c>
      <c r="Z14" s="11">
        <f>IF([CloseDate]&gt;0,"",
IF([TransType]="LS",['#Contracts],
IF([TransType]="AS",100*[['#Contracts]],
IF([TransType]="SP",100*[['#Contracts]],
IF([TransType]="BP",100*[['#Contracts]],"")))))</f>
        <v/>
      </c>
      <c r="AA14" s="49">
        <f>IF([CloseDate]&gt;0,[CloseDate],
IF([ExpDate]&gt;0,[ExpDate],
TODAY()))</f>
        <v/>
      </c>
      <c r="AB14" s="10">
        <f>IF(PERFORMANCE!D8&gt;0,
IF(PERFORMANCE!D8&lt;[ActDate],"",[NetPrem]),
IF(TODAY()&lt;[ActDate],"",[NetPrem]))</f>
        <v/>
      </c>
      <c r="AC14" s="10">
        <f>IF(PERFORMANCE!D8&gt;0,
IF(PERFORMANCE!D8&lt;[ActDate],"",
IF(PERFORMANCE!D8 - [ActDate]&lt;366,[NetPrem],"")),
IF(TODAY()&lt;[ActDate],"",
IF(TODAY() - [ActDate]&lt;366,[NetPrem],"")))</f>
        <v/>
      </c>
      <c r="AD14" s="10">
        <f>IF(PERFORMANCE!D8&gt;0,
IF(PERFORMANCE!D8&lt;[ActDate],"",
IF(YEAR(PERFORMANCE!D8)=YEAR([ActDate]),[NetPrem],"")),
IF(TODAY()&lt;[ActDate],"",
IF(YEAR(TODAY())=YEAR([ActDate]),[NetPrem],"")))</f>
        <v/>
      </c>
      <c r="AE14" s="10">
        <f>IF(PERFORMANCE!D8&gt;0,
IF(PERFORMANCE!D8&lt;[ActDate],[NetPrem],""),
IF(TODAY()&lt;[ActDate],[NetPrem],""))</f>
        <v/>
      </c>
      <c r="AF14" s="52" t="n"/>
      <c r="AG14">
        <f>IF(Table1[SYM]="","",SUMIFS(Table1[NetPrem],Table1[Trade'#],Table1[[Trade'#]],Table1[Leg],"&lt;="&amp;Table1[Leg]))</f>
        <v/>
      </c>
    </row>
    <row r="15">
      <c r="A15" s="2" t="inlineStr">
        <is>
          <t>Bought 4 CPB May 21 2021 48.0 Put @ 0.15</t>
        </is>
      </c>
      <c r="B15" t="n">
        <v>2</v>
      </c>
      <c r="C15" t="n">
        <v>2</v>
      </c>
      <c r="D15" s="2" t="inlineStr">
        <is>
          <t>SP</t>
        </is>
      </c>
      <c r="E15" s="49" t="n">
        <v>44330</v>
      </c>
      <c r="F15" s="49" t="n">
        <v>44330</v>
      </c>
      <c r="G15" s="49" t="n">
        <v>44337</v>
      </c>
      <c r="H15" t="n">
        <v>48</v>
      </c>
      <c r="I15" s="75" t="n"/>
      <c r="J15" t="n">
        <v>4</v>
      </c>
      <c r="K15" t="n">
        <v>-62.66</v>
      </c>
      <c r="M15" t="inlineStr">
        <is>
          <t>CPB</t>
        </is>
      </c>
      <c r="N15">
        <f>RTD("tos.rtd",,"last", "CPB")</f>
        <v/>
      </c>
      <c r="O15">
        <f>RTD("tos.rtd",,"ASK",".CPB210521P48")</f>
        <v/>
      </c>
      <c r="P15" s="10">
        <f>IF([TransType]="LS", [OpnPrem]+[ClsPrem],
                                            IF([TransType]="AS", [OpnPrem]+[ClsPrem],
                                               [OpnPrem]-[ClsPrem]))</f>
        <v/>
      </c>
      <c r="Q15" s="51">
        <f>IF([SYM]="","",SUMIFS([NetPrem],[Trade'#],[[Trade'#]],[Leg],"&lt;="&amp;[Leg]))</f>
        <v/>
      </c>
      <c r="R1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5" s="11">
        <f>IF([TransType]="SP",100*[Strike]*[['#Contracts]],
IF([TransType]="LS",[Strike]*[['#Contracts]],
IF([TransType]="BP",100*([Strike]-[Strike2])*[['#Contracts]],
IF([TransType]="BC",100*([Strike2]-[Strike])*[['#Contracts]],
IF([TransType]="NC",100*[Strike]*[['#Contracts]],
IF([TransType]="AS",100*[Strike]*[['#Contracts]],0))))))</f>
        <v/>
      </c>
      <c r="T15" s="11">
        <f>IF([CloseDate]&gt;0,"",[Cap])</f>
        <v/>
      </c>
      <c r="U15" s="11">
        <f>IF([CloseDate]&gt;0,"",
IF([TransType]="BC","",
IF([TransType]="BP",100*[Strike]*[['#Contracts]],
[Cap])))</f>
        <v/>
      </c>
      <c r="V15" s="11">
        <f>IF([SYM]="","",[Cap]*[Days])</f>
        <v/>
      </c>
      <c r="W15" s="11">
        <f>IF([SYM]="","",SUMIFS([CapDays],[Trade'#],[[Trade'#]],[Leg],"&lt;="&amp;[Leg]))</f>
        <v/>
      </c>
      <c r="X15" s="79">
        <f>IF([TotCapDays],365*[TotPrem]/[TotCapDays],"")</f>
        <v/>
      </c>
      <c r="Y15" s="10">
        <f>IF([SYM]="","",
IF([TransType]="LS",[Strike]-[TotPrem]/[['#Contracts]],
IF([['#Contracts]],[Strike]-[TotPrem]/[['#Contracts]]/100,"")))</f>
        <v/>
      </c>
      <c r="Z15" s="11">
        <f>IF([CloseDate]&gt;0,"",
IF([TransType]="LS",['#Contracts],
IF([TransType]="AS",100*[['#Contracts]],
IF([TransType]="SP",100*[['#Contracts]],
IF([TransType]="BP",100*[['#Contracts]],"")))))</f>
        <v/>
      </c>
      <c r="AA15" s="49">
        <f>IF([CloseDate]&gt;0,[CloseDate],
IF([ExpDate]&gt;0,[ExpDate],
TODAY()))</f>
        <v/>
      </c>
      <c r="AB15" s="10">
        <f>IF(PERFORMANCE!D8&gt;0,
IF(PERFORMANCE!D8&lt;[ActDate],"",[NetPrem]),
IF(TODAY()&lt;[ActDate],"",[NetPrem]))</f>
        <v/>
      </c>
      <c r="AC15" s="10">
        <f>IF(PERFORMANCE!D8&gt;0,
IF(PERFORMANCE!D8&lt;[ActDate],"",
IF(PERFORMANCE!D8 - [ActDate]&lt;366,[NetPrem],"")),
IF(TODAY()&lt;[ActDate],"",
IF(TODAY() - [ActDate]&lt;366,[NetPrem],"")))</f>
        <v/>
      </c>
      <c r="AD15" s="10">
        <f>IF(PERFORMANCE!D8&gt;0,
IF(PERFORMANCE!D8&lt;[ActDate],"",
IF(YEAR(PERFORMANCE!D8)=YEAR([ActDate]),[NetPrem],"")),
IF(TODAY()&lt;[ActDate],"",
IF(YEAR(TODAY())=YEAR([ActDate]),[NetPrem],"")))</f>
        <v/>
      </c>
      <c r="AE15" s="10">
        <f>IF(PERFORMANCE!D8&gt;0,
IF(PERFORMANCE!D8&lt;[ActDate],[NetPrem],""),
IF(TODAY()&lt;[ActDate],[NetPrem],""))</f>
        <v/>
      </c>
      <c r="AF15" s="52" t="n"/>
      <c r="AG15">
        <f>IF(Table1[SYM]="","",SUMIFS(Table1[NetPrem],Table1[Trade'#],Table1[[Trade'#]],Table1[Leg],"&lt;="&amp;Table1[Leg]))</f>
        <v/>
      </c>
    </row>
    <row r="16">
      <c r="A16" s="2" t="inlineStr">
        <is>
          <t>Sold 3 GBX May 21 2021 40.0 Put @ 0.8</t>
        </is>
      </c>
      <c r="B16" t="n">
        <v>3</v>
      </c>
      <c r="C16" t="n">
        <v>1</v>
      </c>
      <c r="D16" s="2" t="inlineStr">
        <is>
          <t>SP</t>
        </is>
      </c>
      <c r="E16" s="49" t="n">
        <v>44305</v>
      </c>
      <c r="F16" s="49" t="n">
        <v>44313</v>
      </c>
      <c r="G16" s="49" t="n">
        <v>44337</v>
      </c>
      <c r="H16" t="n">
        <v>40</v>
      </c>
      <c r="I16" s="75" t="n"/>
      <c r="J16" t="n">
        <v>3</v>
      </c>
      <c r="K16" t="n">
        <v>238</v>
      </c>
      <c r="M16" t="inlineStr">
        <is>
          <t>GBX</t>
        </is>
      </c>
      <c r="N16">
        <f>RTD("tos.rtd",,"last", "GBX")</f>
        <v/>
      </c>
      <c r="O16">
        <f>RTD("tos.rtd",,"ASK",".GBX210521P40")</f>
        <v/>
      </c>
      <c r="P16" s="10">
        <f>IF([TransType]="LS", [OpnPrem]+[ClsPrem],
                                            IF([TransType]="AS", [OpnPrem]+[ClsPrem],
                                               [OpnPrem]-[ClsPrem]))</f>
        <v/>
      </c>
      <c r="Q16" s="51">
        <f>IF([SYM]="","",SUMIFS([NetPrem],[Trade'#],[[Trade'#]],[Leg],"&lt;="&amp;[Leg]))</f>
        <v/>
      </c>
      <c r="R1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6" s="11">
        <f>IF([TransType]="SP",100*[Strike]*[['#Contracts]],
IF([TransType]="LS",[Strike]*[['#Contracts]],
IF([TransType]="BP",100*([Strike]-[Strike2])*[['#Contracts]],
IF([TransType]="BC",100*([Strike2]-[Strike])*[['#Contracts]],
IF([TransType]="NC",100*[Strike]*[['#Contracts]],
IF([TransType]="AS",100*[Strike]*[['#Contracts]],0))))))</f>
        <v/>
      </c>
      <c r="T16" s="11">
        <f>IF([CloseDate]&gt;0,"",[Cap])</f>
        <v/>
      </c>
      <c r="U16" s="11">
        <f>IF([CloseDate]&gt;0,"",
IF([TransType]="BC","",
IF([TransType]="BP",100*[Strike]*[['#Contracts]],
[Cap])))</f>
        <v/>
      </c>
      <c r="V16" s="11">
        <f>IF([SYM]="","",[Cap]*[Days])</f>
        <v/>
      </c>
      <c r="W16" s="11">
        <f>IF([SYM]="","",SUMIFS([CapDays],[Trade'#],[[Trade'#]],[Leg],"&lt;="&amp;[Leg]))</f>
        <v/>
      </c>
      <c r="X16" s="79">
        <f>IF([TotCapDays],365*[TotPrem]/[TotCapDays],"")</f>
        <v/>
      </c>
      <c r="Y16" s="10">
        <f>IF([SYM]="","",
IF([TransType]="LS",[Strike]-[TotPrem]/[['#Contracts]],
IF([['#Contracts]],[Strike]-[TotPrem]/[['#Contracts]]/100,"")))</f>
        <v/>
      </c>
      <c r="Z16" s="11">
        <f>IF([CloseDate]&gt;0,"",
IF([TransType]="LS",['#Contracts],
IF([TransType]="AS",100*[['#Contracts]],
IF([TransType]="SP",100*[['#Contracts]],
IF([TransType]="BP",100*[['#Contracts]],"")))))</f>
        <v/>
      </c>
      <c r="AA16" s="49">
        <f>IF([CloseDate]&gt;0,[CloseDate],
IF([ExpDate]&gt;0,[ExpDate],
TODAY()))</f>
        <v/>
      </c>
      <c r="AB16" s="10">
        <f>IF(PERFORMANCE!D8&gt;0,
IF(PERFORMANCE!D8&lt;[ActDate],"",[NetPrem]),
IF(TODAY()&lt;[ActDate],"",[NetPrem]))</f>
        <v/>
      </c>
      <c r="AC16" s="10">
        <f>IF(PERFORMANCE!D8&gt;0,
IF(PERFORMANCE!D8&lt;[ActDate],"",
IF(PERFORMANCE!D8 - [ActDate]&lt;366,[NetPrem],"")),
IF(TODAY()&lt;[ActDate],"",
IF(TODAY() - [ActDate]&lt;366,[NetPrem],"")))</f>
        <v/>
      </c>
      <c r="AD16" s="10">
        <f>IF(PERFORMANCE!D8&gt;0,
IF(PERFORMANCE!D8&lt;[ActDate],"",
IF(YEAR(PERFORMANCE!D8)=YEAR([ActDate]),[NetPrem],"")),
IF(TODAY()&lt;[ActDate],"",
IF(YEAR(TODAY())=YEAR([ActDate]),[NetPrem],"")))</f>
        <v/>
      </c>
      <c r="AE16" s="10">
        <f>IF(PERFORMANCE!D8&gt;0,
IF(PERFORMANCE!D8&lt;[ActDate],[NetPrem],""),
IF(TODAY()&lt;[ActDate],[NetPrem],""))</f>
        <v/>
      </c>
      <c r="AF16" s="52" t="n"/>
      <c r="AG16">
        <f>IF(Table1[SYM]="","",SUMIFS(Table1[NetPrem],Table1[Trade'#],Table1[[Trade'#]],Table1[Leg],"&lt;="&amp;Table1[Leg]))</f>
        <v/>
      </c>
    </row>
    <row r="17">
      <c r="A17" s="2" t="inlineStr">
        <is>
          <t>Bought 3 GBX May 21 2021 40.0 Put @ 0.22</t>
        </is>
      </c>
      <c r="B17" t="n">
        <v>3</v>
      </c>
      <c r="C17" t="n">
        <v>2</v>
      </c>
      <c r="D17" s="2" t="inlineStr">
        <is>
          <t>SP</t>
        </is>
      </c>
      <c r="E17" s="49" t="n">
        <v>44313</v>
      </c>
      <c r="F17" s="49" t="n">
        <v>44313</v>
      </c>
      <c r="G17" s="49" t="n">
        <v>44337</v>
      </c>
      <c r="H17" t="n">
        <v>40</v>
      </c>
      <c r="I17" s="75" t="n"/>
      <c r="J17" t="n">
        <v>3</v>
      </c>
      <c r="K17" t="n">
        <v>-67.98999999999999</v>
      </c>
      <c r="M17" t="inlineStr">
        <is>
          <t>GBX</t>
        </is>
      </c>
      <c r="N17">
        <f>RTD("tos.rtd",,"last", "GBX")</f>
        <v/>
      </c>
      <c r="O17">
        <f>RTD("tos.rtd",,"ASK",".GBX210521P40")</f>
        <v/>
      </c>
      <c r="P17" s="10">
        <f>IF([TransType]="LS", [OpnPrem]+[ClsPrem],
                                            IF([TransType]="AS", [OpnPrem]+[ClsPrem],
                                               [OpnPrem]-[ClsPrem]))</f>
        <v/>
      </c>
      <c r="Q17" s="51">
        <f>IF([SYM]="","",SUMIFS([NetPrem],[Trade'#],[[Trade'#]],[Leg],"&lt;="&amp;[Leg]))</f>
        <v/>
      </c>
      <c r="R1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7" s="11">
        <f>IF([TransType]="SP",100*[Strike]*[['#Contracts]],
IF([TransType]="LS",[Strike]*[['#Contracts]],
IF([TransType]="BP",100*([Strike]-[Strike2])*[['#Contracts]],
IF([TransType]="BC",100*([Strike2]-[Strike])*[['#Contracts]],
IF([TransType]="NC",100*[Strike]*[['#Contracts]],
IF([TransType]="AS",100*[Strike]*[['#Contracts]],0))))))</f>
        <v/>
      </c>
      <c r="T17" s="11">
        <f>IF([CloseDate]&gt;0,"",[Cap])</f>
        <v/>
      </c>
      <c r="U17" s="11">
        <f>IF([CloseDate]&gt;0,"",
IF([TransType]="BC","",
IF([TransType]="BP",100*[Strike]*[['#Contracts]],
[Cap])))</f>
        <v/>
      </c>
      <c r="V17" s="11">
        <f>IF([SYM]="","",[Cap]*[Days])</f>
        <v/>
      </c>
      <c r="W17" s="11">
        <f>IF([SYM]="","",SUMIFS([CapDays],[Trade'#],[[Trade'#]],[Leg],"&lt;="&amp;[Leg]))</f>
        <v/>
      </c>
      <c r="X17" s="79">
        <f>IF([TotCapDays],365*[TotPrem]/[TotCapDays],"")</f>
        <v/>
      </c>
      <c r="Y17" s="10">
        <f>IF([SYM]="","",
IF([TransType]="LS",[Strike]-[TotPrem]/[['#Contracts]],
IF([['#Contracts]],[Strike]-[TotPrem]/[['#Contracts]]/100,"")))</f>
        <v/>
      </c>
      <c r="Z17" s="11">
        <f>IF([CloseDate]&gt;0,"",
IF([TransType]="LS",['#Contracts],
IF([TransType]="AS",100*[['#Contracts]],
IF([TransType]="SP",100*[['#Contracts]],
IF([TransType]="BP",100*[['#Contracts]],"")))))</f>
        <v/>
      </c>
      <c r="AA17" s="49">
        <f>IF([CloseDate]&gt;0,[CloseDate],
IF([ExpDate]&gt;0,[ExpDate],
TODAY()))</f>
        <v/>
      </c>
      <c r="AB17" s="10">
        <f>IF(PERFORMANCE!D8&gt;0,
IF(PERFORMANCE!D8&lt;[ActDate],"",[NetPrem]),
IF(TODAY()&lt;[ActDate],"",[NetPrem]))</f>
        <v/>
      </c>
      <c r="AC17" s="10">
        <f>IF(PERFORMANCE!D8&gt;0,
IF(PERFORMANCE!D8&lt;[ActDate],"",
IF(PERFORMANCE!D8 - [ActDate]&lt;366,[NetPrem],"")),
IF(TODAY()&lt;[ActDate],"",
IF(TODAY() - [ActDate]&lt;366,[NetPrem],"")))</f>
        <v/>
      </c>
      <c r="AD17" s="10">
        <f>IF(PERFORMANCE!D8&gt;0,
IF(PERFORMANCE!D8&lt;[ActDate],"",
IF(YEAR(PERFORMANCE!D8)=YEAR([ActDate]),[NetPrem],"")),
IF(TODAY()&lt;[ActDate],"",
IF(YEAR(TODAY())=YEAR([ActDate]),[NetPrem],"")))</f>
        <v/>
      </c>
      <c r="AE17" s="10">
        <f>IF(PERFORMANCE!D8&gt;0,
IF(PERFORMANCE!D8&lt;[ActDate],[NetPrem],""),
IF(TODAY()&lt;[ActDate],[NetPrem],""))</f>
        <v/>
      </c>
      <c r="AF17" s="52" t="n"/>
      <c r="AG17">
        <f>IF(Table1[SYM]="","",SUMIFS(Table1[NetPrem],Table1[Trade'#],Table1[[Trade'#]],Table1[Leg],"&lt;="&amp;Table1[Leg]))</f>
        <v/>
      </c>
    </row>
    <row r="18">
      <c r="A18" s="2" t="inlineStr">
        <is>
          <t>Bought 4 APA Apr 23 2021 17.0 Put @ 0.07</t>
        </is>
      </c>
      <c r="B18" t="n">
        <v>4</v>
      </c>
      <c r="C18" t="n">
        <v>1</v>
      </c>
      <c r="D18" s="2" t="inlineStr">
        <is>
          <t>SP</t>
        </is>
      </c>
      <c r="E18" s="49" t="n">
        <v>44308</v>
      </c>
      <c r="F18" s="49" t="n"/>
      <c r="G18" s="49" t="n">
        <v>44309</v>
      </c>
      <c r="H18" t="n">
        <v>17</v>
      </c>
      <c r="I18" s="75" t="n"/>
      <c r="J18" t="n">
        <v>4</v>
      </c>
      <c r="K18" t="n">
        <v>-30.66</v>
      </c>
      <c r="M18" t="inlineStr">
        <is>
          <t>APA</t>
        </is>
      </c>
      <c r="N18">
        <f>RTD("tos.rtd",,"last", "APA")</f>
        <v/>
      </c>
      <c r="O18">
        <f>RTD("tos.rtd",,"ASK",".APA210423P17")</f>
        <v/>
      </c>
      <c r="P18" s="10">
        <f>IF([TransType]="LS", [OpnPrem]+[ClsPrem],
                                            IF([TransType]="AS", [OpnPrem]+[ClsPrem],
                                               [OpnPrem]-[ClsPrem]))</f>
        <v/>
      </c>
      <c r="Q18" s="51">
        <f>IF([SYM]="","",SUMIFS([NetPrem],[Trade'#],[[Trade'#]],[Leg],"&lt;="&amp;[Leg]))</f>
        <v/>
      </c>
      <c r="R1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8" s="11">
        <f>IF([TransType]="SP",100*[Strike]*[['#Contracts]],
IF([TransType]="LS",[Strike]*[['#Contracts]],
IF([TransType]="BP",100*([Strike]-[Strike2])*[['#Contracts]],
IF([TransType]="BC",100*([Strike2]-[Strike])*[['#Contracts]],
IF([TransType]="NC",100*[Strike]*[['#Contracts]],
IF([TransType]="AS",100*[Strike]*[['#Contracts]],0))))))</f>
        <v/>
      </c>
      <c r="T18" s="11">
        <f>IF([CloseDate]&gt;0,"",[Cap])</f>
        <v/>
      </c>
      <c r="U18" s="11">
        <f>IF([CloseDate]&gt;0,"",
IF([TransType]="BC","",
IF([TransType]="BP",100*[Strike]*[['#Contracts]],
[Cap])))</f>
        <v/>
      </c>
      <c r="V18" s="11">
        <f>IF([SYM]="","",[Cap]*[Days])</f>
        <v/>
      </c>
      <c r="W18" s="11">
        <f>IF([SYM]="","",SUMIFS([CapDays],[Trade'#],[[Trade'#]],[Leg],"&lt;="&amp;[Leg]))</f>
        <v/>
      </c>
      <c r="X18" s="79">
        <f>IF([TotCapDays],365*[TotPrem]/[TotCapDays],"")</f>
        <v/>
      </c>
      <c r="Y18" s="10">
        <f>IF([SYM]="","",
IF([TransType]="LS",[Strike]-[TotPrem]/[['#Contracts]],
IF([['#Contracts]],[Strike]-[TotPrem]/[['#Contracts]]/100,"")))</f>
        <v/>
      </c>
      <c r="Z18" s="11">
        <f>IF([CloseDate]&gt;0,"",
IF([TransType]="LS",['#Contracts],
IF([TransType]="AS",100*[['#Contracts]],
IF([TransType]="SP",100*[['#Contracts]],
IF([TransType]="BP",100*[['#Contracts]],"")))))</f>
        <v/>
      </c>
      <c r="AA18" s="49">
        <f>IF([CloseDate]&gt;0,[CloseDate],
IF([ExpDate]&gt;0,[ExpDate],
TODAY()))</f>
        <v/>
      </c>
      <c r="AB18" s="10">
        <f>IF(PERFORMANCE!D8&gt;0,
IF(PERFORMANCE!D8&lt;[ActDate],"",[NetPrem]),
IF(TODAY()&lt;[ActDate],"",[NetPrem]))</f>
        <v/>
      </c>
      <c r="AC18" s="10">
        <f>IF(PERFORMANCE!D8&gt;0,
IF(PERFORMANCE!D8&lt;[ActDate],"",
IF(PERFORMANCE!D8 - [ActDate]&lt;366,[NetPrem],"")),
IF(TODAY()&lt;[ActDate],"",
IF(TODAY() - [ActDate]&lt;366,[NetPrem],"")))</f>
        <v/>
      </c>
      <c r="AD18" s="10">
        <f>IF(PERFORMANCE!D8&gt;0,
IF(PERFORMANCE!D8&lt;[ActDate],"",
IF(YEAR(PERFORMANCE!D8)=YEAR([ActDate]),[NetPrem],"")),
IF(TODAY()&lt;[ActDate],"",
IF(YEAR(TODAY())=YEAR([ActDate]),[NetPrem],"")))</f>
        <v/>
      </c>
      <c r="AE18" s="10">
        <f>IF(PERFORMANCE!D8&gt;0,
IF(PERFORMANCE!D8&lt;[ActDate],[NetPrem],""),
IF(TODAY()&lt;[ActDate],[NetPrem],""))</f>
        <v/>
      </c>
      <c r="AF18" s="52" t="n"/>
      <c r="AG18">
        <f>IF(Table1[SYM]="","",SUMIFS(Table1[NetPrem],Table1[Trade'#],Table1[[Trade'#]],Table1[Leg],"&lt;="&amp;Table1[Leg]))</f>
        <v/>
      </c>
    </row>
    <row r="19">
      <c r="A19" s="2" t="inlineStr">
        <is>
          <t>Bought 2 VIAC Apr 23 2021 40.0 Put @ 0.14</t>
        </is>
      </c>
      <c r="B19" t="n">
        <v>5</v>
      </c>
      <c r="C19" t="n">
        <v>1</v>
      </c>
      <c r="D19" s="2" t="inlineStr">
        <is>
          <t>SP</t>
        </is>
      </c>
      <c r="E19" s="49" t="n">
        <v>44308</v>
      </c>
      <c r="F19" s="49" t="n"/>
      <c r="G19" s="49" t="n">
        <v>44309</v>
      </c>
      <c r="H19" t="n">
        <v>40</v>
      </c>
      <c r="I19" s="75" t="n"/>
      <c r="J19" t="n">
        <v>2</v>
      </c>
      <c r="K19" t="n">
        <v>-29.33</v>
      </c>
      <c r="M19" t="inlineStr">
        <is>
          <t>VIAC</t>
        </is>
      </c>
      <c r="N19">
        <f>RTD("tos.rtd",,"last", "VIAC")</f>
        <v/>
      </c>
      <c r="O19">
        <f>RTD("tos.rtd",,"ASK",".VIAC210423P40")</f>
        <v/>
      </c>
      <c r="P19" s="10">
        <f>IF([TransType]="LS", [OpnPrem]+[ClsPrem],
                                            IF([TransType]="AS", [OpnPrem]+[ClsPrem],
                                               [OpnPrem]-[ClsPrem]))</f>
        <v/>
      </c>
      <c r="Q19" s="51">
        <f>IF([SYM]="","",SUMIFS([NetPrem],[Trade'#],[[Trade'#]],[Leg],"&lt;="&amp;[Leg]))</f>
        <v/>
      </c>
      <c r="R1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9" s="11">
        <f>IF([TransType]="SP",100*[Strike]*[['#Contracts]],
IF([TransType]="LS",[Strike]*[['#Contracts]],
IF([TransType]="BP",100*([Strike]-[Strike2])*[['#Contracts]],
IF([TransType]="BC",100*([Strike2]-[Strike])*[['#Contracts]],
IF([TransType]="NC",100*[Strike]*[['#Contracts]],
IF([TransType]="AS",100*[Strike]*[['#Contracts]],0))))))</f>
        <v/>
      </c>
      <c r="T19" s="11">
        <f>IF([CloseDate]&gt;0,"",[Cap])</f>
        <v/>
      </c>
      <c r="U19" s="11">
        <f>IF([CloseDate]&gt;0,"",
IF([TransType]="BC","",
IF([TransType]="BP",100*[Strike]*[['#Contracts]],
[Cap])))</f>
        <v/>
      </c>
      <c r="V19" s="11">
        <f>IF([SYM]="","",[Cap]*[Days])</f>
        <v/>
      </c>
      <c r="W19" s="11">
        <f>IF([SYM]="","",SUMIFS([CapDays],[Trade'#],[[Trade'#]],[Leg],"&lt;="&amp;[Leg]))</f>
        <v/>
      </c>
      <c r="X19" s="79">
        <f>IF([TotCapDays],365*[TotPrem]/[TotCapDays],"")</f>
        <v/>
      </c>
      <c r="Y19" s="10">
        <f>IF([SYM]="","",
IF([TransType]="LS",[Strike]-[TotPrem]/[['#Contracts]],
IF([['#Contracts]],[Strike]-[TotPrem]/[['#Contracts]]/100,"")))</f>
        <v/>
      </c>
      <c r="Z19" s="11">
        <f>IF([CloseDate]&gt;0,"",
IF([TransType]="LS",['#Contracts],
IF([TransType]="AS",100*[['#Contracts]],
IF([TransType]="SP",100*[['#Contracts]],
IF([TransType]="BP",100*[['#Contracts]],"")))))</f>
        <v/>
      </c>
      <c r="AA19" s="49">
        <f>IF([CloseDate]&gt;0,[CloseDate],
IF([ExpDate]&gt;0,[ExpDate],
TODAY()))</f>
        <v/>
      </c>
      <c r="AB19" s="10">
        <f>IF(PERFORMANCE!D8&gt;0,
IF(PERFORMANCE!D8&lt;[ActDate],"",[NetPrem]),
IF(TODAY()&lt;[ActDate],"",[NetPrem]))</f>
        <v/>
      </c>
      <c r="AC19" s="10">
        <f>IF(PERFORMANCE!D8&gt;0,
IF(PERFORMANCE!D8&lt;[ActDate],"",
IF(PERFORMANCE!D8 - [ActDate]&lt;366,[NetPrem],"")),
IF(TODAY()&lt;[ActDate],"",
IF(TODAY() - [ActDate]&lt;366,[NetPrem],"")))</f>
        <v/>
      </c>
      <c r="AD19" s="10">
        <f>IF(PERFORMANCE!D8&gt;0,
IF(PERFORMANCE!D8&lt;[ActDate],"",
IF(YEAR(PERFORMANCE!D8)=YEAR([ActDate]),[NetPrem],"")),
IF(TODAY()&lt;[ActDate],"",
IF(YEAR(TODAY())=YEAR([ActDate]),[NetPrem],"")))</f>
        <v/>
      </c>
      <c r="AE19" s="10">
        <f>IF(PERFORMANCE!D8&gt;0,
IF(PERFORMANCE!D8&lt;[ActDate],[NetPrem],""),
IF(TODAY()&lt;[ActDate],[NetPrem],""))</f>
        <v/>
      </c>
      <c r="AF19" s="52" t="n"/>
      <c r="AG19">
        <f>IF(Table1[SYM]="","",SUMIFS(Table1[NetPrem],Table1[Trade'#],Table1[[Trade'#]],Table1[Leg],"&lt;="&amp;Table1[Leg]))</f>
        <v/>
      </c>
    </row>
    <row r="20">
      <c r="A20" s="2" t="inlineStr">
        <is>
          <t>Sold 10 CCL May 21 2021 24.5 Put @ 0.37</t>
        </is>
      </c>
      <c r="B20" t="n">
        <v>6</v>
      </c>
      <c r="C20" t="n">
        <v>1</v>
      </c>
      <c r="D20" s="2" t="inlineStr">
        <is>
          <t>SP</t>
        </is>
      </c>
      <c r="E20" s="49" t="n">
        <v>44308</v>
      </c>
      <c r="F20" s="49" t="n">
        <v>44330</v>
      </c>
      <c r="G20" s="49" t="n">
        <v>44337</v>
      </c>
      <c r="H20" t="n">
        <v>24.5</v>
      </c>
      <c r="I20" s="75" t="n"/>
      <c r="J20" t="n">
        <v>10</v>
      </c>
      <c r="K20" t="n">
        <v>363.34</v>
      </c>
      <c r="M20" t="inlineStr">
        <is>
          <t>CCL</t>
        </is>
      </c>
      <c r="N20">
        <f>RTD("tos.rtd",,"last", "CCL")</f>
        <v/>
      </c>
      <c r="O20">
        <f>RTD("tos.rtd",,"ASK",".CCL210521P24.5")</f>
        <v/>
      </c>
      <c r="P20" s="10">
        <f>IF([TransType]="LS", [OpnPrem]+[ClsPrem],
                                            IF([TransType]="AS", [OpnPrem]+[ClsPrem],
                                               [OpnPrem]-[ClsPrem]))</f>
        <v/>
      </c>
      <c r="Q20" s="51">
        <f>IF([SYM]="","",SUMIFS([NetPrem],[Trade'#],[[Trade'#]],[Leg],"&lt;="&amp;[Leg]))</f>
        <v/>
      </c>
      <c r="R2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0" s="11">
        <f>IF([TransType]="SP",100*[Strike]*[['#Contracts]],
IF([TransType]="LS",[Strike]*[['#Contracts]],
IF([TransType]="BP",100*([Strike]-[Strike2])*[['#Contracts]],
IF([TransType]="BC",100*([Strike2]-[Strike])*[['#Contracts]],
IF([TransType]="NC",100*[Strike]*[['#Contracts]],
IF([TransType]="AS",100*[Strike]*[['#Contracts]],0))))))</f>
        <v/>
      </c>
      <c r="T20" s="11">
        <f>IF([CloseDate]&gt;0,"",[Cap])</f>
        <v/>
      </c>
      <c r="U20" s="11">
        <f>IF([CloseDate]&gt;0,"",
IF([TransType]="BC","",
IF([TransType]="BP",100*[Strike]*[['#Contracts]],
[Cap])))</f>
        <v/>
      </c>
      <c r="V20" s="11">
        <f>IF([SYM]="","",[Cap]*[Days])</f>
        <v/>
      </c>
      <c r="W20" s="11">
        <f>IF([SYM]="","",SUMIFS([CapDays],[Trade'#],[[Trade'#]],[Leg],"&lt;="&amp;[Leg]))</f>
        <v/>
      </c>
      <c r="X20" s="79">
        <f>IF([TotCapDays],365*[TotPrem]/[TotCapDays],"")</f>
        <v/>
      </c>
      <c r="Y20" s="10">
        <f>IF([SYM]="","",
IF([TransType]="LS",[Strike]-[TotPrem]/[['#Contracts]],
IF([['#Contracts]],[Strike]-[TotPrem]/[['#Contracts]]/100,"")))</f>
        <v/>
      </c>
      <c r="Z20" s="11">
        <f>IF([CloseDate]&gt;0,"",
IF([TransType]="LS",['#Contracts],
IF([TransType]="AS",100*[['#Contracts]],
IF([TransType]="SP",100*[['#Contracts]],
IF([TransType]="BP",100*[['#Contracts]],"")))))</f>
        <v/>
      </c>
      <c r="AA20" s="49">
        <f>IF([CloseDate]&gt;0,[CloseDate],
IF([ExpDate]&gt;0,[ExpDate],
TODAY()))</f>
        <v/>
      </c>
      <c r="AB20" s="10">
        <f>IF(PERFORMANCE!D8&gt;0,
IF(PERFORMANCE!D8&lt;[ActDate],"",[NetPrem]),
IF(TODAY()&lt;[ActDate],"",[NetPrem]))</f>
        <v/>
      </c>
      <c r="AC20" s="10">
        <f>IF(PERFORMANCE!D8&gt;0,
IF(PERFORMANCE!D8&lt;[ActDate],"",
IF(PERFORMANCE!D8 - [ActDate]&lt;366,[NetPrem],"")),
IF(TODAY()&lt;[ActDate],"",
IF(TODAY() - [ActDate]&lt;366,[NetPrem],"")))</f>
        <v/>
      </c>
      <c r="AD20" s="10">
        <f>IF(PERFORMANCE!D8&gt;0,
IF(PERFORMANCE!D8&lt;[ActDate],"",
IF(YEAR(PERFORMANCE!D8)=YEAR([ActDate]),[NetPrem],"")),
IF(TODAY()&lt;[ActDate],"",
IF(YEAR(TODAY())=YEAR([ActDate]),[NetPrem],"")))</f>
        <v/>
      </c>
      <c r="AE20" s="10">
        <f>IF(PERFORMANCE!D8&gt;0,
IF(PERFORMANCE!D8&lt;[ActDate],[NetPrem],""),
IF(TODAY()&lt;[ActDate],[NetPrem],""))</f>
        <v/>
      </c>
      <c r="AF20" s="52" t="n"/>
      <c r="AG20">
        <f>IF(Table1[SYM]="","",SUMIFS(Table1[NetPrem],Table1[Trade'#],Table1[[Trade'#]],Table1[Leg],"&lt;="&amp;Table1[Leg]))</f>
        <v/>
      </c>
    </row>
    <row r="21">
      <c r="A21" s="2" t="inlineStr">
        <is>
          <t>Bought 10 CCL May 7 2021 25.0 Put @ 0.04</t>
        </is>
      </c>
      <c r="B21" t="n">
        <v>6</v>
      </c>
      <c r="C21" t="n">
        <v>2</v>
      </c>
      <c r="D21" s="2" t="inlineStr">
        <is>
          <t>SP</t>
        </is>
      </c>
      <c r="E21" s="49" t="n">
        <v>44319</v>
      </c>
      <c r="F21" s="49" t="n"/>
      <c r="G21" s="49" t="n">
        <v>44323</v>
      </c>
      <c r="H21" t="n">
        <v>25</v>
      </c>
      <c r="I21" s="75" t="n"/>
      <c r="J21" t="n">
        <v>10</v>
      </c>
      <c r="K21" t="n">
        <v>-40.14</v>
      </c>
      <c r="M21" t="inlineStr">
        <is>
          <t>CCL</t>
        </is>
      </c>
      <c r="N21">
        <f>RTD("tos.rtd",,"last", "CCL")</f>
        <v/>
      </c>
      <c r="O21">
        <f>RTD("tos.rtd",,"ASK",".CCL210507P25")</f>
        <v/>
      </c>
      <c r="P21" s="10">
        <f>IF([TransType]="LS", [OpnPrem]+[ClsPrem],
                                            IF([TransType]="AS", [OpnPrem]+[ClsPrem],
                                               [OpnPrem]-[ClsPrem]))</f>
        <v/>
      </c>
      <c r="Q21" s="51">
        <f>IF([SYM]="","",SUMIFS([NetPrem],[Trade'#],[[Trade'#]],[Leg],"&lt;="&amp;[Leg]))</f>
        <v/>
      </c>
      <c r="R2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1" s="11">
        <f>IF([TransType]="SP",100*[Strike]*[['#Contracts]],
IF([TransType]="LS",[Strike]*[['#Contracts]],
IF([TransType]="BP",100*([Strike]-[Strike2])*[['#Contracts]],
IF([TransType]="BC",100*([Strike2]-[Strike])*[['#Contracts]],
IF([TransType]="NC",100*[Strike]*[['#Contracts]],
IF([TransType]="AS",100*[Strike]*[['#Contracts]],0))))))</f>
        <v/>
      </c>
      <c r="T21" s="11">
        <f>IF([CloseDate]&gt;0,"",[Cap])</f>
        <v/>
      </c>
      <c r="U21" s="11">
        <f>IF([CloseDate]&gt;0,"",
IF([TransType]="BC","",
IF([TransType]="BP",100*[Strike]*[['#Contracts]],
[Cap])))</f>
        <v/>
      </c>
      <c r="V21" s="11">
        <f>IF([SYM]="","",[Cap]*[Days])</f>
        <v/>
      </c>
      <c r="W21" s="11">
        <f>IF([SYM]="","",SUMIFS([CapDays],[Trade'#],[[Trade'#]],[Leg],"&lt;="&amp;[Leg]))</f>
        <v/>
      </c>
      <c r="X21" s="79">
        <f>IF([TotCapDays],365*[TotPrem]/[TotCapDays],"")</f>
        <v/>
      </c>
      <c r="Y21" s="10">
        <f>IF([SYM]="","",
IF([TransType]="LS",[Strike]-[TotPrem]/[['#Contracts]],
IF([['#Contracts]],[Strike]-[TotPrem]/[['#Contracts]]/100,"")))</f>
        <v/>
      </c>
      <c r="Z21" s="11">
        <f>IF([CloseDate]&gt;0,"",
IF([TransType]="LS",['#Contracts],
IF([TransType]="AS",100*[['#Contracts]],
IF([TransType]="SP",100*[['#Contracts]],
IF([TransType]="BP",100*[['#Contracts]],"")))))</f>
        <v/>
      </c>
      <c r="AA21" s="49">
        <f>IF([CloseDate]&gt;0,[CloseDate],
IF([ExpDate]&gt;0,[ExpDate],
TODAY()))</f>
        <v/>
      </c>
      <c r="AB21" s="10">
        <f>IF(PERFORMANCE!D8&gt;0,
IF(PERFORMANCE!D8&lt;[ActDate],"",[NetPrem]),
IF(TODAY()&lt;[ActDate],"",[NetPrem]))</f>
        <v/>
      </c>
      <c r="AC21" s="10">
        <f>IF(PERFORMANCE!D8&gt;0,
IF(PERFORMANCE!D8&lt;[ActDate],"",
IF(PERFORMANCE!D8 - [ActDate]&lt;366,[NetPrem],"")),
IF(TODAY()&lt;[ActDate],"",
IF(TODAY() - [ActDate]&lt;366,[NetPrem],"")))</f>
        <v/>
      </c>
      <c r="AD21" s="10">
        <f>IF(PERFORMANCE!D8&gt;0,
IF(PERFORMANCE!D8&lt;[ActDate],"",
IF(YEAR(PERFORMANCE!D8)=YEAR([ActDate]),[NetPrem],"")),
IF(TODAY()&lt;[ActDate],"",
IF(YEAR(TODAY())=YEAR([ActDate]),[NetPrem],"")))</f>
        <v/>
      </c>
      <c r="AE21" s="10">
        <f>IF(PERFORMANCE!D8&gt;0,
IF(PERFORMANCE!D8&lt;[ActDate],[NetPrem],""),
IF(TODAY()&lt;[ActDate],[NetPrem],""))</f>
        <v/>
      </c>
      <c r="AF21" s="52" t="n"/>
      <c r="AG21">
        <f>IF(Table1[SYM]="","",SUMIFS(Table1[NetPrem],Table1[Trade'#],Table1[[Trade'#]],Table1[Leg],"&lt;="&amp;Table1[Leg]))</f>
        <v/>
      </c>
    </row>
    <row r="22">
      <c r="A22" s="2" t="inlineStr">
        <is>
          <t>Bought 10 CCL May 21 2021 24.5 Put @ 0.09</t>
        </is>
      </c>
      <c r="B22" t="n">
        <v>6</v>
      </c>
      <c r="C22" t="n">
        <v>3</v>
      </c>
      <c r="D22" s="2" t="inlineStr">
        <is>
          <t>SP</t>
        </is>
      </c>
      <c r="E22" s="49" t="n">
        <v>44330</v>
      </c>
      <c r="F22" s="49" t="n">
        <v>44330</v>
      </c>
      <c r="G22" s="49" t="n">
        <v>44337</v>
      </c>
      <c r="H22" t="n">
        <v>24.5</v>
      </c>
      <c r="I22" s="75" t="n"/>
      <c r="J22" t="n">
        <v>10</v>
      </c>
      <c r="K22" t="n">
        <v>-96.64</v>
      </c>
      <c r="M22" t="inlineStr">
        <is>
          <t>CCL</t>
        </is>
      </c>
      <c r="N22">
        <f>RTD("tos.rtd",,"last", "CCL")</f>
        <v/>
      </c>
      <c r="O22">
        <f>RTD("tos.rtd",,"ASK",".CCL210521P24.5")</f>
        <v/>
      </c>
      <c r="P22" s="10">
        <f>IF([TransType]="LS", [OpnPrem]+[ClsPrem],
                                            IF([TransType]="AS", [OpnPrem]+[ClsPrem],
                                               [OpnPrem]-[ClsPrem]))</f>
        <v/>
      </c>
      <c r="Q22" s="51">
        <f>IF([SYM]="","",SUMIFS([NetPrem],[Trade'#],[[Trade'#]],[Leg],"&lt;="&amp;[Leg]))</f>
        <v/>
      </c>
      <c r="R2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2" s="11">
        <f>IF([TransType]="SP",100*[Strike]*[['#Contracts]],
IF([TransType]="LS",[Strike]*[['#Contracts]],
IF([TransType]="BP",100*([Strike]-[Strike2])*[['#Contracts]],
IF([TransType]="BC",100*([Strike2]-[Strike])*[['#Contracts]],
IF([TransType]="NC",100*[Strike]*[['#Contracts]],
IF([TransType]="AS",100*[Strike]*[['#Contracts]],0))))))</f>
        <v/>
      </c>
      <c r="T22" s="11">
        <f>IF([CloseDate]&gt;0,"",[Cap])</f>
        <v/>
      </c>
      <c r="U22" s="11">
        <f>IF([CloseDate]&gt;0,"",
IF([TransType]="BC","",
IF([TransType]="BP",100*[Strike]*[['#Contracts]],
[Cap])))</f>
        <v/>
      </c>
      <c r="V22" s="11">
        <f>IF([SYM]="","",[Cap]*[Days])</f>
        <v/>
      </c>
      <c r="W22" s="11">
        <f>IF([SYM]="","",SUMIFS([CapDays],[Trade'#],[[Trade'#]],[Leg],"&lt;="&amp;[Leg]))</f>
        <v/>
      </c>
      <c r="X22" s="79">
        <f>IF([TotCapDays],365*[TotPrem]/[TotCapDays],"")</f>
        <v/>
      </c>
      <c r="Y22" s="10">
        <f>IF([SYM]="","",
IF([TransType]="LS",[Strike]-[TotPrem]/[['#Contracts]],
IF([['#Contracts]],[Strike]-[TotPrem]/[['#Contracts]]/100,"")))</f>
        <v/>
      </c>
      <c r="Z22" s="11">
        <f>IF([CloseDate]&gt;0,"",
IF([TransType]="LS",['#Contracts],
IF([TransType]="AS",100*[['#Contracts]],
IF([TransType]="SP",100*[['#Contracts]],
IF([TransType]="BP",100*[['#Contracts]],"")))))</f>
        <v/>
      </c>
      <c r="AA22" s="49">
        <f>IF([CloseDate]&gt;0,[CloseDate],
IF([ExpDate]&gt;0,[ExpDate],
TODAY()))</f>
        <v/>
      </c>
      <c r="AB22" s="10">
        <f>IF(PERFORMANCE!D8&gt;0,
IF(PERFORMANCE!D8&lt;[ActDate],"",[NetPrem]),
IF(TODAY()&lt;[ActDate],"",[NetPrem]))</f>
        <v/>
      </c>
      <c r="AC22" s="10">
        <f>IF(PERFORMANCE!D8&gt;0,
IF(PERFORMANCE!D8&lt;[ActDate],"",
IF(PERFORMANCE!D8 - [ActDate]&lt;366,[NetPrem],"")),
IF(TODAY()&lt;[ActDate],"",
IF(TODAY() - [ActDate]&lt;366,[NetPrem],"")))</f>
        <v/>
      </c>
      <c r="AD22" s="10">
        <f>IF(PERFORMANCE!D8&gt;0,
IF(PERFORMANCE!D8&lt;[ActDate],"",
IF(YEAR(PERFORMANCE!D8)=YEAR([ActDate]),[NetPrem],"")),
IF(TODAY()&lt;[ActDate],"",
IF(YEAR(TODAY())=YEAR([ActDate]),[NetPrem],"")))</f>
        <v/>
      </c>
      <c r="AE22" s="10">
        <f>IF(PERFORMANCE!D8&gt;0,
IF(PERFORMANCE!D8&lt;[ActDate],[NetPrem],""),
IF(TODAY()&lt;[ActDate],[NetPrem],""))</f>
        <v/>
      </c>
      <c r="AF22" s="52" t="n"/>
      <c r="AG22">
        <f>IF(Table1[SYM]="","",SUMIFS(Table1[NetPrem],Table1[Trade'#],Table1[[Trade'#]],Table1[Leg],"&lt;="&amp;Table1[Leg]))</f>
        <v/>
      </c>
    </row>
    <row r="23">
      <c r="A23" s="2" t="inlineStr">
        <is>
          <t>Sold 3 BIG May 21 2021 62.5 Put @ 1.29</t>
        </is>
      </c>
      <c r="B23" t="n">
        <v>7</v>
      </c>
      <c r="C23" t="n">
        <v>1</v>
      </c>
      <c r="D23" s="2" t="inlineStr">
        <is>
          <t>SP</t>
        </is>
      </c>
      <c r="E23" s="49" t="n">
        <v>44312</v>
      </c>
      <c r="F23" s="49" t="n">
        <v>44322</v>
      </c>
      <c r="G23" s="49" t="n">
        <v>44337</v>
      </c>
      <c r="H23" t="n">
        <v>62.5</v>
      </c>
      <c r="I23" s="75" t="n"/>
      <c r="J23" t="n">
        <v>3</v>
      </c>
      <c r="K23" t="n">
        <v>385</v>
      </c>
      <c r="M23" t="inlineStr">
        <is>
          <t>BIG</t>
        </is>
      </c>
      <c r="N23">
        <f>RTD("tos.rtd",,"last", "BIG")</f>
        <v/>
      </c>
      <c r="O23">
        <f>RTD("tos.rtd",,"ASK",".BIG210521P62.5")</f>
        <v/>
      </c>
      <c r="P23" s="10">
        <f>IF([TransType]="LS", [OpnPrem]+[ClsPrem],
                                            IF([TransType]="AS", [OpnPrem]+[ClsPrem],
                                               [OpnPrem]-[ClsPrem]))</f>
        <v/>
      </c>
      <c r="Q23" s="51">
        <f>IF([SYM]="","",SUMIFS([NetPrem],[Trade'#],[[Trade'#]],[Leg],"&lt;="&amp;[Leg]))</f>
        <v/>
      </c>
      <c r="R2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3" s="11">
        <f>IF([TransType]="SP",100*[Strike]*[['#Contracts]],
IF([TransType]="LS",[Strike]*[['#Contracts]],
IF([TransType]="BP",100*([Strike]-[Strike2])*[['#Contracts]],
IF([TransType]="BC",100*([Strike2]-[Strike])*[['#Contracts]],
IF([TransType]="NC",100*[Strike]*[['#Contracts]],
IF([TransType]="AS",100*[Strike]*[['#Contracts]],0))))))</f>
        <v/>
      </c>
      <c r="T23" s="11">
        <f>IF([CloseDate]&gt;0,"",[Cap])</f>
        <v/>
      </c>
      <c r="U23" s="11">
        <f>IF([CloseDate]&gt;0,"",
IF([TransType]="BC","",
IF([TransType]="BP",100*[Strike]*[['#Contracts]],
[Cap])))</f>
        <v/>
      </c>
      <c r="V23" s="11">
        <f>IF([SYM]="","",[Cap]*[Days])</f>
        <v/>
      </c>
      <c r="W23" s="11">
        <f>IF([SYM]="","",SUMIFS([CapDays],[Trade'#],[[Trade'#]],[Leg],"&lt;="&amp;[Leg]))</f>
        <v/>
      </c>
      <c r="X23" s="79">
        <f>IF([TotCapDays],365*[TotPrem]/[TotCapDays],"")</f>
        <v/>
      </c>
      <c r="Y23" s="10">
        <f>IF([SYM]="","",
IF([TransType]="LS",[Strike]-[TotPrem]/[['#Contracts]],
IF([['#Contracts]],[Strike]-[TotPrem]/[['#Contracts]]/100,"")))</f>
        <v/>
      </c>
      <c r="Z23" s="11">
        <f>IF([CloseDate]&gt;0,"",
IF([TransType]="LS",['#Contracts],
IF([TransType]="AS",100*[['#Contracts]],
IF([TransType]="SP",100*[['#Contracts]],
IF([TransType]="BP",100*[['#Contracts]],"")))))</f>
        <v/>
      </c>
      <c r="AA23" s="49">
        <f>IF([CloseDate]&gt;0,[CloseDate],
IF([ExpDate]&gt;0,[ExpDate],
TODAY()))</f>
        <v/>
      </c>
      <c r="AB23" s="10">
        <f>IF(PERFORMANCE!D8&gt;0,
IF(PERFORMANCE!D8&lt;[ActDate],"",[NetPrem]),
IF(TODAY()&lt;[ActDate],"",[NetPrem]))</f>
        <v/>
      </c>
      <c r="AC23" s="10">
        <f>IF(PERFORMANCE!D8&gt;0,
IF(PERFORMANCE!D8&lt;[ActDate],"",
IF(PERFORMANCE!D8 - [ActDate]&lt;366,[NetPrem],"")),
IF(TODAY()&lt;[ActDate],"",
IF(TODAY() - [ActDate]&lt;366,[NetPrem],"")))</f>
        <v/>
      </c>
      <c r="AD23" s="10">
        <f>IF(PERFORMANCE!D8&gt;0,
IF(PERFORMANCE!D8&lt;[ActDate],"",
IF(YEAR(PERFORMANCE!D8)=YEAR([ActDate]),[NetPrem],"")),
IF(TODAY()&lt;[ActDate],"",
IF(YEAR(TODAY())=YEAR([ActDate]),[NetPrem],"")))</f>
        <v/>
      </c>
      <c r="AE23" s="10">
        <f>IF(PERFORMANCE!D8&gt;0,
IF(PERFORMANCE!D8&lt;[ActDate],[NetPrem],""),
IF(TODAY()&lt;[ActDate],[NetPrem],""))</f>
        <v/>
      </c>
      <c r="AF23" s="52" t="n"/>
      <c r="AG23">
        <f>IF(Table1[SYM]="","",SUMIFS(Table1[NetPrem],Table1[Trade'#],Table1[[Trade'#]],Table1[Leg],"&lt;="&amp;Table1[Leg]))</f>
        <v/>
      </c>
    </row>
    <row r="24">
      <c r="A24" s="2" t="inlineStr">
        <is>
          <t>Bought 3 BIG May 21 2021 62.5 Put @ 0.32</t>
        </is>
      </c>
      <c r="B24" t="n">
        <v>7</v>
      </c>
      <c r="C24" t="n">
        <v>2</v>
      </c>
      <c r="D24" s="2" t="inlineStr">
        <is>
          <t>SP</t>
        </is>
      </c>
      <c r="E24" s="49" t="n">
        <v>44322</v>
      </c>
      <c r="F24" s="49" t="n">
        <v>44322</v>
      </c>
      <c r="G24" s="49" t="n">
        <v>44337</v>
      </c>
      <c r="H24" t="n">
        <v>62.5</v>
      </c>
      <c r="I24" s="75" t="n"/>
      <c r="J24" t="n">
        <v>3</v>
      </c>
      <c r="K24" t="n">
        <v>-97.98999999999999</v>
      </c>
      <c r="M24" t="inlineStr">
        <is>
          <t>BIG</t>
        </is>
      </c>
      <c r="N24">
        <f>RTD("tos.rtd",,"last", "BIG")</f>
        <v/>
      </c>
      <c r="O24">
        <f>RTD("tos.rtd",,"ASK",".BIG210521P62.5")</f>
        <v/>
      </c>
      <c r="P24" s="10">
        <f>IF([TransType]="LS", [OpnPrem]+[ClsPrem],
                                            IF([TransType]="AS", [OpnPrem]+[ClsPrem],
                                               [OpnPrem]-[ClsPrem]))</f>
        <v/>
      </c>
      <c r="Q24" s="51">
        <f>IF([SYM]="","",SUMIFS([NetPrem],[Trade'#],[[Trade'#]],[Leg],"&lt;="&amp;[Leg]))</f>
        <v/>
      </c>
      <c r="R2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4" s="11">
        <f>IF([TransType]="SP",100*[Strike]*[['#Contracts]],
IF([TransType]="LS",[Strike]*[['#Contracts]],
IF([TransType]="BP",100*([Strike]-[Strike2])*[['#Contracts]],
IF([TransType]="BC",100*([Strike2]-[Strike])*[['#Contracts]],
IF([TransType]="NC",100*[Strike]*[['#Contracts]],
IF([TransType]="AS",100*[Strike]*[['#Contracts]],0))))))</f>
        <v/>
      </c>
      <c r="T24" s="11">
        <f>IF([CloseDate]&gt;0,"",[Cap])</f>
        <v/>
      </c>
      <c r="U24" s="11">
        <f>IF([CloseDate]&gt;0,"",
IF([TransType]="BC","",
IF([TransType]="BP",100*[Strike]*[['#Contracts]],
[Cap])))</f>
        <v/>
      </c>
      <c r="V24" s="11">
        <f>IF([SYM]="","",[Cap]*[Days])</f>
        <v/>
      </c>
      <c r="W24" s="11">
        <f>IF([SYM]="","",SUMIFS([CapDays],[Trade'#],[[Trade'#]],[Leg],"&lt;="&amp;[Leg]))</f>
        <v/>
      </c>
      <c r="X24" s="79">
        <f>IF([TotCapDays],365*[TotPrem]/[TotCapDays],"")</f>
        <v/>
      </c>
      <c r="Y24" s="10">
        <f>IF([SYM]="","",
IF([TransType]="LS",[Strike]-[TotPrem]/[['#Contracts]],
IF([['#Contracts]],[Strike]-[TotPrem]/[['#Contracts]]/100,"")))</f>
        <v/>
      </c>
      <c r="Z24" s="11">
        <f>IF([CloseDate]&gt;0,"",
IF([TransType]="LS",['#Contracts],
IF([TransType]="AS",100*[['#Contracts]],
IF([TransType]="SP",100*[['#Contracts]],
IF([TransType]="BP",100*[['#Contracts]],"")))))</f>
        <v/>
      </c>
      <c r="AA24" s="49">
        <f>IF([CloseDate]&gt;0,[CloseDate],
IF([ExpDate]&gt;0,[ExpDate],
TODAY()))</f>
        <v/>
      </c>
      <c r="AB24" s="10">
        <f>IF(PERFORMANCE!D8&gt;0,
IF(PERFORMANCE!D8&lt;[ActDate],"",[NetPrem]),
IF(TODAY()&lt;[ActDate],"",[NetPrem]))</f>
        <v/>
      </c>
      <c r="AC24" s="10">
        <f>IF(PERFORMANCE!D8&gt;0,
IF(PERFORMANCE!D8&lt;[ActDate],"",
IF(PERFORMANCE!D8 - [ActDate]&lt;366,[NetPrem],"")),
IF(TODAY()&lt;[ActDate],"",
IF(TODAY() - [ActDate]&lt;366,[NetPrem],"")))</f>
        <v/>
      </c>
      <c r="AD24" s="10">
        <f>IF(PERFORMANCE!D8&gt;0,
IF(PERFORMANCE!D8&lt;[ActDate],"",
IF(YEAR(PERFORMANCE!D8)=YEAR([ActDate]),[NetPrem],"")),
IF(TODAY()&lt;[ActDate],"",
IF(YEAR(TODAY())=YEAR([ActDate]),[NetPrem],"")))</f>
        <v/>
      </c>
      <c r="AE24" s="10">
        <f>IF(PERFORMANCE!D8&gt;0,
IF(PERFORMANCE!D8&lt;[ActDate],[NetPrem],""),
IF(TODAY()&lt;[ActDate],[NetPrem],""))</f>
        <v/>
      </c>
      <c r="AF24" s="52" t="n"/>
      <c r="AG24">
        <f>IF(Table1[SYM]="","",SUMIFS(Table1[NetPrem],Table1[Trade'#],Table1[[Trade'#]],Table1[Leg],"&lt;="&amp;Table1[Leg]))</f>
        <v/>
      </c>
    </row>
    <row r="25">
      <c r="A25" s="2" t="inlineStr">
        <is>
          <t>Sold 3 BIG Jun 18 2021 62.5 Put @ 2.85</t>
        </is>
      </c>
      <c r="B25" t="n">
        <v>7</v>
      </c>
      <c r="C25" t="n">
        <v>2</v>
      </c>
      <c r="D25" s="2" t="inlineStr">
        <is>
          <t>SP</t>
        </is>
      </c>
      <c r="E25" s="49" t="n">
        <v>44348</v>
      </c>
      <c r="F25" s="49" t="n">
        <v>44356</v>
      </c>
      <c r="G25" s="49" t="n">
        <v>44365</v>
      </c>
      <c r="H25" t="n">
        <v>62.5</v>
      </c>
      <c r="I25" s="75" t="n"/>
      <c r="J25" t="n">
        <v>3</v>
      </c>
      <c r="K25" t="n">
        <v>853</v>
      </c>
      <c r="M25" t="inlineStr">
        <is>
          <t>BIG</t>
        </is>
      </c>
      <c r="N25">
        <f>RTD("tos.rtd",,"last", "BIG")</f>
        <v/>
      </c>
      <c r="O25">
        <f>RTD("tos.rtd",,"ASK",".BIG210618P62.5")</f>
        <v/>
      </c>
      <c r="P25" s="10">
        <f>IF([TransType]="LS", [OpnPrem]+[ClsPrem],
                                            IF([TransType]="AS", [OpnPrem]+[ClsPrem],
                                               [OpnPrem]-[ClsPrem]))</f>
        <v/>
      </c>
      <c r="Q25" s="51">
        <f>IF([SYM]="","",SUMIFS([NetPrem],[Trade'#],[[Trade'#]],[Leg],"&lt;="&amp;[Leg]))</f>
        <v/>
      </c>
      <c r="R2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5" s="11">
        <f>IF([TransType]="SP",100*[Strike]*[['#Contracts]],
IF([TransType]="LS",[Strike]*[['#Contracts]],
IF([TransType]="BP",100*([Strike]-[Strike2])*[['#Contracts]],
IF([TransType]="BC",100*([Strike2]-[Strike])*[['#Contracts]],
IF([TransType]="NC",100*[Strike]*[['#Contracts]],
IF([TransType]="AS",100*[Strike]*[['#Contracts]],0))))))</f>
        <v/>
      </c>
      <c r="T25" s="11">
        <f>IF([CloseDate]&gt;0,"",[Cap])</f>
        <v/>
      </c>
      <c r="U25" s="11">
        <f>IF([CloseDate]&gt;0,"",
IF([TransType]="BC","",
IF([TransType]="BP",100*[Strike]*[['#Contracts]],
[Cap])))</f>
        <v/>
      </c>
      <c r="V25" s="11">
        <f>IF([SYM]="","",[Cap]*[Days])</f>
        <v/>
      </c>
      <c r="W25" s="11">
        <f>IF([SYM]="","",SUMIFS([CapDays],[Trade'#],[[Trade'#]],[Leg],"&lt;="&amp;[Leg]))</f>
        <v/>
      </c>
      <c r="X25" s="79">
        <f>IF([TotCapDays],365*[TotPrem]/[TotCapDays],"")</f>
        <v/>
      </c>
      <c r="Y25" s="10">
        <f>IF([SYM]="","",
IF([TransType]="LS",[Strike]-[TotPrem]/[['#Contracts]],
IF([['#Contracts]],[Strike]-[TotPrem]/[['#Contracts]]/100,"")))</f>
        <v/>
      </c>
      <c r="Z25" s="11">
        <f>IF([CloseDate]&gt;0,"",
IF([TransType]="LS",['#Contracts],
IF([TransType]="AS",100*[['#Contracts]],
IF([TransType]="SP",100*[['#Contracts]],
IF([TransType]="BP",100*[['#Contracts]],"")))))</f>
        <v/>
      </c>
      <c r="AA25" s="49">
        <f>IF([CloseDate]&gt;0,[CloseDate],
IF([ExpDate]&gt;0,[ExpDate],
TODAY()))</f>
        <v/>
      </c>
      <c r="AB25" s="10">
        <f>IF(PERFORMANCE!D8&gt;0,
IF(PERFORMANCE!D8&lt;[ActDate],"",[NetPrem]),
IF(TODAY()&lt;[ActDate],"",[NetPrem]))</f>
        <v/>
      </c>
      <c r="AC25" s="10">
        <f>IF(PERFORMANCE!D8&gt;0,
IF(PERFORMANCE!D8&lt;[ActDate],"",
IF(PERFORMANCE!D8 - [ActDate]&lt;366,[NetPrem],"")),
IF(TODAY()&lt;[ActDate],"",
IF(TODAY() - [ActDate]&lt;366,[NetPrem],"")))</f>
        <v/>
      </c>
      <c r="AD25" s="10">
        <f>IF(PERFORMANCE!D8&gt;0,
IF(PERFORMANCE!D8&lt;[ActDate],"",
IF(YEAR(PERFORMANCE!D8)=YEAR([ActDate]),[NetPrem],"")),
IF(TODAY()&lt;[ActDate],"",
IF(YEAR(TODAY())=YEAR([ActDate]),[NetPrem],"")))</f>
        <v/>
      </c>
      <c r="AE25" s="10">
        <f>IF(PERFORMANCE!D8&gt;0,
IF(PERFORMANCE!D8&lt;[ActDate],[NetPrem],""),
IF(TODAY()&lt;[ActDate],[NetPrem],""))</f>
        <v/>
      </c>
      <c r="AF25" s="52" t="n"/>
      <c r="AG25">
        <f>IF(Table1[SYM]="","",SUMIFS(Table1[NetPrem],Table1[Trade'#],Table1[[Trade'#]],Table1[Leg],"&lt;="&amp;Table1[Leg]))</f>
        <v/>
      </c>
    </row>
    <row r="26">
      <c r="A26" s="2" t="inlineStr">
        <is>
          <t>Sold 2 BIG Jun 18 2021 62.5 Put @ 1.8</t>
        </is>
      </c>
      <c r="B26" t="n">
        <v>7</v>
      </c>
      <c r="C26" t="n">
        <v>3</v>
      </c>
      <c r="D26" s="2" t="inlineStr">
        <is>
          <t>SP</t>
        </is>
      </c>
      <c r="E26" s="49" t="n">
        <v>44350</v>
      </c>
      <c r="F26" s="49" t="n">
        <v>44356</v>
      </c>
      <c r="G26" s="49" t="n">
        <v>44365</v>
      </c>
      <c r="H26" t="n">
        <v>62.5</v>
      </c>
      <c r="I26" s="75" t="n"/>
      <c r="J26" t="n">
        <v>2</v>
      </c>
      <c r="K26" t="n">
        <v>358.67</v>
      </c>
      <c r="M26" t="inlineStr">
        <is>
          <t>BIG</t>
        </is>
      </c>
      <c r="N26">
        <f>RTD("tos.rtd",,"last", "BIG")</f>
        <v/>
      </c>
      <c r="O26">
        <f>RTD("tos.rtd",,"ASK",".BIG210618P62.5")</f>
        <v/>
      </c>
      <c r="P26" s="10">
        <f>IF([TransType]="LS", [OpnPrem]+[ClsPrem],
                                            IF([TransType]="AS", [OpnPrem]+[ClsPrem],
                                               [OpnPrem]-[ClsPrem]))</f>
        <v/>
      </c>
      <c r="Q26" s="51">
        <f>IF([SYM]="","",SUMIFS([NetPrem],[Trade'#],[[Trade'#]],[Leg],"&lt;="&amp;[Leg]))</f>
        <v/>
      </c>
      <c r="R2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6" s="11">
        <f>IF([TransType]="SP",100*[Strike]*[['#Contracts]],
IF([TransType]="LS",[Strike]*[['#Contracts]],
IF([TransType]="BP",100*([Strike]-[Strike2])*[['#Contracts]],
IF([TransType]="BC",100*([Strike2]-[Strike])*[['#Contracts]],
IF([TransType]="NC",100*[Strike]*[['#Contracts]],
IF([TransType]="AS",100*[Strike]*[['#Contracts]],0))))))</f>
        <v/>
      </c>
      <c r="T26" s="11">
        <f>IF([CloseDate]&gt;0,"",[Cap])</f>
        <v/>
      </c>
      <c r="U26" s="11">
        <f>IF([CloseDate]&gt;0,"",
IF([TransType]="BC","",
IF([TransType]="BP",100*[Strike]*[['#Contracts]],
[Cap])))</f>
        <v/>
      </c>
      <c r="V26" s="11">
        <f>IF([SYM]="","",[Cap]*[Days])</f>
        <v/>
      </c>
      <c r="W26" s="11">
        <f>IF([SYM]="","",SUMIFS([CapDays],[Trade'#],[[Trade'#]],[Leg],"&lt;="&amp;[Leg]))</f>
        <v/>
      </c>
      <c r="X26" s="79">
        <f>IF([TotCapDays],365*[TotPrem]/[TotCapDays],"")</f>
        <v/>
      </c>
      <c r="Y26" s="10">
        <f>IF([SYM]="","",
IF([TransType]="LS",[Strike]-[TotPrem]/[['#Contracts]],
IF([['#Contracts]],[Strike]-[TotPrem]/[['#Contracts]]/100,"")))</f>
        <v/>
      </c>
      <c r="Z26" s="11">
        <f>IF([CloseDate]&gt;0,"",
IF([TransType]="LS",['#Contracts],
IF([TransType]="AS",100*[['#Contracts]],
IF([TransType]="SP",100*[['#Contracts]],
IF([TransType]="BP",100*[['#Contracts]],"")))))</f>
        <v/>
      </c>
      <c r="AA26" s="49">
        <f>IF([CloseDate]&gt;0,[CloseDate],
IF([ExpDate]&gt;0,[ExpDate],
TODAY()))</f>
        <v/>
      </c>
      <c r="AB26" s="10">
        <f>IF(PERFORMANCE!D8&gt;0,
IF(PERFORMANCE!D8&lt;[ActDate],"",[NetPrem]),
IF(TODAY()&lt;[ActDate],"",[NetPrem]))</f>
        <v/>
      </c>
      <c r="AC26" s="10">
        <f>IF(PERFORMANCE!D8&gt;0,
IF(PERFORMANCE!D8&lt;[ActDate],"",
IF(PERFORMANCE!D8 - [ActDate]&lt;366,[NetPrem],"")),
IF(TODAY()&lt;[ActDate],"",
IF(TODAY() - [ActDate]&lt;366,[NetPrem],"")))</f>
        <v/>
      </c>
      <c r="AD26" s="10">
        <f>IF(PERFORMANCE!D8&gt;0,
IF(PERFORMANCE!D8&lt;[ActDate],"",
IF(YEAR(PERFORMANCE!D8)=YEAR([ActDate]),[NetPrem],"")),
IF(TODAY()&lt;[ActDate],"",
IF(YEAR(TODAY())=YEAR([ActDate]),[NetPrem],"")))</f>
        <v/>
      </c>
      <c r="AE26" s="10">
        <f>IF(PERFORMANCE!D8&gt;0,
IF(PERFORMANCE!D8&lt;[ActDate],[NetPrem],""),
IF(TODAY()&lt;[ActDate],[NetPrem],""))</f>
        <v/>
      </c>
      <c r="AF26" s="52" t="n"/>
      <c r="AG26">
        <f>IF(Table1[SYM]="","",SUMIFS(Table1[NetPrem],Table1[Trade'#],Table1[[Trade'#]],Table1[Leg],"&lt;="&amp;Table1[Leg]))</f>
        <v/>
      </c>
    </row>
    <row r="27">
      <c r="A27" s="2" t="inlineStr">
        <is>
          <t>Sold 2 BIG Jun 18 2021 62.5 Put @ 1.05</t>
        </is>
      </c>
      <c r="B27" t="n">
        <v>7</v>
      </c>
      <c r="C27" t="n">
        <v>4</v>
      </c>
      <c r="D27" s="2" t="inlineStr">
        <is>
          <t>SP</t>
        </is>
      </c>
      <c r="E27" s="49" t="n">
        <v>44354</v>
      </c>
      <c r="F27" s="49" t="n">
        <v>44356</v>
      </c>
      <c r="G27" s="49" t="n">
        <v>44365</v>
      </c>
      <c r="H27" t="n">
        <v>62.5</v>
      </c>
      <c r="I27" s="75" t="n"/>
      <c r="J27" t="n">
        <v>2</v>
      </c>
      <c r="K27" t="n">
        <v>208.67</v>
      </c>
      <c r="M27" t="inlineStr">
        <is>
          <t>BIG</t>
        </is>
      </c>
      <c r="N27">
        <f>RTD("tos.rtd",,"last", "BIG")</f>
        <v/>
      </c>
      <c r="O27">
        <f>RTD("tos.rtd",,"ASK",".BIG210618P62.5")</f>
        <v/>
      </c>
      <c r="P27" s="10">
        <f>IF([TransType]="LS", [OpnPrem]+[ClsPrem],
                                            IF([TransType]="AS", [OpnPrem]+[ClsPrem],
                                               [OpnPrem]-[ClsPrem]))</f>
        <v/>
      </c>
      <c r="Q27" s="51">
        <f>IF([SYM]="","",SUMIFS([NetPrem],[Trade'#],[[Trade'#]],[Leg],"&lt;="&amp;[Leg]))</f>
        <v/>
      </c>
      <c r="R2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7" s="11">
        <f>IF([TransType]="SP",100*[Strike]*[['#Contracts]],
IF([TransType]="LS",[Strike]*[['#Contracts]],
IF([TransType]="BP",100*([Strike]-[Strike2])*[['#Contracts]],
IF([TransType]="BC",100*([Strike2]-[Strike])*[['#Contracts]],
IF([TransType]="NC",100*[Strike]*[['#Contracts]],
IF([TransType]="AS",100*[Strike]*[['#Contracts]],0))))))</f>
        <v/>
      </c>
      <c r="T27" s="11">
        <f>IF([CloseDate]&gt;0,"",[Cap])</f>
        <v/>
      </c>
      <c r="U27" s="11">
        <f>IF([CloseDate]&gt;0,"",
IF([TransType]="BC","",
IF([TransType]="BP",100*[Strike]*[['#Contracts]],
[Cap])))</f>
        <v/>
      </c>
      <c r="V27" s="11">
        <f>IF([SYM]="","",[Cap]*[Days])</f>
        <v/>
      </c>
      <c r="W27" s="11">
        <f>IF([SYM]="","",SUMIFS([CapDays],[Trade'#],[[Trade'#]],[Leg],"&lt;="&amp;[Leg]))</f>
        <v/>
      </c>
      <c r="X27" s="79">
        <f>IF([TotCapDays],365*[TotPrem]/[TotCapDays],"")</f>
        <v/>
      </c>
      <c r="Y27" s="10">
        <f>IF([SYM]="","",
IF([TransType]="LS",[Strike]-[TotPrem]/[['#Contracts]],
IF([['#Contracts]],[Strike]-[TotPrem]/[['#Contracts]]/100,"")))</f>
        <v/>
      </c>
      <c r="Z27" s="11">
        <f>IF([CloseDate]&gt;0,"",
IF([TransType]="LS",['#Contracts],
IF([TransType]="AS",100*[['#Contracts]],
IF([TransType]="SP",100*[['#Contracts]],
IF([TransType]="BP",100*[['#Contracts]],"")))))</f>
        <v/>
      </c>
      <c r="AA27" s="49">
        <f>IF([CloseDate]&gt;0,[CloseDate],
IF([ExpDate]&gt;0,[ExpDate],
TODAY()))</f>
        <v/>
      </c>
      <c r="AB27" s="10">
        <f>IF(PERFORMANCE!D8&gt;0,
IF(PERFORMANCE!D8&lt;[ActDate],"",[NetPrem]),
IF(TODAY()&lt;[ActDate],"",[NetPrem]))</f>
        <v/>
      </c>
      <c r="AC27" s="10">
        <f>IF(PERFORMANCE!D8&gt;0,
IF(PERFORMANCE!D8&lt;[ActDate],"",
IF(PERFORMANCE!D8 - [ActDate]&lt;366,[NetPrem],"")),
IF(TODAY()&lt;[ActDate],"",
IF(TODAY() - [ActDate]&lt;366,[NetPrem],"")))</f>
        <v/>
      </c>
      <c r="AD27" s="10">
        <f>IF(PERFORMANCE!D8&gt;0,
IF(PERFORMANCE!D8&lt;[ActDate],"",
IF(YEAR(PERFORMANCE!D8)=YEAR([ActDate]),[NetPrem],"")),
IF(TODAY()&lt;[ActDate],"",
IF(YEAR(TODAY())=YEAR([ActDate]),[NetPrem],"")))</f>
        <v/>
      </c>
      <c r="AE27" s="10">
        <f>IF(PERFORMANCE!D8&gt;0,
IF(PERFORMANCE!D8&lt;[ActDate],[NetPrem],""),
IF(TODAY()&lt;[ActDate],[NetPrem],""))</f>
        <v/>
      </c>
      <c r="AF27" s="52" t="n"/>
      <c r="AG27">
        <f>IF(Table1[SYM]="","",SUMIFS(Table1[NetPrem],Table1[Trade'#],Table1[[Trade'#]],Table1[Leg],"&lt;="&amp;Table1[Leg]))</f>
        <v/>
      </c>
    </row>
    <row r="28">
      <c r="A28" s="2" t="inlineStr">
        <is>
          <t>Bought 7 BIG Jun 18 2021 62.5 Put @ 0.2</t>
        </is>
      </c>
      <c r="B28" t="n">
        <v>7</v>
      </c>
      <c r="C28" t="n">
        <v>5</v>
      </c>
      <c r="D28" s="2" t="inlineStr">
        <is>
          <t>SP</t>
        </is>
      </c>
      <c r="E28" s="49" t="n">
        <v>44356</v>
      </c>
      <c r="F28" s="49" t="n">
        <v>44356</v>
      </c>
      <c r="G28" s="49" t="n">
        <v>44365</v>
      </c>
      <c r="H28" t="n">
        <v>62.5</v>
      </c>
      <c r="I28" s="75" t="n"/>
      <c r="J28" t="n">
        <v>7</v>
      </c>
      <c r="K28" t="n">
        <v>-144.65</v>
      </c>
      <c r="M28" t="inlineStr">
        <is>
          <t>BIG</t>
        </is>
      </c>
      <c r="N28">
        <f>RTD("tos.rtd",,"last", "BIG")</f>
        <v/>
      </c>
      <c r="O28">
        <f>RTD("tos.rtd",,"ASK",".BIG210618P62.5")</f>
        <v/>
      </c>
      <c r="P28" s="10">
        <f>IF([TransType]="LS", [OpnPrem]+[ClsPrem],
                                            IF([TransType]="AS", [OpnPrem]+[ClsPrem],
                                               [OpnPrem]-[ClsPrem]))</f>
        <v/>
      </c>
      <c r="Q28" s="51">
        <f>IF([SYM]="","",SUMIFS([NetPrem],[Trade'#],[[Trade'#]],[Leg],"&lt;="&amp;[Leg]))</f>
        <v/>
      </c>
      <c r="R2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8" s="11">
        <f>IF([TransType]="SP",100*[Strike]*[['#Contracts]],
IF([TransType]="LS",[Strike]*[['#Contracts]],
IF([TransType]="BP",100*([Strike]-[Strike2])*[['#Contracts]],
IF([TransType]="BC",100*([Strike2]-[Strike])*[['#Contracts]],
IF([TransType]="NC",100*[Strike]*[['#Contracts]],
IF([TransType]="AS",100*[Strike]*[['#Contracts]],0))))))</f>
        <v/>
      </c>
      <c r="T28" s="11">
        <f>IF([CloseDate]&gt;0,"",[Cap])</f>
        <v/>
      </c>
      <c r="U28" s="11">
        <f>IF([CloseDate]&gt;0,"",
IF([TransType]="BC","",
IF([TransType]="BP",100*[Strike]*[['#Contracts]],
[Cap])))</f>
        <v/>
      </c>
      <c r="V28" s="11">
        <f>IF([SYM]="","",[Cap]*[Days])</f>
        <v/>
      </c>
      <c r="W28" s="11">
        <f>IF([SYM]="","",SUMIFS([CapDays],[Trade'#],[[Trade'#]],[Leg],"&lt;="&amp;[Leg]))</f>
        <v/>
      </c>
      <c r="X28" s="79">
        <f>IF([TotCapDays],365*[TotPrem]/[TotCapDays],"")</f>
        <v/>
      </c>
      <c r="Y28" s="10">
        <f>IF([SYM]="","",
IF([TransType]="LS",[Strike]-[TotPrem]/[['#Contracts]],
IF([['#Contracts]],[Strike]-[TotPrem]/[['#Contracts]]/100,"")))</f>
        <v/>
      </c>
      <c r="Z28" s="11">
        <f>IF([CloseDate]&gt;0,"",
IF([TransType]="LS",['#Contracts],
IF([TransType]="AS",100*[['#Contracts]],
IF([TransType]="SP",100*[['#Contracts]],
IF([TransType]="BP",100*[['#Contracts]],"")))))</f>
        <v/>
      </c>
      <c r="AA28" s="49">
        <f>IF([CloseDate]&gt;0,[CloseDate],
IF([ExpDate]&gt;0,[ExpDate],
TODAY()))</f>
        <v/>
      </c>
      <c r="AB28" s="10">
        <f>IF(PERFORMANCE!D8&gt;0,
IF(PERFORMANCE!D8&lt;[ActDate],"",[NetPrem]),
IF(TODAY()&lt;[ActDate],"",[NetPrem]))</f>
        <v/>
      </c>
      <c r="AC28" s="10">
        <f>IF(PERFORMANCE!D8&gt;0,
IF(PERFORMANCE!D8&lt;[ActDate],"",
IF(PERFORMANCE!D8 - [ActDate]&lt;366,[NetPrem],"")),
IF(TODAY()&lt;[ActDate],"",
IF(TODAY() - [ActDate]&lt;366,[NetPrem],"")))</f>
        <v/>
      </c>
      <c r="AD28" s="10">
        <f>IF(PERFORMANCE!D8&gt;0,
IF(PERFORMANCE!D8&lt;[ActDate],"",
IF(YEAR(PERFORMANCE!D8)=YEAR([ActDate]),[NetPrem],"")),
IF(TODAY()&lt;[ActDate],"",
IF(YEAR(TODAY())=YEAR([ActDate]),[NetPrem],"")))</f>
        <v/>
      </c>
      <c r="AE28" s="10">
        <f>IF(PERFORMANCE!D8&gt;0,
IF(PERFORMANCE!D8&lt;[ActDate],[NetPrem],""),
IF(TODAY()&lt;[ActDate],[NetPrem],""))</f>
        <v/>
      </c>
      <c r="AF28" s="52" t="n"/>
      <c r="AG28">
        <f>IF(Table1[SYM]="","",SUMIFS(Table1[NetPrem],Table1[Trade'#],Table1[[Trade'#]],Table1[Leg],"&lt;="&amp;Table1[Leg]))</f>
        <v/>
      </c>
    </row>
    <row r="29">
      <c r="A29" s="2" t="inlineStr">
        <is>
          <t>Sold 6 BBBY May 14 2021 23.5 Put @ 0.52</t>
        </is>
      </c>
      <c r="B29" t="n">
        <v>8</v>
      </c>
      <c r="C29" t="n">
        <v>1</v>
      </c>
      <c r="D29" s="2" t="inlineStr">
        <is>
          <t>SP</t>
        </is>
      </c>
      <c r="E29" s="49" t="n">
        <v>44312</v>
      </c>
      <c r="F29" s="49" t="n">
        <v>44329</v>
      </c>
      <c r="G29" s="49" t="n">
        <v>44330</v>
      </c>
      <c r="H29" t="n">
        <v>23.5</v>
      </c>
      <c r="I29" s="75" t="n"/>
      <c r="J29" t="n">
        <v>6</v>
      </c>
      <c r="K29" t="n">
        <v>308.01</v>
      </c>
      <c r="M29" t="inlineStr">
        <is>
          <t>BBBY</t>
        </is>
      </c>
      <c r="N29">
        <f>RTD("tos.rtd",,"last", "BBBY")</f>
        <v/>
      </c>
      <c r="O29">
        <f>RTD("tos.rtd",,"ASK",".BBBY210514P23.5")</f>
        <v/>
      </c>
      <c r="P29" s="10">
        <f>IF([TransType]="LS", [OpnPrem]+[ClsPrem],
                                            IF([TransType]="AS", [OpnPrem]+[ClsPrem],
                                               [OpnPrem]-[ClsPrem]))</f>
        <v/>
      </c>
      <c r="Q29" s="51">
        <f>IF([SYM]="","",SUMIFS([NetPrem],[Trade'#],[[Trade'#]],[Leg],"&lt;="&amp;[Leg]))</f>
        <v/>
      </c>
      <c r="R2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9" s="11">
        <f>IF([TransType]="SP",100*[Strike]*[['#Contracts]],
IF([TransType]="LS",[Strike]*[['#Contracts]],
IF([TransType]="BP",100*([Strike]-[Strike2])*[['#Contracts]],
IF([TransType]="BC",100*([Strike2]-[Strike])*[['#Contracts]],
IF([TransType]="NC",100*[Strike]*[['#Contracts]],
IF([TransType]="AS",100*[Strike]*[['#Contracts]],0))))))</f>
        <v/>
      </c>
      <c r="T29" s="11">
        <f>IF([CloseDate]&gt;0,"",[Cap])</f>
        <v/>
      </c>
      <c r="U29" s="11">
        <f>IF([CloseDate]&gt;0,"",
IF([TransType]="BC","",
IF([TransType]="BP",100*[Strike]*[['#Contracts]],
[Cap])))</f>
        <v/>
      </c>
      <c r="V29" s="11">
        <f>IF([SYM]="","",[Cap]*[Days])</f>
        <v/>
      </c>
      <c r="W29" s="11">
        <f>IF([SYM]="","",SUMIFS([CapDays],[Trade'#],[[Trade'#]],[Leg],"&lt;="&amp;[Leg]))</f>
        <v/>
      </c>
      <c r="X29" s="79">
        <f>IF([TotCapDays],365*[TotPrem]/[TotCapDays],"")</f>
        <v/>
      </c>
      <c r="Y29" s="10">
        <f>IF([SYM]="","",
IF([TransType]="LS",[Strike]-[TotPrem]/[['#Contracts]],
IF([['#Contracts]],[Strike]-[TotPrem]/[['#Contracts]]/100,"")))</f>
        <v/>
      </c>
      <c r="Z29" s="11">
        <f>IF([CloseDate]&gt;0,"",
IF([TransType]="LS",['#Contracts],
IF([TransType]="AS",100*[['#Contracts]],
IF([TransType]="SP",100*[['#Contracts]],
IF([TransType]="BP",100*[['#Contracts]],"")))))</f>
        <v/>
      </c>
      <c r="AA29" s="49">
        <f>IF([CloseDate]&gt;0,[CloseDate],
IF([ExpDate]&gt;0,[ExpDate],
TODAY()))</f>
        <v/>
      </c>
      <c r="AB29" s="10">
        <f>IF(PERFORMANCE!D8&gt;0,
IF(PERFORMANCE!D8&lt;[ActDate],"",[NetPrem]),
IF(TODAY()&lt;[ActDate],"",[NetPrem]))</f>
        <v/>
      </c>
      <c r="AC29" s="10">
        <f>IF(PERFORMANCE!D8&gt;0,
IF(PERFORMANCE!D8&lt;[ActDate],"",
IF(PERFORMANCE!D8 - [ActDate]&lt;366,[NetPrem],"")),
IF(TODAY()&lt;[ActDate],"",
IF(TODAY() - [ActDate]&lt;366,[NetPrem],"")))</f>
        <v/>
      </c>
      <c r="AD29" s="10">
        <f>IF(PERFORMANCE!D8&gt;0,
IF(PERFORMANCE!D8&lt;[ActDate],"",
IF(YEAR(PERFORMANCE!D8)=YEAR([ActDate]),[NetPrem],"")),
IF(TODAY()&lt;[ActDate],"",
IF(YEAR(TODAY())=YEAR([ActDate]),[NetPrem],"")))</f>
        <v/>
      </c>
      <c r="AE29" s="10">
        <f>IF(PERFORMANCE!D8&gt;0,
IF(PERFORMANCE!D8&lt;[ActDate],[NetPrem],""),
IF(TODAY()&lt;[ActDate],[NetPrem],""))</f>
        <v/>
      </c>
      <c r="AF29" s="52" t="n"/>
      <c r="AG29">
        <f>IF(Table1[SYM]="","",SUMIFS(Table1[NetPrem],Table1[Trade'#],Table1[[Trade'#]],Table1[Leg],"&lt;="&amp;Table1[Leg]))</f>
        <v/>
      </c>
    </row>
    <row r="30">
      <c r="A30" s="2" t="inlineStr">
        <is>
          <t>Bought 6 BBBY May 14 2021 23.5 Put @ 0.68</t>
        </is>
      </c>
      <c r="B30" t="n">
        <v>8</v>
      </c>
      <c r="C30" t="n">
        <v>2</v>
      </c>
      <c r="D30" s="2" t="inlineStr">
        <is>
          <t>SP</t>
        </is>
      </c>
      <c r="E30" s="49" t="n">
        <v>44329</v>
      </c>
      <c r="F30" s="49" t="n">
        <v>44329</v>
      </c>
      <c r="G30" s="49" t="n">
        <v>44330</v>
      </c>
      <c r="H30" t="n">
        <v>23.5</v>
      </c>
      <c r="I30" s="75" t="n"/>
      <c r="J30" t="n">
        <v>6</v>
      </c>
      <c r="K30" t="n">
        <v>-411.98</v>
      </c>
      <c r="M30" t="inlineStr">
        <is>
          <t>BBBY</t>
        </is>
      </c>
      <c r="N30">
        <f>RTD("tos.rtd",,"last", "BBBY")</f>
        <v/>
      </c>
      <c r="O30">
        <f>RTD("tos.rtd",,"ASK",".BBBY210514P23.5")</f>
        <v/>
      </c>
      <c r="P30" s="10">
        <f>IF([TransType]="LS", [OpnPrem]+[ClsPrem],
                                            IF([TransType]="AS", [OpnPrem]+[ClsPrem],
                                               [OpnPrem]-[ClsPrem]))</f>
        <v/>
      </c>
      <c r="Q30" s="51">
        <f>IF([SYM]="","",SUMIFS([NetPrem],[Trade'#],[[Trade'#]],[Leg],"&lt;="&amp;[Leg]))</f>
        <v/>
      </c>
      <c r="R3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0" s="11">
        <f>IF([TransType]="SP",100*[Strike]*[['#Contracts]],
IF([TransType]="LS",[Strike]*[['#Contracts]],
IF([TransType]="BP",100*([Strike]-[Strike2])*[['#Contracts]],
IF([TransType]="BC",100*([Strike2]-[Strike])*[['#Contracts]],
IF([TransType]="NC",100*[Strike]*[['#Contracts]],
IF([TransType]="AS",100*[Strike]*[['#Contracts]],0))))))</f>
        <v/>
      </c>
      <c r="T30" s="11">
        <f>IF([CloseDate]&gt;0,"",[Cap])</f>
        <v/>
      </c>
      <c r="U30" s="11">
        <f>IF([CloseDate]&gt;0,"",
IF([TransType]="BC","",
IF([TransType]="BP",100*[Strike]*[['#Contracts]],
[Cap])))</f>
        <v/>
      </c>
      <c r="V30" s="11">
        <f>IF([SYM]="","",[Cap]*[Days])</f>
        <v/>
      </c>
      <c r="W30" s="11">
        <f>IF([SYM]="","",SUMIFS([CapDays],[Trade'#],[[Trade'#]],[Leg],"&lt;="&amp;[Leg]))</f>
        <v/>
      </c>
      <c r="X30" s="79">
        <f>IF([TotCapDays],365*[TotPrem]/[TotCapDays],"")</f>
        <v/>
      </c>
      <c r="Y30" s="10">
        <f>IF([SYM]="","",
IF([TransType]="LS",[Strike]-[TotPrem]/[['#Contracts]],
IF([['#Contracts]],[Strike]-[TotPrem]/[['#Contracts]]/100,"")))</f>
        <v/>
      </c>
      <c r="Z30" s="11">
        <f>IF([CloseDate]&gt;0,"",
IF([TransType]="LS",['#Contracts],
IF([TransType]="AS",100*[['#Contracts]],
IF([TransType]="SP",100*[['#Contracts]],
IF([TransType]="BP",100*[['#Contracts]],"")))))</f>
        <v/>
      </c>
      <c r="AA30" s="49">
        <f>IF([CloseDate]&gt;0,[CloseDate],
IF([ExpDate]&gt;0,[ExpDate],
TODAY()))</f>
        <v/>
      </c>
      <c r="AB30" s="10">
        <f>IF(PERFORMANCE!D8&gt;0,
IF(PERFORMANCE!D8&lt;[ActDate],"",[NetPrem]),
IF(TODAY()&lt;[ActDate],"",[NetPrem]))</f>
        <v/>
      </c>
      <c r="AC30" s="10">
        <f>IF(PERFORMANCE!D8&gt;0,
IF(PERFORMANCE!D8&lt;[ActDate],"",
IF(PERFORMANCE!D8 - [ActDate]&lt;366,[NetPrem],"")),
IF(TODAY()&lt;[ActDate],"",
IF(TODAY() - [ActDate]&lt;366,[NetPrem],"")))</f>
        <v/>
      </c>
      <c r="AD30" s="10">
        <f>IF(PERFORMANCE!D8&gt;0,
IF(PERFORMANCE!D8&lt;[ActDate],"",
IF(YEAR(PERFORMANCE!D8)=YEAR([ActDate]),[NetPrem],"")),
IF(TODAY()&lt;[ActDate],"",
IF(YEAR(TODAY())=YEAR([ActDate]),[NetPrem],"")))</f>
        <v/>
      </c>
      <c r="AE30" s="10">
        <f>IF(PERFORMANCE!D8&gt;0,
IF(PERFORMANCE!D8&lt;[ActDate],[NetPrem],""),
IF(TODAY()&lt;[ActDate],[NetPrem],""))</f>
        <v/>
      </c>
      <c r="AF30" s="52" t="n"/>
      <c r="AG30">
        <f>IF(Table1[SYM]="","",SUMIFS(Table1[NetPrem],Table1[Trade'#],Table1[[Trade'#]],Table1[Leg],"&lt;="&amp;Table1[Leg]))</f>
        <v/>
      </c>
    </row>
    <row r="31">
      <c r="A31" s="2" t="inlineStr">
        <is>
          <t>Sold 6 BBBY May 21 2021 23.0 Put @ 0.94</t>
        </is>
      </c>
      <c r="B31" t="n">
        <v>8</v>
      </c>
      <c r="C31" t="n">
        <v>2</v>
      </c>
      <c r="D31" s="2" t="inlineStr">
        <is>
          <t>SP</t>
        </is>
      </c>
      <c r="E31" s="49" t="n">
        <v>44329</v>
      </c>
      <c r="F31" s="49" t="n">
        <v>44330</v>
      </c>
      <c r="G31" s="49" t="n">
        <v>44337</v>
      </c>
      <c r="H31" t="n">
        <v>23</v>
      </c>
      <c r="I31" s="75" t="n"/>
      <c r="J31" t="n">
        <v>6</v>
      </c>
      <c r="K31" t="n">
        <v>560.01</v>
      </c>
      <c r="M31" t="inlineStr">
        <is>
          <t>BBBY</t>
        </is>
      </c>
      <c r="N31">
        <f>RTD("tos.rtd",,"last", "BBBY")</f>
        <v/>
      </c>
      <c r="O31">
        <f>RTD("tos.rtd",,"ASK",".BBBY210521P23")</f>
        <v/>
      </c>
      <c r="P31" s="10">
        <f>IF([TransType]="LS", [OpnPrem]+[ClsPrem],
                                            IF([TransType]="AS", [OpnPrem]+[ClsPrem],
                                               [OpnPrem]-[ClsPrem]))</f>
        <v/>
      </c>
      <c r="Q31" s="51">
        <f>IF([SYM]="","",SUMIFS([NetPrem],[Trade'#],[[Trade'#]],[Leg],"&lt;="&amp;[Leg]))</f>
        <v/>
      </c>
      <c r="R3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1" s="11">
        <f>IF([TransType]="SP",100*[Strike]*[['#Contracts]],
IF([TransType]="LS",[Strike]*[['#Contracts]],
IF([TransType]="BP",100*([Strike]-[Strike2])*[['#Contracts]],
IF([TransType]="BC",100*([Strike2]-[Strike])*[['#Contracts]],
IF([TransType]="NC",100*[Strike]*[['#Contracts]],
IF([TransType]="AS",100*[Strike]*[['#Contracts]],0))))))</f>
        <v/>
      </c>
      <c r="T31" s="11">
        <f>IF([CloseDate]&gt;0,"",[Cap])</f>
        <v/>
      </c>
      <c r="U31" s="11">
        <f>IF([CloseDate]&gt;0,"",
IF([TransType]="BC","",
IF([TransType]="BP",100*[Strike]*[['#Contracts]],
[Cap])))</f>
        <v/>
      </c>
      <c r="V31" s="11">
        <f>IF([SYM]="","",[Cap]*[Days])</f>
        <v/>
      </c>
      <c r="W31" s="11">
        <f>IF([SYM]="","",SUMIFS([CapDays],[Trade'#],[[Trade'#]],[Leg],"&lt;="&amp;[Leg]))</f>
        <v/>
      </c>
      <c r="X31" s="79">
        <f>IF([TotCapDays],365*[TotPrem]/[TotCapDays],"")</f>
        <v/>
      </c>
      <c r="Y31" s="10">
        <f>IF([SYM]="","",
IF([TransType]="LS",[Strike]-[TotPrem]/[['#Contracts]],
IF([['#Contracts]],[Strike]-[TotPrem]/[['#Contracts]]/100,"")))</f>
        <v/>
      </c>
      <c r="Z31" s="11">
        <f>IF([CloseDate]&gt;0,"",
IF([TransType]="LS",['#Contracts],
IF([TransType]="AS",100*[['#Contracts]],
IF([TransType]="SP",100*[['#Contracts]],
IF([TransType]="BP",100*[['#Contracts]],"")))))</f>
        <v/>
      </c>
      <c r="AA31" s="49">
        <f>IF([CloseDate]&gt;0,[CloseDate],
IF([ExpDate]&gt;0,[ExpDate],
TODAY()))</f>
        <v/>
      </c>
      <c r="AB31" s="10">
        <f>IF(PERFORMANCE!D8&gt;0,
IF(PERFORMANCE!D8&lt;[ActDate],"",[NetPrem]),
IF(TODAY()&lt;[ActDate],"",[NetPrem]))</f>
        <v/>
      </c>
      <c r="AC31" s="10">
        <f>IF(PERFORMANCE!D8&gt;0,
IF(PERFORMANCE!D8&lt;[ActDate],"",
IF(PERFORMANCE!D8 - [ActDate]&lt;366,[NetPrem],"")),
IF(TODAY()&lt;[ActDate],"",
IF(TODAY() - [ActDate]&lt;366,[NetPrem],"")))</f>
        <v/>
      </c>
      <c r="AD31" s="10">
        <f>IF(PERFORMANCE!D8&gt;0,
IF(PERFORMANCE!D8&lt;[ActDate],"",
IF(YEAR(PERFORMANCE!D8)=YEAR([ActDate]),[NetPrem],"")),
IF(TODAY()&lt;[ActDate],"",
IF(YEAR(TODAY())=YEAR([ActDate]),[NetPrem],"")))</f>
        <v/>
      </c>
      <c r="AE31" s="10">
        <f>IF(PERFORMANCE!D8&gt;0,
IF(PERFORMANCE!D8&lt;[ActDate],[NetPrem],""),
IF(TODAY()&lt;[ActDate],[NetPrem],""))</f>
        <v/>
      </c>
      <c r="AF31" s="52" t="n"/>
      <c r="AG31">
        <f>IF(Table1[SYM]="","",SUMIFS(Table1[NetPrem],Table1[Trade'#],Table1[[Trade'#]],Table1[Leg],"&lt;="&amp;Table1[Leg]))</f>
        <v/>
      </c>
    </row>
    <row r="32">
      <c r="A32" s="2" t="inlineStr">
        <is>
          <t>Bought 6 BBBY May 21 2021 23.0 Put @ 0.19</t>
        </is>
      </c>
      <c r="B32" t="n">
        <v>8</v>
      </c>
      <c r="C32" t="n">
        <v>3</v>
      </c>
      <c r="D32" s="2" t="inlineStr">
        <is>
          <t>SP</t>
        </is>
      </c>
      <c r="E32" s="49" t="n">
        <v>44330</v>
      </c>
      <c r="F32" s="49" t="n">
        <v>44330</v>
      </c>
      <c r="G32" s="49" t="n">
        <v>44337</v>
      </c>
      <c r="H32" t="n">
        <v>23</v>
      </c>
      <c r="I32" s="75" t="n"/>
      <c r="J32" t="n">
        <v>6</v>
      </c>
      <c r="K32" t="n">
        <v>-117.98</v>
      </c>
      <c r="M32" t="inlineStr">
        <is>
          <t>BBBY</t>
        </is>
      </c>
      <c r="N32">
        <f>RTD("tos.rtd",,"last", "BBBY")</f>
        <v/>
      </c>
      <c r="O32">
        <f>RTD("tos.rtd",,"ASK",".BBBY210521P23")</f>
        <v/>
      </c>
      <c r="P32" s="10">
        <f>IF([TransType]="LS", [OpnPrem]+[ClsPrem],
                                            IF([TransType]="AS", [OpnPrem]+[ClsPrem],
                                               [OpnPrem]-[ClsPrem]))</f>
        <v/>
      </c>
      <c r="Q32" s="51">
        <f>IF([SYM]="","",SUMIFS([NetPrem],[Trade'#],[[Trade'#]],[Leg],"&lt;="&amp;[Leg]))</f>
        <v/>
      </c>
      <c r="R3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2" s="11">
        <f>IF([TransType]="SP",100*[Strike]*[['#Contracts]],
IF([TransType]="LS",[Strike]*[['#Contracts]],
IF([TransType]="BP",100*([Strike]-[Strike2])*[['#Contracts]],
IF([TransType]="BC",100*([Strike2]-[Strike])*[['#Contracts]],
IF([TransType]="NC",100*[Strike]*[['#Contracts]],
IF([TransType]="AS",100*[Strike]*[['#Contracts]],0))))))</f>
        <v/>
      </c>
      <c r="T32" s="11">
        <f>IF([CloseDate]&gt;0,"",[Cap])</f>
        <v/>
      </c>
      <c r="U32" s="11">
        <f>IF([CloseDate]&gt;0,"",
IF([TransType]="BC","",
IF([TransType]="BP",100*[Strike]*[['#Contracts]],
[Cap])))</f>
        <v/>
      </c>
      <c r="V32" s="11">
        <f>IF([SYM]="","",[Cap]*[Days])</f>
        <v/>
      </c>
      <c r="W32" s="11">
        <f>IF([SYM]="","",SUMIFS([CapDays],[Trade'#],[[Trade'#]],[Leg],"&lt;="&amp;[Leg]))</f>
        <v/>
      </c>
      <c r="X32" s="79">
        <f>IF([TotCapDays],365*[TotPrem]/[TotCapDays],"")</f>
        <v/>
      </c>
      <c r="Y32" s="10">
        <f>IF([SYM]="","",
IF([TransType]="LS",[Strike]-[TotPrem]/[['#Contracts]],
IF([['#Contracts]],[Strike]-[TotPrem]/[['#Contracts]]/100,"")))</f>
        <v/>
      </c>
      <c r="Z32" s="11">
        <f>IF([CloseDate]&gt;0,"",
IF([TransType]="LS",['#Contracts],
IF([TransType]="AS",100*[['#Contracts]],
IF([TransType]="SP",100*[['#Contracts]],
IF([TransType]="BP",100*[['#Contracts]],"")))))</f>
        <v/>
      </c>
      <c r="AA32" s="49">
        <f>IF([CloseDate]&gt;0,[CloseDate],
IF([ExpDate]&gt;0,[ExpDate],
TODAY()))</f>
        <v/>
      </c>
      <c r="AB32" s="10">
        <f>IF(PERFORMANCE!D8&gt;0,
IF(PERFORMANCE!D8&lt;[ActDate],"",[NetPrem]),
IF(TODAY()&lt;[ActDate],"",[NetPrem]))</f>
        <v/>
      </c>
      <c r="AC32" s="10">
        <f>IF(PERFORMANCE!D8&gt;0,
IF(PERFORMANCE!D8&lt;[ActDate],"",
IF(PERFORMANCE!D8 - [ActDate]&lt;366,[NetPrem],"")),
IF(TODAY()&lt;[ActDate],"",
IF(TODAY() - [ActDate]&lt;366,[NetPrem],"")))</f>
        <v/>
      </c>
      <c r="AD32" s="10">
        <f>IF(PERFORMANCE!D8&gt;0,
IF(PERFORMANCE!D8&lt;[ActDate],"",
IF(YEAR(PERFORMANCE!D8)=YEAR([ActDate]),[NetPrem],"")),
IF(TODAY()&lt;[ActDate],"",
IF(YEAR(TODAY())=YEAR([ActDate]),[NetPrem],"")))</f>
        <v/>
      </c>
      <c r="AE32" s="10">
        <f>IF(PERFORMANCE!D8&gt;0,
IF(PERFORMANCE!D8&lt;[ActDate],[NetPrem],""),
IF(TODAY()&lt;[ActDate],[NetPrem],""))</f>
        <v/>
      </c>
      <c r="AF32" s="52" t="n"/>
      <c r="AG32">
        <f>IF(Table1[SYM]="","",SUMIFS(Table1[NetPrem],Table1[Trade'#],Table1[[Trade'#]],Table1[Leg],"&lt;="&amp;Table1[Leg]))</f>
        <v/>
      </c>
    </row>
    <row r="33">
      <c r="A33" s="15" t="inlineStr">
        <is>
          <t>Bought 3 GE Apr 30 2021 13.0 Put @ 0.09</t>
        </is>
      </c>
      <c r="B33" s="73" t="n">
        <v>9</v>
      </c>
      <c r="C33" s="73" t="n">
        <v>1</v>
      </c>
      <c r="D33" s="15" t="inlineStr">
        <is>
          <t>SP</t>
        </is>
      </c>
      <c r="E33" s="53" t="n">
        <v>44313</v>
      </c>
      <c r="F33" s="53" t="n"/>
      <c r="G33" s="53" t="n">
        <v>44316</v>
      </c>
      <c r="H33" s="73" t="n">
        <v>13</v>
      </c>
      <c r="I33" s="73" t="n"/>
      <c r="J33" s="75" t="n">
        <v>3</v>
      </c>
      <c r="K33" s="78" t="n">
        <v>-28.99</v>
      </c>
      <c r="M33" t="inlineStr">
        <is>
          <t>GE</t>
        </is>
      </c>
      <c r="N33">
        <f>RTD("tos.rtd",,"last", "GE")</f>
        <v/>
      </c>
      <c r="O33">
        <f>RTD("tos.rtd",,"ASK",".GE210430P13")</f>
        <v/>
      </c>
      <c r="P33" s="10">
        <f>IF([TransType]="LS", [OpnPrem]+[ClsPrem],
                                            IF([TransType]="AS", [OpnPrem]+[ClsPrem],
                                               [OpnPrem]-[ClsPrem]))</f>
        <v/>
      </c>
      <c r="Q33" s="51">
        <f>IF([SYM]="","",SUMIFS([NetPrem],[Trade'#],[[Trade'#]],[Leg],"&lt;="&amp;[Leg]))</f>
        <v/>
      </c>
      <c r="R3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3" s="11">
        <f>IF([TransType]="SP",100*[Strike]*[['#Contracts]],
IF([TransType]="LS",[Strike]*[['#Contracts]],
IF([TransType]="BP",100*([Strike]-[Strike2])*[['#Contracts]],
IF([TransType]="BC",100*([Strike2]-[Strike])*[['#Contracts]],
IF([TransType]="NC",100*[Strike]*[['#Contracts]],
IF([TransType]="AS",100*[Strike]*[['#Contracts]],0))))))</f>
        <v/>
      </c>
      <c r="T33" s="11">
        <f>IF([CloseDate]&gt;0,"",[Cap])</f>
        <v/>
      </c>
      <c r="U33" s="11">
        <f>IF([CloseDate]&gt;0,"",
IF([TransType]="BC","",
IF([TransType]="BP",100*[Strike]*[['#Contracts]],
[Cap])))</f>
        <v/>
      </c>
      <c r="V33" s="11">
        <f>IF([SYM]="","",[Cap]*[Days])</f>
        <v/>
      </c>
      <c r="W33" s="11">
        <f>IF([SYM]="","",SUMIFS([CapDays],[Trade'#],[[Trade'#]],[Leg],"&lt;="&amp;[Leg]))</f>
        <v/>
      </c>
      <c r="X33" s="79">
        <f>IF([TotCapDays],365*[TotPrem]/[TotCapDays],"")</f>
        <v/>
      </c>
      <c r="Y33" s="10">
        <f>IF([SYM]="","",
IF([TransType]="LS",[Strike]-[TotPrem]/[['#Contracts]],
IF([['#Contracts]],[Strike]-[TotPrem]/[['#Contracts]]/100,"")))</f>
        <v/>
      </c>
      <c r="Z33" s="11">
        <f>IF([CloseDate]&gt;0,"",
IF([TransType]="LS",['#Contracts],
IF([TransType]="AS",100*[['#Contracts]],
IF([TransType]="SP",100*[['#Contracts]],
IF([TransType]="BP",100*[['#Contracts]],"")))))</f>
        <v/>
      </c>
      <c r="AA33" s="49">
        <f>IF([CloseDate]&gt;0,[CloseDate],
IF([ExpDate]&gt;0,[ExpDate],
TODAY()))</f>
        <v/>
      </c>
      <c r="AB33" s="10">
        <f>IF(PERFORMANCE!D8&gt;0,
IF(PERFORMANCE!D8&lt;[ActDate],"",[NetPrem]),
IF(TODAY()&lt;[ActDate],"",[NetPrem]))</f>
        <v/>
      </c>
      <c r="AC33" s="10">
        <f>IF(PERFORMANCE!D8&gt;0,
IF(PERFORMANCE!D8&lt;[ActDate],"",
IF(PERFORMANCE!D8 - [ActDate]&lt;366,[NetPrem],"")),
IF(TODAY()&lt;[ActDate],"",
IF(TODAY() - [ActDate]&lt;366,[NetPrem],"")))</f>
        <v/>
      </c>
      <c r="AD33" s="10">
        <f>IF(PERFORMANCE!D8&gt;0,
IF(PERFORMANCE!D8&lt;[ActDate],"",
IF(YEAR(PERFORMANCE!D8)=YEAR([ActDate]),[NetPrem],"")),
IF(TODAY()&lt;[ActDate],"",
IF(YEAR(TODAY())=YEAR([ActDate]),[NetPrem],"")))</f>
        <v/>
      </c>
      <c r="AE33" s="10">
        <f>IF(PERFORMANCE!D8&gt;0,
IF(PERFORMANCE!D8&lt;[ActDate],[NetPrem],""),
IF(TODAY()&lt;[ActDate],[NetPrem],""))</f>
        <v/>
      </c>
      <c r="AF33" s="52" t="n"/>
      <c r="AG33">
        <f>IF(Table1[SYM]="","",SUMIFS(Table1[NetPrem],Table1[Trade'#],Table1[[Trade'#]],Table1[Leg],"&lt;="&amp;Table1[Leg]))</f>
        <v/>
      </c>
    </row>
    <row r="34">
      <c r="A34" s="15" t="inlineStr">
        <is>
          <t>Sold 4 UAL May 14 2021 51.0 Put @ 0.83</t>
        </is>
      </c>
      <c r="B34" s="73" t="n">
        <v>10</v>
      </c>
      <c r="C34" s="73" t="n">
        <v>1</v>
      </c>
      <c r="D34" s="15" t="inlineStr">
        <is>
          <t>SP</t>
        </is>
      </c>
      <c r="E34" s="53" t="n">
        <v>44313</v>
      </c>
      <c r="F34" s="53" t="n">
        <v>44329</v>
      </c>
      <c r="G34" s="53" t="n">
        <v>44330</v>
      </c>
      <c r="H34" s="73" t="n">
        <v>51</v>
      </c>
      <c r="I34" s="73" t="n"/>
      <c r="J34" s="75" t="n">
        <v>4</v>
      </c>
      <c r="K34" s="78" t="n">
        <v>329.33</v>
      </c>
      <c r="M34" t="inlineStr">
        <is>
          <t>UAL</t>
        </is>
      </c>
      <c r="N34">
        <f>RTD("tos.rtd",,"last", "UAL")</f>
        <v/>
      </c>
      <c r="O34">
        <f>RTD("tos.rtd",,"ASK",".UAL210514P51")</f>
        <v/>
      </c>
      <c r="P34" s="10">
        <f>IF([TransType]="LS", [OpnPrem]+[ClsPrem],
                                            IF([TransType]="AS", [OpnPrem]+[ClsPrem],
                                               [OpnPrem]-[ClsPrem]))</f>
        <v/>
      </c>
      <c r="Q34" s="51">
        <f>IF([SYM]="","",SUMIFS([NetPrem],[Trade'#],[[Trade'#]],[Leg],"&lt;="&amp;[Leg]))</f>
        <v/>
      </c>
      <c r="R3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4" s="11">
        <f>IF([TransType]="SP",100*[Strike]*[['#Contracts]],
IF([TransType]="LS",[Strike]*[['#Contracts]],
IF([TransType]="BP",100*([Strike]-[Strike2])*[['#Contracts]],
IF([TransType]="BC",100*([Strike2]-[Strike])*[['#Contracts]],
IF([TransType]="NC",100*[Strike]*[['#Contracts]],
IF([TransType]="AS",100*[Strike]*[['#Contracts]],0))))))</f>
        <v/>
      </c>
      <c r="T34" s="11">
        <f>IF([CloseDate]&gt;0,"",[Cap])</f>
        <v/>
      </c>
      <c r="U34" s="11">
        <f>IF([CloseDate]&gt;0,"",
IF([TransType]="BC","",
IF([TransType]="BP",100*[Strike]*[['#Contracts]],
[Cap])))</f>
        <v/>
      </c>
      <c r="V34" s="11">
        <f>IF([SYM]="","",[Cap]*[Days])</f>
        <v/>
      </c>
      <c r="W34" s="11">
        <f>IF([SYM]="","",SUMIFS([CapDays],[Trade'#],[[Trade'#]],[Leg],"&lt;="&amp;[Leg]))</f>
        <v/>
      </c>
      <c r="X34" s="79">
        <f>IF([TotCapDays],365*[TotPrem]/[TotCapDays],"")</f>
        <v/>
      </c>
      <c r="Y34" s="10">
        <f>IF([SYM]="","",
IF([TransType]="LS",[Strike]-[TotPrem]/[['#Contracts]],
IF([['#Contracts]],[Strike]-[TotPrem]/[['#Contracts]]/100,"")))</f>
        <v/>
      </c>
      <c r="Z34" s="11">
        <f>IF([CloseDate]&gt;0,"",
IF([TransType]="LS",['#Contracts],
IF([TransType]="AS",100*[['#Contracts]],
IF([TransType]="SP",100*[['#Contracts]],
IF([TransType]="BP",100*[['#Contracts]],"")))))</f>
        <v/>
      </c>
      <c r="AA34" s="49">
        <f>IF([CloseDate]&gt;0,[CloseDate],
IF([ExpDate]&gt;0,[ExpDate],
TODAY()))</f>
        <v/>
      </c>
      <c r="AB34" s="10">
        <f>IF(PERFORMANCE!D8&gt;0,
IF(PERFORMANCE!D8&lt;[ActDate],"",[NetPrem]),
IF(TODAY()&lt;[ActDate],"",[NetPrem]))</f>
        <v/>
      </c>
      <c r="AC34" s="10">
        <f>IF(PERFORMANCE!D8&gt;0,
IF(PERFORMANCE!D8&lt;[ActDate],"",
IF(PERFORMANCE!D8 - [ActDate]&lt;366,[NetPrem],"")),
IF(TODAY()&lt;[ActDate],"",
IF(TODAY() - [ActDate]&lt;366,[NetPrem],"")))</f>
        <v/>
      </c>
      <c r="AD34" s="10">
        <f>IF(PERFORMANCE!D8&gt;0,
IF(PERFORMANCE!D8&lt;[ActDate],"",
IF(YEAR(PERFORMANCE!D8)=YEAR([ActDate]),[NetPrem],"")),
IF(TODAY()&lt;[ActDate],"",
IF(YEAR(TODAY())=YEAR([ActDate]),[NetPrem],"")))</f>
        <v/>
      </c>
      <c r="AE34" s="10">
        <f>IF(PERFORMANCE!D8&gt;0,
IF(PERFORMANCE!D8&lt;[ActDate],[NetPrem],""),
IF(TODAY()&lt;[ActDate],[NetPrem],""))</f>
        <v/>
      </c>
      <c r="AF34" s="52" t="n"/>
      <c r="AG34">
        <f>IF(Table1[SYM]="","",SUMIFS(Table1[NetPrem],Table1[Trade'#],Table1[[Trade'#]],Table1[Leg],"&lt;="&amp;Table1[Leg]))</f>
        <v/>
      </c>
    </row>
    <row r="35">
      <c r="A35" s="15" t="inlineStr">
        <is>
          <t>Sold 4 UAL May 21 2021 50.0 Put @ 0.85</t>
        </is>
      </c>
      <c r="B35" s="73" t="n">
        <v>10</v>
      </c>
      <c r="C35" s="73" t="n">
        <v>2</v>
      </c>
      <c r="D35" s="15" t="inlineStr">
        <is>
          <t>SP</t>
        </is>
      </c>
      <c r="E35" s="53" t="n">
        <v>44329</v>
      </c>
      <c r="F35" s="53" t="n">
        <v>44330</v>
      </c>
      <c r="G35" s="53" t="n">
        <v>44337</v>
      </c>
      <c r="H35" s="73" t="n">
        <v>50</v>
      </c>
      <c r="I35" s="73" t="n"/>
      <c r="J35" s="75" t="n">
        <v>4</v>
      </c>
      <c r="K35" s="78" t="n">
        <v>337.33</v>
      </c>
      <c r="M35" t="inlineStr">
        <is>
          <t>UAL</t>
        </is>
      </c>
      <c r="N35">
        <f>RTD("tos.rtd",,"last", "UAL")</f>
        <v/>
      </c>
      <c r="O35">
        <f>RTD("tos.rtd",,"ASK",".UAL210521P50")</f>
        <v/>
      </c>
      <c r="P35" s="10">
        <f>IF([TransType]="LS", [OpnPrem]+[ClsPrem],
                                            IF([TransType]="AS", [OpnPrem]+[ClsPrem],
                                               [OpnPrem]-[ClsPrem]))</f>
        <v/>
      </c>
      <c r="Q35" s="51">
        <f>IF([SYM]="","",SUMIFS([NetPrem],[Trade'#],[[Trade'#]],[Leg],"&lt;="&amp;[Leg]))</f>
        <v/>
      </c>
      <c r="R3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5" s="11">
        <f>IF([TransType]="SP",100*[Strike]*[['#Contracts]],
IF([TransType]="LS",[Strike]*[['#Contracts]],
IF([TransType]="BP",100*([Strike]-[Strike2])*[['#Contracts]],
IF([TransType]="BC",100*([Strike2]-[Strike])*[['#Contracts]],
IF([TransType]="NC",100*[Strike]*[['#Contracts]],
IF([TransType]="AS",100*[Strike]*[['#Contracts]],0))))))</f>
        <v/>
      </c>
      <c r="T35" s="11">
        <f>IF([CloseDate]&gt;0,"",[Cap])</f>
        <v/>
      </c>
      <c r="U35" s="11">
        <f>IF([CloseDate]&gt;0,"",
IF([TransType]="BC","",
IF([TransType]="BP",100*[Strike]*[['#Contracts]],
[Cap])))</f>
        <v/>
      </c>
      <c r="V35" s="11">
        <f>IF([SYM]="","",[Cap]*[Days])</f>
        <v/>
      </c>
      <c r="W35" s="11">
        <f>IF([SYM]="","",SUMIFS([CapDays],[Trade'#],[[Trade'#]],[Leg],"&lt;="&amp;[Leg]))</f>
        <v/>
      </c>
      <c r="X35" s="79">
        <f>IF([TotCapDays],365*[TotPrem]/[TotCapDays],"")</f>
        <v/>
      </c>
      <c r="Y35" s="10">
        <f>IF([SYM]="","",
IF([TransType]="LS",[Strike]-[TotPrem]/[['#Contracts]],
IF([['#Contracts]],[Strike]-[TotPrem]/[['#Contracts]]/100,"")))</f>
        <v/>
      </c>
      <c r="Z35" s="11">
        <f>IF([CloseDate]&gt;0,"",
IF([TransType]="LS",['#Contracts],
IF([TransType]="AS",100*[['#Contracts]],
IF([TransType]="SP",100*[['#Contracts]],
IF([TransType]="BP",100*[['#Contracts]],"")))))</f>
        <v/>
      </c>
      <c r="AA35" s="49">
        <f>IF([CloseDate]&gt;0,[CloseDate],
IF([ExpDate]&gt;0,[ExpDate],
TODAY()))</f>
        <v/>
      </c>
      <c r="AB35" s="10">
        <f>IF(PERFORMANCE!D8&gt;0,
IF(PERFORMANCE!D8&lt;[ActDate],"",[NetPrem]),
IF(TODAY()&lt;[ActDate],"",[NetPrem]))</f>
        <v/>
      </c>
      <c r="AC35" s="10">
        <f>IF(PERFORMANCE!D8&gt;0,
IF(PERFORMANCE!D8&lt;[ActDate],"",
IF(PERFORMANCE!D8 - [ActDate]&lt;366,[NetPrem],"")),
IF(TODAY()&lt;[ActDate],"",
IF(TODAY() - [ActDate]&lt;366,[NetPrem],"")))</f>
        <v/>
      </c>
      <c r="AD35" s="10">
        <f>IF(PERFORMANCE!D8&gt;0,
IF(PERFORMANCE!D8&lt;[ActDate],"",
IF(YEAR(PERFORMANCE!D8)=YEAR([ActDate]),[NetPrem],"")),
IF(TODAY()&lt;[ActDate],"",
IF(YEAR(TODAY())=YEAR([ActDate]),[NetPrem],"")))</f>
        <v/>
      </c>
      <c r="AE35" s="10">
        <f>IF(PERFORMANCE!D8&gt;0,
IF(PERFORMANCE!D8&lt;[ActDate],[NetPrem],""),
IF(TODAY()&lt;[ActDate],[NetPrem],""))</f>
        <v/>
      </c>
      <c r="AF35" s="52" t="n"/>
      <c r="AG35">
        <f>IF(Table1[SYM]="","",SUMIFS(Table1[NetPrem],Table1[Trade'#],Table1[[Trade'#]],Table1[Leg],"&lt;="&amp;Table1[Leg]))</f>
        <v/>
      </c>
    </row>
    <row r="36">
      <c r="A36" s="15" t="inlineStr">
        <is>
          <t>Bought 4 UAL May 14 2021 51.0 Put @ 0.37</t>
        </is>
      </c>
      <c r="B36" s="73" t="n">
        <v>10</v>
      </c>
      <c r="C36" s="73" t="n">
        <v>3</v>
      </c>
      <c r="D36" s="15" t="inlineStr">
        <is>
          <t>SP</t>
        </is>
      </c>
      <c r="E36" s="53" t="n">
        <v>44329</v>
      </c>
      <c r="F36" s="53" t="n">
        <v>44329</v>
      </c>
      <c r="G36" s="53" t="n">
        <v>44330</v>
      </c>
      <c r="H36" s="73" t="n">
        <v>51</v>
      </c>
      <c r="I36" s="73" t="n"/>
      <c r="J36" s="75" t="n">
        <v>4</v>
      </c>
      <c r="K36" s="78" t="n">
        <v>-150.66</v>
      </c>
      <c r="M36" t="inlineStr">
        <is>
          <t>UAL</t>
        </is>
      </c>
      <c r="N36">
        <f>RTD("tos.rtd",,"last", "UAL")</f>
        <v/>
      </c>
      <c r="O36">
        <f>RTD("tos.rtd",,"ASK",".UAL210514P51")</f>
        <v/>
      </c>
      <c r="P36" s="10">
        <f>IF([TransType]="LS", [OpnPrem]+[ClsPrem],
                                            IF([TransType]="AS", [OpnPrem]+[ClsPrem],
                                               [OpnPrem]-[ClsPrem]))</f>
        <v/>
      </c>
      <c r="Q36" s="51">
        <f>IF([SYM]="","",SUMIFS([NetPrem],[Trade'#],[[Trade'#]],[Leg],"&lt;="&amp;[Leg]))</f>
        <v/>
      </c>
      <c r="R3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6" s="11">
        <f>IF([TransType]="SP",100*[Strike]*[['#Contracts]],
IF([TransType]="LS",[Strike]*[['#Contracts]],
IF([TransType]="BP",100*([Strike]-[Strike2])*[['#Contracts]],
IF([TransType]="BC",100*([Strike2]-[Strike])*[['#Contracts]],
IF([TransType]="NC",100*[Strike]*[['#Contracts]],
IF([TransType]="AS",100*[Strike]*[['#Contracts]],0))))))</f>
        <v/>
      </c>
      <c r="T36" s="11">
        <f>IF([CloseDate]&gt;0,"",[Cap])</f>
        <v/>
      </c>
      <c r="U36" s="11">
        <f>IF([CloseDate]&gt;0,"",
IF([TransType]="BC","",
IF([TransType]="BP",100*[Strike]*[['#Contracts]],
[Cap])))</f>
        <v/>
      </c>
      <c r="V36" s="11">
        <f>IF([SYM]="","",[Cap]*[Days])</f>
        <v/>
      </c>
      <c r="W36" s="11">
        <f>IF([SYM]="","",SUMIFS([CapDays],[Trade'#],[[Trade'#]],[Leg],"&lt;="&amp;[Leg]))</f>
        <v/>
      </c>
      <c r="X36" s="79">
        <f>IF([TotCapDays],365*[TotPrem]/[TotCapDays],"")</f>
        <v/>
      </c>
      <c r="Y36" s="10">
        <f>IF([SYM]="","",
IF([TransType]="LS",[Strike]-[TotPrem]/[['#Contracts]],
IF([['#Contracts]],[Strike]-[TotPrem]/[['#Contracts]]/100,"")))</f>
        <v/>
      </c>
      <c r="Z36" s="11">
        <f>IF([CloseDate]&gt;0,"",
IF([TransType]="LS",['#Contracts],
IF([TransType]="AS",100*[['#Contracts]],
IF([TransType]="SP",100*[['#Contracts]],
IF([TransType]="BP",100*[['#Contracts]],"")))))</f>
        <v/>
      </c>
      <c r="AA36" s="49">
        <f>IF([CloseDate]&gt;0,[CloseDate],
IF([ExpDate]&gt;0,[ExpDate],
TODAY()))</f>
        <v/>
      </c>
      <c r="AB36" s="10">
        <f>IF(PERFORMANCE!D8&gt;0,
IF(PERFORMANCE!D8&lt;[ActDate],"",[NetPrem]),
IF(TODAY()&lt;[ActDate],"",[NetPrem]))</f>
        <v/>
      </c>
      <c r="AC36" s="10">
        <f>IF(PERFORMANCE!D8&gt;0,
IF(PERFORMANCE!D8&lt;[ActDate],"",
IF(PERFORMANCE!D8 - [ActDate]&lt;366,[NetPrem],"")),
IF(TODAY()&lt;[ActDate],"",
IF(TODAY() - [ActDate]&lt;366,[NetPrem],"")))</f>
        <v/>
      </c>
      <c r="AD36" s="10">
        <f>IF(PERFORMANCE!D8&gt;0,
IF(PERFORMANCE!D8&lt;[ActDate],"",
IF(YEAR(PERFORMANCE!D8)=YEAR([ActDate]),[NetPrem],"")),
IF(TODAY()&lt;[ActDate],"",
IF(YEAR(TODAY())=YEAR([ActDate]),[NetPrem],"")))</f>
        <v/>
      </c>
      <c r="AE36" s="10">
        <f>IF(PERFORMANCE!D8&gt;0,
IF(PERFORMANCE!D8&lt;[ActDate],[NetPrem],""),
IF(TODAY()&lt;[ActDate],[NetPrem],""))</f>
        <v/>
      </c>
      <c r="AF36" s="52" t="n"/>
      <c r="AG36">
        <f>IF(Table1[SYM]="","",SUMIFS(Table1[NetPrem],Table1[Trade'#],Table1[[Trade'#]],Table1[Leg],"&lt;="&amp;Table1[Leg]))</f>
        <v/>
      </c>
    </row>
    <row r="37">
      <c r="A37" s="15" t="inlineStr">
        <is>
          <t>Bought 4 UAL May 21 2021 50.0 Put @ 0.15</t>
        </is>
      </c>
      <c r="B37" s="73" t="n">
        <v>10</v>
      </c>
      <c r="C37" s="73" t="n">
        <v>3</v>
      </c>
      <c r="D37" s="15" t="inlineStr">
        <is>
          <t>SP</t>
        </is>
      </c>
      <c r="E37" s="53" t="n">
        <v>44330</v>
      </c>
      <c r="F37" s="53" t="n">
        <v>44330</v>
      </c>
      <c r="G37" s="53" t="n">
        <v>44337</v>
      </c>
      <c r="H37" s="73" t="n">
        <v>50</v>
      </c>
      <c r="I37" s="73" t="n"/>
      <c r="J37" s="75" t="n">
        <v>4</v>
      </c>
      <c r="K37" s="78" t="n">
        <v>-62.66</v>
      </c>
      <c r="M37" t="inlineStr">
        <is>
          <t>UAL</t>
        </is>
      </c>
      <c r="N37">
        <f>RTD("tos.rtd",,"last", "UAL")</f>
        <v/>
      </c>
      <c r="O37">
        <f>RTD("tos.rtd",,"ASK",".UAL210521P50")</f>
        <v/>
      </c>
      <c r="P37" s="10">
        <f>IF([TransType]="LS", [OpnPrem]+[ClsPrem],
                                            IF([TransType]="AS", [OpnPrem]+[ClsPrem],
                                               [OpnPrem]-[ClsPrem]))</f>
        <v/>
      </c>
      <c r="Q37" s="51">
        <f>IF([SYM]="","",SUMIFS([NetPrem],[Trade'#],[[Trade'#]],[Leg],"&lt;="&amp;[Leg]))</f>
        <v/>
      </c>
      <c r="R3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7" s="11">
        <f>IF([TransType]="SP",100*[Strike]*[['#Contracts]],
IF([TransType]="LS",[Strike]*[['#Contracts]],
IF([TransType]="BP",100*([Strike]-[Strike2])*[['#Contracts]],
IF([TransType]="BC",100*([Strike2]-[Strike])*[['#Contracts]],
IF([TransType]="NC",100*[Strike]*[['#Contracts]],
IF([TransType]="AS",100*[Strike]*[['#Contracts]],0))))))</f>
        <v/>
      </c>
      <c r="T37" s="11">
        <f>IF([CloseDate]&gt;0,"",[Cap])</f>
        <v/>
      </c>
      <c r="U37" s="11">
        <f>IF([CloseDate]&gt;0,"",
IF([TransType]="BC","",
IF([TransType]="BP",100*[Strike]*[['#Contracts]],
[Cap])))</f>
        <v/>
      </c>
      <c r="V37" s="11">
        <f>IF([SYM]="","",[Cap]*[Days])</f>
        <v/>
      </c>
      <c r="W37" s="11">
        <f>IF([SYM]="","",SUMIFS([CapDays],[Trade'#],[[Trade'#]],[Leg],"&lt;="&amp;[Leg]))</f>
        <v/>
      </c>
      <c r="X37" s="79">
        <f>IF([TotCapDays],365*[TotPrem]/[TotCapDays],"")</f>
        <v/>
      </c>
      <c r="Y37" s="10">
        <f>IF([SYM]="","",
IF([TransType]="LS",[Strike]-[TotPrem]/[['#Contracts]],
IF([['#Contracts]],[Strike]-[TotPrem]/[['#Contracts]]/100,"")))</f>
        <v/>
      </c>
      <c r="Z37" s="11">
        <f>IF([CloseDate]&gt;0,"",
IF([TransType]="LS",['#Contracts],
IF([TransType]="AS",100*[['#Contracts]],
IF([TransType]="SP",100*[['#Contracts]],
IF([TransType]="BP",100*[['#Contracts]],"")))))</f>
        <v/>
      </c>
      <c r="AA37" s="49">
        <f>IF([CloseDate]&gt;0,[CloseDate],
IF([ExpDate]&gt;0,[ExpDate],
TODAY()))</f>
        <v/>
      </c>
      <c r="AB37" s="10">
        <f>IF(PERFORMANCE!D8&gt;0,
IF(PERFORMANCE!D8&lt;[ActDate],"",[NetPrem]),
IF(TODAY()&lt;[ActDate],"",[NetPrem]))</f>
        <v/>
      </c>
      <c r="AC37" s="10">
        <f>IF(PERFORMANCE!D8&gt;0,
IF(PERFORMANCE!D8&lt;[ActDate],"",
IF(PERFORMANCE!D8 - [ActDate]&lt;366,[NetPrem],"")),
IF(TODAY()&lt;[ActDate],"",
IF(TODAY() - [ActDate]&lt;366,[NetPrem],"")))</f>
        <v/>
      </c>
      <c r="AD37" s="10">
        <f>IF(PERFORMANCE!D8&gt;0,
IF(PERFORMANCE!D8&lt;[ActDate],"",
IF(YEAR(PERFORMANCE!D8)=YEAR([ActDate]),[NetPrem],"")),
IF(TODAY()&lt;[ActDate],"",
IF(YEAR(TODAY())=YEAR([ActDate]),[NetPrem],"")))</f>
        <v/>
      </c>
      <c r="AE37" s="10">
        <f>IF(PERFORMANCE!D8&gt;0,
IF(PERFORMANCE!D8&lt;[ActDate],[NetPrem],""),
IF(TODAY()&lt;[ActDate],[NetPrem],""))</f>
        <v/>
      </c>
      <c r="AF37" s="52" t="n"/>
      <c r="AG37">
        <f>IF(Table1[SYM]="","",SUMIFS(Table1[NetPrem],Table1[Trade'#],Table1[[Trade'#]],Table1[Leg],"&lt;="&amp;Table1[Leg]))</f>
        <v/>
      </c>
    </row>
    <row r="38">
      <c r="A38" s="15" t="inlineStr">
        <is>
          <t>Sold 2 SFIX May 7 2021 45.0 Put @ 0.97</t>
        </is>
      </c>
      <c r="B38" s="73" t="n">
        <v>11</v>
      </c>
      <c r="C38" s="73" t="n">
        <v>1</v>
      </c>
      <c r="D38" s="15" t="inlineStr">
        <is>
          <t>SP</t>
        </is>
      </c>
      <c r="E38" s="53" t="n">
        <v>44314</v>
      </c>
      <c r="F38" s="53" t="n">
        <v>44322</v>
      </c>
      <c r="G38" s="53" t="n">
        <v>44323</v>
      </c>
      <c r="H38" s="73" t="n">
        <v>45</v>
      </c>
      <c r="I38" s="73" t="n"/>
      <c r="J38" s="75" t="n">
        <v>2</v>
      </c>
      <c r="K38" s="78" t="n">
        <v>192.67</v>
      </c>
      <c r="M38" t="inlineStr">
        <is>
          <t>SFIX</t>
        </is>
      </c>
      <c r="N38">
        <f>RTD("tos.rtd",,"last", "SFIX")</f>
        <v/>
      </c>
      <c r="O38">
        <f>RTD("tos.rtd",,"ASK",".SFIX210507P45")</f>
        <v/>
      </c>
      <c r="P38" s="10">
        <f>IF([TransType]="LS", [OpnPrem]+[ClsPrem],
                                            IF([TransType]="AS", [OpnPrem]+[ClsPrem],
                                               [OpnPrem]-[ClsPrem]))</f>
        <v/>
      </c>
      <c r="Q38" s="51">
        <f>IF([SYM]="","",SUMIFS([NetPrem],[Trade'#],[[Trade'#]],[Leg],"&lt;="&amp;[Leg]))</f>
        <v/>
      </c>
      <c r="R3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8" s="11">
        <f>IF([TransType]="SP",100*[Strike]*[['#Contracts]],
IF([TransType]="LS",[Strike]*[['#Contracts]],
IF([TransType]="BP",100*([Strike]-[Strike2])*[['#Contracts]],
IF([TransType]="BC",100*([Strike2]-[Strike])*[['#Contracts]],
IF([TransType]="NC",100*[Strike]*[['#Contracts]],
IF([TransType]="AS",100*[Strike]*[['#Contracts]],0))))))</f>
        <v/>
      </c>
      <c r="T38" s="11">
        <f>IF([CloseDate]&gt;0,"",[Cap])</f>
        <v/>
      </c>
      <c r="U38" s="11">
        <f>IF([CloseDate]&gt;0,"",
IF([TransType]="BC","",
IF([TransType]="BP",100*[Strike]*[['#Contracts]],
[Cap])))</f>
        <v/>
      </c>
      <c r="V38" s="11">
        <f>IF([SYM]="","",[Cap]*[Days])</f>
        <v/>
      </c>
      <c r="W38" s="11">
        <f>IF([SYM]="","",SUMIFS([CapDays],[Trade'#],[[Trade'#]],[Leg],"&lt;="&amp;[Leg]))</f>
        <v/>
      </c>
      <c r="X38" s="79">
        <f>IF([TotCapDays],365*[TotPrem]/[TotCapDays],"")</f>
        <v/>
      </c>
      <c r="Y38" s="10">
        <f>IF([SYM]="","",
IF([TransType]="LS",[Strike]-[TotPrem]/[['#Contracts]],
IF([['#Contracts]],[Strike]-[TotPrem]/[['#Contracts]]/100,"")))</f>
        <v/>
      </c>
      <c r="Z38" s="11">
        <f>IF([CloseDate]&gt;0,"",
IF([TransType]="LS",['#Contracts],
IF([TransType]="AS",100*[['#Contracts]],
IF([TransType]="SP",100*[['#Contracts]],
IF([TransType]="BP",100*[['#Contracts]],"")))))</f>
        <v/>
      </c>
      <c r="AA38" s="49">
        <f>IF([CloseDate]&gt;0,[CloseDate],
IF([ExpDate]&gt;0,[ExpDate],
TODAY()))</f>
        <v/>
      </c>
      <c r="AB38" s="10">
        <f>IF(PERFORMANCE!D8&gt;0,
IF(PERFORMANCE!D8&lt;[ActDate],"",[NetPrem]),
IF(TODAY()&lt;[ActDate],"",[NetPrem]))</f>
        <v/>
      </c>
      <c r="AC38" s="10">
        <f>IF(PERFORMANCE!D8&gt;0,
IF(PERFORMANCE!D8&lt;[ActDate],"",
IF(PERFORMANCE!D8 - [ActDate]&lt;366,[NetPrem],"")),
IF(TODAY()&lt;[ActDate],"",
IF(TODAY() - [ActDate]&lt;366,[NetPrem],"")))</f>
        <v/>
      </c>
      <c r="AD38" s="10">
        <f>IF(PERFORMANCE!D8&gt;0,
IF(PERFORMANCE!D8&lt;[ActDate],"",
IF(YEAR(PERFORMANCE!D8)=YEAR([ActDate]),[NetPrem],"")),
IF(TODAY()&lt;[ActDate],"",
IF(YEAR(TODAY())=YEAR([ActDate]),[NetPrem],"")))</f>
        <v/>
      </c>
      <c r="AE38" s="10">
        <f>IF(PERFORMANCE!D8&gt;0,
IF(PERFORMANCE!D8&lt;[ActDate],[NetPrem],""),
IF(TODAY()&lt;[ActDate],[NetPrem],""))</f>
        <v/>
      </c>
      <c r="AF38" s="52" t="n"/>
      <c r="AG38">
        <f>IF(Table1[SYM]="","",SUMIFS(Table1[NetPrem],Table1[Trade'#],Table1[[Trade'#]],Table1[Leg],"&lt;="&amp;Table1[Leg]))</f>
        <v/>
      </c>
    </row>
    <row r="39">
      <c r="A39" s="15" t="inlineStr">
        <is>
          <t>Bought 2 SFIX May 7 2021 45.0 Put @ 6.2</t>
        </is>
      </c>
      <c r="B39" s="73" t="n">
        <v>11</v>
      </c>
      <c r="C39" s="73" t="n">
        <v>4</v>
      </c>
      <c r="D39" s="15" t="inlineStr">
        <is>
          <t>SP</t>
        </is>
      </c>
      <c r="E39" s="53" t="n">
        <v>44322</v>
      </c>
      <c r="F39" s="53" t="n">
        <v>44322</v>
      </c>
      <c r="G39" s="53" t="n">
        <v>44323</v>
      </c>
      <c r="H39" s="73" t="n">
        <v>45</v>
      </c>
      <c r="I39" s="73" t="n"/>
      <c r="J39" s="75" t="n">
        <v>2</v>
      </c>
      <c r="K39" s="78" t="n">
        <v>-1241.33</v>
      </c>
      <c r="M39" t="inlineStr">
        <is>
          <t>SFIX</t>
        </is>
      </c>
      <c r="N39">
        <f>RTD("tos.rtd",,"last", "SFIX")</f>
        <v/>
      </c>
      <c r="O39">
        <f>RTD("tos.rtd",,"ASK",".SFIX210507P45")</f>
        <v/>
      </c>
      <c r="P39" s="10">
        <f>IF([TransType]="LS", [OpnPrem]+[ClsPrem],
                                            IF([TransType]="AS", [OpnPrem]+[ClsPrem],
                                               [OpnPrem]-[ClsPrem]))</f>
        <v/>
      </c>
      <c r="Q39" s="51">
        <f>IF([SYM]="","",SUMIFS([NetPrem],[Trade'#],[[Trade'#]],[Leg],"&lt;="&amp;[Leg]))</f>
        <v/>
      </c>
      <c r="R3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9" s="11">
        <f>IF([TransType]="SP",100*[Strike]*[['#Contracts]],
IF([TransType]="LS",[Strike]*[['#Contracts]],
IF([TransType]="BP",100*([Strike]-[Strike2])*[['#Contracts]],
IF([TransType]="BC",100*([Strike2]-[Strike])*[['#Contracts]],
IF([TransType]="NC",100*[Strike]*[['#Contracts]],
IF([TransType]="AS",100*[Strike]*[['#Contracts]],0))))))</f>
        <v/>
      </c>
      <c r="T39" s="11">
        <f>IF([CloseDate]&gt;0,"",[Cap])</f>
        <v/>
      </c>
      <c r="U39" s="11">
        <f>IF([CloseDate]&gt;0,"",
IF([TransType]="BC","",
IF([TransType]="BP",100*[Strike]*[['#Contracts]],
[Cap])))</f>
        <v/>
      </c>
      <c r="V39" s="11">
        <f>IF([SYM]="","",[Cap]*[Days])</f>
        <v/>
      </c>
      <c r="W39" s="11">
        <f>IF([SYM]="","",SUMIFS([CapDays],[Trade'#],[[Trade'#]],[Leg],"&lt;="&amp;[Leg]))</f>
        <v/>
      </c>
      <c r="X39" s="79">
        <f>IF([TotCapDays],365*[TotPrem]/[TotCapDays],"")</f>
        <v/>
      </c>
      <c r="Y39" s="10">
        <f>IF([SYM]="","",
IF([TransType]="LS",[Strike]-[TotPrem]/[['#Contracts]],
IF([['#Contracts]],[Strike]-[TotPrem]/[['#Contracts]]/100,"")))</f>
        <v/>
      </c>
      <c r="Z39" s="11">
        <f>IF([CloseDate]&gt;0,"",
IF([TransType]="LS",['#Contracts],
IF([TransType]="AS",100*[['#Contracts]],
IF([TransType]="SP",100*[['#Contracts]],
IF([TransType]="BP",100*[['#Contracts]],"")))))</f>
        <v/>
      </c>
      <c r="AA39" s="49">
        <f>IF([CloseDate]&gt;0,[CloseDate],
IF([ExpDate]&gt;0,[ExpDate],
TODAY()))</f>
        <v/>
      </c>
      <c r="AB39" s="10">
        <f>IF(PERFORMANCE!D8&gt;0,
IF(PERFORMANCE!D8&lt;[ActDate],"",[NetPrem]),
IF(TODAY()&lt;[ActDate],"",[NetPrem]))</f>
        <v/>
      </c>
      <c r="AC39" s="10">
        <f>IF(PERFORMANCE!D8&gt;0,
IF(PERFORMANCE!D8&lt;[ActDate],"",
IF(PERFORMANCE!D8 - [ActDate]&lt;366,[NetPrem],"")),
IF(TODAY()&lt;[ActDate],"",
IF(TODAY() - [ActDate]&lt;366,[NetPrem],"")))</f>
        <v/>
      </c>
      <c r="AD39" s="10">
        <f>IF(PERFORMANCE!D8&gt;0,
IF(PERFORMANCE!D8&lt;[ActDate],"",
IF(YEAR(PERFORMANCE!D8)=YEAR([ActDate]),[NetPrem],"")),
IF(TODAY()&lt;[ActDate],"",
IF(YEAR(TODAY())=YEAR([ActDate]),[NetPrem],"")))</f>
        <v/>
      </c>
      <c r="AE39" s="10">
        <f>IF(PERFORMANCE!D8&gt;0,
IF(PERFORMANCE!D8&lt;[ActDate],[NetPrem],""),
IF(TODAY()&lt;[ActDate],[NetPrem],""))</f>
        <v/>
      </c>
      <c r="AF39" s="52" t="n"/>
      <c r="AG39">
        <f>IF(Table1[SYM]="","",SUMIFS(Table1[NetPrem],Table1[Trade'#],Table1[[Trade'#]],Table1[Leg],"&lt;="&amp;Table1[Leg]))</f>
        <v/>
      </c>
    </row>
    <row r="40">
      <c r="A40" s="15" t="inlineStr">
        <is>
          <t>Bought 2 SFIX Apr 30 2021 45.0 Put @ 1.14</t>
        </is>
      </c>
      <c r="B40" s="73" t="n">
        <v>12</v>
      </c>
      <c r="C40" s="73" t="n">
        <v>1</v>
      </c>
      <c r="D40" s="15" t="inlineStr">
        <is>
          <t>SP</t>
        </is>
      </c>
      <c r="E40" s="53" t="n">
        <v>44316</v>
      </c>
      <c r="F40" s="53" t="n"/>
      <c r="G40" s="53" t="n">
        <v>44316</v>
      </c>
      <c r="H40" s="73" t="n">
        <v>45</v>
      </c>
      <c r="I40" s="73" t="n"/>
      <c r="J40" s="75" t="n">
        <v>2</v>
      </c>
      <c r="K40" s="78" t="n">
        <v>-229.33</v>
      </c>
      <c r="M40" t="inlineStr">
        <is>
          <t>SFIX</t>
        </is>
      </c>
      <c r="N40">
        <f>RTD("tos.rtd",,"last", "SFIX")</f>
        <v/>
      </c>
      <c r="O40">
        <f>RTD("tos.rtd",,"ASK",".SFIX210430P45")</f>
        <v/>
      </c>
      <c r="P40" s="10">
        <f>IF([TransType]="LS", [OpnPrem]+[ClsPrem],
                                            IF([TransType]="AS", [OpnPrem]+[ClsPrem],
                                               [OpnPrem]-[ClsPrem]))</f>
        <v/>
      </c>
      <c r="Q40" s="51">
        <f>IF([SYM]="","",SUMIFS([NetPrem],[Trade'#],[[Trade'#]],[Leg],"&lt;="&amp;[Leg]))</f>
        <v/>
      </c>
      <c r="R4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0" s="11">
        <f>IF([TransType]="SP",100*[Strike]*[['#Contracts]],
IF([TransType]="LS",[Strike]*[['#Contracts]],
IF([TransType]="BP",100*([Strike]-[Strike2])*[['#Contracts]],
IF([TransType]="BC",100*([Strike2]-[Strike])*[['#Contracts]],
IF([TransType]="NC",100*[Strike]*[['#Contracts]],
IF([TransType]="AS",100*[Strike]*[['#Contracts]],0))))))</f>
        <v/>
      </c>
      <c r="T40" s="11">
        <f>IF([CloseDate]&gt;0,"",[Cap])</f>
        <v/>
      </c>
      <c r="U40" s="11">
        <f>IF([CloseDate]&gt;0,"",
IF([TransType]="BC","",
IF([TransType]="BP",100*[Strike]*[['#Contracts]],
[Cap])))</f>
        <v/>
      </c>
      <c r="V40" s="11">
        <f>IF([SYM]="","",[Cap]*[Days])</f>
        <v/>
      </c>
      <c r="W40" s="11">
        <f>IF([SYM]="","",SUMIFS([CapDays],[Trade'#],[[Trade'#]],[Leg],"&lt;="&amp;[Leg]))</f>
        <v/>
      </c>
      <c r="X40" s="79">
        <f>IF([TotCapDays],365*[TotPrem]/[TotCapDays],"")</f>
        <v/>
      </c>
      <c r="Y40" s="10">
        <f>IF([SYM]="","",
IF([TransType]="LS",[Strike]-[TotPrem]/[['#Contracts]],
IF([['#Contracts]],[Strike]-[TotPrem]/[['#Contracts]]/100,"")))</f>
        <v/>
      </c>
      <c r="Z40" s="11">
        <f>IF([CloseDate]&gt;0,"",
IF([TransType]="LS",['#Contracts],
IF([TransType]="AS",100*[['#Contracts]],
IF([TransType]="SP",100*[['#Contracts]],
IF([TransType]="BP",100*[['#Contracts]],"")))))</f>
        <v/>
      </c>
      <c r="AA40" s="49">
        <f>IF([CloseDate]&gt;0,[CloseDate],
IF([ExpDate]&gt;0,[ExpDate],
TODAY()))</f>
        <v/>
      </c>
      <c r="AB40" s="10">
        <f>IF(PERFORMANCE!D8&gt;0,
IF(PERFORMANCE!D8&lt;[ActDate],"",[NetPrem]),
IF(TODAY()&lt;[ActDate],"",[NetPrem]))</f>
        <v/>
      </c>
      <c r="AC40" s="10">
        <f>IF(PERFORMANCE!D8&gt;0,
IF(PERFORMANCE!D8&lt;[ActDate],"",
IF(PERFORMANCE!D8 - [ActDate]&lt;366,[NetPrem],"")),
IF(TODAY()&lt;[ActDate],"",
IF(TODAY() - [ActDate]&lt;366,[NetPrem],"")))</f>
        <v/>
      </c>
      <c r="AD40" s="10">
        <f>IF(PERFORMANCE!D8&gt;0,
IF(PERFORMANCE!D8&lt;[ActDate],"",
IF(YEAR(PERFORMANCE!D8)=YEAR([ActDate]),[NetPrem],"")),
IF(TODAY()&lt;[ActDate],"",
IF(YEAR(TODAY())=YEAR([ActDate]),[NetPrem],"")))</f>
        <v/>
      </c>
      <c r="AE40" s="10">
        <f>IF(PERFORMANCE!D8&gt;0,
IF(PERFORMANCE!D8&lt;[ActDate],[NetPrem],""),
IF(TODAY()&lt;[ActDate],[NetPrem],""))</f>
        <v/>
      </c>
      <c r="AF40" s="52" t="n"/>
      <c r="AG40">
        <f>IF(Table1[SYM]="","",SUMIFS(Table1[NetPrem],Table1[Trade'#],Table1[[Trade'#]],Table1[Leg],"&lt;="&amp;Table1[Leg]))</f>
        <v/>
      </c>
    </row>
    <row r="41">
      <c r="A41" s="15" t="inlineStr">
        <is>
          <t>Sold 2 SFIX May 21 2021 44.5 Put @ 2.78</t>
        </is>
      </c>
      <c r="B41" s="73" t="n">
        <v>12</v>
      </c>
      <c r="C41" s="73" t="n">
        <v>2</v>
      </c>
      <c r="D41" s="15" t="inlineStr">
        <is>
          <t>SP</t>
        </is>
      </c>
      <c r="E41" s="53" t="n">
        <v>44316</v>
      </c>
      <c r="F41" s="53" t="n">
        <v>44328</v>
      </c>
      <c r="G41" s="53" t="n">
        <v>44337</v>
      </c>
      <c r="H41" s="73" t="n">
        <v>44.5</v>
      </c>
      <c r="I41" s="73" t="n"/>
      <c r="J41" s="75" t="n">
        <v>2</v>
      </c>
      <c r="K41" s="78" t="n">
        <v>554.67</v>
      </c>
      <c r="M41" t="inlineStr">
        <is>
          <t>SFIX</t>
        </is>
      </c>
      <c r="N41">
        <f>RTD("tos.rtd",,"last", "SFIX")</f>
        <v/>
      </c>
      <c r="O41">
        <f>RTD("tos.rtd",,"ASK",".SFIX210521P44.5")</f>
        <v/>
      </c>
      <c r="P41" s="10">
        <f>IF([TransType]="LS", [OpnPrem]+[ClsPrem],
                                            IF([TransType]="AS", [OpnPrem]+[ClsPrem],
                                               [OpnPrem]-[ClsPrem]))</f>
        <v/>
      </c>
      <c r="Q41" s="51">
        <f>IF([SYM]="","",SUMIFS([NetPrem],[Trade'#],[[Trade'#]],[Leg],"&lt;="&amp;[Leg]))</f>
        <v/>
      </c>
      <c r="R4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1" s="11">
        <f>IF([TransType]="SP",100*[Strike]*[['#Contracts]],
IF([TransType]="LS",[Strike]*[['#Contracts]],
IF([TransType]="BP",100*([Strike]-[Strike2])*[['#Contracts]],
IF([TransType]="BC",100*([Strike2]-[Strike])*[['#Contracts]],
IF([TransType]="NC",100*[Strike]*[['#Contracts]],
IF([TransType]="AS",100*[Strike]*[['#Contracts]],0))))))</f>
        <v/>
      </c>
      <c r="T41" s="11">
        <f>IF([CloseDate]&gt;0,"",[Cap])</f>
        <v/>
      </c>
      <c r="U41" s="11">
        <f>IF([CloseDate]&gt;0,"",
IF([TransType]="BC","",
IF([TransType]="BP",100*[Strike]*[['#Contracts]],
[Cap])))</f>
        <v/>
      </c>
      <c r="V41" s="11">
        <f>IF([SYM]="","",[Cap]*[Days])</f>
        <v/>
      </c>
      <c r="W41" s="11">
        <f>IF([SYM]="","",SUMIFS([CapDays],[Trade'#],[[Trade'#]],[Leg],"&lt;="&amp;[Leg]))</f>
        <v/>
      </c>
      <c r="X41" s="79">
        <f>IF([TotCapDays],365*[TotPrem]/[TotCapDays],"")</f>
        <v/>
      </c>
      <c r="Y41" s="10">
        <f>IF([SYM]="","",
IF([TransType]="LS",[Strike]-[TotPrem]/[['#Contracts]],
IF([['#Contracts]],[Strike]-[TotPrem]/[['#Contracts]]/100,"")))</f>
        <v/>
      </c>
      <c r="Z41" s="11">
        <f>IF([CloseDate]&gt;0,"",
IF([TransType]="LS",['#Contracts],
IF([TransType]="AS",100*[['#Contracts]],
IF([TransType]="SP",100*[['#Contracts]],
IF([TransType]="BP",100*[['#Contracts]],"")))))</f>
        <v/>
      </c>
      <c r="AA41" s="49">
        <f>IF([CloseDate]&gt;0,[CloseDate],
IF([ExpDate]&gt;0,[ExpDate],
TODAY()))</f>
        <v/>
      </c>
      <c r="AB41" s="10">
        <f>IF(PERFORMANCE!D8&gt;0,
IF(PERFORMANCE!D8&lt;[ActDate],"",[NetPrem]),
IF(TODAY()&lt;[ActDate],"",[NetPrem]))</f>
        <v/>
      </c>
      <c r="AC41" s="10">
        <f>IF(PERFORMANCE!D8&gt;0,
IF(PERFORMANCE!D8&lt;[ActDate],"",
IF(PERFORMANCE!D8 - [ActDate]&lt;366,[NetPrem],"")),
IF(TODAY()&lt;[ActDate],"",
IF(TODAY() - [ActDate]&lt;366,[NetPrem],"")))</f>
        <v/>
      </c>
      <c r="AD41" s="10">
        <f>IF(PERFORMANCE!D8&gt;0,
IF(PERFORMANCE!D8&lt;[ActDate],"",
IF(YEAR(PERFORMANCE!D8)=YEAR([ActDate]),[NetPrem],"")),
IF(TODAY()&lt;[ActDate],"",
IF(YEAR(TODAY())=YEAR([ActDate]),[NetPrem],"")))</f>
        <v/>
      </c>
      <c r="AE41" s="10">
        <f>IF(PERFORMANCE!D8&gt;0,
IF(PERFORMANCE!D8&lt;[ActDate],[NetPrem],""),
IF(TODAY()&lt;[ActDate],[NetPrem],""))</f>
        <v/>
      </c>
      <c r="AF41" s="52" t="n"/>
      <c r="AG41">
        <f>IF(Table1[SYM]="","",SUMIFS(Table1[NetPrem],Table1[Trade'#],Table1[[Trade'#]],Table1[Leg],"&lt;="&amp;Table1[Leg]))</f>
        <v/>
      </c>
    </row>
    <row r="42">
      <c r="A42" s="15" t="inlineStr">
        <is>
          <t>Sold 2 SFIX Jun 11 2021 43.0 Put @ 6.5</t>
        </is>
      </c>
      <c r="B42" s="73" t="n">
        <v>12</v>
      </c>
      <c r="C42" s="73" t="n">
        <v>3</v>
      </c>
      <c r="D42" s="15" t="inlineStr">
        <is>
          <t>SP</t>
        </is>
      </c>
      <c r="E42" s="53" t="n">
        <v>44322</v>
      </c>
      <c r="F42" s="53" t="n">
        <v>44356</v>
      </c>
      <c r="G42" s="53" t="n">
        <v>44358</v>
      </c>
      <c r="H42" s="73" t="n">
        <v>43</v>
      </c>
      <c r="I42" s="73" t="n"/>
      <c r="J42" s="75" t="n">
        <v>2</v>
      </c>
      <c r="K42" s="78" t="n">
        <v>1298.66</v>
      </c>
      <c r="M42" t="inlineStr">
        <is>
          <t>SFIX</t>
        </is>
      </c>
      <c r="N42">
        <f>RTD("tos.rtd",,"last", "SFIX")</f>
        <v/>
      </c>
      <c r="O42">
        <f>RTD("tos.rtd",,"ASK",".SFIX210611P43")</f>
        <v/>
      </c>
      <c r="P42" s="10">
        <f>IF([TransType]="LS", [OpnPrem]+[ClsPrem],
                                            IF([TransType]="AS", [OpnPrem]+[ClsPrem],
                                               [OpnPrem]-[ClsPrem]))</f>
        <v/>
      </c>
      <c r="Q42" s="51">
        <f>IF([SYM]="","",SUMIFS([NetPrem],[Trade'#],[[Trade'#]],[Leg],"&lt;="&amp;[Leg]))</f>
        <v/>
      </c>
      <c r="R4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2" s="11">
        <f>IF([TransType]="SP",100*[Strike]*[['#Contracts]],
IF([TransType]="LS",[Strike]*[['#Contracts]],
IF([TransType]="BP",100*([Strike]-[Strike2])*[['#Contracts]],
IF([TransType]="BC",100*([Strike2]-[Strike])*[['#Contracts]],
IF([TransType]="NC",100*[Strike]*[['#Contracts]],
IF([TransType]="AS",100*[Strike]*[['#Contracts]],0))))))</f>
        <v/>
      </c>
      <c r="T42" s="11">
        <f>IF([CloseDate]&gt;0,"",[Cap])</f>
        <v/>
      </c>
      <c r="U42" s="11">
        <f>IF([CloseDate]&gt;0,"",
IF([TransType]="BC","",
IF([TransType]="BP",100*[Strike]*[['#Contracts]],
[Cap])))</f>
        <v/>
      </c>
      <c r="V42" s="11">
        <f>IF([SYM]="","",[Cap]*[Days])</f>
        <v/>
      </c>
      <c r="W42" s="11">
        <f>IF([SYM]="","",SUMIFS([CapDays],[Trade'#],[[Trade'#]],[Leg],"&lt;="&amp;[Leg]))</f>
        <v/>
      </c>
      <c r="X42" s="79">
        <f>IF([TotCapDays],365*[TotPrem]/[TotCapDays],"")</f>
        <v/>
      </c>
      <c r="Y42" s="10">
        <f>IF([SYM]="","",
IF([TransType]="LS",[Strike]-[TotPrem]/[['#Contracts]],
IF([['#Contracts]],[Strike]-[TotPrem]/[['#Contracts]]/100,"")))</f>
        <v/>
      </c>
      <c r="Z42" s="11">
        <f>IF([CloseDate]&gt;0,"",
IF([TransType]="LS",['#Contracts],
IF([TransType]="AS",100*[['#Contracts]],
IF([TransType]="SP",100*[['#Contracts]],
IF([TransType]="BP",100*[['#Contracts]],"")))))</f>
        <v/>
      </c>
      <c r="AA42" s="49">
        <f>IF([CloseDate]&gt;0,[CloseDate],
IF([ExpDate]&gt;0,[ExpDate],
TODAY()))</f>
        <v/>
      </c>
      <c r="AB42" s="10">
        <f>IF(PERFORMANCE!D8&gt;0,
IF(PERFORMANCE!D8&lt;[ActDate],"",[NetPrem]),
IF(TODAY()&lt;[ActDate],"",[NetPrem]))</f>
        <v/>
      </c>
      <c r="AC42" s="10">
        <f>IF(PERFORMANCE!D8&gt;0,
IF(PERFORMANCE!D8&lt;[ActDate],"",
IF(PERFORMANCE!D8 - [ActDate]&lt;366,[NetPrem],"")),
IF(TODAY()&lt;[ActDate],"",
IF(TODAY() - [ActDate]&lt;366,[NetPrem],"")))</f>
        <v/>
      </c>
      <c r="AD42" s="10">
        <f>IF(PERFORMANCE!D8&gt;0,
IF(PERFORMANCE!D8&lt;[ActDate],"",
IF(YEAR(PERFORMANCE!D8)=YEAR([ActDate]),[NetPrem],"")),
IF(TODAY()&lt;[ActDate],"",
IF(YEAR(TODAY())=YEAR([ActDate]),[NetPrem],"")))</f>
        <v/>
      </c>
      <c r="AE42" s="10">
        <f>IF(PERFORMANCE!D8&gt;0,
IF(PERFORMANCE!D8&lt;[ActDate],[NetPrem],""),
IF(TODAY()&lt;[ActDate],[NetPrem],""))</f>
        <v/>
      </c>
      <c r="AF42" s="52" t="n"/>
      <c r="AG42">
        <f>IF(Table1[SYM]="","",SUMIFS(Table1[NetPrem],Table1[Trade'#],Table1[[Trade'#]],Table1[Leg],"&lt;="&amp;Table1[Leg]))</f>
        <v/>
      </c>
    </row>
    <row r="43">
      <c r="A43" s="15" t="inlineStr">
        <is>
          <t>Bought 1 SFIX May 21 2021 44.5 Put @ 3.47</t>
        </is>
      </c>
      <c r="B43" s="73" t="n">
        <v>12</v>
      </c>
      <c r="C43" s="73" t="n">
        <v>4</v>
      </c>
      <c r="D43" s="15" t="inlineStr">
        <is>
          <t>SP</t>
        </is>
      </c>
      <c r="E43" s="53" t="n">
        <v>44328</v>
      </c>
      <c r="F43" s="53" t="n">
        <v>44328</v>
      </c>
      <c r="G43" s="53" t="n">
        <v>44337</v>
      </c>
      <c r="H43" s="73" t="n">
        <v>44.5</v>
      </c>
      <c r="I43" s="73" t="n"/>
      <c r="J43" s="75" t="n">
        <v>1</v>
      </c>
      <c r="K43" s="78" t="n">
        <v>-347.66</v>
      </c>
      <c r="M43" t="inlineStr">
        <is>
          <t>SFIX</t>
        </is>
      </c>
      <c r="N43">
        <f>RTD("tos.rtd",,"last", "SFIX")</f>
        <v/>
      </c>
      <c r="O43">
        <f>RTD("tos.rtd",,"ASK",".SFIX210521P44.5")</f>
        <v/>
      </c>
      <c r="P43" s="10">
        <f>IF([TransType]="LS", [OpnPrem]+[ClsPrem],
                                            IF([TransType]="AS", [OpnPrem]+[ClsPrem],
                                               [OpnPrem]-[ClsPrem]))</f>
        <v/>
      </c>
      <c r="Q43" s="51">
        <f>IF([SYM]="","",SUMIFS([NetPrem],[Trade'#],[[Trade'#]],[Leg],"&lt;="&amp;[Leg]))</f>
        <v/>
      </c>
      <c r="R4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3" s="11">
        <f>IF([TransType]="SP",100*[Strike]*[['#Contracts]],
IF([TransType]="LS",[Strike]*[['#Contracts]],
IF([TransType]="BP",100*([Strike]-[Strike2])*[['#Contracts]],
IF([TransType]="BC",100*([Strike2]-[Strike])*[['#Contracts]],
IF([TransType]="NC",100*[Strike]*[['#Contracts]],
IF([TransType]="AS",100*[Strike]*[['#Contracts]],0))))))</f>
        <v/>
      </c>
      <c r="T43" s="11">
        <f>IF([CloseDate]&gt;0,"",[Cap])</f>
        <v/>
      </c>
      <c r="U43" s="11">
        <f>IF([CloseDate]&gt;0,"",
IF([TransType]="BC","",
IF([TransType]="BP",100*[Strike]*[['#Contracts]],
[Cap])))</f>
        <v/>
      </c>
      <c r="V43" s="11">
        <f>IF([SYM]="","",[Cap]*[Days])</f>
        <v/>
      </c>
      <c r="W43" s="11">
        <f>IF([SYM]="","",SUMIFS([CapDays],[Trade'#],[[Trade'#]],[Leg],"&lt;="&amp;[Leg]))</f>
        <v/>
      </c>
      <c r="X43" s="79">
        <f>IF([TotCapDays],365*[TotPrem]/[TotCapDays],"")</f>
        <v/>
      </c>
      <c r="Y43" s="10">
        <f>IF([SYM]="","",
IF([TransType]="LS",[Strike]-[TotPrem]/[['#Contracts]],
IF([['#Contracts]],[Strike]-[TotPrem]/[['#Contracts]]/100,"")))</f>
        <v/>
      </c>
      <c r="Z43" s="11">
        <f>IF([CloseDate]&gt;0,"",
IF([TransType]="LS",['#Contracts],
IF([TransType]="AS",100*[['#Contracts]],
IF([TransType]="SP",100*[['#Contracts]],
IF([TransType]="BP",100*[['#Contracts]],"")))))</f>
        <v/>
      </c>
      <c r="AA43" s="49">
        <f>IF([CloseDate]&gt;0,[CloseDate],
IF([ExpDate]&gt;0,[ExpDate],
TODAY()))</f>
        <v/>
      </c>
      <c r="AB43" s="10">
        <f>IF(PERFORMANCE!D8&gt;0,
IF(PERFORMANCE!D8&lt;[ActDate],"",[NetPrem]),
IF(TODAY()&lt;[ActDate],"",[NetPrem]))</f>
        <v/>
      </c>
      <c r="AC43" s="10">
        <f>IF(PERFORMANCE!D8&gt;0,
IF(PERFORMANCE!D8&lt;[ActDate],"",
IF(PERFORMANCE!D8 - [ActDate]&lt;366,[NetPrem],"")),
IF(TODAY()&lt;[ActDate],"",
IF(TODAY() - [ActDate]&lt;366,[NetPrem],"")))</f>
        <v/>
      </c>
      <c r="AD43" s="10">
        <f>IF(PERFORMANCE!D8&gt;0,
IF(PERFORMANCE!D8&lt;[ActDate],"",
IF(YEAR(PERFORMANCE!D8)=YEAR([ActDate]),[NetPrem],"")),
IF(TODAY()&lt;[ActDate],"",
IF(YEAR(TODAY())=YEAR([ActDate]),[NetPrem],"")))</f>
        <v/>
      </c>
      <c r="AE43" s="10">
        <f>IF(PERFORMANCE!D8&gt;0,
IF(PERFORMANCE!D8&lt;[ActDate],[NetPrem],""),
IF(TODAY()&lt;[ActDate],[NetPrem],""))</f>
        <v/>
      </c>
      <c r="AF43" s="52" t="n"/>
      <c r="AG43">
        <f>IF(Table1[SYM]="","",SUMIFS(Table1[NetPrem],Table1[Trade'#],Table1[[Trade'#]],Table1[Leg],"&lt;="&amp;Table1[Leg]))</f>
        <v/>
      </c>
    </row>
    <row r="44">
      <c r="A44" s="15" t="inlineStr">
        <is>
          <t>Sold 1 SFIX Jun 11 2021 42.0 Put @ 4.87</t>
        </is>
      </c>
      <c r="B44" s="73" t="n">
        <v>12</v>
      </c>
      <c r="C44" s="73" t="n">
        <v>5</v>
      </c>
      <c r="D44" s="15" t="inlineStr">
        <is>
          <t>SP</t>
        </is>
      </c>
      <c r="E44" s="53" t="n">
        <v>44328</v>
      </c>
      <c r="F44" s="53" t="n">
        <v>44342</v>
      </c>
      <c r="G44" s="53" t="n">
        <v>44358</v>
      </c>
      <c r="H44" s="73" t="n">
        <v>42</v>
      </c>
      <c r="I44" s="73" t="n"/>
      <c r="J44" s="75" t="n">
        <v>1</v>
      </c>
      <c r="K44" s="78" t="n">
        <v>486.34</v>
      </c>
      <c r="M44" t="inlineStr">
        <is>
          <t>SFIX</t>
        </is>
      </c>
      <c r="N44">
        <f>RTD("tos.rtd",,"last", "SFIX")</f>
        <v/>
      </c>
      <c r="O44">
        <f>RTD("tos.rtd",,"ASK",".SFIX210611P42")</f>
        <v/>
      </c>
      <c r="P44" s="10">
        <f>IF([TransType]="LS", [OpnPrem]+[ClsPrem],
                                            IF([TransType]="AS", [OpnPrem]+[ClsPrem],
                                               [OpnPrem]-[ClsPrem]))</f>
        <v/>
      </c>
      <c r="Q44" s="51">
        <f>IF([SYM]="","",SUMIFS([NetPrem],[Trade'#],[[Trade'#]],[Leg],"&lt;="&amp;[Leg]))</f>
        <v/>
      </c>
      <c r="R4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4" s="11">
        <f>IF([TransType]="SP",100*[Strike]*[['#Contracts]],
IF([TransType]="LS",[Strike]*[['#Contracts]],
IF([TransType]="BP",100*([Strike]-[Strike2])*[['#Contracts]],
IF([TransType]="BC",100*([Strike2]-[Strike])*[['#Contracts]],
IF([TransType]="NC",100*[Strike]*[['#Contracts]],
IF([TransType]="AS",100*[Strike]*[['#Contracts]],0))))))</f>
        <v/>
      </c>
      <c r="T44" s="11">
        <f>IF([CloseDate]&gt;0,"",[Cap])</f>
        <v/>
      </c>
      <c r="U44" s="11">
        <f>IF([CloseDate]&gt;0,"",
IF([TransType]="BC","",
IF([TransType]="BP",100*[Strike]*[['#Contracts]],
[Cap])))</f>
        <v/>
      </c>
      <c r="V44" s="11">
        <f>IF([SYM]="","",[Cap]*[Days])</f>
        <v/>
      </c>
      <c r="W44" s="11">
        <f>IF([SYM]="","",SUMIFS([CapDays],[Trade'#],[[Trade'#]],[Leg],"&lt;="&amp;[Leg]))</f>
        <v/>
      </c>
      <c r="X44" s="79">
        <f>IF([TotCapDays],365*[TotPrem]/[TotCapDays],"")</f>
        <v/>
      </c>
      <c r="Y44" s="10">
        <f>IF([SYM]="","",
IF([TransType]="LS",[Strike]-[TotPrem]/[['#Contracts]],
IF([['#Contracts]],[Strike]-[TotPrem]/[['#Contracts]]/100,"")))</f>
        <v/>
      </c>
      <c r="Z44" s="11">
        <f>IF([CloseDate]&gt;0,"",
IF([TransType]="LS",['#Contracts],
IF([TransType]="AS",100*[['#Contracts]],
IF([TransType]="SP",100*[['#Contracts]],
IF([TransType]="BP",100*[['#Contracts]],"")))))</f>
        <v/>
      </c>
      <c r="AA44" s="49">
        <f>IF([CloseDate]&gt;0,[CloseDate],
IF([ExpDate]&gt;0,[ExpDate],
TODAY()))</f>
        <v/>
      </c>
      <c r="AB44" s="10">
        <f>IF(PERFORMANCE!D8&gt;0,
IF(PERFORMANCE!D8&lt;[ActDate],"",[NetPrem]),
IF(TODAY()&lt;[ActDate],"",[NetPrem]))</f>
        <v/>
      </c>
      <c r="AC44" s="10">
        <f>IF(PERFORMANCE!D8&gt;0,
IF(PERFORMANCE!D8&lt;[ActDate],"",
IF(PERFORMANCE!D8 - [ActDate]&lt;366,[NetPrem],"")),
IF(TODAY()&lt;[ActDate],"",
IF(TODAY() - [ActDate]&lt;366,[NetPrem],"")))</f>
        <v/>
      </c>
      <c r="AD44" s="10">
        <f>IF(PERFORMANCE!D8&gt;0,
IF(PERFORMANCE!D8&lt;[ActDate],"",
IF(YEAR(PERFORMANCE!D8)=YEAR([ActDate]),[NetPrem],"")),
IF(TODAY()&lt;[ActDate],"",
IF(YEAR(TODAY())=YEAR([ActDate]),[NetPrem],"")))</f>
        <v/>
      </c>
      <c r="AE44" s="10">
        <f>IF(PERFORMANCE!D8&gt;0,
IF(PERFORMANCE!D8&lt;[ActDate],[NetPrem],""),
IF(TODAY()&lt;[ActDate],[NetPrem],""))</f>
        <v/>
      </c>
      <c r="AF44" s="52" t="n"/>
      <c r="AG44">
        <f>IF(Table1[SYM]="","",SUMIFS(Table1[NetPrem],Table1[Trade'#],Table1[[Trade'#]],Table1[Leg],"&lt;="&amp;Table1[Leg]))</f>
        <v/>
      </c>
    </row>
    <row r="45">
      <c r="A45" s="15" t="inlineStr">
        <is>
          <t>Bought 1 SFIX May 21 2021 44.5 Put @ 4.4</t>
        </is>
      </c>
      <c r="B45" s="73" t="n">
        <v>12</v>
      </c>
      <c r="C45" s="73" t="n">
        <v>6</v>
      </c>
      <c r="D45" s="15" t="inlineStr">
        <is>
          <t>SP</t>
        </is>
      </c>
      <c r="E45" s="53" t="n">
        <v>44328</v>
      </c>
      <c r="F45" s="53" t="n">
        <v>44328</v>
      </c>
      <c r="G45" s="53" t="n">
        <v>44337</v>
      </c>
      <c r="H45" s="73" t="n">
        <v>44.5</v>
      </c>
      <c r="I45" s="73" t="n"/>
      <c r="J45" s="75" t="n">
        <v>1</v>
      </c>
      <c r="K45" s="78" t="n">
        <v>-440.66</v>
      </c>
      <c r="M45" t="inlineStr">
        <is>
          <t>SFIX</t>
        </is>
      </c>
      <c r="N45">
        <f>RTD("tos.rtd",,"last", "SFIX")</f>
        <v/>
      </c>
      <c r="O45">
        <f>RTD("tos.rtd",,"ASK",".SFIX210521P44.5")</f>
        <v/>
      </c>
      <c r="P45" s="10">
        <f>IF([TransType]="LS", [OpnPrem]+[ClsPrem],
                                            IF([TransType]="AS", [OpnPrem]+[ClsPrem],
                                               [OpnPrem]-[ClsPrem]))</f>
        <v/>
      </c>
      <c r="Q45" s="51">
        <f>IF([SYM]="","",SUMIFS([NetPrem],[Trade'#],[[Trade'#]],[Leg],"&lt;="&amp;[Leg]))</f>
        <v/>
      </c>
      <c r="R4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5" s="11">
        <f>IF([TransType]="SP",100*[Strike]*[['#Contracts]],
IF([TransType]="LS",[Strike]*[['#Contracts]],
IF([TransType]="BP",100*([Strike]-[Strike2])*[['#Contracts]],
IF([TransType]="BC",100*([Strike2]-[Strike])*[['#Contracts]],
IF([TransType]="NC",100*[Strike]*[['#Contracts]],
IF([TransType]="AS",100*[Strike]*[['#Contracts]],0))))))</f>
        <v/>
      </c>
      <c r="T45" s="11">
        <f>IF([CloseDate]&gt;0,"",[Cap])</f>
        <v/>
      </c>
      <c r="U45" s="11">
        <f>IF([CloseDate]&gt;0,"",
IF([TransType]="BC","",
IF([TransType]="BP",100*[Strike]*[['#Contracts]],
[Cap])))</f>
        <v/>
      </c>
      <c r="V45" s="11">
        <f>IF([SYM]="","",[Cap]*[Days])</f>
        <v/>
      </c>
      <c r="W45" s="11">
        <f>IF([SYM]="","",SUMIFS([CapDays],[Trade'#],[[Trade'#]],[Leg],"&lt;="&amp;[Leg]))</f>
        <v/>
      </c>
      <c r="X45" s="79">
        <f>IF([TotCapDays],365*[TotPrem]/[TotCapDays],"")</f>
        <v/>
      </c>
      <c r="Y45" s="10">
        <f>IF([SYM]="","",
IF([TransType]="LS",[Strike]-[TotPrem]/[['#Contracts]],
IF([['#Contracts]],[Strike]-[TotPrem]/[['#Contracts]]/100,"")))</f>
        <v/>
      </c>
      <c r="Z45" s="11">
        <f>IF([CloseDate]&gt;0,"",
IF([TransType]="LS",['#Contracts],
IF([TransType]="AS",100*[['#Contracts]],
IF([TransType]="SP",100*[['#Contracts]],
IF([TransType]="BP",100*[['#Contracts]],"")))))</f>
        <v/>
      </c>
      <c r="AA45" s="49">
        <f>IF([CloseDate]&gt;0,[CloseDate],
IF([ExpDate]&gt;0,[ExpDate],
TODAY()))</f>
        <v/>
      </c>
      <c r="AB45" s="10">
        <f>IF(PERFORMANCE!D8&gt;0,
IF(PERFORMANCE!D8&lt;[ActDate],"",[NetPrem]),
IF(TODAY()&lt;[ActDate],"",[NetPrem]))</f>
        <v/>
      </c>
      <c r="AC45" s="10">
        <f>IF(PERFORMANCE!D8&gt;0,
IF(PERFORMANCE!D8&lt;[ActDate],"",
IF(PERFORMANCE!D8 - [ActDate]&lt;366,[NetPrem],"")),
IF(TODAY()&lt;[ActDate],"",
IF(TODAY() - [ActDate]&lt;366,[NetPrem],"")))</f>
        <v/>
      </c>
      <c r="AD45" s="10">
        <f>IF(PERFORMANCE!D8&gt;0,
IF(PERFORMANCE!D8&lt;[ActDate],"",
IF(YEAR(PERFORMANCE!D8)=YEAR([ActDate]),[NetPrem],"")),
IF(TODAY()&lt;[ActDate],"",
IF(YEAR(TODAY())=YEAR([ActDate]),[NetPrem],"")))</f>
        <v/>
      </c>
      <c r="AE45" s="10">
        <f>IF(PERFORMANCE!D8&gt;0,
IF(PERFORMANCE!D8&lt;[ActDate],[NetPrem],""),
IF(TODAY()&lt;[ActDate],[NetPrem],""))</f>
        <v/>
      </c>
      <c r="AF45" s="52" t="n"/>
      <c r="AG45">
        <f>IF(Table1[SYM]="","",SUMIFS(Table1[NetPrem],Table1[Trade'#],Table1[[Trade'#]],Table1[Leg],"&lt;="&amp;Table1[Leg]))</f>
        <v/>
      </c>
    </row>
    <row r="46">
      <c r="A46" s="15" t="inlineStr">
        <is>
          <t>Sold 1 SFIX Jun 11 2021 42.0 Put @ 4.66</t>
        </is>
      </c>
      <c r="B46" s="73" t="n">
        <v>12</v>
      </c>
      <c r="C46" s="73" t="n">
        <v>6</v>
      </c>
      <c r="D46" s="15" t="inlineStr">
        <is>
          <t>SP</t>
        </is>
      </c>
      <c r="E46" s="53" t="n">
        <v>44328</v>
      </c>
      <c r="F46" s="53" t="n">
        <v>44342</v>
      </c>
      <c r="G46" s="53" t="n">
        <v>44358</v>
      </c>
      <c r="H46" s="73" t="n">
        <v>42</v>
      </c>
      <c r="I46" s="73" t="n"/>
      <c r="J46" s="75" t="n">
        <v>1</v>
      </c>
      <c r="K46" s="78" t="n">
        <v>465.34</v>
      </c>
      <c r="M46" s="78" t="inlineStr">
        <is>
          <t>SFIX</t>
        </is>
      </c>
      <c r="N46">
        <f>RTD("tos.rtd",,"last", "SFIX")</f>
        <v/>
      </c>
      <c r="O46">
        <f>RTD("tos.rtd",,"ASK",".SFIX210611P42")</f>
        <v/>
      </c>
      <c r="P46" s="10">
        <f>IF([TransType]="LS", [OpnPrem]+[ClsPrem],
                                            IF([TransType]="AS", [OpnPrem]+[ClsPrem],
                                               [OpnPrem]-[ClsPrem]))</f>
        <v/>
      </c>
      <c r="Q46" s="51">
        <f>IF([SYM]="","",SUMIFS([NetPrem],[Trade'#],[[Trade'#]],[Leg],"&lt;="&amp;[Leg]))</f>
        <v/>
      </c>
      <c r="R4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6" s="11">
        <f>IF([TransType]="SP",100*[Strike]*[['#Contracts]],
IF([TransType]="LS",[Strike]*[['#Contracts]],
IF([TransType]="BP",100*([Strike]-[Strike2])*[['#Contracts]],
IF([TransType]="BC",100*([Strike2]-[Strike])*[['#Contracts]],
IF([TransType]="NC",100*[Strike]*[['#Contracts]],
IF([TransType]="AS",100*[Strike]*[['#Contracts]],0))))))</f>
        <v/>
      </c>
      <c r="T46" s="11">
        <f>IF([CloseDate]&gt;0,"",[Cap])</f>
        <v/>
      </c>
      <c r="U46" s="11">
        <f>IF([CloseDate]&gt;0,"",
IF([TransType]="BC","",
IF([TransType]="BP",100*[Strike]*[['#Contracts]],
[Cap])))</f>
        <v/>
      </c>
      <c r="V46" s="11">
        <f>IF([SYM]="","",[Cap]*[Days])</f>
        <v/>
      </c>
      <c r="W46" s="11">
        <f>IF([SYM]="","",SUMIFS([CapDays],[Trade'#],[[Trade'#]],[Leg],"&lt;="&amp;[Leg]))</f>
        <v/>
      </c>
      <c r="X46" s="79">
        <f>IF([TotCapDays],365*[TotPrem]/[TotCapDays],"")</f>
        <v/>
      </c>
      <c r="Y46" s="10">
        <f>IF([SYM]="","",
IF([TransType]="LS",[Strike]-[TotPrem]/[['#Contracts]],
IF([['#Contracts]],[Strike]-[TotPrem]/[['#Contracts]]/100,"")))</f>
        <v/>
      </c>
      <c r="Z46" s="11">
        <f>IF([CloseDate]&gt;0,"",
IF([TransType]="LS",['#Contracts],
IF([TransType]="AS",100*[['#Contracts]],
IF([TransType]="SP",100*[['#Contracts]],
IF([TransType]="BP",100*[['#Contracts]],"")))))</f>
        <v/>
      </c>
      <c r="AA46" s="49">
        <f>IF([CloseDate]&gt;0,[CloseDate],
IF([ExpDate]&gt;0,[ExpDate],
TODAY()))</f>
        <v/>
      </c>
      <c r="AB46" s="10">
        <f>IF(PERFORMANCE!D8&gt;0,
IF(PERFORMANCE!D8&lt;[ActDate],"",[NetPrem]),
IF(TODAY()&lt;[ActDate],"",[NetPrem]))</f>
        <v/>
      </c>
      <c r="AC46" s="10">
        <f>IF(PERFORMANCE!D8&gt;0,
IF(PERFORMANCE!D8&lt;[ActDate],"",
IF(PERFORMANCE!D8 - [ActDate]&lt;366,[NetPrem],"")),
IF(TODAY()&lt;[ActDate],"",
IF(TODAY() - [ActDate]&lt;366,[NetPrem],"")))</f>
        <v/>
      </c>
      <c r="AD46" s="10">
        <f>IF(PERFORMANCE!D8&gt;0,
IF(PERFORMANCE!D8&lt;[ActDate],"",
IF(YEAR(PERFORMANCE!D8)=YEAR([ActDate]),[NetPrem],"")),
IF(TODAY()&lt;[ActDate],"",
IF(YEAR(TODAY())=YEAR([ActDate]),[NetPrem],"")))</f>
        <v/>
      </c>
      <c r="AE46" s="10">
        <f>IF(PERFORMANCE!D8&gt;0,
IF(PERFORMANCE!D8&lt;[ActDate],[NetPrem],""),
IF(TODAY()&lt;[ActDate],[NetPrem],""))</f>
        <v/>
      </c>
      <c r="AF46" s="52" t="n"/>
      <c r="AG46">
        <f>IF(Table1[SYM]="","",SUMIFS(Table1[NetPrem],Table1[Trade'#],Table1[[Trade'#]],Table1[Leg],"&lt;="&amp;Table1[Leg]))</f>
        <v/>
      </c>
    </row>
    <row r="47">
      <c r="A47" s="15" t="inlineStr">
        <is>
          <t>Bought 2 SFIX Jun 11 2021 42.0 Put @ 1.55</t>
        </is>
      </c>
      <c r="B47" s="73" t="n">
        <v>12</v>
      </c>
      <c r="C47" s="73" t="n">
        <v>7</v>
      </c>
      <c r="D47" s="15" t="inlineStr">
        <is>
          <t>SP</t>
        </is>
      </c>
      <c r="E47" s="53" t="n">
        <v>44342</v>
      </c>
      <c r="F47" s="53" t="n">
        <v>44342</v>
      </c>
      <c r="G47" s="53" t="n">
        <v>44358</v>
      </c>
      <c r="H47" s="73" t="n">
        <v>42</v>
      </c>
      <c r="I47" s="73" t="n"/>
      <c r="J47" s="75" t="n">
        <v>2</v>
      </c>
      <c r="K47" s="78" t="n">
        <v>-311.33</v>
      </c>
      <c r="M47" s="78" t="inlineStr">
        <is>
          <t>SFIX</t>
        </is>
      </c>
      <c r="N47" s="73">
        <f>RTD("tos.rtd",,"last", "SFIX")</f>
        <v/>
      </c>
      <c r="O47" s="73">
        <f>RTD("tos.rtd",,"ASK",".SFIX210611P42")</f>
        <v/>
      </c>
      <c r="P47" s="10">
        <f>IF([TransType]="LS", [OpnPrem]+[ClsPrem],
                                            IF([TransType]="AS", [OpnPrem]+[ClsPrem],
                                               [OpnPrem]-[ClsPrem]))</f>
        <v/>
      </c>
      <c r="Q47" s="51">
        <f>IF([SYM]="","",SUMIFS([NetPrem],[Trade'#],[[Trade'#]],[Leg],"&lt;="&amp;[Leg]))</f>
        <v/>
      </c>
      <c r="R4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7" s="11">
        <f>IF([TransType]="SP",100*[Strike]*[['#Contracts]],
IF([TransType]="LS",[Strike]*[['#Contracts]],
IF([TransType]="BP",100*([Strike]-[Strike2])*[['#Contracts]],
IF([TransType]="BC",100*([Strike2]-[Strike])*[['#Contracts]],
IF([TransType]="NC",100*[Strike]*[['#Contracts]],
IF([TransType]="AS",100*[Strike]*[['#Contracts]],0))))))</f>
        <v/>
      </c>
      <c r="T47" s="11">
        <f>IF([CloseDate]&gt;0,"",[Cap])</f>
        <v/>
      </c>
      <c r="U47" s="11">
        <f>IF([CloseDate]&gt;0,"",
IF([TransType]="BC","",
IF([TransType]="BP",100*[Strike]*[['#Contracts]],
[Cap])))</f>
        <v/>
      </c>
      <c r="V47" s="11">
        <f>IF([SYM]="","",[Cap]*[Days])</f>
        <v/>
      </c>
      <c r="W47" s="11">
        <f>IF([SYM]="","",SUMIFS([CapDays],[Trade'#],[[Trade'#]],[Leg],"&lt;="&amp;[Leg]))</f>
        <v/>
      </c>
      <c r="X47" s="79">
        <f>IF([TotCapDays],365*[TotPrem]/[TotCapDays],"")</f>
        <v/>
      </c>
      <c r="Y47" s="10">
        <f>IF([SYM]="","",
IF([TransType]="LS",[Strike]-[TotPrem]/[['#Contracts]],
IF([['#Contracts]],[Strike]-[TotPrem]/[['#Contracts]]/100,"")))</f>
        <v/>
      </c>
      <c r="Z47" s="11">
        <f>IF([CloseDate]&gt;0,"",
IF([TransType]="LS",['#Contracts],
IF([TransType]="AS",100*[['#Contracts]],
IF([TransType]="SP",100*[['#Contracts]],
IF([TransType]="BP",100*[['#Contracts]],"")))))</f>
        <v/>
      </c>
      <c r="AA47" s="49">
        <f>IF([CloseDate]&gt;0,[CloseDate],
IF([ExpDate]&gt;0,[ExpDate],
TODAY()))</f>
        <v/>
      </c>
      <c r="AB47" s="10">
        <f>IF(PERFORMANCE!D8&gt;0,
IF(PERFORMANCE!D8&lt;[ActDate],"",[NetPrem]),
IF(TODAY()&lt;[ActDate],"",[NetPrem]))</f>
        <v/>
      </c>
      <c r="AC47" s="10">
        <f>IF(PERFORMANCE!D8&gt;0,
IF(PERFORMANCE!D8&lt;[ActDate],"",
IF(PERFORMANCE!D8 - [ActDate]&lt;366,[NetPrem],"")),
IF(TODAY()&lt;[ActDate],"",
IF(TODAY() - [ActDate]&lt;366,[NetPrem],"")))</f>
        <v/>
      </c>
      <c r="AD47" s="10">
        <f>IF(PERFORMANCE!D8&gt;0,
IF(PERFORMANCE!D8&lt;[ActDate],"",
IF(YEAR(PERFORMANCE!D8)=YEAR([ActDate]),[NetPrem],"")),
IF(TODAY()&lt;[ActDate],"",
IF(YEAR(TODAY())=YEAR([ActDate]),[NetPrem],"")))</f>
        <v/>
      </c>
      <c r="AE47" s="10">
        <f>IF(PERFORMANCE!D8&gt;0,
IF(PERFORMANCE!D8&lt;[ActDate],[NetPrem],""),
IF(TODAY()&lt;[ActDate],[NetPrem],""))</f>
        <v/>
      </c>
      <c r="AF47" s="75" t="n"/>
      <c r="AG47">
        <f>IF(Table1[SYM]="","",SUMIFS(Table1[NetPrem],Table1[Trade'#],Table1[[Trade'#]],Table1[Leg],"&lt;="&amp;Table1[Leg]))</f>
        <v/>
      </c>
    </row>
    <row r="48">
      <c r="A48" s="15" t="inlineStr">
        <is>
          <t>Bought 2 SFIX Jun 11 2021 43.0 Put @ 0.03</t>
        </is>
      </c>
      <c r="B48" s="73" t="n">
        <v>12</v>
      </c>
      <c r="C48" s="73" t="n">
        <v>7</v>
      </c>
      <c r="D48" s="15" t="inlineStr">
        <is>
          <t>SP</t>
        </is>
      </c>
      <c r="E48" s="53" t="n">
        <v>44356</v>
      </c>
      <c r="F48" s="53" t="n">
        <v>44356</v>
      </c>
      <c r="G48" s="53" t="n">
        <v>44358</v>
      </c>
      <c r="H48" s="73" t="n">
        <v>43</v>
      </c>
      <c r="I48" s="73" t="n"/>
      <c r="J48" s="75" t="n">
        <v>2</v>
      </c>
      <c r="K48" s="78" t="n">
        <v>-6.03</v>
      </c>
      <c r="M48" s="78" t="inlineStr">
        <is>
          <t>SFIX</t>
        </is>
      </c>
      <c r="N48" s="73">
        <f>RTD("tos.rtd",,"last", "SFIX")</f>
        <v/>
      </c>
      <c r="O48" s="73">
        <f>RTD("tos.rtd",,"ASK",".SFIX210611P43")</f>
        <v/>
      </c>
      <c r="P48" s="10">
        <f>IF([TransType]="LS", [OpnPrem]+[ClsPrem],
                                            IF([TransType]="AS", [OpnPrem]+[ClsPrem],
                                               [OpnPrem]-[ClsPrem]))</f>
        <v/>
      </c>
      <c r="Q48" s="51">
        <f>IF([SYM]="","",SUMIFS([NetPrem],[Trade'#],[[Trade'#]],[Leg],"&lt;="&amp;[Leg]))</f>
        <v/>
      </c>
      <c r="R4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8" s="11">
        <f>IF([TransType]="SP",100*[Strike]*[['#Contracts]],
IF([TransType]="LS",[Strike]*[['#Contracts]],
IF([TransType]="BP",100*([Strike]-[Strike2])*[['#Contracts]],
IF([TransType]="BC",100*([Strike2]-[Strike])*[['#Contracts]],
IF([TransType]="NC",100*[Strike]*[['#Contracts]],
IF([TransType]="AS",100*[Strike]*[['#Contracts]],0))))))</f>
        <v/>
      </c>
      <c r="T48" s="11">
        <f>IF([CloseDate]&gt;0,"",[Cap])</f>
        <v/>
      </c>
      <c r="U48" s="11">
        <f>IF([CloseDate]&gt;0,"",
IF([TransType]="BC","",
IF([TransType]="BP",100*[Strike]*[['#Contracts]],
[Cap])))</f>
        <v/>
      </c>
      <c r="V48" s="11">
        <f>IF([SYM]="","",[Cap]*[Days])</f>
        <v/>
      </c>
      <c r="W48" s="11">
        <f>IF([SYM]="","",SUMIFS([CapDays],[Trade'#],[[Trade'#]],[Leg],"&lt;="&amp;[Leg]))</f>
        <v/>
      </c>
      <c r="X48" s="79">
        <f>IF([TotCapDays],365*[TotPrem]/[TotCapDays],"")</f>
        <v/>
      </c>
      <c r="Y48" s="10">
        <f>IF([SYM]="","",
IF([TransType]="LS",[Strike]-[TotPrem]/[['#Contracts]],
IF([['#Contracts]],[Strike]-[TotPrem]/[['#Contracts]]/100,"")))</f>
        <v/>
      </c>
      <c r="Z48" s="11">
        <f>IF([CloseDate]&gt;0,"",
IF([TransType]="LS",['#Contracts],
IF([TransType]="AS",100*[['#Contracts]],
IF([TransType]="SP",100*[['#Contracts]],
IF([TransType]="BP",100*[['#Contracts]],"")))))</f>
        <v/>
      </c>
      <c r="AA48" s="49">
        <f>IF([CloseDate]&gt;0,[CloseDate],
IF([ExpDate]&gt;0,[ExpDate],
TODAY()))</f>
        <v/>
      </c>
      <c r="AB48" s="10">
        <f>IF(PERFORMANCE!D8&gt;0,
IF(PERFORMANCE!D8&lt;[ActDate],"",[NetPrem]),
IF(TODAY()&lt;[ActDate],"",[NetPrem]))</f>
        <v/>
      </c>
      <c r="AC48" s="10">
        <f>IF(PERFORMANCE!D8&gt;0,
IF(PERFORMANCE!D8&lt;[ActDate],"",
IF(PERFORMANCE!D8 - [ActDate]&lt;366,[NetPrem],"")),
IF(TODAY()&lt;[ActDate],"",
IF(TODAY() - [ActDate]&lt;366,[NetPrem],"")))</f>
        <v/>
      </c>
      <c r="AD48" s="10">
        <f>IF(PERFORMANCE!D8&gt;0,
IF(PERFORMANCE!D8&lt;[ActDate],"",
IF(YEAR(PERFORMANCE!D8)=YEAR([ActDate]),[NetPrem],"")),
IF(TODAY()&lt;[ActDate],"",
IF(YEAR(TODAY())=YEAR([ActDate]),[NetPrem],"")))</f>
        <v/>
      </c>
      <c r="AE48" s="10">
        <f>IF(PERFORMANCE!D8&gt;0,
IF(PERFORMANCE!D8&lt;[ActDate],[NetPrem],""),
IF(TODAY()&lt;[ActDate],[NetPrem],""))</f>
        <v/>
      </c>
      <c r="AF48" s="75" t="n"/>
      <c r="AG48">
        <f>IF(Table1[SYM]="","",SUMIFS(Table1[NetPrem],Table1[Trade'#],Table1[[Trade'#]],Table1[Leg],"&lt;="&amp;Table1[Leg]))</f>
        <v/>
      </c>
    </row>
    <row r="49">
      <c r="A49" s="15" t="inlineStr">
        <is>
          <t>Sold 2 EAT May 21 2021 65.0 Put @ 1</t>
        </is>
      </c>
      <c r="B49" s="73" t="n">
        <v>13</v>
      </c>
      <c r="C49" s="73" t="n">
        <v>1</v>
      </c>
      <c r="D49" s="15" t="inlineStr">
        <is>
          <t>SP</t>
        </is>
      </c>
      <c r="E49" s="53" t="n">
        <v>44316</v>
      </c>
      <c r="F49" s="53" t="n">
        <v>44335</v>
      </c>
      <c r="G49" s="53" t="n">
        <v>44337</v>
      </c>
      <c r="H49" s="73" t="n">
        <v>65</v>
      </c>
      <c r="I49" s="73" t="n"/>
      <c r="J49" s="75" t="n">
        <v>2</v>
      </c>
      <c r="K49" s="78" t="n">
        <v>198.67</v>
      </c>
      <c r="M49" s="78" t="inlineStr">
        <is>
          <t>EAT</t>
        </is>
      </c>
      <c r="N49" s="73">
        <f>RTD("tos.rtd",,"last", "EAT")</f>
        <v/>
      </c>
      <c r="O49" s="73">
        <f>RTD("tos.rtd",,"ASK",".EAT210521P65")</f>
        <v/>
      </c>
      <c r="P49" s="10">
        <f>IF([TransType]="LS", [OpnPrem]+[ClsPrem],
                                            IF([TransType]="AS", [OpnPrem]+[ClsPrem],
                                               [OpnPrem]-[ClsPrem]))</f>
        <v/>
      </c>
      <c r="Q49" s="51">
        <f>IF([SYM]="","",SUMIFS([NetPrem],[Trade'#],[[Trade'#]],[Leg],"&lt;="&amp;[Leg]))</f>
        <v/>
      </c>
      <c r="R4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9" s="11">
        <f>IF([TransType]="SP",100*[Strike]*[['#Contracts]],
IF([TransType]="LS",[Strike]*[['#Contracts]],
IF([TransType]="BP",100*([Strike]-[Strike2])*[['#Contracts]],
IF([TransType]="BC",100*([Strike2]-[Strike])*[['#Contracts]],
IF([TransType]="NC",100*[Strike]*[['#Contracts]],
IF([TransType]="AS",100*[Strike]*[['#Contracts]],0))))))</f>
        <v/>
      </c>
      <c r="T49" s="11">
        <f>IF([CloseDate]&gt;0,"",[Cap])</f>
        <v/>
      </c>
      <c r="U49" s="11">
        <f>IF([CloseDate]&gt;0,"",
IF([TransType]="BC","",
IF([TransType]="BP",100*[Strike]*[['#Contracts]],
[Cap])))</f>
        <v/>
      </c>
      <c r="V49" s="11">
        <f>IF([SYM]="","",[Cap]*[Days])</f>
        <v/>
      </c>
      <c r="W49" s="11">
        <f>IF([SYM]="","",SUMIFS([CapDays],[Trade'#],[[Trade'#]],[Leg],"&lt;="&amp;[Leg]))</f>
        <v/>
      </c>
      <c r="X49" s="79">
        <f>IF([TotCapDays],365*[TotPrem]/[TotCapDays],"")</f>
        <v/>
      </c>
      <c r="Y49" s="10">
        <f>IF([SYM]="","",
IF([TransType]="LS",[Strike]-[TotPrem]/[['#Contracts]],
IF([['#Contracts]],[Strike]-[TotPrem]/[['#Contracts]]/100,"")))</f>
        <v/>
      </c>
      <c r="Z49" s="11">
        <f>IF([CloseDate]&gt;0,"",
IF([TransType]="LS",['#Contracts],
IF([TransType]="AS",100*[['#Contracts]],
IF([TransType]="SP",100*[['#Contracts]],
IF([TransType]="BP",100*[['#Contracts]],"")))))</f>
        <v/>
      </c>
      <c r="AA49" s="49">
        <f>IF([CloseDate]&gt;0,[CloseDate],
IF([ExpDate]&gt;0,[ExpDate],
TODAY()))</f>
        <v/>
      </c>
      <c r="AB49" s="10">
        <f>IF(PERFORMANCE!D8&gt;0,
IF(PERFORMANCE!D8&lt;[ActDate],"",[NetPrem]),
IF(TODAY()&lt;[ActDate],"",[NetPrem]))</f>
        <v/>
      </c>
      <c r="AC49" s="10">
        <f>IF(PERFORMANCE!D8&gt;0,
IF(PERFORMANCE!D8&lt;[ActDate],"",
IF(PERFORMANCE!D8 - [ActDate]&lt;366,[NetPrem],"")),
IF(TODAY()&lt;[ActDate],"",
IF(TODAY() - [ActDate]&lt;366,[NetPrem],"")))</f>
        <v/>
      </c>
      <c r="AD49" s="10">
        <f>IF(PERFORMANCE!D8&gt;0,
IF(PERFORMANCE!D8&lt;[ActDate],"",
IF(YEAR(PERFORMANCE!D8)=YEAR([ActDate]),[NetPrem],"")),
IF(TODAY()&lt;[ActDate],"",
IF(YEAR(TODAY())=YEAR([ActDate]),[NetPrem],"")))</f>
        <v/>
      </c>
      <c r="AE49" s="10">
        <f>IF(PERFORMANCE!D8&gt;0,
IF(PERFORMANCE!D8&lt;[ActDate],[NetPrem],""),
IF(TODAY()&lt;[ActDate],[NetPrem],""))</f>
        <v/>
      </c>
      <c r="AF49" s="75" t="n"/>
      <c r="AG49">
        <f>IF(Table1[SYM]="","",SUMIFS(Table1[NetPrem],Table1[Trade'#],Table1[[Trade'#]],Table1[Leg],"&lt;="&amp;Table1[Leg]))</f>
        <v/>
      </c>
    </row>
    <row r="50">
      <c r="A50" s="15" t="inlineStr">
        <is>
          <t>Sold 2 EAT May 21 2021 65.0 Put @ 2.3</t>
        </is>
      </c>
      <c r="B50" s="73" t="n">
        <v>13</v>
      </c>
      <c r="C50" s="73" t="n">
        <v>2</v>
      </c>
      <c r="D50" s="15" t="inlineStr">
        <is>
          <t>SP</t>
        </is>
      </c>
      <c r="E50" s="53" t="n">
        <v>44320</v>
      </c>
      <c r="F50" s="53" t="n">
        <v>44335</v>
      </c>
      <c r="G50" s="53" t="n">
        <v>44337</v>
      </c>
      <c r="H50" s="73" t="n">
        <v>65</v>
      </c>
      <c r="I50" s="73" t="n"/>
      <c r="J50" s="75" t="n">
        <v>2</v>
      </c>
      <c r="K50" s="78" t="n">
        <v>458.67</v>
      </c>
      <c r="M50" s="78" t="inlineStr">
        <is>
          <t>EAT</t>
        </is>
      </c>
      <c r="N50" s="73">
        <f>RTD("tos.rtd",,"last", "EAT")</f>
        <v/>
      </c>
      <c r="O50" s="73">
        <f>RTD("tos.rtd",,"ASK",".EAT210521P65")</f>
        <v/>
      </c>
      <c r="P50" s="10">
        <f>IF([TransType]="LS", [OpnPrem]+[ClsPrem],
                                            IF([TransType]="AS", [OpnPrem]+[ClsPrem],
                                               [OpnPrem]-[ClsPrem]))</f>
        <v/>
      </c>
      <c r="Q50" s="51">
        <f>IF([SYM]="","",SUMIFS([NetPrem],[Trade'#],[[Trade'#]],[Leg],"&lt;="&amp;[Leg]))</f>
        <v/>
      </c>
      <c r="R5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0" s="11">
        <f>IF([TransType]="SP",100*[Strike]*[['#Contracts]],
IF([TransType]="LS",[Strike]*[['#Contracts]],
IF([TransType]="BP",100*([Strike]-[Strike2])*[['#Contracts]],
IF([TransType]="BC",100*([Strike2]-[Strike])*[['#Contracts]],
IF([TransType]="NC",100*[Strike]*[['#Contracts]],
IF([TransType]="AS",100*[Strike]*[['#Contracts]],0))))))</f>
        <v/>
      </c>
      <c r="T50" s="11">
        <f>IF([CloseDate]&gt;0,"",[Cap])</f>
        <v/>
      </c>
      <c r="U50" s="11">
        <f>IF([CloseDate]&gt;0,"",
IF([TransType]="BC","",
IF([TransType]="BP",100*[Strike]*[['#Contracts]],
[Cap])))</f>
        <v/>
      </c>
      <c r="V50" s="11">
        <f>IF([SYM]="","",[Cap]*[Days])</f>
        <v/>
      </c>
      <c r="W50" s="11">
        <f>IF([SYM]="","",SUMIFS([CapDays],[Trade'#],[[Trade'#]],[Leg],"&lt;="&amp;[Leg]))</f>
        <v/>
      </c>
      <c r="X50" s="79">
        <f>IF([TotCapDays],365*[TotPrem]/[TotCapDays],"")</f>
        <v/>
      </c>
      <c r="Y50" s="10">
        <f>IF([SYM]="","",
IF([TransType]="LS",[Strike]-[TotPrem]/[['#Contracts]],
IF([['#Contracts]],[Strike]-[TotPrem]/[['#Contracts]]/100,"")))</f>
        <v/>
      </c>
      <c r="Z50" s="11">
        <f>IF([CloseDate]&gt;0,"",
IF([TransType]="LS",['#Contracts],
IF([TransType]="AS",100*[['#Contracts]],
IF([TransType]="SP",100*[['#Contracts]],
IF([TransType]="BP",100*[['#Contracts]],"")))))</f>
        <v/>
      </c>
      <c r="AA50" s="49">
        <f>IF([CloseDate]&gt;0,[CloseDate],
IF([ExpDate]&gt;0,[ExpDate],
TODAY()))</f>
        <v/>
      </c>
      <c r="AB50" s="10">
        <f>IF(PERFORMANCE!D8&gt;0,
IF(PERFORMANCE!D8&lt;[ActDate],"",[NetPrem]),
IF(TODAY()&lt;[ActDate],"",[NetPrem]))</f>
        <v/>
      </c>
      <c r="AC50" s="10">
        <f>IF(PERFORMANCE!D8&gt;0,
IF(PERFORMANCE!D8&lt;[ActDate],"",
IF(PERFORMANCE!D8 - [ActDate]&lt;366,[NetPrem],"")),
IF(TODAY()&lt;[ActDate],"",
IF(TODAY() - [ActDate]&lt;366,[NetPrem],"")))</f>
        <v/>
      </c>
      <c r="AD50" s="10">
        <f>IF(PERFORMANCE!D8&gt;0,
IF(PERFORMANCE!D8&lt;[ActDate],"",
IF(YEAR(PERFORMANCE!D8)=YEAR([ActDate]),[NetPrem],"")),
IF(TODAY()&lt;[ActDate],"",
IF(YEAR(TODAY())=YEAR([ActDate]),[NetPrem],"")))</f>
        <v/>
      </c>
      <c r="AE50" s="10">
        <f>IF(PERFORMANCE!D8&gt;0,
IF(PERFORMANCE!D8&lt;[ActDate],[NetPrem],""),
IF(TODAY()&lt;[ActDate],[NetPrem],""))</f>
        <v/>
      </c>
      <c r="AF50" s="75" t="n"/>
      <c r="AG50">
        <f>IF(Table1[SYM]="","",SUMIFS(Table1[NetPrem],Table1[Trade'#],Table1[[Trade'#]],Table1[Leg],"&lt;="&amp;Table1[Leg]))</f>
        <v/>
      </c>
    </row>
    <row r="51">
      <c r="A51" s="15" t="inlineStr">
        <is>
          <t>Bought 4 EAT May 21 2021 65.0 Put @ 4.5</t>
        </is>
      </c>
      <c r="B51" s="73" t="n">
        <v>13</v>
      </c>
      <c r="C51" s="73" t="n">
        <v>3</v>
      </c>
      <c r="D51" s="15" t="inlineStr">
        <is>
          <t>SP</t>
        </is>
      </c>
      <c r="E51" s="53" t="n">
        <v>44335</v>
      </c>
      <c r="F51" s="53" t="n">
        <v>44335</v>
      </c>
      <c r="G51" s="53" t="n">
        <v>44337</v>
      </c>
      <c r="H51" s="73" t="n">
        <v>65</v>
      </c>
      <c r="I51" s="73" t="n"/>
      <c r="J51" s="75" t="n">
        <v>4</v>
      </c>
      <c r="K51" s="78" t="n">
        <v>-1802.66</v>
      </c>
      <c r="M51" s="78" t="inlineStr">
        <is>
          <t>EAT</t>
        </is>
      </c>
      <c r="N51" s="73">
        <f>RTD("tos.rtd",,"last", "EAT")</f>
        <v/>
      </c>
      <c r="O51" s="73">
        <f>RTD("tos.rtd",,"ASK",".EAT210521P65")</f>
        <v/>
      </c>
      <c r="P51" s="10">
        <f>IF([TransType]="LS", [OpnPrem]+[ClsPrem],
                                            IF([TransType]="AS", [OpnPrem]+[ClsPrem],
                                               [OpnPrem]-[ClsPrem]))</f>
        <v/>
      </c>
      <c r="Q51" s="51">
        <f>IF([SYM]="","",SUMIFS([NetPrem],[Trade'#],[[Trade'#]],[Leg],"&lt;="&amp;[Leg]))</f>
        <v/>
      </c>
      <c r="R5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1" s="11">
        <f>IF([TransType]="SP",100*[Strike]*[['#Contracts]],
IF([TransType]="LS",[Strike]*[['#Contracts]],
IF([TransType]="BP",100*([Strike]-[Strike2])*[['#Contracts]],
IF([TransType]="BC",100*([Strike2]-[Strike])*[['#Contracts]],
IF([TransType]="NC",100*[Strike]*[['#Contracts]],
IF([TransType]="AS",100*[Strike]*[['#Contracts]],0))))))</f>
        <v/>
      </c>
      <c r="T51" s="11">
        <f>IF([CloseDate]&gt;0,"",[Cap])</f>
        <v/>
      </c>
      <c r="U51" s="11">
        <f>IF([CloseDate]&gt;0,"",
IF([TransType]="BC","",
IF([TransType]="BP",100*[Strike]*[['#Contracts]],
[Cap])))</f>
        <v/>
      </c>
      <c r="V51" s="11">
        <f>IF([SYM]="","",[Cap]*[Days])</f>
        <v/>
      </c>
      <c r="W51" s="11">
        <f>IF([SYM]="","",SUMIFS([CapDays],[Trade'#],[[Trade'#]],[Leg],"&lt;="&amp;[Leg]))</f>
        <v/>
      </c>
      <c r="X51" s="79">
        <f>IF([TotCapDays],365*[TotPrem]/[TotCapDays],"")</f>
        <v/>
      </c>
      <c r="Y51" s="10">
        <f>IF([SYM]="","",
IF([TransType]="LS",[Strike]-[TotPrem]/[['#Contracts]],
IF([['#Contracts]],[Strike]-[TotPrem]/[['#Contracts]]/100,"")))</f>
        <v/>
      </c>
      <c r="Z51" s="11">
        <f>IF([CloseDate]&gt;0,"",
IF([TransType]="LS",['#Contracts],
IF([TransType]="AS",100*[['#Contracts]],
IF([TransType]="SP",100*[['#Contracts]],
IF([TransType]="BP",100*[['#Contracts]],"")))))</f>
        <v/>
      </c>
      <c r="AA51" s="49">
        <f>IF([CloseDate]&gt;0,[CloseDate],
IF([ExpDate]&gt;0,[ExpDate],
TODAY()))</f>
        <v/>
      </c>
      <c r="AB51" s="10">
        <f>IF(PERFORMANCE!D8&gt;0,
IF(PERFORMANCE!D8&lt;[ActDate],"",[NetPrem]),
IF(TODAY()&lt;[ActDate],"",[NetPrem]))</f>
        <v/>
      </c>
      <c r="AC51" s="10">
        <f>IF(PERFORMANCE!D8&gt;0,
IF(PERFORMANCE!D8&lt;[ActDate],"",
IF(PERFORMANCE!D8 - [ActDate]&lt;366,[NetPrem],"")),
IF(TODAY()&lt;[ActDate],"",
IF(TODAY() - [ActDate]&lt;366,[NetPrem],"")))</f>
        <v/>
      </c>
      <c r="AD51" s="10">
        <f>IF(PERFORMANCE!D8&gt;0,
IF(PERFORMANCE!D8&lt;[ActDate],"",
IF(YEAR(PERFORMANCE!D8)=YEAR([ActDate]),[NetPrem],"")),
IF(TODAY()&lt;[ActDate],"",
IF(YEAR(TODAY())=YEAR([ActDate]),[NetPrem],"")))</f>
        <v/>
      </c>
      <c r="AE51" s="10">
        <f>IF(PERFORMANCE!D8&gt;0,
IF(PERFORMANCE!D8&lt;[ActDate],[NetPrem],""),
IF(TODAY()&lt;[ActDate],[NetPrem],""))</f>
        <v/>
      </c>
      <c r="AF51" s="75" t="n"/>
      <c r="AG51">
        <f>IF(Table1[SYM]="","",SUMIFS(Table1[NetPrem],Table1[Trade'#],Table1[[Trade'#]],Table1[Leg],"&lt;="&amp;Table1[Leg]))</f>
        <v/>
      </c>
    </row>
    <row r="52">
      <c r="A52" s="15" t="inlineStr">
        <is>
          <t>Sold 2 PCAR Jun 18 2021 90.0 Put @ 2.5</t>
        </is>
      </c>
      <c r="B52" s="73" t="n">
        <v>14</v>
      </c>
      <c r="C52" s="73" t="n">
        <v>1</v>
      </c>
      <c r="D52" s="15" t="inlineStr">
        <is>
          <t>SP</t>
        </is>
      </c>
      <c r="E52" s="53" t="n">
        <v>44322</v>
      </c>
      <c r="F52" s="53" t="n">
        <v>44326</v>
      </c>
      <c r="G52" s="53" t="n">
        <v>44365</v>
      </c>
      <c r="H52" s="73" t="n">
        <v>90</v>
      </c>
      <c r="I52" s="73" t="n"/>
      <c r="J52" s="75" t="n">
        <v>2</v>
      </c>
      <c r="K52" s="78" t="n">
        <v>498.67</v>
      </c>
      <c r="M52" s="78" t="inlineStr">
        <is>
          <t>PCAR</t>
        </is>
      </c>
      <c r="N52" s="73">
        <f>RTD("tos.rtd",,"last", "PCAR")</f>
        <v/>
      </c>
      <c r="O52" s="73">
        <f>RTD("tos.rtd",,"ASK",".PCAR210618P90")</f>
        <v/>
      </c>
      <c r="P52" s="10">
        <f>IF([TransType]="LS", [OpnPrem]+[ClsPrem],
                                            IF([TransType]="AS", [OpnPrem]+[ClsPrem],
                                               [OpnPrem]-[ClsPrem]))</f>
        <v/>
      </c>
      <c r="Q52" s="51">
        <f>IF([SYM]="","",SUMIFS([NetPrem],[Trade'#],[[Trade'#]],[Leg],"&lt;="&amp;[Leg]))</f>
        <v/>
      </c>
      <c r="R5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2" s="11">
        <f>IF([TransType]="SP",100*[Strike]*[['#Contracts]],
IF([TransType]="LS",[Strike]*[['#Contracts]],
IF([TransType]="BP",100*([Strike]-[Strike2])*[['#Contracts]],
IF([TransType]="BC",100*([Strike2]-[Strike])*[['#Contracts]],
IF([TransType]="NC",100*[Strike]*[['#Contracts]],
IF([TransType]="AS",100*[Strike]*[['#Contracts]],0))))))</f>
        <v/>
      </c>
      <c r="T52" s="11">
        <f>IF([CloseDate]&gt;0,"",[Cap])</f>
        <v/>
      </c>
      <c r="U52" s="11">
        <f>IF([CloseDate]&gt;0,"",
IF([TransType]="BC","",
IF([TransType]="BP",100*[Strike]*[['#Contracts]],
[Cap])))</f>
        <v/>
      </c>
      <c r="V52" s="11">
        <f>IF([SYM]="","",[Cap]*[Days])</f>
        <v/>
      </c>
      <c r="W52" s="11">
        <f>IF([SYM]="","",SUMIFS([CapDays],[Trade'#],[[Trade'#]],[Leg],"&lt;="&amp;[Leg]))</f>
        <v/>
      </c>
      <c r="X52" s="79">
        <f>IF([TotCapDays],365*[TotPrem]/[TotCapDays],"")</f>
        <v/>
      </c>
      <c r="Y52" s="10">
        <f>IF([SYM]="","",
IF([TransType]="LS",[Strike]-[TotPrem]/[['#Contracts]],
IF([['#Contracts]],[Strike]-[TotPrem]/[['#Contracts]]/100,"")))</f>
        <v/>
      </c>
      <c r="Z52" s="11">
        <f>IF([CloseDate]&gt;0,"",
IF([TransType]="LS",['#Contracts],
IF([TransType]="AS",100*[['#Contracts]],
IF([TransType]="SP",100*[['#Contracts]],
IF([TransType]="BP",100*[['#Contracts]],"")))))</f>
        <v/>
      </c>
      <c r="AA52" s="49">
        <f>IF([CloseDate]&gt;0,[CloseDate],
IF([ExpDate]&gt;0,[ExpDate],
TODAY()))</f>
        <v/>
      </c>
      <c r="AB52" s="10">
        <f>IF(PERFORMANCE!D8&gt;0,
IF(PERFORMANCE!D8&lt;[ActDate],"",[NetPrem]),
IF(TODAY()&lt;[ActDate],"",[NetPrem]))</f>
        <v/>
      </c>
      <c r="AC52" s="10">
        <f>IF(PERFORMANCE!D8&gt;0,
IF(PERFORMANCE!D8&lt;[ActDate],"",
IF(PERFORMANCE!D8 - [ActDate]&lt;366,[NetPrem],"")),
IF(TODAY()&lt;[ActDate],"",
IF(TODAY() - [ActDate]&lt;366,[NetPrem],"")))</f>
        <v/>
      </c>
      <c r="AD52" s="10">
        <f>IF(PERFORMANCE!D8&gt;0,
IF(PERFORMANCE!D8&lt;[ActDate],"",
IF(YEAR(PERFORMANCE!D8)=YEAR([ActDate]),[NetPrem],"")),
IF(TODAY()&lt;[ActDate],"",
IF(YEAR(TODAY())=YEAR([ActDate]),[NetPrem],"")))</f>
        <v/>
      </c>
      <c r="AE52" s="10">
        <f>IF(PERFORMANCE!D8&gt;0,
IF(PERFORMANCE!D8&lt;[ActDate],[NetPrem],""),
IF(TODAY()&lt;[ActDate],[NetPrem],""))</f>
        <v/>
      </c>
      <c r="AF52" s="75" t="n"/>
      <c r="AG52">
        <f>IF(Table1[SYM]="","",SUMIFS(Table1[NetPrem],Table1[Trade'#],Table1[[Trade'#]],Table1[Leg],"&lt;="&amp;Table1[Leg]))</f>
        <v/>
      </c>
    </row>
    <row r="53">
      <c r="A53" s="15" t="inlineStr">
        <is>
          <t>Bought 2 PCAR Jun 18 2021 90.0 Put @ 0.86</t>
        </is>
      </c>
      <c r="B53" s="73" t="n">
        <v>14</v>
      </c>
      <c r="C53" s="73" t="n">
        <v>2</v>
      </c>
      <c r="D53" s="15" t="inlineStr">
        <is>
          <t>SP</t>
        </is>
      </c>
      <c r="E53" s="53" t="n">
        <v>44326</v>
      </c>
      <c r="F53" s="53" t="n">
        <v>44326</v>
      </c>
      <c r="G53" s="53" t="n">
        <v>44365</v>
      </c>
      <c r="H53" s="73" t="n">
        <v>90</v>
      </c>
      <c r="I53" s="73" t="n"/>
      <c r="J53" s="75" t="n">
        <v>2</v>
      </c>
      <c r="K53" s="78" t="n">
        <v>-173.33</v>
      </c>
      <c r="M53" s="78" t="inlineStr">
        <is>
          <t>PCAR</t>
        </is>
      </c>
      <c r="N53" s="73">
        <f>RTD("tos.rtd",,"last", "PCAR")</f>
        <v/>
      </c>
      <c r="O53" s="73">
        <f>RTD("tos.rtd",,"ASK",".PCAR210618P90")</f>
        <v/>
      </c>
      <c r="P53" s="10">
        <f>IF([TransType]="LS", [OpnPrem]+[ClsPrem],
                                            IF([TransType]="AS", [OpnPrem]+[ClsPrem],
                                               [OpnPrem]-[ClsPrem]))</f>
        <v/>
      </c>
      <c r="Q53" s="51">
        <f>IF([SYM]="","",SUMIFS([NetPrem],[Trade'#],[[Trade'#]],[Leg],"&lt;="&amp;[Leg]))</f>
        <v/>
      </c>
      <c r="R5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3" s="11">
        <f>IF([TransType]="SP",100*[Strike]*[['#Contracts]],
IF([TransType]="LS",[Strike]*[['#Contracts]],
IF([TransType]="BP",100*([Strike]-[Strike2])*[['#Contracts]],
IF([TransType]="BC",100*([Strike2]-[Strike])*[['#Contracts]],
IF([TransType]="NC",100*[Strike]*[['#Contracts]],
IF([TransType]="AS",100*[Strike]*[['#Contracts]],0))))))</f>
        <v/>
      </c>
      <c r="T53" s="11">
        <f>IF([CloseDate]&gt;0,"",[Cap])</f>
        <v/>
      </c>
      <c r="U53" s="11">
        <f>IF([CloseDate]&gt;0,"",
IF([TransType]="BC","",
IF([TransType]="BP",100*[Strike]*[['#Contracts]],
[Cap])))</f>
        <v/>
      </c>
      <c r="V53" s="11">
        <f>IF([SYM]="","",[Cap]*[Days])</f>
        <v/>
      </c>
      <c r="W53" s="11">
        <f>IF([SYM]="","",SUMIFS([CapDays],[Trade'#],[[Trade'#]],[Leg],"&lt;="&amp;[Leg]))</f>
        <v/>
      </c>
      <c r="X53" s="79">
        <f>IF([TotCapDays],365*[TotPrem]/[TotCapDays],"")</f>
        <v/>
      </c>
      <c r="Y53" s="10">
        <f>IF([SYM]="","",
IF([TransType]="LS",[Strike]-[TotPrem]/[['#Contracts]],
IF([['#Contracts]],[Strike]-[TotPrem]/[['#Contracts]]/100,"")))</f>
        <v/>
      </c>
      <c r="Z53" s="11">
        <f>IF([CloseDate]&gt;0,"",
IF([TransType]="LS",['#Contracts],
IF([TransType]="AS",100*[['#Contracts]],
IF([TransType]="SP",100*[['#Contracts]],
IF([TransType]="BP",100*[['#Contracts]],"")))))</f>
        <v/>
      </c>
      <c r="AA53" s="49">
        <f>IF([CloseDate]&gt;0,[CloseDate],
IF([ExpDate]&gt;0,[ExpDate],
TODAY()))</f>
        <v/>
      </c>
      <c r="AB53" s="10">
        <f>IF(PERFORMANCE!D8&gt;0,
IF(PERFORMANCE!D8&lt;[ActDate],"",[NetPrem]),
IF(TODAY()&lt;[ActDate],"",[NetPrem]))</f>
        <v/>
      </c>
      <c r="AC53" s="10">
        <f>IF(PERFORMANCE!D8&gt;0,
IF(PERFORMANCE!D8&lt;[ActDate],"",
IF(PERFORMANCE!D8 - [ActDate]&lt;366,[NetPrem],"")),
IF(TODAY()&lt;[ActDate],"",
IF(TODAY() - [ActDate]&lt;366,[NetPrem],"")))</f>
        <v/>
      </c>
      <c r="AD53" s="10">
        <f>IF(PERFORMANCE!D8&gt;0,
IF(PERFORMANCE!D8&lt;[ActDate],"",
IF(YEAR(PERFORMANCE!D8)=YEAR([ActDate]),[NetPrem],"")),
IF(TODAY()&lt;[ActDate],"",
IF(YEAR(TODAY())=YEAR([ActDate]),[NetPrem],"")))</f>
        <v/>
      </c>
      <c r="AE53" s="10">
        <f>IF(PERFORMANCE!D8&gt;0,
IF(PERFORMANCE!D8&lt;[ActDate],[NetPrem],""),
IF(TODAY()&lt;[ActDate],[NetPrem],""))</f>
        <v/>
      </c>
      <c r="AF53" s="75" t="n"/>
      <c r="AG53">
        <f>IF(Table1[SYM]="","",SUMIFS(Table1[NetPrem],Table1[Trade'#],Table1[[Trade'#]],Table1[Leg],"&lt;="&amp;Table1[Leg]))</f>
        <v/>
      </c>
    </row>
    <row r="54">
      <c r="A54" s="15" t="inlineStr">
        <is>
          <t>Bought 10 AAL May 7 2021 22.0 Put @ 0.61</t>
        </is>
      </c>
      <c r="B54" s="73" t="n">
        <v>15</v>
      </c>
      <c r="C54" s="73" t="n">
        <v>1</v>
      </c>
      <c r="D54" s="15" t="inlineStr">
        <is>
          <t>SP</t>
        </is>
      </c>
      <c r="E54" s="53" t="n">
        <v>44323</v>
      </c>
      <c r="F54" s="53" t="n"/>
      <c r="G54" s="53" t="n">
        <v>44323</v>
      </c>
      <c r="H54" s="73" t="n">
        <v>22</v>
      </c>
      <c r="I54" s="73" t="n"/>
      <c r="J54" s="75" t="n">
        <v>10</v>
      </c>
      <c r="K54" s="78" t="n">
        <v>-616.64</v>
      </c>
      <c r="M54" s="78" t="inlineStr">
        <is>
          <t>AAL</t>
        </is>
      </c>
      <c r="N54" s="73">
        <f>RTD("tos.rtd",,"last", "AAL")</f>
        <v/>
      </c>
      <c r="O54" s="73">
        <f>RTD("tos.rtd",,"ASK",".AAL210507P22")</f>
        <v/>
      </c>
      <c r="P54" s="10">
        <f>IF([TransType]="LS", [OpnPrem]+[ClsPrem],
                                            IF([TransType]="AS", [OpnPrem]+[ClsPrem],
                                               [OpnPrem]-[ClsPrem]))</f>
        <v/>
      </c>
      <c r="Q54" s="51">
        <f>IF([SYM]="","",SUMIFS([NetPrem],[Trade'#],[[Trade'#]],[Leg],"&lt;="&amp;[Leg]))</f>
        <v/>
      </c>
      <c r="R5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4" s="11">
        <f>IF([TransType]="SP",100*[Strike]*[['#Contracts]],
IF([TransType]="LS",[Strike]*[['#Contracts]],
IF([TransType]="BP",100*([Strike]-[Strike2])*[['#Contracts]],
IF([TransType]="BC",100*([Strike2]-[Strike])*[['#Contracts]],
IF([TransType]="NC",100*[Strike]*[['#Contracts]],
IF([TransType]="AS",100*[Strike]*[['#Contracts]],0))))))</f>
        <v/>
      </c>
      <c r="T54" s="11">
        <f>IF([CloseDate]&gt;0,"",[Cap])</f>
        <v/>
      </c>
      <c r="U54" s="11">
        <f>IF([CloseDate]&gt;0,"",
IF([TransType]="BC","",
IF([TransType]="BP",100*[Strike]*[['#Contracts]],
[Cap])))</f>
        <v/>
      </c>
      <c r="V54" s="11">
        <f>IF([SYM]="","",[Cap]*[Days])</f>
        <v/>
      </c>
      <c r="W54" s="11">
        <f>IF([SYM]="","",SUMIFS([CapDays],[Trade'#],[[Trade'#]],[Leg],"&lt;="&amp;[Leg]))</f>
        <v/>
      </c>
      <c r="X54" s="79">
        <f>IF([TotCapDays],365*[TotPrem]/[TotCapDays],"")</f>
        <v/>
      </c>
      <c r="Y54" s="10">
        <f>IF([SYM]="","",
IF([TransType]="LS",[Strike]-[TotPrem]/[['#Contracts]],
IF([['#Contracts]],[Strike]-[TotPrem]/[['#Contracts]]/100,"")))</f>
        <v/>
      </c>
      <c r="Z54" s="11">
        <f>IF([CloseDate]&gt;0,"",
IF([TransType]="LS",['#Contracts],
IF([TransType]="AS",100*[['#Contracts]],
IF([TransType]="SP",100*[['#Contracts]],
IF([TransType]="BP",100*[['#Contracts]],"")))))</f>
        <v/>
      </c>
      <c r="AA54" s="49">
        <f>IF([CloseDate]&gt;0,[CloseDate],
IF([ExpDate]&gt;0,[ExpDate],
TODAY()))</f>
        <v/>
      </c>
      <c r="AB54" s="10">
        <f>IF(PERFORMANCE!D8&gt;0,
IF(PERFORMANCE!D8&lt;[ActDate],"",[NetPrem]),
IF(TODAY()&lt;[ActDate],"",[NetPrem]))</f>
        <v/>
      </c>
      <c r="AC54" s="10">
        <f>IF(PERFORMANCE!D8&gt;0,
IF(PERFORMANCE!D8&lt;[ActDate],"",
IF(PERFORMANCE!D8 - [ActDate]&lt;366,[NetPrem],"")),
IF(TODAY()&lt;[ActDate],"",
IF(TODAY() - [ActDate]&lt;366,[NetPrem],"")))</f>
        <v/>
      </c>
      <c r="AD54" s="10">
        <f>IF(PERFORMANCE!D8&gt;0,
IF(PERFORMANCE!D8&lt;[ActDate],"",
IF(YEAR(PERFORMANCE!D8)=YEAR([ActDate]),[NetPrem],"")),
IF(TODAY()&lt;[ActDate],"",
IF(YEAR(TODAY())=YEAR([ActDate]),[NetPrem],"")))</f>
        <v/>
      </c>
      <c r="AE54" s="10">
        <f>IF(PERFORMANCE!D8&gt;0,
IF(PERFORMANCE!D8&lt;[ActDate],[NetPrem],""),
IF(TODAY()&lt;[ActDate],[NetPrem],""))</f>
        <v/>
      </c>
      <c r="AF54" s="75" t="n"/>
      <c r="AG54">
        <f>IF(Table1[SYM]="","",SUMIFS(Table1[NetPrem],Table1[Trade'#],Table1[[Trade'#]],Table1[Leg],"&lt;="&amp;Table1[Leg]))</f>
        <v/>
      </c>
    </row>
    <row r="55">
      <c r="A55" s="15" t="inlineStr">
        <is>
          <t>Sold 10 AAL May 28 2021 21.5 Put @ 0.98</t>
        </is>
      </c>
      <c r="B55" s="73" t="n">
        <v>16</v>
      </c>
      <c r="C55" s="73" t="n">
        <v>1</v>
      </c>
      <c r="D55" s="15" t="inlineStr">
        <is>
          <t>SP</t>
        </is>
      </c>
      <c r="E55" s="53" t="n">
        <v>44323</v>
      </c>
      <c r="F55" s="53" t="n">
        <v>44323</v>
      </c>
      <c r="G55" s="53" t="n">
        <v>44344</v>
      </c>
      <c r="H55" s="73" t="n">
        <v>21.5</v>
      </c>
      <c r="I55" s="73" t="n"/>
      <c r="J55" s="75" t="n">
        <v>10</v>
      </c>
      <c r="K55" s="78" t="n">
        <v>973.34</v>
      </c>
      <c r="M55" s="78" t="inlineStr">
        <is>
          <t>AAL</t>
        </is>
      </c>
      <c r="N55" s="73">
        <f>RTD("tos.rtd",,"last", "AAL")</f>
        <v/>
      </c>
      <c r="O55" s="73">
        <f>RTD("tos.rtd",,"ASK",".AAL210528P21.5")</f>
        <v/>
      </c>
      <c r="P55" s="10">
        <f>IF([TransType]="LS", [OpnPrem]+[ClsPrem],
                                            IF([TransType]="AS", [OpnPrem]+[ClsPrem],
                                               [OpnPrem]-[ClsPrem]))</f>
        <v/>
      </c>
      <c r="Q55" s="51">
        <f>IF([SYM]="","",SUMIFS([NetPrem],[Trade'#],[[Trade'#]],[Leg],"&lt;="&amp;[Leg]))</f>
        <v/>
      </c>
      <c r="R5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5" s="11">
        <f>IF([TransType]="SP",100*[Strike]*[['#Contracts]],
IF([TransType]="LS",[Strike]*[['#Contracts]],
IF([TransType]="BP",100*([Strike]-[Strike2])*[['#Contracts]],
IF([TransType]="BC",100*([Strike2]-[Strike])*[['#Contracts]],
IF([TransType]="NC",100*[Strike]*[['#Contracts]],
IF([TransType]="AS",100*[Strike]*[['#Contracts]],0))))))</f>
        <v/>
      </c>
      <c r="T55" s="11">
        <f>IF([CloseDate]&gt;0,"",[Cap])</f>
        <v/>
      </c>
      <c r="U55" s="11">
        <f>IF([CloseDate]&gt;0,"",
IF([TransType]="BC","",
IF([TransType]="BP",100*[Strike]*[['#Contracts]],
[Cap])))</f>
        <v/>
      </c>
      <c r="V55" s="11">
        <f>IF([SYM]="","",[Cap]*[Days])</f>
        <v/>
      </c>
      <c r="W55" s="11">
        <f>IF([SYM]="","",SUMIFS([CapDays],[Trade'#],[[Trade'#]],[Leg],"&lt;="&amp;[Leg]))</f>
        <v/>
      </c>
      <c r="X55" s="79">
        <f>IF([TotCapDays],365*[TotPrem]/[TotCapDays],"")</f>
        <v/>
      </c>
      <c r="Y55" s="10">
        <f>IF([SYM]="","",
IF([TransType]="LS",[Strike]-[TotPrem]/[['#Contracts]],
IF([['#Contracts]],[Strike]-[TotPrem]/[['#Contracts]]/100,"")))</f>
        <v/>
      </c>
      <c r="Z55" s="11">
        <f>IF([CloseDate]&gt;0,"",
IF([TransType]="LS",['#Contracts],
IF([TransType]="AS",100*[['#Contracts]],
IF([TransType]="SP",100*[['#Contracts]],
IF([TransType]="BP",100*[['#Contracts]],"")))))</f>
        <v/>
      </c>
      <c r="AA55" s="49">
        <f>IF([CloseDate]&gt;0,[CloseDate],
IF([ExpDate]&gt;0,[ExpDate],
TODAY()))</f>
        <v/>
      </c>
      <c r="AB55" s="10">
        <f>IF(PERFORMANCE!D8&gt;0,
IF(PERFORMANCE!D8&lt;[ActDate],"",[NetPrem]),
IF(TODAY()&lt;[ActDate],"",[NetPrem]))</f>
        <v/>
      </c>
      <c r="AC55" s="10">
        <f>IF(PERFORMANCE!D8&gt;0,
IF(PERFORMANCE!D8&lt;[ActDate],"",
IF(PERFORMANCE!D8 - [ActDate]&lt;366,[NetPrem],"")),
IF(TODAY()&lt;[ActDate],"",
IF(TODAY() - [ActDate]&lt;366,[NetPrem],"")))</f>
        <v/>
      </c>
      <c r="AD55" s="10">
        <f>IF(PERFORMANCE!D8&gt;0,
IF(PERFORMANCE!D8&lt;[ActDate],"",
IF(YEAR(PERFORMANCE!D8)=YEAR([ActDate]),[NetPrem],"")),
IF(TODAY()&lt;[ActDate],"",
IF(YEAR(TODAY())=YEAR([ActDate]),[NetPrem],"")))</f>
        <v/>
      </c>
      <c r="AE55" s="10">
        <f>IF(PERFORMANCE!D8&gt;0,
IF(PERFORMANCE!D8&lt;[ActDate],[NetPrem],""),
IF(TODAY()&lt;[ActDate],[NetPrem],""))</f>
        <v/>
      </c>
      <c r="AF55" s="75" t="n"/>
      <c r="AG55">
        <f>IF(Table1[SYM]="","",SUMIFS(Table1[NetPrem],Table1[Trade'#],Table1[[Trade'#]],Table1[Leg],"&lt;="&amp;Table1[Leg]))</f>
        <v/>
      </c>
    </row>
    <row r="56">
      <c r="A56" s="15" t="inlineStr">
        <is>
          <t>Bought 10 AAL May 28 2021 21.5 Put @ 0.74</t>
        </is>
      </c>
      <c r="B56" s="73" t="n">
        <v>16</v>
      </c>
      <c r="C56" s="73" t="n">
        <v>2</v>
      </c>
      <c r="D56" s="15" t="inlineStr">
        <is>
          <t>SP</t>
        </is>
      </c>
      <c r="E56" s="53" t="n">
        <v>44323</v>
      </c>
      <c r="F56" s="53" t="n">
        <v>44323</v>
      </c>
      <c r="G56" s="53" t="n">
        <v>44344</v>
      </c>
      <c r="H56" s="73" t="n">
        <v>21.5</v>
      </c>
      <c r="I56" s="73" t="n"/>
      <c r="J56" s="75" t="n">
        <v>10</v>
      </c>
      <c r="K56" s="78" t="n">
        <v>-746.64</v>
      </c>
      <c r="M56" s="78" t="inlineStr">
        <is>
          <t>AAL</t>
        </is>
      </c>
      <c r="N56" s="73">
        <f>RTD("tos.rtd",,"last", "AAL")</f>
        <v/>
      </c>
      <c r="O56" s="73">
        <f>RTD("tos.rtd",,"ASK",".AAL210528P21.5")</f>
        <v/>
      </c>
      <c r="P56" s="10">
        <f>IF([TransType]="LS", [OpnPrem]+[ClsPrem],
                                            IF([TransType]="AS", [OpnPrem]+[ClsPrem],
                                               [OpnPrem]-[ClsPrem]))</f>
        <v/>
      </c>
      <c r="Q56" s="51">
        <f>IF([SYM]="","",SUMIFS([NetPrem],[Trade'#],[[Trade'#]],[Leg],"&lt;="&amp;[Leg]))</f>
        <v/>
      </c>
      <c r="R5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6" s="11">
        <f>IF([TransType]="SP",100*[Strike]*[['#Contracts]],
IF([TransType]="LS",[Strike]*[['#Contracts]],
IF([TransType]="BP",100*([Strike]-[Strike2])*[['#Contracts]],
IF([TransType]="BC",100*([Strike2]-[Strike])*[['#Contracts]],
IF([TransType]="NC",100*[Strike]*[['#Contracts]],
IF([TransType]="AS",100*[Strike]*[['#Contracts]],0))))))</f>
        <v/>
      </c>
      <c r="T56" s="11">
        <f>IF([CloseDate]&gt;0,"",[Cap])</f>
        <v/>
      </c>
      <c r="U56" s="11">
        <f>IF([CloseDate]&gt;0,"",
IF([TransType]="BC","",
IF([TransType]="BP",100*[Strike]*[['#Contracts]],
[Cap])))</f>
        <v/>
      </c>
      <c r="V56" s="11">
        <f>IF([SYM]="","",[Cap]*[Days])</f>
        <v/>
      </c>
      <c r="W56" s="11">
        <f>IF([SYM]="","",SUMIFS([CapDays],[Trade'#],[[Trade'#]],[Leg],"&lt;="&amp;[Leg]))</f>
        <v/>
      </c>
      <c r="X56" s="79">
        <f>IF([TotCapDays],365*[TotPrem]/[TotCapDays],"")</f>
        <v/>
      </c>
      <c r="Y56" s="10">
        <f>IF([SYM]="","",
IF([TransType]="LS",[Strike]-[TotPrem]/[['#Contracts]],
IF([['#Contracts]],[Strike]-[TotPrem]/[['#Contracts]]/100,"")))</f>
        <v/>
      </c>
      <c r="Z56" s="11">
        <f>IF([CloseDate]&gt;0,"",
IF([TransType]="LS",['#Contracts],
IF([TransType]="AS",100*[['#Contracts]],
IF([TransType]="SP",100*[['#Contracts]],
IF([TransType]="BP",100*[['#Contracts]],"")))))</f>
        <v/>
      </c>
      <c r="AA56" s="49">
        <f>IF([CloseDate]&gt;0,[CloseDate],
IF([ExpDate]&gt;0,[ExpDate],
TODAY()))</f>
        <v/>
      </c>
      <c r="AB56" s="10">
        <f>IF(PERFORMANCE!D8&gt;0,
IF(PERFORMANCE!D8&lt;[ActDate],"",[NetPrem]),
IF(TODAY()&lt;[ActDate],"",[NetPrem]))</f>
        <v/>
      </c>
      <c r="AC56" s="10">
        <f>IF(PERFORMANCE!D8&gt;0,
IF(PERFORMANCE!D8&lt;[ActDate],"",
IF(PERFORMANCE!D8 - [ActDate]&lt;366,[NetPrem],"")),
IF(TODAY()&lt;[ActDate],"",
IF(TODAY() - [ActDate]&lt;366,[NetPrem],"")))</f>
        <v/>
      </c>
      <c r="AD56" s="10">
        <f>IF(PERFORMANCE!D8&gt;0,
IF(PERFORMANCE!D8&lt;[ActDate],"",
IF(YEAR(PERFORMANCE!D8)=YEAR([ActDate]),[NetPrem],"")),
IF(TODAY()&lt;[ActDate],"",
IF(YEAR(TODAY())=YEAR([ActDate]),[NetPrem],"")))</f>
        <v/>
      </c>
      <c r="AE56" s="10">
        <f>IF(PERFORMANCE!D8&gt;0,
IF(PERFORMANCE!D8&lt;[ActDate],[NetPrem],""),
IF(TODAY()&lt;[ActDate],[NetPrem],""))</f>
        <v/>
      </c>
      <c r="AF56" s="75" t="n"/>
      <c r="AG56">
        <f>IF(Table1[SYM]="","",SUMIFS(Table1[NetPrem],Table1[Trade'#],Table1[[Trade'#]],Table1[Leg],"&lt;="&amp;Table1[Leg]))</f>
        <v/>
      </c>
    </row>
    <row r="57">
      <c r="A57" s="15" t="inlineStr">
        <is>
          <t>Sold 10 AAL Jun 4 2021 21.0 Put @ 0.56</t>
        </is>
      </c>
      <c r="B57" s="73" t="n">
        <v>17</v>
      </c>
      <c r="C57" s="73" t="n">
        <v>1</v>
      </c>
      <c r="D57" s="15" t="inlineStr">
        <is>
          <t>SP</t>
        </is>
      </c>
      <c r="E57" s="53" t="n">
        <v>44323</v>
      </c>
      <c r="F57" s="53" t="n">
        <v>44342</v>
      </c>
      <c r="G57" s="53" t="n">
        <v>44351</v>
      </c>
      <c r="H57" s="73" t="n">
        <v>21</v>
      </c>
      <c r="I57" s="73" t="n"/>
      <c r="J57" s="75" t="n">
        <v>10</v>
      </c>
      <c r="K57" s="78" t="n">
        <v>553.34</v>
      </c>
      <c r="M57" s="78" t="inlineStr">
        <is>
          <t>AAL</t>
        </is>
      </c>
      <c r="N57" s="73">
        <f>RTD("tos.rtd",,"last", "AAL")</f>
        <v/>
      </c>
      <c r="O57" s="73">
        <f>RTD("tos.rtd",,"ASK",".AAL210604P21")</f>
        <v/>
      </c>
      <c r="P57" s="10">
        <f>IF([TransType]="LS", [OpnPrem]+[ClsPrem],
                                            IF([TransType]="AS", [OpnPrem]+[ClsPrem],
                                               [OpnPrem]-[ClsPrem]))</f>
        <v/>
      </c>
      <c r="Q57" s="51">
        <f>IF([SYM]="","",SUMIFS([NetPrem],[Trade'#],[[Trade'#]],[Leg],"&lt;="&amp;[Leg]))</f>
        <v/>
      </c>
      <c r="R5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7" s="11">
        <f>IF([TransType]="SP",100*[Strike]*[['#Contracts]],
IF([TransType]="LS",[Strike]*[['#Contracts]],
IF([TransType]="BP",100*([Strike]-[Strike2])*[['#Contracts]],
IF([TransType]="BC",100*([Strike2]-[Strike])*[['#Contracts]],
IF([TransType]="NC",100*[Strike]*[['#Contracts]],
IF([TransType]="AS",100*[Strike]*[['#Contracts]],0))))))</f>
        <v/>
      </c>
      <c r="T57" s="11">
        <f>IF([CloseDate]&gt;0,"",[Cap])</f>
        <v/>
      </c>
      <c r="U57" s="11">
        <f>IF([CloseDate]&gt;0,"",
IF([TransType]="BC","",
IF([TransType]="BP",100*[Strike]*[['#Contracts]],
[Cap])))</f>
        <v/>
      </c>
      <c r="V57" s="11">
        <f>IF([SYM]="","",[Cap]*[Days])</f>
        <v/>
      </c>
      <c r="W57" s="11">
        <f>IF([SYM]="","",SUMIFS([CapDays],[Trade'#],[[Trade'#]],[Leg],"&lt;="&amp;[Leg]))</f>
        <v/>
      </c>
      <c r="X57" s="79">
        <f>IF([TotCapDays],365*[TotPrem]/[TotCapDays],"")</f>
        <v/>
      </c>
      <c r="Y57" s="10">
        <f>IF([SYM]="","",
IF([TransType]="LS",[Strike]-[TotPrem]/[['#Contracts]],
IF([['#Contracts]],[Strike]-[TotPrem]/[['#Contracts]]/100,"")))</f>
        <v/>
      </c>
      <c r="Z57" s="11">
        <f>IF([CloseDate]&gt;0,"",
IF([TransType]="LS",['#Contracts],
IF([TransType]="AS",100*[['#Contracts]],
IF([TransType]="SP",100*[['#Contracts]],
IF([TransType]="BP",100*[['#Contracts]],"")))))</f>
        <v/>
      </c>
      <c r="AA57" s="49">
        <f>IF([CloseDate]&gt;0,[CloseDate],
IF([ExpDate]&gt;0,[ExpDate],
TODAY()))</f>
        <v/>
      </c>
      <c r="AB57" s="10">
        <f>IF(PERFORMANCE!D8&gt;0,
IF(PERFORMANCE!D8&lt;[ActDate],"",[NetPrem]),
IF(TODAY()&lt;[ActDate],"",[NetPrem]))</f>
        <v/>
      </c>
      <c r="AC57" s="10">
        <f>IF(PERFORMANCE!D8&gt;0,
IF(PERFORMANCE!D8&lt;[ActDate],"",
IF(PERFORMANCE!D8 - [ActDate]&lt;366,[NetPrem],"")),
IF(TODAY()&lt;[ActDate],"",
IF(TODAY() - [ActDate]&lt;366,[NetPrem],"")))</f>
        <v/>
      </c>
      <c r="AD57" s="10">
        <f>IF(PERFORMANCE!D8&gt;0,
IF(PERFORMANCE!D8&lt;[ActDate],"",
IF(YEAR(PERFORMANCE!D8)=YEAR([ActDate]),[NetPrem],"")),
IF(TODAY()&lt;[ActDate],"",
IF(YEAR(TODAY())=YEAR([ActDate]),[NetPrem],"")))</f>
        <v/>
      </c>
      <c r="AE57" s="10">
        <f>IF(PERFORMANCE!D8&gt;0,
IF(PERFORMANCE!D8&lt;[ActDate],[NetPrem],""),
IF(TODAY()&lt;[ActDate],[NetPrem],""))</f>
        <v/>
      </c>
      <c r="AF57" s="75" t="n"/>
      <c r="AG57">
        <f>IF(Table1[SYM]="","",SUMIFS(Table1[NetPrem],Table1[Trade'#],Table1[[Trade'#]],Table1[Leg],"&lt;="&amp;Table1[Leg]))</f>
        <v/>
      </c>
    </row>
    <row r="58">
      <c r="A58" s="15" t="inlineStr">
        <is>
          <t>Bought 10 AAL Jun 4 2021 21.0 Put @ 0.05</t>
        </is>
      </c>
      <c r="B58" s="73" t="n">
        <v>17</v>
      </c>
      <c r="C58" s="73" t="n">
        <v>2</v>
      </c>
      <c r="D58" s="15" t="inlineStr">
        <is>
          <t>SP</t>
        </is>
      </c>
      <c r="E58" s="53" t="n">
        <v>44342</v>
      </c>
      <c r="F58" s="53" t="n">
        <v>44342</v>
      </c>
      <c r="G58" s="53" t="n">
        <v>44351</v>
      </c>
      <c r="H58" s="73" t="n">
        <v>21</v>
      </c>
      <c r="I58" s="73" t="n"/>
      <c r="J58" s="75" t="n">
        <v>10</v>
      </c>
      <c r="K58" s="78" t="n">
        <v>-50.14</v>
      </c>
      <c r="M58" s="78" t="inlineStr">
        <is>
          <t>AAL</t>
        </is>
      </c>
      <c r="N58" s="73">
        <f>RTD("tos.rtd",,"last", "AAL")</f>
        <v/>
      </c>
      <c r="O58" s="73">
        <f>RTD("tos.rtd",,"ASK",".AAL210604P21")</f>
        <v/>
      </c>
      <c r="P58" s="10">
        <f>IF([TransType]="LS", [OpnPrem]+[ClsPrem],
                                            IF([TransType]="AS", [OpnPrem]+[ClsPrem],
                                               [OpnPrem]-[ClsPrem]))</f>
        <v/>
      </c>
      <c r="Q58" s="51">
        <f>IF([SYM]="","",SUMIFS([NetPrem],[Trade'#],[[Trade'#]],[Leg],"&lt;="&amp;[Leg]))</f>
        <v/>
      </c>
      <c r="R5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8" s="11">
        <f>IF([TransType]="SP",100*[Strike]*[['#Contracts]],
IF([TransType]="LS",[Strike]*[['#Contracts]],
IF([TransType]="BP",100*([Strike]-[Strike2])*[['#Contracts]],
IF([TransType]="BC",100*([Strike2]-[Strike])*[['#Contracts]],
IF([TransType]="NC",100*[Strike]*[['#Contracts]],
IF([TransType]="AS",100*[Strike]*[['#Contracts]],0))))))</f>
        <v/>
      </c>
      <c r="T58" s="11">
        <f>IF([CloseDate]&gt;0,"",[Cap])</f>
        <v/>
      </c>
      <c r="U58" s="11">
        <f>IF([CloseDate]&gt;0,"",
IF([TransType]="BC","",
IF([TransType]="BP",100*[Strike]*[['#Contracts]],
[Cap])))</f>
        <v/>
      </c>
      <c r="V58" s="11">
        <f>IF([SYM]="","",[Cap]*[Days])</f>
        <v/>
      </c>
      <c r="W58" s="11">
        <f>IF([SYM]="","",SUMIFS([CapDays],[Trade'#],[[Trade'#]],[Leg],"&lt;="&amp;[Leg]))</f>
        <v/>
      </c>
      <c r="X58" s="79">
        <f>IF([TotCapDays],365*[TotPrem]/[TotCapDays],"")</f>
        <v/>
      </c>
      <c r="Y58" s="10">
        <f>IF([SYM]="","",
IF([TransType]="LS",[Strike]-[TotPrem]/[['#Contracts]],
IF([['#Contracts]],[Strike]-[TotPrem]/[['#Contracts]]/100,"")))</f>
        <v/>
      </c>
      <c r="Z58" s="11">
        <f>IF([CloseDate]&gt;0,"",
IF([TransType]="LS",['#Contracts],
IF([TransType]="AS",100*[['#Contracts]],
IF([TransType]="SP",100*[['#Contracts]],
IF([TransType]="BP",100*[['#Contracts]],"")))))</f>
        <v/>
      </c>
      <c r="AA58" s="49">
        <f>IF([CloseDate]&gt;0,[CloseDate],
IF([ExpDate]&gt;0,[ExpDate],
TODAY()))</f>
        <v/>
      </c>
      <c r="AB58" s="10">
        <f>IF(PERFORMANCE!D8&gt;0,
IF(PERFORMANCE!D8&lt;[ActDate],"",[NetPrem]),
IF(TODAY()&lt;[ActDate],"",[NetPrem]))</f>
        <v/>
      </c>
      <c r="AC58" s="10">
        <f>IF(PERFORMANCE!D8&gt;0,
IF(PERFORMANCE!D8&lt;[ActDate],"",
IF(PERFORMANCE!D8 - [ActDate]&lt;366,[NetPrem],"")),
IF(TODAY()&lt;[ActDate],"",
IF(TODAY() - [ActDate]&lt;366,[NetPrem],"")))</f>
        <v/>
      </c>
      <c r="AD58" s="10">
        <f>IF(PERFORMANCE!D8&gt;0,
IF(PERFORMANCE!D8&lt;[ActDate],"",
IF(YEAR(PERFORMANCE!D8)=YEAR([ActDate]),[NetPrem],"")),
IF(TODAY()&lt;[ActDate],"",
IF(YEAR(TODAY())=YEAR([ActDate]),[NetPrem],"")))</f>
        <v/>
      </c>
      <c r="AE58" s="10">
        <f>IF(PERFORMANCE!D8&gt;0,
IF(PERFORMANCE!D8&lt;[ActDate],[NetPrem],""),
IF(TODAY()&lt;[ActDate],[NetPrem],""))</f>
        <v/>
      </c>
      <c r="AF58" s="75" t="n"/>
      <c r="AG58">
        <f>IF(Table1[SYM]="","",SUMIFS(Table1[NetPrem],Table1[Trade'#],Table1[[Trade'#]],Table1[Leg],"&lt;="&amp;Table1[Leg]))</f>
        <v/>
      </c>
    </row>
    <row r="59">
      <c r="A59" s="15" t="inlineStr">
        <is>
          <t>Sold 2 SNAP May 28 2021 50.0 Put @ 1.53</t>
        </is>
      </c>
      <c r="B59" s="73" t="n">
        <v>18</v>
      </c>
      <c r="C59" s="73" t="n">
        <v>1</v>
      </c>
      <c r="D59" s="15" t="inlineStr">
        <is>
          <t>SP</t>
        </is>
      </c>
      <c r="E59" s="53" t="n">
        <v>44326</v>
      </c>
      <c r="F59" s="53" t="n">
        <v>44340</v>
      </c>
      <c r="G59" s="53" t="n">
        <v>44344</v>
      </c>
      <c r="H59" s="73" t="n">
        <v>50</v>
      </c>
      <c r="I59" s="73" t="n"/>
      <c r="J59" s="75" t="n">
        <v>2</v>
      </c>
      <c r="K59" s="78" t="n">
        <v>304.67</v>
      </c>
      <c r="M59" s="78" t="inlineStr">
        <is>
          <t>SNAP</t>
        </is>
      </c>
      <c r="N59" s="73">
        <f>RTD("tos.rtd",,"last", "SNAP")</f>
        <v/>
      </c>
      <c r="O59" s="73">
        <f>RTD("tos.rtd",,"ASK",".SNAP210528P50")</f>
        <v/>
      </c>
      <c r="P59" s="10">
        <f>IF([TransType]="LS", [OpnPrem]+[ClsPrem],
                                            IF([TransType]="AS", [OpnPrem]+[ClsPrem],
                                               [OpnPrem]-[ClsPrem]))</f>
        <v/>
      </c>
      <c r="Q59" s="51">
        <f>IF([SYM]="","",SUMIFS([NetPrem],[Trade'#],[[Trade'#]],[Leg],"&lt;="&amp;[Leg]))</f>
        <v/>
      </c>
      <c r="R5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9" s="11">
        <f>IF([TransType]="SP",100*[Strike]*[['#Contracts]],
IF([TransType]="LS",[Strike]*[['#Contracts]],
IF([TransType]="BP",100*([Strike]-[Strike2])*[['#Contracts]],
IF([TransType]="BC",100*([Strike2]-[Strike])*[['#Contracts]],
IF([TransType]="NC",100*[Strike]*[['#Contracts]],
IF([TransType]="AS",100*[Strike]*[['#Contracts]],0))))))</f>
        <v/>
      </c>
      <c r="T59" s="11">
        <f>IF([CloseDate]&gt;0,"",[Cap])</f>
        <v/>
      </c>
      <c r="U59" s="11">
        <f>IF([CloseDate]&gt;0,"",
IF([TransType]="BC","",
IF([TransType]="BP",100*[Strike]*[['#Contracts]],
[Cap])))</f>
        <v/>
      </c>
      <c r="V59" s="11">
        <f>IF([SYM]="","",[Cap]*[Days])</f>
        <v/>
      </c>
      <c r="W59" s="11">
        <f>IF([SYM]="","",SUMIFS([CapDays],[Trade'#],[[Trade'#]],[Leg],"&lt;="&amp;[Leg]))</f>
        <v/>
      </c>
      <c r="X59" s="79">
        <f>IF([TotCapDays],365*[TotPrem]/[TotCapDays],"")</f>
        <v/>
      </c>
      <c r="Y59" s="10">
        <f>IF([SYM]="","",
IF([TransType]="LS",[Strike]-[TotPrem]/[['#Contracts]],
IF([['#Contracts]],[Strike]-[TotPrem]/[['#Contracts]]/100,"")))</f>
        <v/>
      </c>
      <c r="Z59" s="11">
        <f>IF([CloseDate]&gt;0,"",
IF([TransType]="LS",['#Contracts],
IF([TransType]="AS",100*[['#Contracts]],
IF([TransType]="SP",100*[['#Contracts]],
IF([TransType]="BP",100*[['#Contracts]],"")))))</f>
        <v/>
      </c>
      <c r="AA59" s="49">
        <f>IF([CloseDate]&gt;0,[CloseDate],
IF([ExpDate]&gt;0,[ExpDate],
TODAY()))</f>
        <v/>
      </c>
      <c r="AB59" s="10">
        <f>IF(PERFORMANCE!D8&gt;0,
IF(PERFORMANCE!D8&lt;[ActDate],"",[NetPrem]),
IF(TODAY()&lt;[ActDate],"",[NetPrem]))</f>
        <v/>
      </c>
      <c r="AC59" s="10">
        <f>IF(PERFORMANCE!D8&gt;0,
IF(PERFORMANCE!D8&lt;[ActDate],"",
IF(PERFORMANCE!D8 - [ActDate]&lt;366,[NetPrem],"")),
IF(TODAY()&lt;[ActDate],"",
IF(TODAY() - [ActDate]&lt;366,[NetPrem],"")))</f>
        <v/>
      </c>
      <c r="AD59" s="10">
        <f>IF(PERFORMANCE!D8&gt;0,
IF(PERFORMANCE!D8&lt;[ActDate],"",
IF(YEAR(PERFORMANCE!D8)=YEAR([ActDate]),[NetPrem],"")),
IF(TODAY()&lt;[ActDate],"",
IF(YEAR(TODAY())=YEAR([ActDate]),[NetPrem],"")))</f>
        <v/>
      </c>
      <c r="AE59" s="10">
        <f>IF(PERFORMANCE!D8&gt;0,
IF(PERFORMANCE!D8&lt;[ActDate],[NetPrem],""),
IF(TODAY()&lt;[ActDate],[NetPrem],""))</f>
        <v/>
      </c>
      <c r="AF59" s="75" t="n"/>
      <c r="AG59">
        <f>IF(Table1[SYM]="","",SUMIFS(Table1[NetPrem],Table1[Trade'#],Table1[[Trade'#]],Table1[Leg],"&lt;="&amp;Table1[Leg]))</f>
        <v/>
      </c>
    </row>
    <row r="60">
      <c r="A60" s="15" t="inlineStr">
        <is>
          <t>Bought 2 SNAP May 28 2021 50.0 Put @ 0.04</t>
        </is>
      </c>
      <c r="B60" s="73" t="n">
        <v>18</v>
      </c>
      <c r="C60" s="73" t="n">
        <v>2</v>
      </c>
      <c r="D60" s="15" t="inlineStr">
        <is>
          <t>SP</t>
        </is>
      </c>
      <c r="E60" s="53" t="n">
        <v>44340</v>
      </c>
      <c r="F60" s="53" t="n">
        <v>44340</v>
      </c>
      <c r="G60" s="53" t="n">
        <v>44344</v>
      </c>
      <c r="H60" s="73" t="n">
        <v>50</v>
      </c>
      <c r="I60" s="73" t="n"/>
      <c r="J60" s="75" t="n">
        <v>2</v>
      </c>
      <c r="K60" s="78" t="n">
        <v>-8.029999999999999</v>
      </c>
      <c r="M60" s="78" t="inlineStr">
        <is>
          <t>SNAP</t>
        </is>
      </c>
      <c r="N60" s="73">
        <f>RTD("tos.rtd",,"last", "SNAP")</f>
        <v/>
      </c>
      <c r="O60" s="73">
        <f>RTD("tos.rtd",,"ASK",".SNAP210528P50")</f>
        <v/>
      </c>
      <c r="P60" s="10">
        <f>IF([TransType]="LS", [OpnPrem]+[ClsPrem],
                                            IF([TransType]="AS", [OpnPrem]+[ClsPrem],
                                               [OpnPrem]-[ClsPrem]))</f>
        <v/>
      </c>
      <c r="Q60" s="51">
        <f>IF([SYM]="","",SUMIFS([NetPrem],[Trade'#],[[Trade'#]],[Leg],"&lt;="&amp;[Leg]))</f>
        <v/>
      </c>
      <c r="R6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0" s="11">
        <f>IF([TransType]="SP",100*[Strike]*[['#Contracts]],
IF([TransType]="LS",[Strike]*[['#Contracts]],
IF([TransType]="BP",100*([Strike]-[Strike2])*[['#Contracts]],
IF([TransType]="BC",100*([Strike2]-[Strike])*[['#Contracts]],
IF([TransType]="NC",100*[Strike]*[['#Contracts]],
IF([TransType]="AS",100*[Strike]*[['#Contracts]],0))))))</f>
        <v/>
      </c>
      <c r="T60" s="11">
        <f>IF([CloseDate]&gt;0,"",[Cap])</f>
        <v/>
      </c>
      <c r="U60" s="11">
        <f>IF([CloseDate]&gt;0,"",
IF([TransType]="BC","",
IF([TransType]="BP",100*[Strike]*[['#Contracts]],
[Cap])))</f>
        <v/>
      </c>
      <c r="V60" s="11">
        <f>IF([SYM]="","",[Cap]*[Days])</f>
        <v/>
      </c>
      <c r="W60" s="11">
        <f>IF([SYM]="","",SUMIFS([CapDays],[Trade'#],[[Trade'#]],[Leg],"&lt;="&amp;[Leg]))</f>
        <v/>
      </c>
      <c r="X60" s="79">
        <f>IF([TotCapDays],365*[TotPrem]/[TotCapDays],"")</f>
        <v/>
      </c>
      <c r="Y60" s="10">
        <f>IF([SYM]="","",
IF([TransType]="LS",[Strike]-[TotPrem]/[['#Contracts]],
IF([['#Contracts]],[Strike]-[TotPrem]/[['#Contracts]]/100,"")))</f>
        <v/>
      </c>
      <c r="Z60" s="11">
        <f>IF([CloseDate]&gt;0,"",
IF([TransType]="LS",['#Contracts],
IF([TransType]="AS",100*[['#Contracts]],
IF([TransType]="SP",100*[['#Contracts]],
IF([TransType]="BP",100*[['#Contracts]],"")))))</f>
        <v/>
      </c>
      <c r="AA60" s="49">
        <f>IF([CloseDate]&gt;0,[CloseDate],
IF([ExpDate]&gt;0,[ExpDate],
TODAY()))</f>
        <v/>
      </c>
      <c r="AB60" s="10">
        <f>IF(PERFORMANCE!D8&gt;0,
IF(PERFORMANCE!D8&lt;[ActDate],"",[NetPrem]),
IF(TODAY()&lt;[ActDate],"",[NetPrem]))</f>
        <v/>
      </c>
      <c r="AC60" s="10">
        <f>IF(PERFORMANCE!D8&gt;0,
IF(PERFORMANCE!D8&lt;[ActDate],"",
IF(PERFORMANCE!D8 - [ActDate]&lt;366,[NetPrem],"")),
IF(TODAY()&lt;[ActDate],"",
IF(TODAY() - [ActDate]&lt;366,[NetPrem],"")))</f>
        <v/>
      </c>
      <c r="AD60" s="10">
        <f>IF(PERFORMANCE!D8&gt;0,
IF(PERFORMANCE!D8&lt;[ActDate],"",
IF(YEAR(PERFORMANCE!D8)=YEAR([ActDate]),[NetPrem],"")),
IF(TODAY()&lt;[ActDate],"",
IF(YEAR(TODAY())=YEAR([ActDate]),[NetPrem],"")))</f>
        <v/>
      </c>
      <c r="AE60" s="10">
        <f>IF(PERFORMANCE!D8&gt;0,
IF(PERFORMANCE!D8&lt;[ActDate],[NetPrem],""),
IF(TODAY()&lt;[ActDate],[NetPrem],""))</f>
        <v/>
      </c>
      <c r="AF60" s="75" t="n"/>
      <c r="AG60">
        <f>IF(Table1[SYM]="","",SUMIFS(Table1[NetPrem],Table1[Trade'#],Table1[[Trade'#]],Table1[Leg],"&lt;="&amp;Table1[Leg]))</f>
        <v/>
      </c>
    </row>
    <row r="61">
      <c r="A61" s="15" t="inlineStr">
        <is>
          <t>Sold 4 DBX Jun 4 2021 24.5 Put @ 0.67</t>
        </is>
      </c>
      <c r="B61" s="73" t="n">
        <v>19</v>
      </c>
      <c r="C61" s="73" t="n">
        <v>1</v>
      </c>
      <c r="D61" s="15" t="inlineStr">
        <is>
          <t>SP</t>
        </is>
      </c>
      <c r="E61" s="53" t="n">
        <v>44327</v>
      </c>
      <c r="F61" s="53" t="n">
        <v>44342</v>
      </c>
      <c r="G61" s="53" t="n">
        <v>44351</v>
      </c>
      <c r="H61" s="73" t="n">
        <v>24.5</v>
      </c>
      <c r="I61" s="73" t="n"/>
      <c r="J61" s="75" t="n">
        <v>4</v>
      </c>
      <c r="K61" s="78" t="n">
        <v>265.33</v>
      </c>
      <c r="M61" s="78" t="inlineStr">
        <is>
          <t>DBX</t>
        </is>
      </c>
      <c r="N61" s="73">
        <f>RTD("tos.rtd",,"last", "DBX")</f>
        <v/>
      </c>
      <c r="O61" s="73">
        <f>RTD("tos.rtd",,"ASK",".DBX210604P24.5")</f>
        <v/>
      </c>
      <c r="P61" s="10">
        <f>IF([TransType]="LS", [OpnPrem]+[ClsPrem],
                                            IF([TransType]="AS", [OpnPrem]+[ClsPrem],
                                               [OpnPrem]-[ClsPrem]))</f>
        <v/>
      </c>
      <c r="Q61" s="51">
        <f>IF([SYM]="","",SUMIFS([NetPrem],[Trade'#],[[Trade'#]],[Leg],"&lt;="&amp;[Leg]))</f>
        <v/>
      </c>
      <c r="R6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1" s="11">
        <f>IF([TransType]="SP",100*[Strike]*[['#Contracts]],
IF([TransType]="LS",[Strike]*[['#Contracts]],
IF([TransType]="BP",100*([Strike]-[Strike2])*[['#Contracts]],
IF([TransType]="BC",100*([Strike2]-[Strike])*[['#Contracts]],
IF([TransType]="NC",100*[Strike]*[['#Contracts]],
IF([TransType]="AS",100*[Strike]*[['#Contracts]],0))))))</f>
        <v/>
      </c>
      <c r="T61" s="11">
        <f>IF([CloseDate]&gt;0,"",[Cap])</f>
        <v/>
      </c>
      <c r="U61" s="11">
        <f>IF([CloseDate]&gt;0,"",
IF([TransType]="BC","",
IF([TransType]="BP",100*[Strike]*[['#Contracts]],
[Cap])))</f>
        <v/>
      </c>
      <c r="V61" s="11">
        <f>IF([SYM]="","",[Cap]*[Days])</f>
        <v/>
      </c>
      <c r="W61" s="11">
        <f>IF([SYM]="","",SUMIFS([CapDays],[Trade'#],[[Trade'#]],[Leg],"&lt;="&amp;[Leg]))</f>
        <v/>
      </c>
      <c r="X61" s="79">
        <f>IF([TotCapDays],365*[TotPrem]/[TotCapDays],"")</f>
        <v/>
      </c>
      <c r="Y61" s="10">
        <f>IF([SYM]="","",
IF([TransType]="LS",[Strike]-[TotPrem]/[['#Contracts]],
IF([['#Contracts]],[Strike]-[TotPrem]/[['#Contracts]]/100,"")))</f>
        <v/>
      </c>
      <c r="Z61" s="11">
        <f>IF([CloseDate]&gt;0,"",
IF([TransType]="LS",['#Contracts],
IF([TransType]="AS",100*[['#Contracts]],
IF([TransType]="SP",100*[['#Contracts]],
IF([TransType]="BP",100*[['#Contracts]],"")))))</f>
        <v/>
      </c>
      <c r="AA61" s="49">
        <f>IF([CloseDate]&gt;0,[CloseDate],
IF([ExpDate]&gt;0,[ExpDate],
TODAY()))</f>
        <v/>
      </c>
      <c r="AB61" s="10">
        <f>IF(PERFORMANCE!D8&gt;0,
IF(PERFORMANCE!D8&lt;[ActDate],"",[NetPrem]),
IF(TODAY()&lt;[ActDate],"",[NetPrem]))</f>
        <v/>
      </c>
      <c r="AC61" s="10">
        <f>IF(PERFORMANCE!D8&gt;0,
IF(PERFORMANCE!D8&lt;[ActDate],"",
IF(PERFORMANCE!D8 - [ActDate]&lt;366,[NetPrem],"")),
IF(TODAY()&lt;[ActDate],"",
IF(TODAY() - [ActDate]&lt;366,[NetPrem],"")))</f>
        <v/>
      </c>
      <c r="AD61" s="10">
        <f>IF(PERFORMANCE!D8&gt;0,
IF(PERFORMANCE!D8&lt;[ActDate],"",
IF(YEAR(PERFORMANCE!D8)=YEAR([ActDate]),[NetPrem],"")),
IF(TODAY()&lt;[ActDate],"",
IF(YEAR(TODAY())=YEAR([ActDate]),[NetPrem],"")))</f>
        <v/>
      </c>
      <c r="AE61" s="10">
        <f>IF(PERFORMANCE!D8&gt;0,
IF(PERFORMANCE!D8&lt;[ActDate],[NetPrem],""),
IF(TODAY()&lt;[ActDate],[NetPrem],""))</f>
        <v/>
      </c>
      <c r="AF61" s="75" t="n"/>
      <c r="AG61">
        <f>IF(Table1[SYM]="","",SUMIFS(Table1[NetPrem],Table1[Trade'#],Table1[[Trade'#]],Table1[Leg],"&lt;="&amp;Table1[Leg]))</f>
        <v/>
      </c>
    </row>
    <row r="62">
      <c r="A62" s="15" t="inlineStr">
        <is>
          <t>Bought 4 DBX Jun 4 2021 24.5 Put @ 0.05</t>
        </is>
      </c>
      <c r="B62" s="73" t="n">
        <v>19</v>
      </c>
      <c r="C62" s="73" t="n">
        <v>2</v>
      </c>
      <c r="D62" s="15" t="inlineStr">
        <is>
          <t>SP</t>
        </is>
      </c>
      <c r="E62" s="53" t="n">
        <v>44342</v>
      </c>
      <c r="F62" s="53" t="n">
        <v>44342</v>
      </c>
      <c r="G62" s="53" t="n">
        <v>44351</v>
      </c>
      <c r="H62" s="73" t="n">
        <v>24.5</v>
      </c>
      <c r="I62" s="73" t="n"/>
      <c r="J62" s="75" t="n">
        <v>4</v>
      </c>
      <c r="K62" s="78" t="n">
        <v>-20.06</v>
      </c>
      <c r="M62" s="78" t="inlineStr">
        <is>
          <t>DBX</t>
        </is>
      </c>
      <c r="N62" s="73">
        <f>RTD("tos.rtd",,"last", "DBX")</f>
        <v/>
      </c>
      <c r="O62" s="73">
        <f>RTD("tos.rtd",,"ASK",".DBX210604P24.5")</f>
        <v/>
      </c>
      <c r="P62" s="10">
        <f>IF([TransType]="LS", [OpnPrem]+[ClsPrem],
                                            IF([TransType]="AS", [OpnPrem]+[ClsPrem],
                                               [OpnPrem]-[ClsPrem]))</f>
        <v/>
      </c>
      <c r="Q62" s="51">
        <f>IF([SYM]="","",SUMIFS([NetPrem],[Trade'#],[[Trade'#]],[Leg],"&lt;="&amp;[Leg]))</f>
        <v/>
      </c>
      <c r="R6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2" s="11">
        <f>IF([TransType]="SP",100*[Strike]*[['#Contracts]],
IF([TransType]="LS",[Strike]*[['#Contracts]],
IF([TransType]="BP",100*([Strike]-[Strike2])*[['#Contracts]],
IF([TransType]="BC",100*([Strike2]-[Strike])*[['#Contracts]],
IF([TransType]="NC",100*[Strike]*[['#Contracts]],
IF([TransType]="AS",100*[Strike]*[['#Contracts]],0))))))</f>
        <v/>
      </c>
      <c r="T62" s="11">
        <f>IF([CloseDate]&gt;0,"",[Cap])</f>
        <v/>
      </c>
      <c r="U62" s="11">
        <f>IF([CloseDate]&gt;0,"",
IF([TransType]="BC","",
IF([TransType]="BP",100*[Strike]*[['#Contracts]],
[Cap])))</f>
        <v/>
      </c>
      <c r="V62" s="11">
        <f>IF([SYM]="","",[Cap]*[Days])</f>
        <v/>
      </c>
      <c r="W62" s="11">
        <f>IF([SYM]="","",SUMIFS([CapDays],[Trade'#],[[Trade'#]],[Leg],"&lt;="&amp;[Leg]))</f>
        <v/>
      </c>
      <c r="X62" s="79">
        <f>IF([TotCapDays],365*[TotPrem]/[TotCapDays],"")</f>
        <v/>
      </c>
      <c r="Y62" s="10">
        <f>IF([SYM]="","",
IF([TransType]="LS",[Strike]-[TotPrem]/[['#Contracts]],
IF([['#Contracts]],[Strike]-[TotPrem]/[['#Contracts]]/100,"")))</f>
        <v/>
      </c>
      <c r="Z62" s="11">
        <f>IF([CloseDate]&gt;0,"",
IF([TransType]="LS",['#Contracts],
IF([TransType]="AS",100*[['#Contracts]],
IF([TransType]="SP",100*[['#Contracts]],
IF([TransType]="BP",100*[['#Contracts]],"")))))</f>
        <v/>
      </c>
      <c r="AA62" s="49">
        <f>IF([CloseDate]&gt;0,[CloseDate],
IF([ExpDate]&gt;0,[ExpDate],
TODAY()))</f>
        <v/>
      </c>
      <c r="AB62" s="10">
        <f>IF(PERFORMANCE!D8&gt;0,
IF(PERFORMANCE!D8&lt;[ActDate],"",[NetPrem]),
IF(TODAY()&lt;[ActDate],"",[NetPrem]))</f>
        <v/>
      </c>
      <c r="AC62" s="10">
        <f>IF(PERFORMANCE!D8&gt;0,
IF(PERFORMANCE!D8&lt;[ActDate],"",
IF(PERFORMANCE!D8 - [ActDate]&lt;366,[NetPrem],"")),
IF(TODAY()&lt;[ActDate],"",
IF(TODAY() - [ActDate]&lt;366,[NetPrem],"")))</f>
        <v/>
      </c>
      <c r="AD62" s="10">
        <f>IF(PERFORMANCE!D8&gt;0,
IF(PERFORMANCE!D8&lt;[ActDate],"",
IF(YEAR(PERFORMANCE!D8)=YEAR([ActDate]),[NetPrem],"")),
IF(TODAY()&lt;[ActDate],"",
IF(YEAR(TODAY())=YEAR([ActDate]),[NetPrem],"")))</f>
        <v/>
      </c>
      <c r="AE62" s="10">
        <f>IF(PERFORMANCE!D8&gt;0,
IF(PERFORMANCE!D8&lt;[ActDate],[NetPrem],""),
IF(TODAY()&lt;[ActDate],[NetPrem],""))</f>
        <v/>
      </c>
      <c r="AF62" s="75" t="n"/>
      <c r="AG62">
        <f>IF(Table1[SYM]="","",SUMIFS(Table1[NetPrem],Table1[Trade'#],Table1[[Trade'#]],Table1[Leg],"&lt;="&amp;Table1[Leg]))</f>
        <v/>
      </c>
    </row>
    <row r="63">
      <c r="A63" s="15" t="inlineStr">
        <is>
          <t>Sold 2 AMD Jun 18 2021 70.0 Put @ 1.39</t>
        </is>
      </c>
      <c r="B63" s="73" t="n">
        <v>20</v>
      </c>
      <c r="C63" s="73" t="n">
        <v>1</v>
      </c>
      <c r="D63" s="15" t="inlineStr">
        <is>
          <t>SP</t>
        </is>
      </c>
      <c r="E63" s="53" t="n">
        <v>44333</v>
      </c>
      <c r="F63" s="53" t="n">
        <v>44342</v>
      </c>
      <c r="G63" s="53" t="n">
        <v>44365</v>
      </c>
      <c r="H63" s="73" t="n">
        <v>70</v>
      </c>
      <c r="I63" s="73" t="n"/>
      <c r="J63" s="75" t="n">
        <v>2</v>
      </c>
      <c r="K63" s="78" t="n">
        <v>276.67</v>
      </c>
      <c r="M63" s="78" t="inlineStr">
        <is>
          <t>AMD</t>
        </is>
      </c>
      <c r="N63" s="73">
        <f>RTD("tos.rtd",,"last", "AMD")</f>
        <v/>
      </c>
      <c r="O63" s="73">
        <f>RTD("tos.rtd",,"ASK",".AMD210618P70")</f>
        <v/>
      </c>
      <c r="P63" s="10">
        <f>IF([TransType]="LS", [OpnPrem]+[ClsPrem],
                                            IF([TransType]="AS", [OpnPrem]+[ClsPrem],
                                               [OpnPrem]-[ClsPrem]))</f>
        <v/>
      </c>
      <c r="Q63" s="51">
        <f>IF([SYM]="","",SUMIFS([NetPrem],[Trade'#],[[Trade'#]],[Leg],"&lt;="&amp;[Leg]))</f>
        <v/>
      </c>
      <c r="R6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3" s="11">
        <f>IF([TransType]="SP",100*[Strike]*[['#Contracts]],
IF([TransType]="LS",[Strike]*[['#Contracts]],
IF([TransType]="BP",100*([Strike]-[Strike2])*[['#Contracts]],
IF([TransType]="BC",100*([Strike2]-[Strike])*[['#Contracts]],
IF([TransType]="NC",100*[Strike]*[['#Contracts]],
IF([TransType]="AS",100*[Strike]*[['#Contracts]],0))))))</f>
        <v/>
      </c>
      <c r="T63" s="11">
        <f>IF([CloseDate]&gt;0,"",[Cap])</f>
        <v/>
      </c>
      <c r="U63" s="11">
        <f>IF([CloseDate]&gt;0,"",
IF([TransType]="BC","",
IF([TransType]="BP",100*[Strike]*[['#Contracts]],
[Cap])))</f>
        <v/>
      </c>
      <c r="V63" s="11">
        <f>IF([SYM]="","",[Cap]*[Days])</f>
        <v/>
      </c>
      <c r="W63" s="11">
        <f>IF([SYM]="","",SUMIFS([CapDays],[Trade'#],[[Trade'#]],[Leg],"&lt;="&amp;[Leg]))</f>
        <v/>
      </c>
      <c r="X63" s="79">
        <f>IF([TotCapDays],365*[TotPrem]/[TotCapDays],"")</f>
        <v/>
      </c>
      <c r="Y63" s="10">
        <f>IF([SYM]="","",
IF([TransType]="LS",[Strike]-[TotPrem]/[['#Contracts]],
IF([['#Contracts]],[Strike]-[TotPrem]/[['#Contracts]]/100,"")))</f>
        <v/>
      </c>
      <c r="Z63" s="11">
        <f>IF([CloseDate]&gt;0,"",
IF([TransType]="LS",['#Contracts],
IF([TransType]="AS",100*[['#Contracts]],
IF([TransType]="SP",100*[['#Contracts]],
IF([TransType]="BP",100*[['#Contracts]],"")))))</f>
        <v/>
      </c>
      <c r="AA63" s="49">
        <f>IF([CloseDate]&gt;0,[CloseDate],
IF([ExpDate]&gt;0,[ExpDate],
TODAY()))</f>
        <v/>
      </c>
      <c r="AB63" s="10">
        <f>IF(PERFORMANCE!D8&gt;0,
IF(PERFORMANCE!D8&lt;[ActDate],"",[NetPrem]),
IF(TODAY()&lt;[ActDate],"",[NetPrem]))</f>
        <v/>
      </c>
      <c r="AC63" s="10">
        <f>IF(PERFORMANCE!D8&gt;0,
IF(PERFORMANCE!D8&lt;[ActDate],"",
IF(PERFORMANCE!D8 - [ActDate]&lt;366,[NetPrem],"")),
IF(TODAY()&lt;[ActDate],"",
IF(TODAY() - [ActDate]&lt;366,[NetPrem],"")))</f>
        <v/>
      </c>
      <c r="AD63" s="10">
        <f>IF(PERFORMANCE!D8&gt;0,
IF(PERFORMANCE!D8&lt;[ActDate],"",
IF(YEAR(PERFORMANCE!D8)=YEAR([ActDate]),[NetPrem],"")),
IF(TODAY()&lt;[ActDate],"",
IF(YEAR(TODAY())=YEAR([ActDate]),[NetPrem],"")))</f>
        <v/>
      </c>
      <c r="AE63" s="10">
        <f>IF(PERFORMANCE!D8&gt;0,
IF(PERFORMANCE!D8&lt;[ActDate],[NetPrem],""),
IF(TODAY()&lt;[ActDate],[NetPrem],""))</f>
        <v/>
      </c>
      <c r="AF63" s="75" t="n"/>
      <c r="AG63">
        <f>IF(Table1[SYM]="","",SUMIFS(Table1[NetPrem],Table1[Trade'#],Table1[[Trade'#]],Table1[Leg],"&lt;="&amp;Table1[Leg]))</f>
        <v/>
      </c>
    </row>
    <row r="64">
      <c r="A64" s="15" t="inlineStr">
        <is>
          <t>Bought 2 AMD Jun 18 2021 70.0 Put @ 0.36</t>
        </is>
      </c>
      <c r="B64" s="73" t="n">
        <v>20</v>
      </c>
      <c r="C64" s="73" t="n">
        <v>2</v>
      </c>
      <c r="D64" s="15" t="inlineStr">
        <is>
          <t>SP</t>
        </is>
      </c>
      <c r="E64" s="53" t="n">
        <v>44342</v>
      </c>
      <c r="F64" s="53" t="n">
        <v>44342</v>
      </c>
      <c r="G64" s="53" t="n">
        <v>44365</v>
      </c>
      <c r="H64" s="73" t="n">
        <v>70</v>
      </c>
      <c r="I64" s="73" t="n"/>
      <c r="J64" s="75" t="n">
        <v>2</v>
      </c>
      <c r="K64" s="78" t="n">
        <v>-73.33</v>
      </c>
      <c r="M64" s="78" t="inlineStr">
        <is>
          <t>AMD</t>
        </is>
      </c>
      <c r="N64" s="73">
        <f>RTD("tos.rtd",,"last", "AMD")</f>
        <v/>
      </c>
      <c r="O64" s="73">
        <f>RTD("tos.rtd",,"ASK",".AMD210618P70")</f>
        <v/>
      </c>
      <c r="P64" s="10">
        <f>IF([TransType]="LS", [OpnPrem]+[ClsPrem],
                                            IF([TransType]="AS", [OpnPrem]+[ClsPrem],
                                               [OpnPrem]-[ClsPrem]))</f>
        <v/>
      </c>
      <c r="Q64" s="51">
        <f>IF([SYM]="","",SUMIFS([NetPrem],[Trade'#],[[Trade'#]],[Leg],"&lt;="&amp;[Leg]))</f>
        <v/>
      </c>
      <c r="R6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4" s="11">
        <f>IF([TransType]="SP",100*[Strike]*[['#Contracts]],
IF([TransType]="LS",[Strike]*[['#Contracts]],
IF([TransType]="BP",100*([Strike]-[Strike2])*[['#Contracts]],
IF([TransType]="BC",100*([Strike2]-[Strike])*[['#Contracts]],
IF([TransType]="NC",100*[Strike]*[['#Contracts]],
IF([TransType]="AS",100*[Strike]*[['#Contracts]],0))))))</f>
        <v/>
      </c>
      <c r="T64" s="11">
        <f>IF([CloseDate]&gt;0,"",[Cap])</f>
        <v/>
      </c>
      <c r="U64" s="11">
        <f>IF([CloseDate]&gt;0,"",
IF([TransType]="BC","",
IF([TransType]="BP",100*[Strike]*[['#Contracts]],
[Cap])))</f>
        <v/>
      </c>
      <c r="V64" s="11">
        <f>IF([SYM]="","",[Cap]*[Days])</f>
        <v/>
      </c>
      <c r="W64" s="11">
        <f>IF([SYM]="","",SUMIFS([CapDays],[Trade'#],[[Trade'#]],[Leg],"&lt;="&amp;[Leg]))</f>
        <v/>
      </c>
      <c r="X64" s="79">
        <f>IF([TotCapDays],365*[TotPrem]/[TotCapDays],"")</f>
        <v/>
      </c>
      <c r="Y64" s="10">
        <f>IF([SYM]="","",
IF([TransType]="LS",[Strike]-[TotPrem]/[['#Contracts]],
IF([['#Contracts]],[Strike]-[TotPrem]/[['#Contracts]]/100,"")))</f>
        <v/>
      </c>
      <c r="Z64" s="11">
        <f>IF([CloseDate]&gt;0,"",
IF([TransType]="LS",['#Contracts],
IF([TransType]="AS",100*[['#Contracts]],
IF([TransType]="SP",100*[['#Contracts]],
IF([TransType]="BP",100*[['#Contracts]],"")))))</f>
        <v/>
      </c>
      <c r="AA64" s="49">
        <f>IF([CloseDate]&gt;0,[CloseDate],
IF([ExpDate]&gt;0,[ExpDate],
TODAY()))</f>
        <v/>
      </c>
      <c r="AB64" s="10">
        <f>IF(PERFORMANCE!D8&gt;0,
IF(PERFORMANCE!D8&lt;[ActDate],"",[NetPrem]),
IF(TODAY()&lt;[ActDate],"",[NetPrem]))</f>
        <v/>
      </c>
      <c r="AC64" s="10">
        <f>IF(PERFORMANCE!D8&gt;0,
IF(PERFORMANCE!D8&lt;[ActDate],"",
IF(PERFORMANCE!D8 - [ActDate]&lt;366,[NetPrem],"")),
IF(TODAY()&lt;[ActDate],"",
IF(TODAY() - [ActDate]&lt;366,[NetPrem],"")))</f>
        <v/>
      </c>
      <c r="AD64" s="10">
        <f>IF(PERFORMANCE!D8&gt;0,
IF(PERFORMANCE!D8&lt;[ActDate],"",
IF(YEAR(PERFORMANCE!D8)=YEAR([ActDate]),[NetPrem],"")),
IF(TODAY()&lt;[ActDate],"",
IF(YEAR(TODAY())=YEAR([ActDate]),[NetPrem],"")))</f>
        <v/>
      </c>
      <c r="AE64" s="10">
        <f>IF(PERFORMANCE!D8&gt;0,
IF(PERFORMANCE!D8&lt;[ActDate],[NetPrem],""),
IF(TODAY()&lt;[ActDate],[NetPrem],""))</f>
        <v/>
      </c>
      <c r="AF64" s="75" t="n"/>
      <c r="AG64">
        <f>IF(Table1[SYM]="","",SUMIFS(Table1[NetPrem],Table1[Trade'#],Table1[[Trade'#]],Table1[Leg],"&lt;="&amp;Table1[Leg]))</f>
        <v/>
      </c>
    </row>
    <row r="65">
      <c r="A65" s="15" t="inlineStr">
        <is>
          <t>Sold 3 NRG Jun 18 2021 33.0 Put @ 0.94</t>
        </is>
      </c>
      <c r="B65" s="73" t="n">
        <v>21</v>
      </c>
      <c r="C65" s="73" t="n">
        <v>1</v>
      </c>
      <c r="D65" s="15" t="inlineStr">
        <is>
          <t>SP</t>
        </is>
      </c>
      <c r="E65" s="53" t="n">
        <v>44333</v>
      </c>
      <c r="F65" s="53" t="n">
        <v>44358</v>
      </c>
      <c r="G65" s="53" t="n">
        <v>44365</v>
      </c>
      <c r="H65" s="73" t="n">
        <v>33</v>
      </c>
      <c r="I65" s="73" t="n"/>
      <c r="J65" s="75" t="n">
        <v>3</v>
      </c>
      <c r="K65" s="78" t="n">
        <v>280</v>
      </c>
      <c r="M65" s="78" t="inlineStr">
        <is>
          <t>NRG</t>
        </is>
      </c>
      <c r="N65" s="73">
        <f>RTD("tos.rtd",,"last", "NRG")</f>
        <v/>
      </c>
      <c r="O65" s="73">
        <f>RTD("tos.rtd",,"ASK",".NRG210618P33")</f>
        <v/>
      </c>
      <c r="P65" s="10">
        <f>IF([TransType]="LS", [OpnPrem]+[ClsPrem],
                                            IF([TransType]="AS", [OpnPrem]+[ClsPrem],
                                               [OpnPrem]-[ClsPrem]))</f>
        <v/>
      </c>
      <c r="Q65" s="51">
        <f>IF([SYM]="","",SUMIFS([NetPrem],[Trade'#],[[Trade'#]],[Leg],"&lt;="&amp;[Leg]))</f>
        <v/>
      </c>
      <c r="R6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5" s="11">
        <f>IF([TransType]="SP",100*[Strike]*[['#Contracts]],
IF([TransType]="LS",[Strike]*[['#Contracts]],
IF([TransType]="BP",100*([Strike]-[Strike2])*[['#Contracts]],
IF([TransType]="BC",100*([Strike2]-[Strike])*[['#Contracts]],
IF([TransType]="NC",100*[Strike]*[['#Contracts]],
IF([TransType]="AS",100*[Strike]*[['#Contracts]],0))))))</f>
        <v/>
      </c>
      <c r="T65" s="11">
        <f>IF([CloseDate]&gt;0,"",[Cap])</f>
        <v/>
      </c>
      <c r="U65" s="11">
        <f>IF([CloseDate]&gt;0,"",
IF([TransType]="BC","",
IF([TransType]="BP",100*[Strike]*[['#Contracts]],
[Cap])))</f>
        <v/>
      </c>
      <c r="V65" s="11">
        <f>IF([SYM]="","",[Cap]*[Days])</f>
        <v/>
      </c>
      <c r="W65" s="11">
        <f>IF([SYM]="","",SUMIFS([CapDays],[Trade'#],[[Trade'#]],[Leg],"&lt;="&amp;[Leg]))</f>
        <v/>
      </c>
      <c r="X65" s="79">
        <f>IF([TotCapDays],365*[TotPrem]/[TotCapDays],"")</f>
        <v/>
      </c>
      <c r="Y65" s="10">
        <f>IF([SYM]="","",
IF([TransType]="LS",[Strike]-[TotPrem]/[['#Contracts]],
IF([['#Contracts]],[Strike]-[TotPrem]/[['#Contracts]]/100,"")))</f>
        <v/>
      </c>
      <c r="Z65" s="11">
        <f>IF([CloseDate]&gt;0,"",
IF([TransType]="LS",['#Contracts],
IF([TransType]="AS",100*[['#Contracts]],
IF([TransType]="SP",100*[['#Contracts]],
IF([TransType]="BP",100*[['#Contracts]],"")))))</f>
        <v/>
      </c>
      <c r="AA65" s="49">
        <f>IF([CloseDate]&gt;0,[CloseDate],
IF([ExpDate]&gt;0,[ExpDate],
TODAY()))</f>
        <v/>
      </c>
      <c r="AB65" s="10">
        <f>IF(PERFORMANCE!D8&gt;0,
IF(PERFORMANCE!D8&lt;[ActDate],"",[NetPrem]),
IF(TODAY()&lt;[ActDate],"",[NetPrem]))</f>
        <v/>
      </c>
      <c r="AC65" s="10">
        <f>IF(PERFORMANCE!D8&gt;0,
IF(PERFORMANCE!D8&lt;[ActDate],"",
IF(PERFORMANCE!D8 - [ActDate]&lt;366,[NetPrem],"")),
IF(TODAY()&lt;[ActDate],"",
IF(TODAY() - [ActDate]&lt;366,[NetPrem],"")))</f>
        <v/>
      </c>
      <c r="AD65" s="10">
        <f>IF(PERFORMANCE!D8&gt;0,
IF(PERFORMANCE!D8&lt;[ActDate],"",
IF(YEAR(PERFORMANCE!D8)=YEAR([ActDate]),[NetPrem],"")),
IF(TODAY()&lt;[ActDate],"",
IF(YEAR(TODAY())=YEAR([ActDate]),[NetPrem],"")))</f>
        <v/>
      </c>
      <c r="AE65" s="10">
        <f>IF(PERFORMANCE!D8&gt;0,
IF(PERFORMANCE!D8&lt;[ActDate],[NetPrem],""),
IF(TODAY()&lt;[ActDate],[NetPrem],""))</f>
        <v/>
      </c>
      <c r="AF65" s="75" t="n"/>
      <c r="AG65">
        <f>IF(Table1[SYM]="","",SUMIFS(Table1[NetPrem],Table1[Trade'#],Table1[[Trade'#]],Table1[Leg],"&lt;="&amp;Table1[Leg]))</f>
        <v/>
      </c>
    </row>
    <row r="66">
      <c r="A66" s="15" t="inlineStr">
        <is>
          <t>Bought 3 NRG Jun 18 2021 33.0 Put @ 0.1</t>
        </is>
      </c>
      <c r="B66" s="73" t="n">
        <v>21</v>
      </c>
      <c r="C66" s="73" t="n">
        <v>2</v>
      </c>
      <c r="D66" s="15" t="inlineStr">
        <is>
          <t>SP</t>
        </is>
      </c>
      <c r="E66" s="53" t="n">
        <v>44358</v>
      </c>
      <c r="F66" s="53" t="n">
        <v>44358</v>
      </c>
      <c r="G66" s="53" t="n">
        <v>44365</v>
      </c>
      <c r="H66" s="73" t="n">
        <v>33</v>
      </c>
      <c r="I66" s="73" t="n"/>
      <c r="J66" s="75" t="n">
        <v>3</v>
      </c>
      <c r="K66" s="78" t="n">
        <v>-31.99</v>
      </c>
      <c r="M66" s="78" t="inlineStr">
        <is>
          <t>NRG</t>
        </is>
      </c>
      <c r="N66" s="73">
        <f>RTD("tos.rtd",,"last", "NRG")</f>
        <v/>
      </c>
      <c r="O66" s="73">
        <f>RTD("tos.rtd",,"ASK",".NRG210618P33")</f>
        <v/>
      </c>
      <c r="P66" s="10">
        <f>IF([TransType]="LS", [OpnPrem]+[ClsPrem],
                                            IF([TransType]="AS", [OpnPrem]+[ClsPrem],
                                               [OpnPrem]-[ClsPrem]))</f>
        <v/>
      </c>
      <c r="Q66" s="51">
        <f>IF([SYM]="","",SUMIFS([NetPrem],[Trade'#],[[Trade'#]],[Leg],"&lt;="&amp;[Leg]))</f>
        <v/>
      </c>
      <c r="R6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6" s="11">
        <f>IF([TransType]="SP",100*[Strike]*[['#Contracts]],
IF([TransType]="LS",[Strike]*[['#Contracts]],
IF([TransType]="BP",100*([Strike]-[Strike2])*[['#Contracts]],
IF([TransType]="BC",100*([Strike2]-[Strike])*[['#Contracts]],
IF([TransType]="NC",100*[Strike]*[['#Contracts]],
IF([TransType]="AS",100*[Strike]*[['#Contracts]],0))))))</f>
        <v/>
      </c>
      <c r="T66" s="11">
        <f>IF([CloseDate]&gt;0,"",[Cap])</f>
        <v/>
      </c>
      <c r="U66" s="11">
        <f>IF([CloseDate]&gt;0,"",
IF([TransType]="BC","",
IF([TransType]="BP",100*[Strike]*[['#Contracts]],
[Cap])))</f>
        <v/>
      </c>
      <c r="V66" s="11">
        <f>IF([SYM]="","",[Cap]*[Days])</f>
        <v/>
      </c>
      <c r="W66" s="11">
        <f>IF([SYM]="","",SUMIFS([CapDays],[Trade'#],[[Trade'#]],[Leg],"&lt;="&amp;[Leg]))</f>
        <v/>
      </c>
      <c r="X66" s="79">
        <f>IF([TotCapDays],365*[TotPrem]/[TotCapDays],"")</f>
        <v/>
      </c>
      <c r="Y66" s="10">
        <f>IF([SYM]="","",
IF([TransType]="LS",[Strike]-[TotPrem]/[['#Contracts]],
IF([['#Contracts]],[Strike]-[TotPrem]/[['#Contracts]]/100,"")))</f>
        <v/>
      </c>
      <c r="Z66" s="11">
        <f>IF([CloseDate]&gt;0,"",
IF([TransType]="LS",['#Contracts],
IF([TransType]="AS",100*[['#Contracts]],
IF([TransType]="SP",100*[['#Contracts]],
IF([TransType]="BP",100*[['#Contracts]],"")))))</f>
        <v/>
      </c>
      <c r="AA66" s="49">
        <f>IF([CloseDate]&gt;0,[CloseDate],
IF([ExpDate]&gt;0,[ExpDate],
TODAY()))</f>
        <v/>
      </c>
      <c r="AB66" s="10">
        <f>IF(PERFORMANCE!D8&gt;0,
IF(PERFORMANCE!D8&lt;[ActDate],"",[NetPrem]),
IF(TODAY()&lt;[ActDate],"",[NetPrem]))</f>
        <v/>
      </c>
      <c r="AC66" s="10">
        <f>IF(PERFORMANCE!D8&gt;0,
IF(PERFORMANCE!D8&lt;[ActDate],"",
IF(PERFORMANCE!D8 - [ActDate]&lt;366,[NetPrem],"")),
IF(TODAY()&lt;[ActDate],"",
IF(TODAY() - [ActDate]&lt;366,[NetPrem],"")))</f>
        <v/>
      </c>
      <c r="AD66" s="10">
        <f>IF(PERFORMANCE!D8&gt;0,
IF(PERFORMANCE!D8&lt;[ActDate],"",
IF(YEAR(PERFORMANCE!D8)=YEAR([ActDate]),[NetPrem],"")),
IF(TODAY()&lt;[ActDate],"",
IF(YEAR(TODAY())=YEAR([ActDate]),[NetPrem],"")))</f>
        <v/>
      </c>
      <c r="AE66" s="10">
        <f>IF(PERFORMANCE!D8&gt;0,
IF(PERFORMANCE!D8&lt;[ActDate],[NetPrem],""),
IF(TODAY()&lt;[ActDate],[NetPrem],""))</f>
        <v/>
      </c>
      <c r="AF66" s="75" t="n"/>
      <c r="AG66">
        <f>IF(Table1[SYM]="","",SUMIFS(Table1[NetPrem],Table1[Trade'#],Table1[[Trade'#]],Table1[Leg],"&lt;="&amp;Table1[Leg]))</f>
        <v/>
      </c>
    </row>
    <row r="67">
      <c r="A67" s="15" t="inlineStr">
        <is>
          <t>Sold 2 IRBT Jun 11 2021 91.0 Put @ 2.65</t>
        </is>
      </c>
      <c r="B67" s="73" t="n">
        <v>22</v>
      </c>
      <c r="C67" s="73" t="n">
        <v>1</v>
      </c>
      <c r="D67" s="15" t="inlineStr">
        <is>
          <t>SP</t>
        </is>
      </c>
      <c r="E67" s="53" t="n">
        <v>44333</v>
      </c>
      <c r="F67" s="53" t="n">
        <v>44358</v>
      </c>
      <c r="G67" s="53" t="n">
        <v>44358</v>
      </c>
      <c r="H67" s="73" t="n">
        <v>91</v>
      </c>
      <c r="I67" s="73" t="n"/>
      <c r="J67" s="75" t="n">
        <v>2</v>
      </c>
      <c r="K67" s="78" t="n">
        <v>528.67</v>
      </c>
      <c r="M67" s="78" t="inlineStr">
        <is>
          <t>IRBT</t>
        </is>
      </c>
      <c r="N67" s="73">
        <f>RTD("tos.rtd",,"last", "IRBT")</f>
        <v/>
      </c>
      <c r="O67" s="73">
        <f>RTD("tos.rtd",,"ASK",".IRBT210611P91")</f>
        <v/>
      </c>
      <c r="P67" s="10">
        <f>IF([TransType]="LS", [OpnPrem]+[ClsPrem],
                                            IF([TransType]="AS", [OpnPrem]+[ClsPrem],
                                               [OpnPrem]-[ClsPrem]))</f>
        <v/>
      </c>
      <c r="Q67" s="51">
        <f>IF([SYM]="","",SUMIFS([NetPrem],[Trade'#],[[Trade'#]],[Leg],"&lt;="&amp;[Leg]))</f>
        <v/>
      </c>
      <c r="R6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7" s="11">
        <f>IF([TransType]="SP",100*[Strike]*[['#Contracts]],
IF([TransType]="LS",[Strike]*[['#Contracts]],
IF([TransType]="BP",100*([Strike]-[Strike2])*[['#Contracts]],
IF([TransType]="BC",100*([Strike2]-[Strike])*[['#Contracts]],
IF([TransType]="NC",100*[Strike]*[['#Contracts]],
IF([TransType]="AS",100*[Strike]*[['#Contracts]],0))))))</f>
        <v/>
      </c>
      <c r="T67" s="11">
        <f>IF([CloseDate]&gt;0,"",[Cap])</f>
        <v/>
      </c>
      <c r="U67" s="11">
        <f>IF([CloseDate]&gt;0,"",
IF([TransType]="BC","",
IF([TransType]="BP",100*[Strike]*[['#Contracts]],
[Cap])))</f>
        <v/>
      </c>
      <c r="V67" s="11">
        <f>IF([SYM]="","",[Cap]*[Days])</f>
        <v/>
      </c>
      <c r="W67" s="11">
        <f>IF([SYM]="","",SUMIFS([CapDays],[Trade'#],[[Trade'#]],[Leg],"&lt;="&amp;[Leg]))</f>
        <v/>
      </c>
      <c r="X67" s="79">
        <f>IF([TotCapDays],365*[TotPrem]/[TotCapDays],"")</f>
        <v/>
      </c>
      <c r="Y67" s="10">
        <f>IF([SYM]="","",
IF([TransType]="LS",[Strike]-[TotPrem]/[['#Contracts]],
IF([['#Contracts]],[Strike]-[TotPrem]/[['#Contracts]]/100,"")))</f>
        <v/>
      </c>
      <c r="Z67" s="11">
        <f>IF([CloseDate]&gt;0,"",
IF([TransType]="LS",['#Contracts],
IF([TransType]="AS",100*[['#Contracts]],
IF([TransType]="SP",100*[['#Contracts]],
IF([TransType]="BP",100*[['#Contracts]],"")))))</f>
        <v/>
      </c>
      <c r="AA67" s="49">
        <f>IF([CloseDate]&gt;0,[CloseDate],
IF([ExpDate]&gt;0,[ExpDate],
TODAY()))</f>
        <v/>
      </c>
      <c r="AB67" s="10">
        <f>IF(PERFORMANCE!D8&gt;0,
IF(PERFORMANCE!D8&lt;[ActDate],"",[NetPrem]),
IF(TODAY()&lt;[ActDate],"",[NetPrem]))</f>
        <v/>
      </c>
      <c r="AC67" s="10">
        <f>IF(PERFORMANCE!D8&gt;0,
IF(PERFORMANCE!D8&lt;[ActDate],"",
IF(PERFORMANCE!D8 - [ActDate]&lt;366,[NetPrem],"")),
IF(TODAY()&lt;[ActDate],"",
IF(TODAY() - [ActDate]&lt;366,[NetPrem],"")))</f>
        <v/>
      </c>
      <c r="AD67" s="10">
        <f>IF(PERFORMANCE!D8&gt;0,
IF(PERFORMANCE!D8&lt;[ActDate],"",
IF(YEAR(PERFORMANCE!D8)=YEAR([ActDate]),[NetPrem],"")),
IF(TODAY()&lt;[ActDate],"",
IF(YEAR(TODAY())=YEAR([ActDate]),[NetPrem],"")))</f>
        <v/>
      </c>
      <c r="AE67" s="10">
        <f>IF(PERFORMANCE!D8&gt;0,
IF(PERFORMANCE!D8&lt;[ActDate],[NetPrem],""),
IF(TODAY()&lt;[ActDate],[NetPrem],""))</f>
        <v/>
      </c>
      <c r="AF67" s="75" t="n"/>
      <c r="AG67">
        <f>IF(Table1[SYM]="","",SUMIFS(Table1[NetPrem],Table1[Trade'#],Table1[[Trade'#]],Table1[Leg],"&lt;="&amp;Table1[Leg]))</f>
        <v/>
      </c>
    </row>
    <row r="68">
      <c r="A68" s="15" t="inlineStr">
        <is>
          <t>Bought 2 IRBT Jun 11 2021 91.0 Put @ 0.1</t>
        </is>
      </c>
      <c r="B68" s="73" t="n">
        <v>22</v>
      </c>
      <c r="C68" s="73" t="n">
        <v>2</v>
      </c>
      <c r="D68" s="15" t="inlineStr">
        <is>
          <t>SP</t>
        </is>
      </c>
      <c r="E68" s="53" t="n">
        <v>44358</v>
      </c>
      <c r="F68" s="53" t="n">
        <v>44358</v>
      </c>
      <c r="G68" s="53" t="n">
        <v>44358</v>
      </c>
      <c r="H68" s="73" t="n">
        <v>91</v>
      </c>
      <c r="I68" s="73" t="n"/>
      <c r="J68" s="75" t="n">
        <v>2</v>
      </c>
      <c r="K68" s="78" t="n">
        <v>-21.33</v>
      </c>
      <c r="M68" s="78" t="inlineStr">
        <is>
          <t>IRBT</t>
        </is>
      </c>
      <c r="N68" s="73">
        <f>RTD("tos.rtd",,"last", "IRBT")</f>
        <v/>
      </c>
      <c r="O68" s="73">
        <f>RTD("tos.rtd",,"ASK",".IRBT210611P91")</f>
        <v/>
      </c>
      <c r="P68" s="10">
        <f>IF([TransType]="LS", [OpnPrem]+[ClsPrem],
                                            IF([TransType]="AS", [OpnPrem]+[ClsPrem],
                                               [OpnPrem]-[ClsPrem]))</f>
        <v/>
      </c>
      <c r="Q68" s="51">
        <f>IF([SYM]="","",SUMIFS([NetPrem],[Trade'#],[[Trade'#]],[Leg],"&lt;="&amp;[Leg]))</f>
        <v/>
      </c>
      <c r="R6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8" s="11">
        <f>IF([TransType]="SP",100*[Strike]*[['#Contracts]],
IF([TransType]="LS",[Strike]*[['#Contracts]],
IF([TransType]="BP",100*([Strike]-[Strike2])*[['#Contracts]],
IF([TransType]="BC",100*([Strike2]-[Strike])*[['#Contracts]],
IF([TransType]="NC",100*[Strike]*[['#Contracts]],
IF([TransType]="AS",100*[Strike]*[['#Contracts]],0))))))</f>
        <v/>
      </c>
      <c r="T68" s="11">
        <f>IF([CloseDate]&gt;0,"",[Cap])</f>
        <v/>
      </c>
      <c r="U68" s="11">
        <f>IF([CloseDate]&gt;0,"",
IF([TransType]="BC","",
IF([TransType]="BP",100*[Strike]*[['#Contracts]],
[Cap])))</f>
        <v/>
      </c>
      <c r="V68" s="11">
        <f>IF([SYM]="","",[Cap]*[Days])</f>
        <v/>
      </c>
      <c r="W68" s="11">
        <f>IF([SYM]="","",SUMIFS([CapDays],[Trade'#],[[Trade'#]],[Leg],"&lt;="&amp;[Leg]))</f>
        <v/>
      </c>
      <c r="X68" s="79">
        <f>IF([TotCapDays],365*[TotPrem]/[TotCapDays],"")</f>
        <v/>
      </c>
      <c r="Y68" s="10">
        <f>IF([SYM]="","",
IF([TransType]="LS",[Strike]-[TotPrem]/[['#Contracts]],
IF([['#Contracts]],[Strike]-[TotPrem]/[['#Contracts]]/100,"")))</f>
        <v/>
      </c>
      <c r="Z68" s="11">
        <f>IF([CloseDate]&gt;0,"",
IF([TransType]="LS",['#Contracts],
IF([TransType]="AS",100*[['#Contracts]],
IF([TransType]="SP",100*[['#Contracts]],
IF([TransType]="BP",100*[['#Contracts]],"")))))</f>
        <v/>
      </c>
      <c r="AA68" s="49">
        <f>IF([CloseDate]&gt;0,[CloseDate],
IF([ExpDate]&gt;0,[ExpDate],
TODAY()))</f>
        <v/>
      </c>
      <c r="AB68" s="10">
        <f>IF(PERFORMANCE!D8&gt;0,
IF(PERFORMANCE!D8&lt;[ActDate],"",[NetPrem]),
IF(TODAY()&lt;[ActDate],"",[NetPrem]))</f>
        <v/>
      </c>
      <c r="AC68" s="10">
        <f>IF(PERFORMANCE!D8&gt;0,
IF(PERFORMANCE!D8&lt;[ActDate],"",
IF(PERFORMANCE!D8 - [ActDate]&lt;366,[NetPrem],"")),
IF(TODAY()&lt;[ActDate],"",
IF(TODAY() - [ActDate]&lt;366,[NetPrem],"")))</f>
        <v/>
      </c>
      <c r="AD68" s="10">
        <f>IF(PERFORMANCE!D8&gt;0,
IF(PERFORMANCE!D8&lt;[ActDate],"",
IF(YEAR(PERFORMANCE!D8)=YEAR([ActDate]),[NetPrem],"")),
IF(TODAY()&lt;[ActDate],"",
IF(YEAR(TODAY())=YEAR([ActDate]),[NetPrem],"")))</f>
        <v/>
      </c>
      <c r="AE68" s="10">
        <f>IF(PERFORMANCE!D8&gt;0,
IF(PERFORMANCE!D8&lt;[ActDate],[NetPrem],""),
IF(TODAY()&lt;[ActDate],[NetPrem],""))</f>
        <v/>
      </c>
      <c r="AF68" s="75" t="n"/>
      <c r="AG68">
        <f>IF(Table1[SYM]="","",SUMIFS(Table1[NetPrem],Table1[Trade'#],Table1[[Trade'#]],Table1[Leg],"&lt;="&amp;Table1[Leg]))</f>
        <v/>
      </c>
    </row>
    <row r="69">
      <c r="A69" s="15" t="inlineStr">
        <is>
          <t>Sold 4 EAT Jun 18 2021 65.0 Put @ 5.91</t>
        </is>
      </c>
      <c r="B69" s="73" t="n">
        <v>23</v>
      </c>
      <c r="C69" s="73" t="n">
        <v>1</v>
      </c>
      <c r="D69" s="15" t="inlineStr">
        <is>
          <t>SP</t>
        </is>
      </c>
      <c r="E69" s="53" t="n">
        <v>44335</v>
      </c>
      <c r="F69" s="53" t="n">
        <v>44362</v>
      </c>
      <c r="G69" s="53" t="n">
        <v>44365</v>
      </c>
      <c r="H69" s="73" t="n">
        <v>65</v>
      </c>
      <c r="I69" s="73" t="n"/>
      <c r="J69" s="75" t="n">
        <v>4</v>
      </c>
      <c r="K69" s="78" t="n">
        <v>2361.32</v>
      </c>
      <c r="M69" s="78" t="inlineStr">
        <is>
          <t>EAT</t>
        </is>
      </c>
      <c r="N69" s="73">
        <f>RTD("tos.rtd",,"last", "EAT")</f>
        <v/>
      </c>
      <c r="O69" s="73">
        <f>RTD("tos.rtd",,"ASK",".EAT210618P65")</f>
        <v/>
      </c>
      <c r="P69" s="10">
        <f>IF([TransType]="LS", [OpnPrem]+[ClsPrem],
                                            IF([TransType]="AS", [OpnPrem]+[ClsPrem],
                                               [OpnPrem]-[ClsPrem]))</f>
        <v/>
      </c>
      <c r="Q69" s="51">
        <f>IF([SYM]="","",SUMIFS([NetPrem],[Trade'#],[[Trade'#]],[Leg],"&lt;="&amp;[Leg]))</f>
        <v/>
      </c>
      <c r="R6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9" s="11">
        <f>IF([TransType]="SP",100*[Strike]*[['#Contracts]],
IF([TransType]="LS",[Strike]*[['#Contracts]],
IF([TransType]="BP",100*([Strike]-[Strike2])*[['#Contracts]],
IF([TransType]="BC",100*([Strike2]-[Strike])*[['#Contracts]],
IF([TransType]="NC",100*[Strike]*[['#Contracts]],
IF([TransType]="AS",100*[Strike]*[['#Contracts]],0))))))</f>
        <v/>
      </c>
      <c r="T69" s="11">
        <f>IF([CloseDate]&gt;0,"",[Cap])</f>
        <v/>
      </c>
      <c r="U69" s="11">
        <f>IF([CloseDate]&gt;0,"",
IF([TransType]="BC","",
IF([TransType]="BP",100*[Strike]*[['#Contracts]],
[Cap])))</f>
        <v/>
      </c>
      <c r="V69" s="11">
        <f>IF([SYM]="","",[Cap]*[Days])</f>
        <v/>
      </c>
      <c r="W69" s="11">
        <f>IF([SYM]="","",SUMIFS([CapDays],[Trade'#],[[Trade'#]],[Leg],"&lt;="&amp;[Leg]))</f>
        <v/>
      </c>
      <c r="X69" s="79">
        <f>IF([TotCapDays],365*[TotPrem]/[TotCapDays],"")</f>
        <v/>
      </c>
      <c r="Y69" s="10">
        <f>IF([SYM]="","",
IF([TransType]="LS",[Strike]-[TotPrem]/[['#Contracts]],
IF([['#Contracts]],[Strike]-[TotPrem]/[['#Contracts]]/100,"")))</f>
        <v/>
      </c>
      <c r="Z69" s="11">
        <f>IF([CloseDate]&gt;0,"",
IF([TransType]="LS",['#Contracts],
IF([TransType]="AS",100*[['#Contracts]],
IF([TransType]="SP",100*[['#Contracts]],
IF([TransType]="BP",100*[['#Contracts]],"")))))</f>
        <v/>
      </c>
      <c r="AA69" s="49">
        <f>IF([CloseDate]&gt;0,[CloseDate],
IF([ExpDate]&gt;0,[ExpDate],
TODAY()))</f>
        <v/>
      </c>
      <c r="AB69" s="10">
        <f>IF(PERFORMANCE!D8&gt;0,
IF(PERFORMANCE!D8&lt;[ActDate],"",[NetPrem]),
IF(TODAY()&lt;[ActDate],"",[NetPrem]))</f>
        <v/>
      </c>
      <c r="AC69" s="10">
        <f>IF(PERFORMANCE!D8&gt;0,
IF(PERFORMANCE!D8&lt;[ActDate],"",
IF(PERFORMANCE!D8 - [ActDate]&lt;366,[NetPrem],"")),
IF(TODAY()&lt;[ActDate],"",
IF(TODAY() - [ActDate]&lt;366,[NetPrem],"")))</f>
        <v/>
      </c>
      <c r="AD69" s="10">
        <f>IF(PERFORMANCE!D8&gt;0,
IF(PERFORMANCE!D8&lt;[ActDate],"",
IF(YEAR(PERFORMANCE!D8)=YEAR([ActDate]),[NetPrem],"")),
IF(TODAY()&lt;[ActDate],"",
IF(YEAR(TODAY())=YEAR([ActDate]),[NetPrem],"")))</f>
        <v/>
      </c>
      <c r="AE69" s="10">
        <f>IF(PERFORMANCE!D8&gt;0,
IF(PERFORMANCE!D8&lt;[ActDate],[NetPrem],""),
IF(TODAY()&lt;[ActDate],[NetPrem],""))</f>
        <v/>
      </c>
      <c r="AF69" s="75" t="n"/>
      <c r="AG69">
        <f>IF(Table1[SYM]="","",SUMIFS(Table1[NetPrem],Table1[Trade'#],Table1[[Trade'#]],Table1[Leg],"&lt;="&amp;Table1[Leg]))</f>
        <v/>
      </c>
    </row>
    <row r="70">
      <c r="A70" s="15" t="inlineStr">
        <is>
          <t>Bought 4 EAT Jun 18 2021 65.0 Put @ 6.9</t>
        </is>
      </c>
      <c r="B70" s="73" t="n">
        <v>23</v>
      </c>
      <c r="C70" s="73" t="n">
        <v>3</v>
      </c>
      <c r="D70" s="15" t="inlineStr">
        <is>
          <t>SP</t>
        </is>
      </c>
      <c r="E70" s="53" t="n">
        <v>44362</v>
      </c>
      <c r="F70" s="53" t="n">
        <v>44362</v>
      </c>
      <c r="G70" s="53" t="n">
        <v>44365</v>
      </c>
      <c r="H70" s="73" t="n">
        <v>65</v>
      </c>
      <c r="I70" s="73" t="n"/>
      <c r="J70" s="75" t="n">
        <v>4</v>
      </c>
      <c r="K70" s="78" t="n">
        <v>-2762.66</v>
      </c>
      <c r="M70" s="78" t="inlineStr">
        <is>
          <t>EAT</t>
        </is>
      </c>
      <c r="N70" s="73">
        <f>RTD("tos.rtd",,"last", "EAT")</f>
        <v/>
      </c>
      <c r="O70" s="73">
        <f>RTD("tos.rtd",,"ASK",".EAT210618P65")</f>
        <v/>
      </c>
      <c r="P70" s="10">
        <f>IF([TransType]="LS", [OpnPrem]+[ClsPrem],
                                            IF([TransType]="AS", [OpnPrem]+[ClsPrem],
                                               [OpnPrem]-[ClsPrem]))</f>
        <v/>
      </c>
      <c r="Q70" s="51">
        <f>IF([SYM]="","",SUMIFS([NetPrem],[Trade'#],[[Trade'#]],[Leg],"&lt;="&amp;[Leg]))</f>
        <v/>
      </c>
      <c r="R7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0" s="11">
        <f>IF([TransType]="SP",100*[Strike]*[['#Contracts]],
IF([TransType]="LS",[Strike]*[['#Contracts]],
IF([TransType]="BP",100*([Strike]-[Strike2])*[['#Contracts]],
IF([TransType]="BC",100*([Strike2]-[Strike])*[['#Contracts]],
IF([TransType]="NC",100*[Strike]*[['#Contracts]],
IF([TransType]="AS",100*[Strike]*[['#Contracts]],0))))))</f>
        <v/>
      </c>
      <c r="T70" s="11">
        <f>IF([CloseDate]&gt;0,"",[Cap])</f>
        <v/>
      </c>
      <c r="U70" s="11">
        <f>IF([CloseDate]&gt;0,"",
IF([TransType]="BC","",
IF([TransType]="BP",100*[Strike]*[['#Contracts]],
[Cap])))</f>
        <v/>
      </c>
      <c r="V70" s="11">
        <f>IF([SYM]="","",[Cap]*[Days])</f>
        <v/>
      </c>
      <c r="W70" s="11">
        <f>IF([SYM]="","",SUMIFS([CapDays],[Trade'#],[[Trade'#]],[Leg],"&lt;="&amp;[Leg]))</f>
        <v/>
      </c>
      <c r="X70" s="79">
        <f>IF([TotCapDays],365*[TotPrem]/[TotCapDays],"")</f>
        <v/>
      </c>
      <c r="Y70" s="10">
        <f>IF([SYM]="","",
IF([TransType]="LS",[Strike]-[TotPrem]/[['#Contracts]],
IF([['#Contracts]],[Strike]-[TotPrem]/[['#Contracts]]/100,"")))</f>
        <v/>
      </c>
      <c r="Z70" s="11">
        <f>IF([CloseDate]&gt;0,"",
IF([TransType]="LS",['#Contracts],
IF([TransType]="AS",100*[['#Contracts]],
IF([TransType]="SP",100*[['#Contracts]],
IF([TransType]="BP",100*[['#Contracts]],"")))))</f>
        <v/>
      </c>
      <c r="AA70" s="49">
        <f>IF([CloseDate]&gt;0,[CloseDate],
IF([ExpDate]&gt;0,[ExpDate],
TODAY()))</f>
        <v/>
      </c>
      <c r="AB70" s="10">
        <f>IF(PERFORMANCE!D8&gt;0,
IF(PERFORMANCE!D8&lt;[ActDate],"",[NetPrem]),
IF(TODAY()&lt;[ActDate],"",[NetPrem]))</f>
        <v/>
      </c>
      <c r="AC70" s="10">
        <f>IF(PERFORMANCE!D8&gt;0,
IF(PERFORMANCE!D8&lt;[ActDate],"",
IF(PERFORMANCE!D8 - [ActDate]&lt;366,[NetPrem],"")),
IF(TODAY()&lt;[ActDate],"",
IF(TODAY() - [ActDate]&lt;366,[NetPrem],"")))</f>
        <v/>
      </c>
      <c r="AD70" s="10">
        <f>IF(PERFORMANCE!D8&gt;0,
IF(PERFORMANCE!D8&lt;[ActDate],"",
IF(YEAR(PERFORMANCE!D8)=YEAR([ActDate]),[NetPrem],"")),
IF(TODAY()&lt;[ActDate],"",
IF(YEAR(TODAY())=YEAR([ActDate]),[NetPrem],"")))</f>
        <v/>
      </c>
      <c r="AE70" s="10">
        <f>IF(PERFORMANCE!D8&gt;0,
IF(PERFORMANCE!D8&lt;[ActDate],[NetPrem],""),
IF(TODAY()&lt;[ActDate],[NetPrem],""))</f>
        <v/>
      </c>
      <c r="AF70" s="75" t="n"/>
      <c r="AG70">
        <f>IF(Table1[SYM]="","",SUMIFS(Table1[NetPrem],Table1[Trade'#],Table1[[Trade'#]],Table1[Leg],"&lt;="&amp;Table1[Leg]))</f>
        <v/>
      </c>
    </row>
    <row r="71">
      <c r="A71" s="15" t="inlineStr">
        <is>
          <t>Sold 4 EAT Jul 16 2021 65.0 Put @ 7.7</t>
        </is>
      </c>
      <c r="B71" s="73" t="n">
        <v>23</v>
      </c>
      <c r="C71" s="73" t="n">
        <v>3</v>
      </c>
      <c r="D71" s="15" t="inlineStr">
        <is>
          <t>SP</t>
        </is>
      </c>
      <c r="E71" s="53" t="n">
        <v>44362</v>
      </c>
      <c r="F71" s="53" t="n"/>
      <c r="G71" s="53" t="n">
        <v>44393</v>
      </c>
      <c r="H71" s="73" t="n">
        <v>65</v>
      </c>
      <c r="I71" s="73" t="n"/>
      <c r="J71" s="75" t="n">
        <v>4</v>
      </c>
      <c r="K71" s="78" t="n">
        <v>3077.31</v>
      </c>
      <c r="M71" s="78" t="inlineStr">
        <is>
          <t>EAT</t>
        </is>
      </c>
      <c r="N71" s="73">
        <f>RTD("tos.rtd",,"last", "EAT")</f>
        <v/>
      </c>
      <c r="O71" s="73">
        <f>RTD("tos.rtd",,"ASK",".EAT210716P65")</f>
        <v/>
      </c>
      <c r="P71" s="10">
        <f>IF([TransType]="LS", [OpnPrem]+[ClsPrem],
                                            IF([TransType]="AS", [OpnPrem]+[ClsPrem],
                                               [OpnPrem]-[ClsPrem]))</f>
        <v/>
      </c>
      <c r="Q71" s="51">
        <f>IF([SYM]="","",SUMIFS([NetPrem],[Trade'#],[[Trade'#]],[Leg],"&lt;="&amp;[Leg]))</f>
        <v/>
      </c>
      <c r="R7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1" s="11">
        <f>IF([TransType]="SP",100*[Strike]*[['#Contracts]],
IF([TransType]="LS",[Strike]*[['#Contracts]],
IF([TransType]="BP",100*([Strike]-[Strike2])*[['#Contracts]],
IF([TransType]="BC",100*([Strike2]-[Strike])*[['#Contracts]],
IF([TransType]="NC",100*[Strike]*[['#Contracts]],
IF([TransType]="AS",100*[Strike]*[['#Contracts]],0))))))</f>
        <v/>
      </c>
      <c r="T71" s="11">
        <f>IF([CloseDate]&gt;0,"",[Cap])</f>
        <v/>
      </c>
      <c r="U71" s="11">
        <f>IF([CloseDate]&gt;0,"",
IF([TransType]="BC","",
IF([TransType]="BP",100*[Strike]*[['#Contracts]],
[Cap])))</f>
        <v/>
      </c>
      <c r="V71" s="11">
        <f>IF([SYM]="","",[Cap]*[Days])</f>
        <v/>
      </c>
      <c r="W71" s="11">
        <f>IF([SYM]="","",SUMIFS([CapDays],[Trade'#],[[Trade'#]],[Leg],"&lt;="&amp;[Leg]))</f>
        <v/>
      </c>
      <c r="X71" s="79">
        <f>IF([TotCapDays],365*[TotPrem]/[TotCapDays],"")</f>
        <v/>
      </c>
      <c r="Y71" s="10">
        <f>IF([SYM]="","",
IF([TransType]="LS",[Strike]-[TotPrem]/[['#Contracts]],
IF([['#Contracts]],[Strike]-[TotPrem]/[['#Contracts]]/100,"")))</f>
        <v/>
      </c>
      <c r="Z71" s="11">
        <f>IF([CloseDate]&gt;0,"",
IF([TransType]="LS",['#Contracts],
IF([TransType]="AS",100*[['#Contracts]],
IF([TransType]="SP",100*[['#Contracts]],
IF([TransType]="BP",100*[['#Contracts]],"")))))</f>
        <v/>
      </c>
      <c r="AA71" s="49">
        <f>IF([CloseDate]&gt;0,[CloseDate],
IF([ExpDate]&gt;0,[ExpDate],
TODAY()))</f>
        <v/>
      </c>
      <c r="AB71" s="10">
        <f>IF(PERFORMANCE!D8&gt;0,
IF(PERFORMANCE!D8&lt;[ActDate],"",[NetPrem]),
IF(TODAY()&lt;[ActDate],"",[NetPrem]))</f>
        <v/>
      </c>
      <c r="AC71" s="10">
        <f>IF(PERFORMANCE!D8&gt;0,
IF(PERFORMANCE!D8&lt;[ActDate],"",
IF(PERFORMANCE!D8 - [ActDate]&lt;366,[NetPrem],"")),
IF(TODAY()&lt;[ActDate],"",
IF(TODAY() - [ActDate]&lt;366,[NetPrem],"")))</f>
        <v/>
      </c>
      <c r="AD71" s="10">
        <f>IF(PERFORMANCE!D8&gt;0,
IF(PERFORMANCE!D8&lt;[ActDate],"",
IF(YEAR(PERFORMANCE!D8)=YEAR([ActDate]),[NetPrem],"")),
IF(TODAY()&lt;[ActDate],"",
IF(YEAR(TODAY())=YEAR([ActDate]),[NetPrem],"")))</f>
        <v/>
      </c>
      <c r="AE71" s="10">
        <f>IF(PERFORMANCE!D8&gt;0,
IF(PERFORMANCE!D8&lt;[ActDate],[NetPrem],""),
IF(TODAY()&lt;[ActDate],[NetPrem],""))</f>
        <v/>
      </c>
      <c r="AF71" s="75" t="n"/>
      <c r="AG71">
        <f>IF(Table1[SYM]="","",SUMIFS(Table1[NetPrem],Table1[Trade'#],Table1[[Trade'#]],Table1[Leg],"&lt;="&amp;Table1[Leg]))</f>
        <v/>
      </c>
    </row>
    <row r="72">
      <c r="A72" s="15" t="inlineStr">
        <is>
          <t>Sold 1 ABT Jun 18 2021 115.0 Put @ 1.27</t>
        </is>
      </c>
      <c r="B72" s="73" t="n">
        <v>24</v>
      </c>
      <c r="C72" s="73" t="n">
        <v>1</v>
      </c>
      <c r="D72" s="15" t="inlineStr">
        <is>
          <t>SP</t>
        </is>
      </c>
      <c r="E72" s="53" t="n">
        <v>44340</v>
      </c>
      <c r="F72" s="53" t="n">
        <v>44355</v>
      </c>
      <c r="G72" s="53" t="n">
        <v>44365</v>
      </c>
      <c r="H72" s="73" t="n">
        <v>115</v>
      </c>
      <c r="I72" s="73" t="n"/>
      <c r="J72" s="75" t="n">
        <v>1</v>
      </c>
      <c r="K72" s="78" t="n">
        <v>126.34</v>
      </c>
      <c r="M72" s="78" t="inlineStr">
        <is>
          <t>ABT</t>
        </is>
      </c>
      <c r="N72" s="73">
        <f>RTD("tos.rtd",,"last", "ABT")</f>
        <v/>
      </c>
      <c r="O72" s="73">
        <f>RTD("tos.rtd",,"ASK",".ABT210618P115")</f>
        <v/>
      </c>
      <c r="P72" s="10">
        <f>IF([TransType]="LS", [OpnPrem]+[ClsPrem],
                                            IF([TransType]="AS", [OpnPrem]+[ClsPrem],
                                               [OpnPrem]-[ClsPrem]))</f>
        <v/>
      </c>
      <c r="Q72" s="51">
        <f>IF([SYM]="","",SUMIFS([NetPrem],[Trade'#],[[Trade'#]],[Leg],"&lt;="&amp;[Leg]))</f>
        <v/>
      </c>
      <c r="R7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2" s="11">
        <f>IF([TransType]="SP",100*[Strike]*[['#Contracts]],
IF([TransType]="LS",[Strike]*[['#Contracts]],
IF([TransType]="BP",100*([Strike]-[Strike2])*[['#Contracts]],
IF([TransType]="BC",100*([Strike2]-[Strike])*[['#Contracts]],
IF([TransType]="NC",100*[Strike]*[['#Contracts]],
IF([TransType]="AS",100*[Strike]*[['#Contracts]],0))))))</f>
        <v/>
      </c>
      <c r="T72" s="11">
        <f>IF([CloseDate]&gt;0,"",[Cap])</f>
        <v/>
      </c>
      <c r="U72" s="11">
        <f>IF([CloseDate]&gt;0,"",
IF([TransType]="BC","",
IF([TransType]="BP",100*[Strike]*[['#Contracts]],
[Cap])))</f>
        <v/>
      </c>
      <c r="V72" s="11">
        <f>IF([SYM]="","",[Cap]*[Days])</f>
        <v/>
      </c>
      <c r="W72" s="11">
        <f>IF([SYM]="","",SUMIFS([CapDays],[Trade'#],[[Trade'#]],[Leg],"&lt;="&amp;[Leg]))</f>
        <v/>
      </c>
      <c r="X72" s="79">
        <f>IF([TotCapDays],365*[TotPrem]/[TotCapDays],"")</f>
        <v/>
      </c>
      <c r="Y72" s="10">
        <f>IF([SYM]="","",
IF([TransType]="LS",[Strike]-[TotPrem]/[['#Contracts]],
IF([['#Contracts]],[Strike]-[TotPrem]/[['#Contracts]]/100,"")))</f>
        <v/>
      </c>
      <c r="Z72" s="11">
        <f>IF([CloseDate]&gt;0,"",
IF([TransType]="LS",['#Contracts],
IF([TransType]="AS",100*[['#Contracts]],
IF([TransType]="SP",100*[['#Contracts]],
IF([TransType]="BP",100*[['#Contracts]],"")))))</f>
        <v/>
      </c>
      <c r="AA72" s="49">
        <f>IF([CloseDate]&gt;0,[CloseDate],
IF([ExpDate]&gt;0,[ExpDate],
TODAY()))</f>
        <v/>
      </c>
      <c r="AB72" s="10">
        <f>IF(PERFORMANCE!D8&gt;0,
IF(PERFORMANCE!D8&lt;[ActDate],"",[NetPrem]),
IF(TODAY()&lt;[ActDate],"",[NetPrem]))</f>
        <v/>
      </c>
      <c r="AC72" s="10">
        <f>IF(PERFORMANCE!D8&gt;0,
IF(PERFORMANCE!D8&lt;[ActDate],"",
IF(PERFORMANCE!D8 - [ActDate]&lt;366,[NetPrem],"")),
IF(TODAY()&lt;[ActDate],"",
IF(TODAY() - [ActDate]&lt;366,[NetPrem],"")))</f>
        <v/>
      </c>
      <c r="AD72" s="10">
        <f>IF(PERFORMANCE!D8&gt;0,
IF(PERFORMANCE!D8&lt;[ActDate],"",
IF(YEAR(PERFORMANCE!D8)=YEAR([ActDate]),[NetPrem],"")),
IF(TODAY()&lt;[ActDate],"",
IF(YEAR(TODAY())=YEAR([ActDate]),[NetPrem],"")))</f>
        <v/>
      </c>
      <c r="AE72" s="10">
        <f>IF(PERFORMANCE!D8&gt;0,
IF(PERFORMANCE!D8&lt;[ActDate],[NetPrem],""),
IF(TODAY()&lt;[ActDate],[NetPrem],""))</f>
        <v/>
      </c>
      <c r="AF72" s="75" t="n"/>
      <c r="AG72">
        <f>IF(Table1[SYM]="","",SUMIFS(Table1[NetPrem],Table1[Trade'#],Table1[[Trade'#]],Table1[Leg],"&lt;="&amp;Table1[Leg]))</f>
        <v/>
      </c>
    </row>
    <row r="73">
      <c r="A73" s="15" t="inlineStr">
        <is>
          <t>Bought 1 ABT Jun 18 2021 115.0 Put @ 6.65</t>
        </is>
      </c>
      <c r="B73" s="73" t="n">
        <v>24</v>
      </c>
      <c r="C73" s="73" t="n">
        <v>2</v>
      </c>
      <c r="D73" s="15" t="inlineStr">
        <is>
          <t>SP</t>
        </is>
      </c>
      <c r="E73" s="53" t="n">
        <v>44355</v>
      </c>
      <c r="F73" s="53" t="n">
        <v>44355</v>
      </c>
      <c r="G73" s="53" t="n">
        <v>44365</v>
      </c>
      <c r="H73" s="73" t="n">
        <v>115</v>
      </c>
      <c r="I73" s="73" t="n"/>
      <c r="J73" s="75" t="n">
        <v>1</v>
      </c>
      <c r="K73" s="78" t="n">
        <v>-665.66</v>
      </c>
      <c r="M73" s="78" t="inlineStr">
        <is>
          <t>ABT</t>
        </is>
      </c>
      <c r="N73" s="73">
        <f>RTD("tos.rtd",,"last", "ABT")</f>
        <v/>
      </c>
      <c r="O73" s="73">
        <f>RTD("tos.rtd",,"ASK",".ABT210618P115")</f>
        <v/>
      </c>
      <c r="P73" s="10">
        <f>IF([TransType]="LS", [OpnPrem]+[ClsPrem],
                                            IF([TransType]="AS", [OpnPrem]+[ClsPrem],
                                               [OpnPrem]-[ClsPrem]))</f>
        <v/>
      </c>
      <c r="Q73" s="51">
        <f>IF([SYM]="","",SUMIFS([NetPrem],[Trade'#],[[Trade'#]],[Leg],"&lt;="&amp;[Leg]))</f>
        <v/>
      </c>
      <c r="R7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3" s="11">
        <f>IF([TransType]="SP",100*[Strike]*[['#Contracts]],
IF([TransType]="LS",[Strike]*[['#Contracts]],
IF([TransType]="BP",100*([Strike]-[Strike2])*[['#Contracts]],
IF([TransType]="BC",100*([Strike2]-[Strike])*[['#Contracts]],
IF([TransType]="NC",100*[Strike]*[['#Contracts]],
IF([TransType]="AS",100*[Strike]*[['#Contracts]],0))))))</f>
        <v/>
      </c>
      <c r="T73" s="11">
        <f>IF([CloseDate]&gt;0,"",[Cap])</f>
        <v/>
      </c>
      <c r="U73" s="11">
        <f>IF([CloseDate]&gt;0,"",
IF([TransType]="BC","",
IF([TransType]="BP",100*[Strike]*[['#Contracts]],
[Cap])))</f>
        <v/>
      </c>
      <c r="V73" s="11">
        <f>IF([SYM]="","",[Cap]*[Days])</f>
        <v/>
      </c>
      <c r="W73" s="11">
        <f>IF([SYM]="","",SUMIFS([CapDays],[Trade'#],[[Trade'#]],[Leg],"&lt;="&amp;[Leg]))</f>
        <v/>
      </c>
      <c r="X73" s="79">
        <f>IF([TotCapDays],365*[TotPrem]/[TotCapDays],"")</f>
        <v/>
      </c>
      <c r="Y73" s="10">
        <f>IF([SYM]="","",
IF([TransType]="LS",[Strike]-[TotPrem]/[['#Contracts]],
IF([['#Contracts]],[Strike]-[TotPrem]/[['#Contracts]]/100,"")))</f>
        <v/>
      </c>
      <c r="Z73" s="11">
        <f>IF([CloseDate]&gt;0,"",
IF([TransType]="LS",['#Contracts],
IF([TransType]="AS",100*[['#Contracts]],
IF([TransType]="SP",100*[['#Contracts]],
IF([TransType]="BP",100*[['#Contracts]],"")))))</f>
        <v/>
      </c>
      <c r="AA73" s="49">
        <f>IF([CloseDate]&gt;0,[CloseDate],
IF([ExpDate]&gt;0,[ExpDate],
TODAY()))</f>
        <v/>
      </c>
      <c r="AB73" s="10">
        <f>IF(PERFORMANCE!D8&gt;0,
IF(PERFORMANCE!D8&lt;[ActDate],"",[NetPrem]),
IF(TODAY()&lt;[ActDate],"",[NetPrem]))</f>
        <v/>
      </c>
      <c r="AC73" s="10">
        <f>IF(PERFORMANCE!D8&gt;0,
IF(PERFORMANCE!D8&lt;[ActDate],"",
IF(PERFORMANCE!D8 - [ActDate]&lt;366,[NetPrem],"")),
IF(TODAY()&lt;[ActDate],"",
IF(TODAY() - [ActDate]&lt;366,[NetPrem],"")))</f>
        <v/>
      </c>
      <c r="AD73" s="10">
        <f>IF(PERFORMANCE!D8&gt;0,
IF(PERFORMANCE!D8&lt;[ActDate],"",
IF(YEAR(PERFORMANCE!D8)=YEAR([ActDate]),[NetPrem],"")),
IF(TODAY()&lt;[ActDate],"",
IF(YEAR(TODAY())=YEAR([ActDate]),[NetPrem],"")))</f>
        <v/>
      </c>
      <c r="AE73" s="10">
        <f>IF(PERFORMANCE!D8&gt;0,
IF(PERFORMANCE!D8&lt;[ActDate],[NetPrem],""),
IF(TODAY()&lt;[ActDate],[NetPrem],""))</f>
        <v/>
      </c>
      <c r="AF73" s="75" t="n"/>
      <c r="AG73">
        <f>IF(Table1[SYM]="","",SUMIFS(Table1[NetPrem],Table1[Trade'#],Table1[[Trade'#]],Table1[Leg],"&lt;="&amp;Table1[Leg]))</f>
        <v/>
      </c>
    </row>
    <row r="74">
      <c r="A74" s="15" t="inlineStr">
        <is>
          <t>Sold 10 CCL May 28 2021 27.5 Put @ 0.16</t>
        </is>
      </c>
      <c r="B74" s="73" t="n">
        <v>25</v>
      </c>
      <c r="C74" s="73" t="n">
        <v>1</v>
      </c>
      <c r="D74" s="15" t="inlineStr">
        <is>
          <t>SP</t>
        </is>
      </c>
      <c r="E74" s="53" t="n">
        <v>44341</v>
      </c>
      <c r="F74" s="53" t="n">
        <v>44344</v>
      </c>
      <c r="G74" s="53" t="n">
        <v>44344</v>
      </c>
      <c r="H74" s="73" t="n">
        <v>27.5</v>
      </c>
      <c r="I74" s="73" t="n"/>
      <c r="J74" s="75" t="n">
        <v>10</v>
      </c>
      <c r="K74" s="78" t="n">
        <v>153.34</v>
      </c>
      <c r="M74" s="78" t="inlineStr">
        <is>
          <t>CCL</t>
        </is>
      </c>
      <c r="N74" s="73">
        <f>RTD("tos.rtd",,"last", "CCL")</f>
        <v/>
      </c>
      <c r="O74" s="73">
        <f>RTD("tos.rtd",,"ASK",".CCL210528P27.5")</f>
        <v/>
      </c>
      <c r="P74" s="10">
        <f>IF([TransType]="LS", [OpnPrem]+[ClsPrem],
                                            IF([TransType]="AS", [OpnPrem]+[ClsPrem],
                                               [OpnPrem]-[ClsPrem]))</f>
        <v/>
      </c>
      <c r="Q74" s="51">
        <f>IF([SYM]="","",SUMIFS([NetPrem],[Trade'#],[[Trade'#]],[Leg],"&lt;="&amp;[Leg]))</f>
        <v/>
      </c>
      <c r="R7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4" s="11">
        <f>IF([TransType]="SP",100*[Strike]*[['#Contracts]],
IF([TransType]="LS",[Strike]*[['#Contracts]],
IF([TransType]="BP",100*([Strike]-[Strike2])*[['#Contracts]],
IF([TransType]="BC",100*([Strike2]-[Strike])*[['#Contracts]],
IF([TransType]="NC",100*[Strike]*[['#Contracts]],
IF([TransType]="AS",100*[Strike]*[['#Contracts]],0))))))</f>
        <v/>
      </c>
      <c r="T74" s="11">
        <f>IF([CloseDate]&gt;0,"",[Cap])</f>
        <v/>
      </c>
      <c r="U74" s="11">
        <f>IF([CloseDate]&gt;0,"",
IF([TransType]="BC","",
IF([TransType]="BP",100*[Strike]*[['#Contracts]],
[Cap])))</f>
        <v/>
      </c>
      <c r="V74" s="11">
        <f>IF([SYM]="","",[Cap]*[Days])</f>
        <v/>
      </c>
      <c r="W74" s="11">
        <f>IF([SYM]="","",SUMIFS([CapDays],[Trade'#],[[Trade'#]],[Leg],"&lt;="&amp;[Leg]))</f>
        <v/>
      </c>
      <c r="X74" s="79">
        <f>IF([TotCapDays],365*[TotPrem]/[TotCapDays],"")</f>
        <v/>
      </c>
      <c r="Y74" s="10">
        <f>IF([SYM]="","",
IF([TransType]="LS",[Strike]-[TotPrem]/[['#Contracts]],
IF([['#Contracts]],[Strike]-[TotPrem]/[['#Contracts]]/100,"")))</f>
        <v/>
      </c>
      <c r="Z74" s="11">
        <f>IF([CloseDate]&gt;0,"",
IF([TransType]="LS",['#Contracts],
IF([TransType]="AS",100*[['#Contracts]],
IF([TransType]="SP",100*[['#Contracts]],
IF([TransType]="BP",100*[['#Contracts]],"")))))</f>
        <v/>
      </c>
      <c r="AA74" s="49">
        <f>IF([CloseDate]&gt;0,[CloseDate],
IF([ExpDate]&gt;0,[ExpDate],
TODAY()))</f>
        <v/>
      </c>
      <c r="AB74" s="10">
        <f>IF(PERFORMANCE!D8&gt;0,
IF(PERFORMANCE!D8&lt;[ActDate],"",[NetPrem]),
IF(TODAY()&lt;[ActDate],"",[NetPrem]))</f>
        <v/>
      </c>
      <c r="AC74" s="10">
        <f>IF(PERFORMANCE!D8&gt;0,
IF(PERFORMANCE!D8&lt;[ActDate],"",
IF(PERFORMANCE!D8 - [ActDate]&lt;366,[NetPrem],"")),
IF(TODAY()&lt;[ActDate],"",
IF(TODAY() - [ActDate]&lt;366,[NetPrem],"")))</f>
        <v/>
      </c>
      <c r="AD74" s="10">
        <f>IF(PERFORMANCE!D8&gt;0,
IF(PERFORMANCE!D8&lt;[ActDate],"",
IF(YEAR(PERFORMANCE!D8)=YEAR([ActDate]),[NetPrem],"")),
IF(TODAY()&lt;[ActDate],"",
IF(YEAR(TODAY())=YEAR([ActDate]),[NetPrem],"")))</f>
        <v/>
      </c>
      <c r="AE74" s="10">
        <f>IF(PERFORMANCE!D8&gt;0,
IF(PERFORMANCE!D8&lt;[ActDate],[NetPrem],""),
IF(TODAY()&lt;[ActDate],[NetPrem],""))</f>
        <v/>
      </c>
      <c r="AF74" s="75" t="n"/>
      <c r="AG74">
        <f>IF(Table1[SYM]="","",SUMIFS(Table1[NetPrem],Table1[Trade'#],Table1[[Trade'#]],Table1[Leg],"&lt;="&amp;Table1[Leg]))</f>
        <v/>
      </c>
    </row>
    <row r="75">
      <c r="A75" s="15" t="inlineStr">
        <is>
          <t>Sold 4 VIAC Jun 18 2021 40.0 Put @ 0.96</t>
        </is>
      </c>
      <c r="B75" s="73" t="n">
        <v>26</v>
      </c>
      <c r="C75" s="73" t="n">
        <v>1</v>
      </c>
      <c r="D75" s="15" t="inlineStr">
        <is>
          <t>SP</t>
        </is>
      </c>
      <c r="E75" s="53" t="n">
        <v>44343</v>
      </c>
      <c r="F75" s="53" t="n"/>
      <c r="G75" s="53" t="n">
        <v>44365</v>
      </c>
      <c r="H75" s="73" t="n">
        <v>40</v>
      </c>
      <c r="I75" s="73" t="n"/>
      <c r="J75" s="75" t="n">
        <v>4</v>
      </c>
      <c r="K75" s="78" t="n">
        <v>381.33</v>
      </c>
      <c r="M75" s="78" t="inlineStr">
        <is>
          <t>VIAC</t>
        </is>
      </c>
      <c r="N75" s="73">
        <f>RTD("tos.rtd",,"last", "VIAC")</f>
        <v/>
      </c>
      <c r="O75" s="73">
        <f>RTD("tos.rtd",,"ASK",".VIAC210618P40")</f>
        <v/>
      </c>
      <c r="P75" s="10">
        <f>IF([TransType]="LS", [OpnPrem]+[ClsPrem],
                                            IF([TransType]="AS", [OpnPrem]+[ClsPrem],
                                               [OpnPrem]-[ClsPrem]))</f>
        <v/>
      </c>
      <c r="Q75" s="51">
        <f>IF([SYM]="","",SUMIFS([NetPrem],[Trade'#],[[Trade'#]],[Leg],"&lt;="&amp;[Leg]))</f>
        <v/>
      </c>
      <c r="R7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5" s="11">
        <f>IF([TransType]="SP",100*[Strike]*[['#Contracts]],
IF([TransType]="LS",[Strike]*[['#Contracts]],
IF([TransType]="BP",100*([Strike]-[Strike2])*[['#Contracts]],
IF([TransType]="BC",100*([Strike2]-[Strike])*[['#Contracts]],
IF([TransType]="NC",100*[Strike]*[['#Contracts]],
IF([TransType]="AS",100*[Strike]*[['#Contracts]],0))))))</f>
        <v/>
      </c>
      <c r="T75" s="11">
        <f>IF([CloseDate]&gt;0,"",[Cap])</f>
        <v/>
      </c>
      <c r="U75" s="11">
        <f>IF([CloseDate]&gt;0,"",
IF([TransType]="BC","",
IF([TransType]="BP",100*[Strike]*[['#Contracts]],
[Cap])))</f>
        <v/>
      </c>
      <c r="V75" s="11">
        <f>IF([SYM]="","",[Cap]*[Days])</f>
        <v/>
      </c>
      <c r="W75" s="11">
        <f>IF([SYM]="","",SUMIFS([CapDays],[Trade'#],[[Trade'#]],[Leg],"&lt;="&amp;[Leg]))</f>
        <v/>
      </c>
      <c r="X75" s="79">
        <f>IF([TotCapDays],365*[TotPrem]/[TotCapDays],"")</f>
        <v/>
      </c>
      <c r="Y75" s="10">
        <f>IF([SYM]="","",
IF([TransType]="LS",[Strike]-[TotPrem]/[['#Contracts]],
IF([['#Contracts]],[Strike]-[TotPrem]/[['#Contracts]]/100,"")))</f>
        <v/>
      </c>
      <c r="Z75" s="11">
        <f>IF([CloseDate]&gt;0,"",
IF([TransType]="LS",['#Contracts],
IF([TransType]="AS",100*[['#Contracts]],
IF([TransType]="SP",100*[['#Contracts]],
IF([TransType]="BP",100*[['#Contracts]],"")))))</f>
        <v/>
      </c>
      <c r="AA75" s="49">
        <f>IF([CloseDate]&gt;0,[CloseDate],
IF([ExpDate]&gt;0,[ExpDate],
TODAY()))</f>
        <v/>
      </c>
      <c r="AB75" s="10">
        <f>IF(PERFORMANCE!D8&gt;0,
IF(PERFORMANCE!D8&lt;[ActDate],"",[NetPrem]),
IF(TODAY()&lt;[ActDate],"",[NetPrem]))</f>
        <v/>
      </c>
      <c r="AC75" s="10">
        <f>IF(PERFORMANCE!D8&gt;0,
IF(PERFORMANCE!D8&lt;[ActDate],"",
IF(PERFORMANCE!D8 - [ActDate]&lt;366,[NetPrem],"")),
IF(TODAY()&lt;[ActDate],"",
IF(TODAY() - [ActDate]&lt;366,[NetPrem],"")))</f>
        <v/>
      </c>
      <c r="AD75" s="10">
        <f>IF(PERFORMANCE!D8&gt;0,
IF(PERFORMANCE!D8&lt;[ActDate],"",
IF(YEAR(PERFORMANCE!D8)=YEAR([ActDate]),[NetPrem],"")),
IF(TODAY()&lt;[ActDate],"",
IF(YEAR(TODAY())=YEAR([ActDate]),[NetPrem],"")))</f>
        <v/>
      </c>
      <c r="AE75" s="10">
        <f>IF(PERFORMANCE!D8&gt;0,
IF(PERFORMANCE!D8&lt;[ActDate],[NetPrem],""),
IF(TODAY()&lt;[ActDate],[NetPrem],""))</f>
        <v/>
      </c>
      <c r="AF75" s="75" t="n"/>
      <c r="AG75">
        <f>IF(Table1[SYM]="","",SUMIFS(Table1[NetPrem],Table1[Trade'#],Table1[[Trade'#]],Table1[Leg],"&lt;="&amp;Table1[Leg]))</f>
        <v/>
      </c>
    </row>
    <row r="76">
      <c r="A76" s="15" t="inlineStr">
        <is>
          <t>Sold 4 WBA Jun 4 2021 52.0 Put @ 0.34</t>
        </is>
      </c>
      <c r="B76" s="73" t="n">
        <v>27</v>
      </c>
      <c r="C76" s="73" t="n">
        <v>1</v>
      </c>
      <c r="D76" s="15" t="inlineStr">
        <is>
          <t>SP</t>
        </is>
      </c>
      <c r="E76" s="53" t="n">
        <v>44343</v>
      </c>
      <c r="F76" s="53" t="n">
        <v>44351</v>
      </c>
      <c r="G76" s="53" t="n">
        <v>44351</v>
      </c>
      <c r="H76" s="73" t="n">
        <v>52</v>
      </c>
      <c r="I76" s="73" t="n"/>
      <c r="J76" s="75" t="n">
        <v>4</v>
      </c>
      <c r="K76" s="78" t="n">
        <v>133.33</v>
      </c>
      <c r="M76" s="78" t="inlineStr">
        <is>
          <t>WBA</t>
        </is>
      </c>
      <c r="N76" s="73">
        <f>RTD("tos.rtd",,"last", "WBA")</f>
        <v/>
      </c>
      <c r="O76" s="73">
        <f>RTD("tos.rtd",,"ASK",".WBA210604P52")</f>
        <v/>
      </c>
      <c r="P76" s="10">
        <f>IF([TransType]="LS", [OpnPrem]+[ClsPrem],
                                            IF([TransType]="AS", [OpnPrem]+[ClsPrem],
                                               [OpnPrem]-[ClsPrem]))</f>
        <v/>
      </c>
      <c r="Q76" s="51">
        <f>IF([SYM]="","",SUMIFS([NetPrem],[Trade'#],[[Trade'#]],[Leg],"&lt;="&amp;[Leg]))</f>
        <v/>
      </c>
      <c r="R7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6" s="11">
        <f>IF([TransType]="SP",100*[Strike]*[['#Contracts]],
IF([TransType]="LS",[Strike]*[['#Contracts]],
IF([TransType]="BP",100*([Strike]-[Strike2])*[['#Contracts]],
IF([TransType]="BC",100*([Strike2]-[Strike])*[['#Contracts]],
IF([TransType]="NC",100*[Strike]*[['#Contracts]],
IF([TransType]="AS",100*[Strike]*[['#Contracts]],0))))))</f>
        <v/>
      </c>
      <c r="T76" s="11">
        <f>IF([CloseDate]&gt;0,"",[Cap])</f>
        <v/>
      </c>
      <c r="U76" s="11">
        <f>IF([CloseDate]&gt;0,"",
IF([TransType]="BC","",
IF([TransType]="BP",100*[Strike]*[['#Contracts]],
[Cap])))</f>
        <v/>
      </c>
      <c r="V76" s="11">
        <f>IF([SYM]="","",[Cap]*[Days])</f>
        <v/>
      </c>
      <c r="W76" s="11">
        <f>IF([SYM]="","",SUMIFS([CapDays],[Trade'#],[[Trade'#]],[Leg],"&lt;="&amp;[Leg]))</f>
        <v/>
      </c>
      <c r="X76" s="79">
        <f>IF([TotCapDays],365*[TotPrem]/[TotCapDays],"")</f>
        <v/>
      </c>
      <c r="Y76" s="10">
        <f>IF([SYM]="","",
IF([TransType]="LS",[Strike]-[TotPrem]/[['#Contracts]],
IF([['#Contracts]],[Strike]-[TotPrem]/[['#Contracts]]/100,"")))</f>
        <v/>
      </c>
      <c r="Z76" s="11">
        <f>IF([CloseDate]&gt;0,"",
IF([TransType]="LS",['#Contracts],
IF([TransType]="AS",100*[['#Contracts]],
IF([TransType]="SP",100*[['#Contracts]],
IF([TransType]="BP",100*[['#Contracts]],"")))))</f>
        <v/>
      </c>
      <c r="AA76" s="49">
        <f>IF([CloseDate]&gt;0,[CloseDate],
IF([ExpDate]&gt;0,[ExpDate],
TODAY()))</f>
        <v/>
      </c>
      <c r="AB76" s="10">
        <f>IF(PERFORMANCE!D8&gt;0,
IF(PERFORMANCE!D8&lt;[ActDate],"",[NetPrem]),
IF(TODAY()&lt;[ActDate],"",[NetPrem]))</f>
        <v/>
      </c>
      <c r="AC76" s="10">
        <f>IF(PERFORMANCE!D8&gt;0,
IF(PERFORMANCE!D8&lt;[ActDate],"",
IF(PERFORMANCE!D8 - [ActDate]&lt;366,[NetPrem],"")),
IF(TODAY()&lt;[ActDate],"",
IF(TODAY() - [ActDate]&lt;366,[NetPrem],"")))</f>
        <v/>
      </c>
      <c r="AD76" s="10">
        <f>IF(PERFORMANCE!D8&gt;0,
IF(PERFORMANCE!D8&lt;[ActDate],"",
IF(YEAR(PERFORMANCE!D8)=YEAR([ActDate]),[NetPrem],"")),
IF(TODAY()&lt;[ActDate],"",
IF(YEAR(TODAY())=YEAR([ActDate]),[NetPrem],"")))</f>
        <v/>
      </c>
      <c r="AE76" s="10">
        <f>IF(PERFORMANCE!D8&gt;0,
IF(PERFORMANCE!D8&lt;[ActDate],[NetPrem],""),
IF(TODAY()&lt;[ActDate],[NetPrem],""))</f>
        <v/>
      </c>
      <c r="AF76" s="75" t="n"/>
      <c r="AG76">
        <f>IF(Table1[SYM]="","",SUMIFS(Table1[NetPrem],Table1[Trade'#],Table1[[Trade'#]],Table1[Leg],"&lt;="&amp;Table1[Leg]))</f>
        <v/>
      </c>
    </row>
    <row r="77">
      <c r="A77" s="15" t="inlineStr">
        <is>
          <t>Sold 2 DLTR Jun 4 2021 100.0 Put @ 0.97</t>
        </is>
      </c>
      <c r="B77" s="73" t="n">
        <v>28</v>
      </c>
      <c r="C77" s="73" t="n">
        <v>1</v>
      </c>
      <c r="D77" s="15" t="inlineStr">
        <is>
          <t>SP</t>
        </is>
      </c>
      <c r="E77" s="53" t="n">
        <v>44343</v>
      </c>
      <c r="F77" s="53" t="n">
        <v>44351</v>
      </c>
      <c r="G77" s="53" t="n">
        <v>44351</v>
      </c>
      <c r="H77" s="73" t="n">
        <v>100</v>
      </c>
      <c r="I77" s="73" t="n"/>
      <c r="J77" s="75" t="n">
        <v>2</v>
      </c>
      <c r="K77" s="78" t="n">
        <v>192.67</v>
      </c>
      <c r="M77" s="78" t="inlineStr">
        <is>
          <t>DLTR</t>
        </is>
      </c>
      <c r="N77" s="73">
        <f>RTD("tos.rtd",,"last", "DLTR")</f>
        <v/>
      </c>
      <c r="O77" s="73">
        <f>RTD("tos.rtd",,"ASK",".DLTR210604P100")</f>
        <v/>
      </c>
      <c r="P77" s="10">
        <f>IF([TransType]="LS", [OpnPrem]+[ClsPrem],
                                            IF([TransType]="AS", [OpnPrem]+[ClsPrem],
                                               [OpnPrem]-[ClsPrem]))</f>
        <v/>
      </c>
      <c r="Q77" s="51">
        <f>IF([SYM]="","",SUMIFS([NetPrem],[Trade'#],[[Trade'#]],[Leg],"&lt;="&amp;[Leg]))</f>
        <v/>
      </c>
      <c r="R7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7" s="11">
        <f>IF([TransType]="SP",100*[Strike]*[['#Contracts]],
IF([TransType]="LS",[Strike]*[['#Contracts]],
IF([TransType]="BP",100*([Strike]-[Strike2])*[['#Contracts]],
IF([TransType]="BC",100*([Strike2]-[Strike])*[['#Contracts]],
IF([TransType]="NC",100*[Strike]*[['#Contracts]],
IF([TransType]="AS",100*[Strike]*[['#Contracts]],0))))))</f>
        <v/>
      </c>
      <c r="T77" s="11">
        <f>IF([CloseDate]&gt;0,"",[Cap])</f>
        <v/>
      </c>
      <c r="U77" s="11">
        <f>IF([CloseDate]&gt;0,"",
IF([TransType]="BC","",
IF([TransType]="BP",100*[Strike]*[['#Contracts]],
[Cap])))</f>
        <v/>
      </c>
      <c r="V77" s="11">
        <f>IF([SYM]="","",[Cap]*[Days])</f>
        <v/>
      </c>
      <c r="W77" s="11">
        <f>IF([SYM]="","",SUMIFS([CapDays],[Trade'#],[[Trade'#]],[Leg],"&lt;="&amp;[Leg]))</f>
        <v/>
      </c>
      <c r="X77" s="79">
        <f>IF([TotCapDays],365*[TotPrem]/[TotCapDays],"")</f>
        <v/>
      </c>
      <c r="Y77" s="10">
        <f>IF([SYM]="","",
IF([TransType]="LS",[Strike]-[TotPrem]/[['#Contracts]],
IF([['#Contracts]],[Strike]-[TotPrem]/[['#Contracts]]/100,"")))</f>
        <v/>
      </c>
      <c r="Z77" s="11">
        <f>IF([CloseDate]&gt;0,"",
IF([TransType]="LS",['#Contracts],
IF([TransType]="AS",100*[['#Contracts]],
IF([TransType]="SP",100*[['#Contracts]],
IF([TransType]="BP",100*[['#Contracts]],"")))))</f>
        <v/>
      </c>
      <c r="AA77" s="49">
        <f>IF([CloseDate]&gt;0,[CloseDate],
IF([ExpDate]&gt;0,[ExpDate],
TODAY()))</f>
        <v/>
      </c>
      <c r="AB77" s="10">
        <f>IF(PERFORMANCE!D8&gt;0,
IF(PERFORMANCE!D8&lt;[ActDate],"",[NetPrem]),
IF(TODAY()&lt;[ActDate],"",[NetPrem]))</f>
        <v/>
      </c>
      <c r="AC77" s="10">
        <f>IF(PERFORMANCE!D8&gt;0,
IF(PERFORMANCE!D8&lt;[ActDate],"",
IF(PERFORMANCE!D8 - [ActDate]&lt;366,[NetPrem],"")),
IF(TODAY()&lt;[ActDate],"",
IF(TODAY() - [ActDate]&lt;366,[NetPrem],"")))</f>
        <v/>
      </c>
      <c r="AD77" s="10">
        <f>IF(PERFORMANCE!D8&gt;0,
IF(PERFORMANCE!D8&lt;[ActDate],"",
IF(YEAR(PERFORMANCE!D8)=YEAR([ActDate]),[NetPrem],"")),
IF(TODAY()&lt;[ActDate],"",
IF(YEAR(TODAY())=YEAR([ActDate]),[NetPrem],"")))</f>
        <v/>
      </c>
      <c r="AE77" s="10">
        <f>IF(PERFORMANCE!D8&gt;0,
IF(PERFORMANCE!D8&lt;[ActDate],[NetPrem],""),
IF(TODAY()&lt;[ActDate],[NetPrem],""))</f>
        <v/>
      </c>
      <c r="AF77" s="75" t="n"/>
      <c r="AG77">
        <f>IF(Table1[SYM]="","",SUMIFS(Table1[NetPrem],Table1[Trade'#],Table1[[Trade'#]],Table1[Leg],"&lt;="&amp;Table1[Leg]))</f>
        <v/>
      </c>
    </row>
    <row r="78">
      <c r="A78" s="15" t="inlineStr">
        <is>
          <t>Sold 3 TJX Jun 18 2021 66.0 Put @ 0.94</t>
        </is>
      </c>
      <c r="B78" s="73" t="n">
        <v>29</v>
      </c>
      <c r="C78" s="73" t="n">
        <v>1</v>
      </c>
      <c r="D78" s="15" t="inlineStr">
        <is>
          <t>SP</t>
        </is>
      </c>
      <c r="E78" s="53" t="n">
        <v>44348</v>
      </c>
      <c r="F78" s="53" t="n">
        <v>44362</v>
      </c>
      <c r="G78" s="53" t="n">
        <v>44365</v>
      </c>
      <c r="H78" s="73" t="n">
        <v>66</v>
      </c>
      <c r="I78" s="73" t="n"/>
      <c r="J78" s="75" t="n">
        <v>3</v>
      </c>
      <c r="K78" s="78" t="n">
        <v>280</v>
      </c>
      <c r="M78" s="78" t="inlineStr">
        <is>
          <t>TJX</t>
        </is>
      </c>
      <c r="N78" s="73">
        <f>RTD("tos.rtd",,"last", "TJX")</f>
        <v/>
      </c>
      <c r="O78" s="73">
        <f>RTD("tos.rtd",,"ASK",".TJX210618P66")</f>
        <v/>
      </c>
      <c r="P78" s="10">
        <f>IF([TransType]="LS", [OpnPrem]+[ClsPrem],
                                            IF([TransType]="AS", [OpnPrem]+[ClsPrem],
                                               [OpnPrem]-[ClsPrem]))</f>
        <v/>
      </c>
      <c r="Q78" s="51">
        <f>IF([SYM]="","",SUMIFS([NetPrem],[Trade'#],[[Trade'#]],[Leg],"&lt;="&amp;[Leg]))</f>
        <v/>
      </c>
      <c r="R7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8" s="11">
        <f>IF([TransType]="SP",100*[Strike]*[['#Contracts]],
IF([TransType]="LS",[Strike]*[['#Contracts]],
IF([TransType]="BP",100*([Strike]-[Strike2])*[['#Contracts]],
IF([TransType]="BC",100*([Strike2]-[Strike])*[['#Contracts]],
IF([TransType]="NC",100*[Strike]*[['#Contracts]],
IF([TransType]="AS",100*[Strike]*[['#Contracts]],0))))))</f>
        <v/>
      </c>
      <c r="T78" s="11">
        <f>IF([CloseDate]&gt;0,"",[Cap])</f>
        <v/>
      </c>
      <c r="U78" s="11">
        <f>IF([CloseDate]&gt;0,"",
IF([TransType]="BC","",
IF([TransType]="BP",100*[Strike]*[['#Contracts]],
[Cap])))</f>
        <v/>
      </c>
      <c r="V78" s="11">
        <f>IF([SYM]="","",[Cap]*[Days])</f>
        <v/>
      </c>
      <c r="W78" s="11">
        <f>IF([SYM]="","",SUMIFS([CapDays],[Trade'#],[[Trade'#]],[Leg],"&lt;="&amp;[Leg]))</f>
        <v/>
      </c>
      <c r="X78" s="79">
        <f>IF([TotCapDays],365*[TotPrem]/[TotCapDays],"")</f>
        <v/>
      </c>
      <c r="Y78" s="10">
        <f>IF([SYM]="","",
IF([TransType]="LS",[Strike]-[TotPrem]/[['#Contracts]],
IF([['#Contracts]],[Strike]-[TotPrem]/[['#Contracts]]/100,"")))</f>
        <v/>
      </c>
      <c r="Z78" s="11">
        <f>IF([CloseDate]&gt;0,"",
IF([TransType]="LS",['#Contracts],
IF([TransType]="AS",100*[['#Contracts]],
IF([TransType]="SP",100*[['#Contracts]],
IF([TransType]="BP",100*[['#Contracts]],"")))))</f>
        <v/>
      </c>
      <c r="AA78" s="49">
        <f>IF([CloseDate]&gt;0,[CloseDate],
IF([ExpDate]&gt;0,[ExpDate],
TODAY()))</f>
        <v/>
      </c>
      <c r="AB78" s="10">
        <f>IF(PERFORMANCE!D8&gt;0,
IF(PERFORMANCE!D8&lt;[ActDate],"",[NetPrem]),
IF(TODAY()&lt;[ActDate],"",[NetPrem]))</f>
        <v/>
      </c>
      <c r="AC78" s="10">
        <f>IF(PERFORMANCE!D8&gt;0,
IF(PERFORMANCE!D8&lt;[ActDate],"",
IF(PERFORMANCE!D8 - [ActDate]&lt;366,[NetPrem],"")),
IF(TODAY()&lt;[ActDate],"",
IF(TODAY() - [ActDate]&lt;366,[NetPrem],"")))</f>
        <v/>
      </c>
      <c r="AD78" s="10">
        <f>IF(PERFORMANCE!D8&gt;0,
IF(PERFORMANCE!D8&lt;[ActDate],"",
IF(YEAR(PERFORMANCE!D8)=YEAR([ActDate]),[NetPrem],"")),
IF(TODAY()&lt;[ActDate],"",
IF(YEAR(TODAY())=YEAR([ActDate]),[NetPrem],"")))</f>
        <v/>
      </c>
      <c r="AE78" s="10">
        <f>IF(PERFORMANCE!D8&gt;0,
IF(PERFORMANCE!D8&lt;[ActDate],[NetPrem],""),
IF(TODAY()&lt;[ActDate],[NetPrem],""))</f>
        <v/>
      </c>
      <c r="AF78" s="75" t="n"/>
      <c r="AG78">
        <f>IF(Table1[SYM]="","",SUMIFS(Table1[NetPrem],Table1[Trade'#],Table1[[Trade'#]],Table1[Leg],"&lt;="&amp;Table1[Leg]))</f>
        <v/>
      </c>
    </row>
    <row r="79">
      <c r="A79" s="15" t="inlineStr">
        <is>
          <t>Bought 3 TJX Jun 18 2021 66.0 Put @ 1.01</t>
        </is>
      </c>
      <c r="B79" s="73" t="n">
        <v>29</v>
      </c>
      <c r="C79" s="73" t="n">
        <v>2</v>
      </c>
      <c r="D79" s="15" t="inlineStr">
        <is>
          <t>SP</t>
        </is>
      </c>
      <c r="E79" s="53" t="n">
        <v>44362</v>
      </c>
      <c r="F79" s="53" t="n">
        <v>44362</v>
      </c>
      <c r="G79" s="53" t="n">
        <v>44365</v>
      </c>
      <c r="H79" s="73" t="n">
        <v>66</v>
      </c>
      <c r="I79" s="73" t="n"/>
      <c r="J79" s="75" t="n">
        <v>3</v>
      </c>
      <c r="K79" s="78" t="n">
        <v>-304.99</v>
      </c>
      <c r="M79" s="78" t="inlineStr">
        <is>
          <t>TJX</t>
        </is>
      </c>
      <c r="N79" s="73">
        <f>RTD("tos.rtd",,"last", "TJX")</f>
        <v/>
      </c>
      <c r="O79" s="73">
        <f>RTD("tos.rtd",,"ASK",".TJX210618P66")</f>
        <v/>
      </c>
      <c r="P79" s="10">
        <f>IF([TransType]="LS", [OpnPrem]+[ClsPrem],
                                            IF([TransType]="AS", [OpnPrem]+[ClsPrem],
                                               [OpnPrem]-[ClsPrem]))</f>
        <v/>
      </c>
      <c r="Q79" s="51">
        <f>IF([SYM]="","",SUMIFS([NetPrem],[Trade'#],[[Trade'#]],[Leg],"&lt;="&amp;[Leg]))</f>
        <v/>
      </c>
      <c r="R7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9" s="11">
        <f>IF([TransType]="SP",100*[Strike]*[['#Contracts]],
IF([TransType]="LS",[Strike]*[['#Contracts]],
IF([TransType]="BP",100*([Strike]-[Strike2])*[['#Contracts]],
IF([TransType]="BC",100*([Strike2]-[Strike])*[['#Contracts]],
IF([TransType]="NC",100*[Strike]*[['#Contracts]],
IF([TransType]="AS",100*[Strike]*[['#Contracts]],0))))))</f>
        <v/>
      </c>
      <c r="T79" s="11">
        <f>IF([CloseDate]&gt;0,"",[Cap])</f>
        <v/>
      </c>
      <c r="U79" s="11">
        <f>IF([CloseDate]&gt;0,"",
IF([TransType]="BC","",
IF([TransType]="BP",100*[Strike]*[['#Contracts]],
[Cap])))</f>
        <v/>
      </c>
      <c r="V79" s="11">
        <f>IF([SYM]="","",[Cap]*[Days])</f>
        <v/>
      </c>
      <c r="W79" s="11">
        <f>IF([SYM]="","",SUMIFS([CapDays],[Trade'#],[[Trade'#]],[Leg],"&lt;="&amp;[Leg]))</f>
        <v/>
      </c>
      <c r="X79" s="79">
        <f>IF([TotCapDays],365*[TotPrem]/[TotCapDays],"")</f>
        <v/>
      </c>
      <c r="Y79" s="10">
        <f>IF([SYM]="","",
IF([TransType]="LS",[Strike]-[TotPrem]/[['#Contracts]],
IF([['#Contracts]],[Strike]-[TotPrem]/[['#Contracts]]/100,"")))</f>
        <v/>
      </c>
      <c r="Z79" s="11">
        <f>IF([CloseDate]&gt;0,"",
IF([TransType]="LS",['#Contracts],
IF([TransType]="AS",100*[['#Contracts]],
IF([TransType]="SP",100*[['#Contracts]],
IF([TransType]="BP",100*[['#Contracts]],"")))))</f>
        <v/>
      </c>
      <c r="AA79" s="49">
        <f>IF([CloseDate]&gt;0,[CloseDate],
IF([ExpDate]&gt;0,[ExpDate],
TODAY()))</f>
        <v/>
      </c>
      <c r="AB79" s="10">
        <f>IF(PERFORMANCE!D8&gt;0,
IF(PERFORMANCE!D8&lt;[ActDate],"",[NetPrem]),
IF(TODAY()&lt;[ActDate],"",[NetPrem]))</f>
        <v/>
      </c>
      <c r="AC79" s="10">
        <f>IF(PERFORMANCE!D8&gt;0,
IF(PERFORMANCE!D8&lt;[ActDate],"",
IF(PERFORMANCE!D8 - [ActDate]&lt;366,[NetPrem],"")),
IF(TODAY()&lt;[ActDate],"",
IF(TODAY() - [ActDate]&lt;366,[NetPrem],"")))</f>
        <v/>
      </c>
      <c r="AD79" s="10">
        <f>IF(PERFORMANCE!D8&gt;0,
IF(PERFORMANCE!D8&lt;[ActDate],"",
IF(YEAR(PERFORMANCE!D8)=YEAR([ActDate]),[NetPrem],"")),
IF(TODAY()&lt;[ActDate],"",
IF(YEAR(TODAY())=YEAR([ActDate]),[NetPrem],"")))</f>
        <v/>
      </c>
      <c r="AE79" s="10">
        <f>IF(PERFORMANCE!D8&gt;0,
IF(PERFORMANCE!D8&lt;[ActDate],[NetPrem],""),
IF(TODAY()&lt;[ActDate],[NetPrem],""))</f>
        <v/>
      </c>
      <c r="AF79" s="75" t="n"/>
      <c r="AG79">
        <f>IF(Table1[SYM]="","",SUMIFS(Table1[NetPrem],Table1[Trade'#],Table1[[Trade'#]],Table1[Leg],"&lt;="&amp;Table1[Leg]))</f>
        <v/>
      </c>
    </row>
    <row r="80">
      <c r="A80" s="15" t="inlineStr">
        <is>
          <t>Sold 5 HPQ Jun 25 2021 29.5 Put @ 0.32</t>
        </is>
      </c>
      <c r="B80" s="73" t="n">
        <v>30</v>
      </c>
      <c r="C80" s="73" t="n">
        <v>1</v>
      </c>
      <c r="D80" s="15" t="inlineStr">
        <is>
          <t>SP</t>
        </is>
      </c>
      <c r="E80" s="53" t="n">
        <v>44354</v>
      </c>
      <c r="F80" s="53" t="n"/>
      <c r="G80" s="53" t="n">
        <v>44372</v>
      </c>
      <c r="H80" s="73" t="n">
        <v>29.5</v>
      </c>
      <c r="I80" s="73" t="n"/>
      <c r="J80" s="75" t="n">
        <v>5</v>
      </c>
      <c r="K80" s="78" t="n">
        <v>156.67</v>
      </c>
      <c r="M80" s="78" t="inlineStr">
        <is>
          <t>HPQ</t>
        </is>
      </c>
      <c r="N80" s="73">
        <f>RTD("tos.rtd",,"last", "HPQ")</f>
        <v/>
      </c>
      <c r="O80" s="73">
        <f>RTD("tos.rtd",,"ASK",".HPQ210625P29.5")</f>
        <v/>
      </c>
      <c r="P80" s="10">
        <f>IF([TransType]="LS", [OpnPrem]+[ClsPrem],
                                            IF([TransType]="AS", [OpnPrem]+[ClsPrem],
                                               [OpnPrem]-[ClsPrem]))</f>
        <v/>
      </c>
      <c r="Q80" s="51">
        <f>IF([SYM]="","",SUMIFS([NetPrem],[Trade'#],[[Trade'#]],[Leg],"&lt;="&amp;[Leg]))</f>
        <v/>
      </c>
      <c r="R8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0" s="11">
        <f>IF([TransType]="SP",100*[Strike]*[['#Contracts]],
IF([TransType]="LS",[Strike]*[['#Contracts]],
IF([TransType]="BP",100*([Strike]-[Strike2])*[['#Contracts]],
IF([TransType]="BC",100*([Strike2]-[Strike])*[['#Contracts]],
IF([TransType]="NC",100*[Strike]*[['#Contracts]],
IF([TransType]="AS",100*[Strike]*[['#Contracts]],0))))))</f>
        <v/>
      </c>
      <c r="T80" s="11">
        <f>IF([CloseDate]&gt;0,"",[Cap])</f>
        <v/>
      </c>
      <c r="U80" s="11">
        <f>IF([CloseDate]&gt;0,"",
IF([TransType]="BC","",
IF([TransType]="BP",100*[Strike]*[['#Contracts]],
[Cap])))</f>
        <v/>
      </c>
      <c r="V80" s="11">
        <f>IF([SYM]="","",[Cap]*[Days])</f>
        <v/>
      </c>
      <c r="W80" s="11">
        <f>IF([SYM]="","",SUMIFS([CapDays],[Trade'#],[[Trade'#]],[Leg],"&lt;="&amp;[Leg]))</f>
        <v/>
      </c>
      <c r="X80" s="79">
        <f>IF([TotCapDays],365*[TotPrem]/[TotCapDays],"")</f>
        <v/>
      </c>
      <c r="Y80" s="10">
        <f>IF([SYM]="","",
IF([TransType]="LS",[Strike]-[TotPrem]/[['#Contracts]],
IF([['#Contracts]],[Strike]-[TotPrem]/[['#Contracts]]/100,"")))</f>
        <v/>
      </c>
      <c r="Z80" s="11">
        <f>IF([CloseDate]&gt;0,"",
IF([TransType]="LS",['#Contracts],
IF([TransType]="AS",100*[['#Contracts]],
IF([TransType]="SP",100*[['#Contracts]],
IF([TransType]="BP",100*[['#Contracts]],"")))))</f>
        <v/>
      </c>
      <c r="AA80" s="49">
        <f>IF([CloseDate]&gt;0,[CloseDate],
IF([ExpDate]&gt;0,[ExpDate],
TODAY()))</f>
        <v/>
      </c>
      <c r="AB80" s="10">
        <f>IF(PERFORMANCE!D8&gt;0,
IF(PERFORMANCE!D8&lt;[ActDate],"",[NetPrem]),
IF(TODAY()&lt;[ActDate],"",[NetPrem]))</f>
        <v/>
      </c>
      <c r="AC80" s="10">
        <f>IF(PERFORMANCE!D8&gt;0,
IF(PERFORMANCE!D8&lt;[ActDate],"",
IF(PERFORMANCE!D8 - [ActDate]&lt;366,[NetPrem],"")),
IF(TODAY()&lt;[ActDate],"",
IF(TODAY() - [ActDate]&lt;366,[NetPrem],"")))</f>
        <v/>
      </c>
      <c r="AD80" s="10">
        <f>IF(PERFORMANCE!D8&gt;0,
IF(PERFORMANCE!D8&lt;[ActDate],"",
IF(YEAR(PERFORMANCE!D8)=YEAR([ActDate]),[NetPrem],"")),
IF(TODAY()&lt;[ActDate],"",
IF(YEAR(TODAY())=YEAR([ActDate]),[NetPrem],"")))</f>
        <v/>
      </c>
      <c r="AE80" s="10">
        <f>IF(PERFORMANCE!D8&gt;0,
IF(PERFORMANCE!D8&lt;[ActDate],[NetPrem],""),
IF(TODAY()&lt;[ActDate],[NetPrem],""))</f>
        <v/>
      </c>
      <c r="AF80" s="75" t="n"/>
      <c r="AG80">
        <f>IF(Table1[SYM]="","",SUMIFS(Table1[NetPrem],Table1[Trade'#],Table1[[Trade'#]],Table1[Leg],"&lt;="&amp;Table1[Leg]))</f>
        <v/>
      </c>
    </row>
    <row r="81">
      <c r="A81" s="15" t="inlineStr">
        <is>
          <t>Sold 1 ABT Aug 20 2021 115.0 Put @ 8.52</t>
        </is>
      </c>
      <c r="B81" s="73" t="n">
        <v>31</v>
      </c>
      <c r="C81" s="73" t="n">
        <v>1</v>
      </c>
      <c r="D81" s="15" t="inlineStr">
        <is>
          <t>SP</t>
        </is>
      </c>
      <c r="E81" s="53" t="n">
        <v>44355</v>
      </c>
      <c r="F81" s="53" t="n"/>
      <c r="G81" s="53" t="n">
        <v>44428</v>
      </c>
      <c r="H81" s="73" t="n">
        <v>115</v>
      </c>
      <c r="I81" s="73" t="n"/>
      <c r="J81" s="75" t="n">
        <v>1</v>
      </c>
      <c r="K81" s="78" t="n">
        <v>851.34</v>
      </c>
      <c r="M81" s="78" t="inlineStr">
        <is>
          <t>ABT</t>
        </is>
      </c>
      <c r="N81" s="73">
        <f>RTD("tos.rtd",,"last", "ABT")</f>
        <v/>
      </c>
      <c r="O81" s="73">
        <f>RTD("tos.rtd",,"ASK",".ABT210820P115")</f>
        <v/>
      </c>
      <c r="P81" s="10">
        <f>IF([TransType]="LS", [OpnPrem]+[ClsPrem],
                                            IF([TransType]="AS", [OpnPrem]+[ClsPrem],
                                               [OpnPrem]-[ClsPrem]))</f>
        <v/>
      </c>
      <c r="Q81" s="51">
        <f>IF([SYM]="","",SUMIFS([NetPrem],[Trade'#],[[Trade'#]],[Leg],"&lt;="&amp;[Leg]))</f>
        <v/>
      </c>
      <c r="R8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1" s="11">
        <f>IF([TransType]="SP",100*[Strike]*[['#Contracts]],
IF([TransType]="LS",[Strike]*[['#Contracts]],
IF([TransType]="BP",100*([Strike]-[Strike2])*[['#Contracts]],
IF([TransType]="BC",100*([Strike2]-[Strike])*[['#Contracts]],
IF([TransType]="NC",100*[Strike]*[['#Contracts]],
IF([TransType]="AS",100*[Strike]*[['#Contracts]],0))))))</f>
        <v/>
      </c>
      <c r="T81" s="11">
        <f>IF([CloseDate]&gt;0,"",[Cap])</f>
        <v/>
      </c>
      <c r="U81" s="11">
        <f>IF([CloseDate]&gt;0,"",
IF([TransType]="BC","",
IF([TransType]="BP",100*[Strike]*[['#Contracts]],
[Cap])))</f>
        <v/>
      </c>
      <c r="V81" s="11">
        <f>IF([SYM]="","",[Cap]*[Days])</f>
        <v/>
      </c>
      <c r="W81" s="11">
        <f>IF([SYM]="","",SUMIFS([CapDays],[Trade'#],[[Trade'#]],[Leg],"&lt;="&amp;[Leg]))</f>
        <v/>
      </c>
      <c r="X81" s="79">
        <f>IF([TotCapDays],365*[TotPrem]/[TotCapDays],"")</f>
        <v/>
      </c>
      <c r="Y81" s="10">
        <f>IF([SYM]="","",
IF([TransType]="LS",[Strike]-[TotPrem]/[['#Contracts]],
IF([['#Contracts]],[Strike]-[TotPrem]/[['#Contracts]]/100,"")))</f>
        <v/>
      </c>
      <c r="Z81" s="11">
        <f>IF([CloseDate]&gt;0,"",
IF([TransType]="LS",['#Contracts],
IF([TransType]="AS",100*[['#Contracts]],
IF([TransType]="SP",100*[['#Contracts]],
IF([TransType]="BP",100*[['#Contracts]],"")))))</f>
        <v/>
      </c>
      <c r="AA81" s="49">
        <f>IF([CloseDate]&gt;0,[CloseDate],
IF([ExpDate]&gt;0,[ExpDate],
TODAY()))</f>
        <v/>
      </c>
      <c r="AB81" s="10">
        <f>IF(PERFORMANCE!D8&gt;0,
IF(PERFORMANCE!D8&lt;[ActDate],"",[NetPrem]),
IF(TODAY()&lt;[ActDate],"",[NetPrem]))</f>
        <v/>
      </c>
      <c r="AC81" s="10">
        <f>IF(PERFORMANCE!D8&gt;0,
IF(PERFORMANCE!D8&lt;[ActDate],"",
IF(PERFORMANCE!D8 - [ActDate]&lt;366,[NetPrem],"")),
IF(TODAY()&lt;[ActDate],"",
IF(TODAY() - [ActDate]&lt;366,[NetPrem],"")))</f>
        <v/>
      </c>
      <c r="AD81" s="10">
        <f>IF(PERFORMANCE!D8&gt;0,
IF(PERFORMANCE!D8&lt;[ActDate],"",
IF(YEAR(PERFORMANCE!D8)=YEAR([ActDate]),[NetPrem],"")),
IF(TODAY()&lt;[ActDate],"",
IF(YEAR(TODAY())=YEAR([ActDate]),[NetPrem],"")))</f>
        <v/>
      </c>
      <c r="AE81" s="10">
        <f>IF(PERFORMANCE!D8&gt;0,
IF(PERFORMANCE!D8&lt;[ActDate],[NetPrem],""),
IF(TODAY()&lt;[ActDate],[NetPrem],""))</f>
        <v/>
      </c>
      <c r="AF81" s="75" t="n"/>
      <c r="AG81">
        <f>IF(Table1[SYM]="","",SUMIFS(Table1[NetPrem],Table1[Trade'#],Table1[[Trade'#]],Table1[Leg],"&lt;="&amp;Table1[Leg]))</f>
        <v/>
      </c>
    </row>
    <row r="82">
      <c r="A82" s="15" t="inlineStr">
        <is>
          <t>Sold 10 FF Jul 16 2021 10.0 Put @ 0.45</t>
        </is>
      </c>
      <c r="B82" s="73" t="n">
        <v>32</v>
      </c>
      <c r="C82" s="73" t="n">
        <v>1</v>
      </c>
      <c r="D82" s="15" t="inlineStr">
        <is>
          <t>SP</t>
        </is>
      </c>
      <c r="E82" s="53" t="n">
        <v>44356</v>
      </c>
      <c r="F82" s="53" t="n"/>
      <c r="G82" s="53" t="n">
        <v>44393</v>
      </c>
      <c r="H82" s="73" t="n">
        <v>10</v>
      </c>
      <c r="I82" s="73" t="n"/>
      <c r="J82" s="75" t="n">
        <v>10</v>
      </c>
      <c r="K82" s="78" t="n">
        <v>443.34</v>
      </c>
      <c r="M82" s="78" t="inlineStr">
        <is>
          <t>FF</t>
        </is>
      </c>
      <c r="N82" s="73">
        <f>RTD("tos.rtd",,"last", "FF")</f>
        <v/>
      </c>
      <c r="O82" s="73">
        <f>RTD("tos.rtd",,"ASK",".FF210716P10")</f>
        <v/>
      </c>
      <c r="P82" s="10">
        <f>IF([TransType]="LS", [OpnPrem]+[ClsPrem],
                                            IF([TransType]="AS", [OpnPrem]+[ClsPrem],
                                               [OpnPrem]-[ClsPrem]))</f>
        <v/>
      </c>
      <c r="Q82" s="51">
        <f>IF([SYM]="","",SUMIFS([NetPrem],[Trade'#],[[Trade'#]],[Leg],"&lt;="&amp;[Leg]))</f>
        <v/>
      </c>
      <c r="R8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2" s="11">
        <f>IF([TransType]="SP",100*[Strike]*[['#Contracts]],
IF([TransType]="LS",[Strike]*[['#Contracts]],
IF([TransType]="BP",100*([Strike]-[Strike2])*[['#Contracts]],
IF([TransType]="BC",100*([Strike2]-[Strike])*[['#Contracts]],
IF([TransType]="NC",100*[Strike]*[['#Contracts]],
IF([TransType]="AS",100*[Strike]*[['#Contracts]],0))))))</f>
        <v/>
      </c>
      <c r="T82" s="11">
        <f>IF([CloseDate]&gt;0,"",[Cap])</f>
        <v/>
      </c>
      <c r="U82" s="11">
        <f>IF([CloseDate]&gt;0,"",
IF([TransType]="BC","",
IF([TransType]="BP",100*[Strike]*[['#Contracts]],
[Cap])))</f>
        <v/>
      </c>
      <c r="V82" s="11">
        <f>IF([SYM]="","",[Cap]*[Days])</f>
        <v/>
      </c>
      <c r="W82" s="11">
        <f>IF([SYM]="","",SUMIFS([CapDays],[Trade'#],[[Trade'#]],[Leg],"&lt;="&amp;[Leg]))</f>
        <v/>
      </c>
      <c r="X82" s="79">
        <f>IF([TotCapDays],365*[TotPrem]/[TotCapDays],"")</f>
        <v/>
      </c>
      <c r="Y82" s="10">
        <f>IF([SYM]="","",
IF([TransType]="LS",[Strike]-[TotPrem]/[['#Contracts]],
IF([['#Contracts]],[Strike]-[TotPrem]/[['#Contracts]]/100,"")))</f>
        <v/>
      </c>
      <c r="Z82" s="11">
        <f>IF([CloseDate]&gt;0,"",
IF([TransType]="LS",['#Contracts],
IF([TransType]="AS",100*[['#Contracts]],
IF([TransType]="SP",100*[['#Contracts]],
IF([TransType]="BP",100*[['#Contracts]],"")))))</f>
        <v/>
      </c>
      <c r="AA82" s="49">
        <f>IF([CloseDate]&gt;0,[CloseDate],
IF([ExpDate]&gt;0,[ExpDate],
TODAY()))</f>
        <v/>
      </c>
      <c r="AB82" s="10">
        <f>IF(PERFORMANCE!D8&gt;0,
IF(PERFORMANCE!D8&lt;[ActDate],"",[NetPrem]),
IF(TODAY()&lt;[ActDate],"",[NetPrem]))</f>
        <v/>
      </c>
      <c r="AC82" s="10">
        <f>IF(PERFORMANCE!D8&gt;0,
IF(PERFORMANCE!D8&lt;[ActDate],"",
IF(PERFORMANCE!D8 - [ActDate]&lt;366,[NetPrem],"")),
IF(TODAY()&lt;[ActDate],"",
IF(TODAY() - [ActDate]&lt;366,[NetPrem],"")))</f>
        <v/>
      </c>
      <c r="AD82" s="10">
        <f>IF(PERFORMANCE!D8&gt;0,
IF(PERFORMANCE!D8&lt;[ActDate],"",
IF(YEAR(PERFORMANCE!D8)=YEAR([ActDate]),[NetPrem],"")),
IF(TODAY()&lt;[ActDate],"",
IF(YEAR(TODAY())=YEAR([ActDate]),[NetPrem],"")))</f>
        <v/>
      </c>
      <c r="AE82" s="10">
        <f>IF(PERFORMANCE!D8&gt;0,
IF(PERFORMANCE!D8&lt;[ActDate],[NetPrem],""),
IF(TODAY()&lt;[ActDate],[NetPrem],""))</f>
        <v/>
      </c>
      <c r="AF82" s="75" t="n"/>
      <c r="AG82">
        <f>IF(Table1[SYM]="","",SUMIFS(Table1[NetPrem],Table1[Trade'#],Table1[[Trade'#]],Table1[Leg],"&lt;="&amp;Table1[Leg]))</f>
        <v/>
      </c>
    </row>
    <row r="83">
      <c r="A83" s="15" t="inlineStr">
        <is>
          <t>Sold 4 BSX Jul 2 2021 41.5 Put @ 0.7</t>
        </is>
      </c>
      <c r="B83" s="73" t="n">
        <v>33</v>
      </c>
      <c r="C83" s="73" t="n">
        <v>1</v>
      </c>
      <c r="D83" s="15" t="inlineStr">
        <is>
          <t>SP</t>
        </is>
      </c>
      <c r="E83" s="53" t="n">
        <v>44356</v>
      </c>
      <c r="F83" s="53" t="n"/>
      <c r="G83" s="53" t="n">
        <v>44379</v>
      </c>
      <c r="H83" s="73" t="n">
        <v>41.5</v>
      </c>
      <c r="I83" s="73" t="n"/>
      <c r="J83" s="75" t="n">
        <v>4</v>
      </c>
      <c r="K83" s="78" t="n">
        <v>277.33</v>
      </c>
      <c r="M83" s="78" t="inlineStr">
        <is>
          <t>BSX</t>
        </is>
      </c>
      <c r="N83" s="73">
        <f>RTD("tos.rtd",,"last", "BSX")</f>
        <v/>
      </c>
      <c r="O83" s="73">
        <f>RTD("tos.rtd",,"ASK",".BSX210702P41.5")</f>
        <v/>
      </c>
      <c r="P83" s="10">
        <f>IF([TransType]="LS", [OpnPrem]+[ClsPrem],
                                            IF([TransType]="AS", [OpnPrem]+[ClsPrem],
                                               [OpnPrem]-[ClsPrem]))</f>
        <v/>
      </c>
      <c r="Q83" s="51">
        <f>IF([SYM]="","",SUMIFS([NetPrem],[Trade'#],[[Trade'#]],[Leg],"&lt;="&amp;[Leg]))</f>
        <v/>
      </c>
      <c r="R8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3" s="11">
        <f>IF([TransType]="SP",100*[Strike]*[['#Contracts]],
IF([TransType]="LS",[Strike]*[['#Contracts]],
IF([TransType]="BP",100*([Strike]-[Strike2])*[['#Contracts]],
IF([TransType]="BC",100*([Strike2]-[Strike])*[['#Contracts]],
IF([TransType]="NC",100*[Strike]*[['#Contracts]],
IF([TransType]="AS",100*[Strike]*[['#Contracts]],0))))))</f>
        <v/>
      </c>
      <c r="T83" s="11">
        <f>IF([CloseDate]&gt;0,"",[Cap])</f>
        <v/>
      </c>
      <c r="U83" s="11">
        <f>IF([CloseDate]&gt;0,"",
IF([TransType]="BC","",
IF([TransType]="BP",100*[Strike]*[['#Contracts]],
[Cap])))</f>
        <v/>
      </c>
      <c r="V83" s="11">
        <f>IF([SYM]="","",[Cap]*[Days])</f>
        <v/>
      </c>
      <c r="W83" s="11">
        <f>IF([SYM]="","",SUMIFS([CapDays],[Trade'#],[[Trade'#]],[Leg],"&lt;="&amp;[Leg]))</f>
        <v/>
      </c>
      <c r="X83" s="79">
        <f>IF([TotCapDays],365*[TotPrem]/[TotCapDays],"")</f>
        <v/>
      </c>
      <c r="Y83" s="10">
        <f>IF([SYM]="","",
IF([TransType]="LS",[Strike]-[TotPrem]/[['#Contracts]],
IF([['#Contracts]],[Strike]-[TotPrem]/[['#Contracts]]/100,"")))</f>
        <v/>
      </c>
      <c r="Z83" s="11">
        <f>IF([CloseDate]&gt;0,"",
IF([TransType]="LS",['#Contracts],
IF([TransType]="AS",100*[['#Contracts]],
IF([TransType]="SP",100*[['#Contracts]],
IF([TransType]="BP",100*[['#Contracts]],"")))))</f>
        <v/>
      </c>
      <c r="AA83" s="49">
        <f>IF([CloseDate]&gt;0,[CloseDate],
IF([ExpDate]&gt;0,[ExpDate],
TODAY()))</f>
        <v/>
      </c>
      <c r="AB83" s="10">
        <f>IF(PERFORMANCE!D8&gt;0,
IF(PERFORMANCE!D8&lt;[ActDate],"",[NetPrem]),
IF(TODAY()&lt;[ActDate],"",[NetPrem]))</f>
        <v/>
      </c>
      <c r="AC83" s="10">
        <f>IF(PERFORMANCE!D8&gt;0,
IF(PERFORMANCE!D8&lt;[ActDate],"",
IF(PERFORMANCE!D8 - [ActDate]&lt;366,[NetPrem],"")),
IF(TODAY()&lt;[ActDate],"",
IF(TODAY() - [ActDate]&lt;366,[NetPrem],"")))</f>
        <v/>
      </c>
      <c r="AD83" s="10">
        <f>IF(PERFORMANCE!D8&gt;0,
IF(PERFORMANCE!D8&lt;[ActDate],"",
IF(YEAR(PERFORMANCE!D8)=YEAR([ActDate]),[NetPrem],"")),
IF(TODAY()&lt;[ActDate],"",
IF(YEAR(TODAY())=YEAR([ActDate]),[NetPrem],"")))</f>
        <v/>
      </c>
      <c r="AE83" s="10">
        <f>IF(PERFORMANCE!D8&gt;0,
IF(PERFORMANCE!D8&lt;[ActDate],[NetPrem],""),
IF(TODAY()&lt;[ActDate],[NetPrem],""))</f>
        <v/>
      </c>
      <c r="AF83" s="75" t="n"/>
      <c r="AG83">
        <f>IF(Table1[SYM]="","",SUMIFS(Table1[NetPrem],Table1[Trade'#],Table1[[Trade'#]],Table1[Leg],"&lt;="&amp;Table1[Leg]))</f>
        <v/>
      </c>
    </row>
    <row r="84">
      <c r="A84" s="15" t="inlineStr">
        <is>
          <t>Sold 1 BLL Jul 16 2021 80.0 Put @ 1.95</t>
        </is>
      </c>
      <c r="B84" s="73" t="n">
        <v>34</v>
      </c>
      <c r="C84" s="73" t="n">
        <v>1</v>
      </c>
      <c r="D84" s="15" t="inlineStr">
        <is>
          <t>SP</t>
        </is>
      </c>
      <c r="E84" s="53" t="n">
        <v>44356</v>
      </c>
      <c r="F84" s="53" t="n"/>
      <c r="G84" s="53" t="n">
        <v>44393</v>
      </c>
      <c r="H84" s="73" t="n">
        <v>80</v>
      </c>
      <c r="I84" s="73" t="n"/>
      <c r="J84" s="75" t="n">
        <v>1</v>
      </c>
      <c r="K84" s="78" t="n">
        <v>194.34</v>
      </c>
      <c r="M84" s="78" t="inlineStr">
        <is>
          <t>BLL</t>
        </is>
      </c>
      <c r="N84" s="73">
        <f>RTD("tos.rtd",,"last", "BLL")</f>
        <v/>
      </c>
      <c r="O84" s="73">
        <f>RTD("tos.rtd",,"ASK",".BLL210716P80")</f>
        <v/>
      </c>
      <c r="P84" s="10">
        <f>IF([TransType]="LS", [OpnPrem]+[ClsPrem],
                                            IF([TransType]="AS", [OpnPrem]+[ClsPrem],
                                               [OpnPrem]-[ClsPrem]))</f>
        <v/>
      </c>
      <c r="Q84" s="51">
        <f>IF([SYM]="","",SUMIFS([NetPrem],[Trade'#],[[Trade'#]],[Leg],"&lt;="&amp;[Leg]))</f>
        <v/>
      </c>
      <c r="R8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4" s="11">
        <f>IF([TransType]="SP",100*[Strike]*[['#Contracts]],
IF([TransType]="LS",[Strike]*[['#Contracts]],
IF([TransType]="BP",100*([Strike]-[Strike2])*[['#Contracts]],
IF([TransType]="BC",100*([Strike2]-[Strike])*[['#Contracts]],
IF([TransType]="NC",100*[Strike]*[['#Contracts]],
IF([TransType]="AS",100*[Strike]*[['#Contracts]],0))))))</f>
        <v/>
      </c>
      <c r="T84" s="11">
        <f>IF([CloseDate]&gt;0,"",[Cap])</f>
        <v/>
      </c>
      <c r="U84" s="11">
        <f>IF([CloseDate]&gt;0,"",
IF([TransType]="BC","",
IF([TransType]="BP",100*[Strike]*[['#Contracts]],
[Cap])))</f>
        <v/>
      </c>
      <c r="V84" s="11">
        <f>IF([SYM]="","",[Cap]*[Days])</f>
        <v/>
      </c>
      <c r="W84" s="11">
        <f>IF([SYM]="","",SUMIFS([CapDays],[Trade'#],[[Trade'#]],[Leg],"&lt;="&amp;[Leg]))</f>
        <v/>
      </c>
      <c r="X84" s="79">
        <f>IF([TotCapDays],365*[TotPrem]/[TotCapDays],"")</f>
        <v/>
      </c>
      <c r="Y84" s="10">
        <f>IF([SYM]="","",
IF([TransType]="LS",[Strike]-[TotPrem]/[['#Contracts]],
IF([['#Contracts]],[Strike]-[TotPrem]/[['#Contracts]]/100,"")))</f>
        <v/>
      </c>
      <c r="Z84" s="11">
        <f>IF([CloseDate]&gt;0,"",
IF([TransType]="LS",['#Contracts],
IF([TransType]="AS",100*[['#Contracts]],
IF([TransType]="SP",100*[['#Contracts]],
IF([TransType]="BP",100*[['#Contracts]],"")))))</f>
        <v/>
      </c>
      <c r="AA84" s="49">
        <f>IF([CloseDate]&gt;0,[CloseDate],
IF([ExpDate]&gt;0,[ExpDate],
TODAY()))</f>
        <v/>
      </c>
      <c r="AB84" s="10">
        <f>IF(PERFORMANCE!D8&gt;0,
IF(PERFORMANCE!D8&lt;[ActDate],"",[NetPrem]),
IF(TODAY()&lt;[ActDate],"",[NetPrem]))</f>
        <v/>
      </c>
      <c r="AC84" s="10">
        <f>IF(PERFORMANCE!D8&gt;0,
IF(PERFORMANCE!D8&lt;[ActDate],"",
IF(PERFORMANCE!D8 - [ActDate]&lt;366,[NetPrem],"")),
IF(TODAY()&lt;[ActDate],"",
IF(TODAY() - [ActDate]&lt;366,[NetPrem],"")))</f>
        <v/>
      </c>
      <c r="AD84" s="10">
        <f>IF(PERFORMANCE!D8&gt;0,
IF(PERFORMANCE!D8&lt;[ActDate],"",
IF(YEAR(PERFORMANCE!D8)=YEAR([ActDate]),[NetPrem],"")),
IF(TODAY()&lt;[ActDate],"",
IF(YEAR(TODAY())=YEAR([ActDate]),[NetPrem],"")))</f>
        <v/>
      </c>
      <c r="AE84" s="10">
        <f>IF(PERFORMANCE!D8&gt;0,
IF(PERFORMANCE!D8&lt;[ActDate],[NetPrem],""),
IF(TODAY()&lt;[ActDate],[NetPrem],""))</f>
        <v/>
      </c>
      <c r="AF84" s="75" t="n"/>
      <c r="AG84">
        <f>IF(Table1[SYM]="","",SUMIFS(Table1[NetPrem],Table1[Trade'#],Table1[[Trade'#]],Table1[Leg],"&lt;="&amp;Table1[Leg]))</f>
        <v/>
      </c>
    </row>
    <row r="85">
      <c r="A85" s="15" t="inlineStr">
        <is>
          <t>Sold 3 MU Jun 25 2021 76.0 Put @ 1.03</t>
        </is>
      </c>
      <c r="B85" s="73" t="n">
        <v>35</v>
      </c>
      <c r="C85" s="73" t="n">
        <v>1</v>
      </c>
      <c r="D85" s="15" t="inlineStr">
        <is>
          <t>SP</t>
        </is>
      </c>
      <c r="E85" s="53" t="n">
        <v>44356</v>
      </c>
      <c r="F85" s="53" t="n"/>
      <c r="G85" s="53" t="n">
        <v>44372</v>
      </c>
      <c r="H85" s="73" t="n">
        <v>76</v>
      </c>
      <c r="I85" s="73" t="n"/>
      <c r="J85" s="75" t="n">
        <v>3</v>
      </c>
      <c r="K85" s="78" t="n">
        <v>307</v>
      </c>
      <c r="M85" s="78" t="inlineStr">
        <is>
          <t>MU</t>
        </is>
      </c>
      <c r="N85" s="73">
        <f>RTD("tos.rtd",,"last", "MU")</f>
        <v/>
      </c>
      <c r="O85" s="73">
        <f>RTD("tos.rtd",,"ASK",".MU210625P76")</f>
        <v/>
      </c>
      <c r="P85" s="10">
        <f>IF([TransType]="LS", [OpnPrem]+[ClsPrem],
                                            IF([TransType]="AS", [OpnPrem]+[ClsPrem],
                                               [OpnPrem]-[ClsPrem]))</f>
        <v/>
      </c>
      <c r="Q85" s="51">
        <f>IF([SYM]="","",SUMIFS([NetPrem],[Trade'#],[[Trade'#]],[Leg],"&lt;="&amp;[Leg]))</f>
        <v/>
      </c>
      <c r="R8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5" s="11">
        <f>IF([TransType]="SP",100*[Strike]*[['#Contracts]],
IF([TransType]="LS",[Strike]*[['#Contracts]],
IF([TransType]="BP",100*([Strike]-[Strike2])*[['#Contracts]],
IF([TransType]="BC",100*([Strike2]-[Strike])*[['#Contracts]],
IF([TransType]="NC",100*[Strike]*[['#Contracts]],
IF([TransType]="AS",100*[Strike]*[['#Contracts]],0))))))</f>
        <v/>
      </c>
      <c r="T85" s="11">
        <f>IF([CloseDate]&gt;0,"",[Cap])</f>
        <v/>
      </c>
      <c r="U85" s="11">
        <f>IF([CloseDate]&gt;0,"",
IF([TransType]="BC","",
IF([TransType]="BP",100*[Strike]*[['#Contracts]],
[Cap])))</f>
        <v/>
      </c>
      <c r="V85" s="11">
        <f>IF([SYM]="","",[Cap]*[Days])</f>
        <v/>
      </c>
      <c r="W85" s="11">
        <f>IF([SYM]="","",SUMIFS([CapDays],[Trade'#],[[Trade'#]],[Leg],"&lt;="&amp;[Leg]))</f>
        <v/>
      </c>
      <c r="X85" s="79">
        <f>IF([TotCapDays],365*[TotPrem]/[TotCapDays],"")</f>
        <v/>
      </c>
      <c r="Y85" s="10">
        <f>IF([SYM]="","",
IF([TransType]="LS",[Strike]-[TotPrem]/[['#Contracts]],
IF([['#Contracts]],[Strike]-[TotPrem]/[['#Contracts]]/100,"")))</f>
        <v/>
      </c>
      <c r="Z85" s="11">
        <f>IF([CloseDate]&gt;0,"",
IF([TransType]="LS",['#Contracts],
IF([TransType]="AS",100*[['#Contracts]],
IF([TransType]="SP",100*[['#Contracts]],
IF([TransType]="BP",100*[['#Contracts]],"")))))</f>
        <v/>
      </c>
      <c r="AA85" s="49">
        <f>IF([CloseDate]&gt;0,[CloseDate],
IF([ExpDate]&gt;0,[ExpDate],
TODAY()))</f>
        <v/>
      </c>
      <c r="AB85" s="10">
        <f>IF(PERFORMANCE!D8&gt;0,
IF(PERFORMANCE!D8&lt;[ActDate],"",[NetPrem]),
IF(TODAY()&lt;[ActDate],"",[NetPrem]))</f>
        <v/>
      </c>
      <c r="AC85" s="10">
        <f>IF(PERFORMANCE!D8&gt;0,
IF(PERFORMANCE!D8&lt;[ActDate],"",
IF(PERFORMANCE!D8 - [ActDate]&lt;366,[NetPrem],"")),
IF(TODAY()&lt;[ActDate],"",
IF(TODAY() - [ActDate]&lt;366,[NetPrem],"")))</f>
        <v/>
      </c>
      <c r="AD85" s="10">
        <f>IF(PERFORMANCE!D8&gt;0,
IF(PERFORMANCE!D8&lt;[ActDate],"",
IF(YEAR(PERFORMANCE!D8)=YEAR([ActDate]),[NetPrem],"")),
IF(TODAY()&lt;[ActDate],"",
IF(YEAR(TODAY())=YEAR([ActDate]),[NetPrem],"")))</f>
        <v/>
      </c>
      <c r="AE85" s="10">
        <f>IF(PERFORMANCE!D8&gt;0,
IF(PERFORMANCE!D8&lt;[ActDate],[NetPrem],""),
IF(TODAY()&lt;[ActDate],[NetPrem],""))</f>
        <v/>
      </c>
      <c r="AF85" s="75" t="n"/>
      <c r="AG85">
        <f>IF(Table1[SYM]="","",SUMIFS(Table1[NetPrem],Table1[Trade'#],Table1[[Trade'#]],Table1[Leg],"&lt;="&amp;Table1[Leg]))</f>
        <v/>
      </c>
    </row>
    <row r="86">
      <c r="A86" s="15" t="inlineStr">
        <is>
          <t>Sold 2 SAVE Jul 16 2021 35.0 Put @ 2.15</t>
        </is>
      </c>
      <c r="B86" s="73" t="n">
        <v>36</v>
      </c>
      <c r="C86" s="73" t="n">
        <v>1</v>
      </c>
      <c r="D86" s="15" t="inlineStr">
        <is>
          <t>SP</t>
        </is>
      </c>
      <c r="E86" s="53" t="n">
        <v>44357</v>
      </c>
      <c r="F86" s="53" t="n"/>
      <c r="G86" s="53" t="n">
        <v>44393</v>
      </c>
      <c r="H86" s="73" t="n">
        <v>35</v>
      </c>
      <c r="I86" s="73" t="n"/>
      <c r="J86" s="75" t="n">
        <v>2</v>
      </c>
      <c r="K86" s="78" t="n">
        <v>428.67</v>
      </c>
      <c r="M86" s="78" t="inlineStr">
        <is>
          <t>SAVE</t>
        </is>
      </c>
      <c r="N86" s="73">
        <f>RTD("tos.rtd",,"last", "SAVE")</f>
        <v/>
      </c>
      <c r="O86" s="73">
        <f>RTD("tos.rtd",,"ASK",".SAVE210716P35")</f>
        <v/>
      </c>
      <c r="P86" s="10">
        <f>IF([TransType]="LS", [OpnPrem]+[ClsPrem],
                                            IF([TransType]="AS", [OpnPrem]+[ClsPrem],
                                               [OpnPrem]-[ClsPrem]))</f>
        <v/>
      </c>
      <c r="Q86" s="51">
        <f>IF([SYM]="","",SUMIFS([NetPrem],[Trade'#],[[Trade'#]],[Leg],"&lt;="&amp;[Leg]))</f>
        <v/>
      </c>
      <c r="R8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6" s="11">
        <f>IF([TransType]="SP",100*[Strike]*[['#Contracts]],
IF([TransType]="LS",[Strike]*[['#Contracts]],
IF([TransType]="BP",100*([Strike]-[Strike2])*[['#Contracts]],
IF([TransType]="BC",100*([Strike2]-[Strike])*[['#Contracts]],
IF([TransType]="NC",100*[Strike]*[['#Contracts]],
IF([TransType]="AS",100*[Strike]*[['#Contracts]],0))))))</f>
        <v/>
      </c>
      <c r="T86" s="11">
        <f>IF([CloseDate]&gt;0,"",[Cap])</f>
        <v/>
      </c>
      <c r="U86" s="11">
        <f>IF([CloseDate]&gt;0,"",
IF([TransType]="BC","",
IF([TransType]="BP",100*[Strike]*[['#Contracts]],
[Cap])))</f>
        <v/>
      </c>
      <c r="V86" s="11">
        <f>IF([SYM]="","",[Cap]*[Days])</f>
        <v/>
      </c>
      <c r="W86" s="11">
        <f>IF([SYM]="","",SUMIFS([CapDays],[Trade'#],[[Trade'#]],[Leg],"&lt;="&amp;[Leg]))</f>
        <v/>
      </c>
      <c r="X86" s="79">
        <f>IF([TotCapDays],365*[TotPrem]/[TotCapDays],"")</f>
        <v/>
      </c>
      <c r="Y86" s="10">
        <f>IF([SYM]="","",
IF([TransType]="LS",[Strike]-[TotPrem]/[['#Contracts]],
IF([['#Contracts]],[Strike]-[TotPrem]/[['#Contracts]]/100,"")))</f>
        <v/>
      </c>
      <c r="Z86" s="11">
        <f>IF([CloseDate]&gt;0,"",
IF([TransType]="LS",['#Contracts],
IF([TransType]="AS",100*[['#Contracts]],
IF([TransType]="SP",100*[['#Contracts]],
IF([TransType]="BP",100*[['#Contracts]],"")))))</f>
        <v/>
      </c>
      <c r="AA86" s="49">
        <f>IF([CloseDate]&gt;0,[CloseDate],
IF([ExpDate]&gt;0,[ExpDate],
TODAY()))</f>
        <v/>
      </c>
      <c r="AB86" s="10">
        <f>IF(PERFORMANCE!D8&gt;0,
IF(PERFORMANCE!D8&lt;[ActDate],"",[NetPrem]),
IF(TODAY()&lt;[ActDate],"",[NetPrem]))</f>
        <v/>
      </c>
      <c r="AC86" s="10">
        <f>IF(PERFORMANCE!D8&gt;0,
IF(PERFORMANCE!D8&lt;[ActDate],"",
IF(PERFORMANCE!D8 - [ActDate]&lt;366,[NetPrem],"")),
IF(TODAY()&lt;[ActDate],"",
IF(TODAY() - [ActDate]&lt;366,[NetPrem],"")))</f>
        <v/>
      </c>
      <c r="AD86" s="10">
        <f>IF(PERFORMANCE!D8&gt;0,
IF(PERFORMANCE!D8&lt;[ActDate],"",
IF(YEAR(PERFORMANCE!D8)=YEAR([ActDate]),[NetPrem],"")),
IF(TODAY()&lt;[ActDate],"",
IF(YEAR(TODAY())=YEAR([ActDate]),[NetPrem],"")))</f>
        <v/>
      </c>
      <c r="AE86" s="10">
        <f>IF(PERFORMANCE!D8&gt;0,
IF(PERFORMANCE!D8&lt;[ActDate],[NetPrem],""),
IF(TODAY()&lt;[ActDate],[NetPrem],""))</f>
        <v/>
      </c>
      <c r="AF86" s="75" t="n"/>
      <c r="AG86">
        <f>IF(Table1[SYM]="","",SUMIFS(Table1[NetPrem],Table1[Trade'#],Table1[[Trade'#]],Table1[Leg],"&lt;="&amp;Table1[Leg]))</f>
        <v/>
      </c>
    </row>
    <row r="87">
      <c r="A87" s="15" t="inlineStr">
        <is>
          <t>Sold 1 CHWY Jul 9 2021 71.5 Put @ 1.88</t>
        </is>
      </c>
      <c r="B87" s="73" t="n">
        <v>37</v>
      </c>
      <c r="C87" s="73" t="n">
        <v>1</v>
      </c>
      <c r="D87" s="15" t="inlineStr">
        <is>
          <t>SP</t>
        </is>
      </c>
      <c r="E87" s="53" t="n">
        <v>44358</v>
      </c>
      <c r="F87" s="53" t="n"/>
      <c r="G87" s="53" t="n">
        <v>44386</v>
      </c>
      <c r="H87" s="73" t="n">
        <v>71.5</v>
      </c>
      <c r="I87" s="73" t="n"/>
      <c r="J87" s="75" t="n">
        <v>1</v>
      </c>
      <c r="K87" s="78" t="n">
        <v>187.34</v>
      </c>
      <c r="M87" s="78" t="inlineStr">
        <is>
          <t>CHWY</t>
        </is>
      </c>
      <c r="N87" s="73">
        <f>RTD("tos.rtd",,"last", "CHWY")</f>
        <v/>
      </c>
      <c r="O87" s="73">
        <f>RTD("tos.rtd",,"ASK",".CHWY210709P71.5")</f>
        <v/>
      </c>
      <c r="P87" s="10">
        <f>IF([TransType]="LS", [OpnPrem]+[ClsPrem],
                                            IF([TransType]="AS", [OpnPrem]+[ClsPrem],
                                               [OpnPrem]-[ClsPrem]))</f>
        <v/>
      </c>
      <c r="Q87" s="51">
        <f>IF([SYM]="","",SUMIFS([NetPrem],[Trade'#],[[Trade'#]],[Leg],"&lt;="&amp;[Leg]))</f>
        <v/>
      </c>
      <c r="R8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7" s="11">
        <f>IF([TransType]="SP",100*[Strike]*[['#Contracts]],
IF([TransType]="LS",[Strike]*[['#Contracts]],
IF([TransType]="BP",100*([Strike]-[Strike2])*[['#Contracts]],
IF([TransType]="BC",100*([Strike2]-[Strike])*[['#Contracts]],
IF([TransType]="NC",100*[Strike]*[['#Contracts]],
IF([TransType]="AS",100*[Strike]*[['#Contracts]],0))))))</f>
        <v/>
      </c>
      <c r="T87" s="11">
        <f>IF([CloseDate]&gt;0,"",[Cap])</f>
        <v/>
      </c>
      <c r="U87" s="11">
        <f>IF([CloseDate]&gt;0,"",
IF([TransType]="BC","",
IF([TransType]="BP",100*[Strike]*[['#Contracts]],
[Cap])))</f>
        <v/>
      </c>
      <c r="V87" s="11">
        <f>IF([SYM]="","",[Cap]*[Days])</f>
        <v/>
      </c>
      <c r="W87" s="11">
        <f>IF([SYM]="","",SUMIFS([CapDays],[Trade'#],[[Trade'#]],[Leg],"&lt;="&amp;[Leg]))</f>
        <v/>
      </c>
      <c r="X87" s="79">
        <f>IF([TotCapDays],365*[TotPrem]/[TotCapDays],"")</f>
        <v/>
      </c>
      <c r="Y87" s="10">
        <f>IF([SYM]="","",
IF([TransType]="LS",[Strike]-[TotPrem]/[['#Contracts]],
IF([['#Contracts]],[Strike]-[TotPrem]/[['#Contracts]]/100,"")))</f>
        <v/>
      </c>
      <c r="Z87" s="11">
        <f>IF([CloseDate]&gt;0,"",
IF([TransType]="LS",['#Contracts],
IF([TransType]="AS",100*[['#Contracts]],
IF([TransType]="SP",100*[['#Contracts]],
IF([TransType]="BP",100*[['#Contracts]],"")))))</f>
        <v/>
      </c>
      <c r="AA87" s="49">
        <f>IF([CloseDate]&gt;0,[CloseDate],
IF([ExpDate]&gt;0,[ExpDate],
TODAY()))</f>
        <v/>
      </c>
      <c r="AB87" s="10">
        <f>IF(PERFORMANCE!D8&gt;0,
IF(PERFORMANCE!D8&lt;[ActDate],"",[NetPrem]),
IF(TODAY()&lt;[ActDate],"",[NetPrem]))</f>
        <v/>
      </c>
      <c r="AC87" s="10">
        <f>IF(PERFORMANCE!D8&gt;0,
IF(PERFORMANCE!D8&lt;[ActDate],"",
IF(PERFORMANCE!D8 - [ActDate]&lt;366,[NetPrem],"")),
IF(TODAY()&lt;[ActDate],"",
IF(TODAY() - [ActDate]&lt;366,[NetPrem],"")))</f>
        <v/>
      </c>
      <c r="AD87" s="10">
        <f>IF(PERFORMANCE!D8&gt;0,
IF(PERFORMANCE!D8&lt;[ActDate],"",
IF(YEAR(PERFORMANCE!D8)=YEAR([ActDate]),[NetPrem],"")),
IF(TODAY()&lt;[ActDate],"",
IF(YEAR(TODAY())=YEAR([ActDate]),[NetPrem],"")))</f>
        <v/>
      </c>
      <c r="AE87" s="10">
        <f>IF(PERFORMANCE!D8&gt;0,
IF(PERFORMANCE!D8&lt;[ActDate],[NetPrem],""),
IF(TODAY()&lt;[ActDate],[NetPrem],""))</f>
        <v/>
      </c>
      <c r="AF87" s="75" t="n"/>
      <c r="AG87">
        <f>IF(Table1[SYM]="","",SUMIFS(Table1[NetPrem],Table1[Trade'#],Table1[[Trade'#]],Table1[Leg],"&lt;="&amp;Table1[Leg]))</f>
        <v/>
      </c>
    </row>
    <row r="88">
      <c r="A88" s="15" t="inlineStr">
        <is>
          <t>Sold 4 DAL Jul 2 2021 46.0 Put @ 1.16</t>
        </is>
      </c>
      <c r="B88" s="73" t="n">
        <v>38</v>
      </c>
      <c r="C88" s="73" t="n">
        <v>1</v>
      </c>
      <c r="D88" s="15" t="inlineStr">
        <is>
          <t>SP</t>
        </is>
      </c>
      <c r="E88" s="53" t="n">
        <v>44358</v>
      </c>
      <c r="F88" s="53" t="n"/>
      <c r="G88" s="53" t="n">
        <v>44379</v>
      </c>
      <c r="H88" s="73" t="n">
        <v>46</v>
      </c>
      <c r="I88" s="73" t="n"/>
      <c r="J88" s="75" t="n">
        <v>4</v>
      </c>
      <c r="K88" s="78" t="n">
        <v>461.33</v>
      </c>
      <c r="M88" s="78" t="inlineStr">
        <is>
          <t>DAL</t>
        </is>
      </c>
      <c r="N88" s="73">
        <f>RTD("tos.rtd",,"last", "DAL")</f>
        <v/>
      </c>
      <c r="O88" s="73">
        <f>RTD("tos.rtd",,"ASK",".DAL210702P46")</f>
        <v/>
      </c>
      <c r="P88" s="10">
        <f>IF([TransType]="LS", [OpnPrem]+[ClsPrem],
                                            IF([TransType]="AS", [OpnPrem]+[ClsPrem],
                                               [OpnPrem]-[ClsPrem]))</f>
        <v/>
      </c>
      <c r="Q88" s="51">
        <f>IF([SYM]="","",SUMIFS([NetPrem],[Trade'#],[[Trade'#]],[Leg],"&lt;="&amp;[Leg]))</f>
        <v/>
      </c>
      <c r="R8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8" s="11">
        <f>IF([TransType]="SP",100*[Strike]*[['#Contracts]],
IF([TransType]="LS",[Strike]*[['#Contracts]],
IF([TransType]="BP",100*([Strike]-[Strike2])*[['#Contracts]],
IF([TransType]="BC",100*([Strike2]-[Strike])*[['#Contracts]],
IF([TransType]="NC",100*[Strike]*[['#Contracts]],
IF([TransType]="AS",100*[Strike]*[['#Contracts]],0))))))</f>
        <v/>
      </c>
      <c r="T88" s="11">
        <f>IF([CloseDate]&gt;0,"",[Cap])</f>
        <v/>
      </c>
      <c r="U88" s="11">
        <f>IF([CloseDate]&gt;0,"",
IF([TransType]="BC","",
IF([TransType]="BP",100*[Strike]*[['#Contracts]],
[Cap])))</f>
        <v/>
      </c>
      <c r="V88" s="11">
        <f>IF([SYM]="","",[Cap]*[Days])</f>
        <v/>
      </c>
      <c r="W88" s="11">
        <f>IF([SYM]="","",SUMIFS([CapDays],[Trade'#],[[Trade'#]],[Leg],"&lt;="&amp;[Leg]))</f>
        <v/>
      </c>
      <c r="X88" s="79">
        <f>IF([TotCapDays],365*[TotPrem]/[TotCapDays],"")</f>
        <v/>
      </c>
      <c r="Y88" s="10">
        <f>IF([SYM]="","",
IF([TransType]="LS",[Strike]-[TotPrem]/[['#Contracts]],
IF([['#Contracts]],[Strike]-[TotPrem]/[['#Contracts]]/100,"")))</f>
        <v/>
      </c>
      <c r="Z88" s="11">
        <f>IF([CloseDate]&gt;0,"",
IF([TransType]="LS",['#Contracts],
IF([TransType]="AS",100*[['#Contracts]],
IF([TransType]="SP",100*[['#Contracts]],
IF([TransType]="BP",100*[['#Contracts]],"")))))</f>
        <v/>
      </c>
      <c r="AA88" s="49">
        <f>IF([CloseDate]&gt;0,[CloseDate],
IF([ExpDate]&gt;0,[ExpDate],
TODAY()))</f>
        <v/>
      </c>
      <c r="AB88" s="10">
        <f>IF(PERFORMANCE!D8&gt;0,
IF(PERFORMANCE!D8&lt;[ActDate],"",[NetPrem]),
IF(TODAY()&lt;[ActDate],"",[NetPrem]))</f>
        <v/>
      </c>
      <c r="AC88" s="10">
        <f>IF(PERFORMANCE!D8&gt;0,
IF(PERFORMANCE!D8&lt;[ActDate],"",
IF(PERFORMANCE!D8 - [ActDate]&lt;366,[NetPrem],"")),
IF(TODAY()&lt;[ActDate],"",
IF(TODAY() - [ActDate]&lt;366,[NetPrem],"")))</f>
        <v/>
      </c>
      <c r="AD88" s="10">
        <f>IF(PERFORMANCE!D8&gt;0,
IF(PERFORMANCE!D8&lt;[ActDate],"",
IF(YEAR(PERFORMANCE!D8)=YEAR([ActDate]),[NetPrem],"")),
IF(TODAY()&lt;[ActDate],"",
IF(YEAR(TODAY())=YEAR([ActDate]),[NetPrem],"")))</f>
        <v/>
      </c>
      <c r="AE88" s="10">
        <f>IF(PERFORMANCE!D8&gt;0,
IF(PERFORMANCE!D8&lt;[ActDate],[NetPrem],""),
IF(TODAY()&lt;[ActDate],[NetPrem],""))</f>
        <v/>
      </c>
      <c r="AF88" s="75" t="n"/>
      <c r="AG88">
        <f>IF(Table1[SYM]="","",SUMIFS(Table1[NetPrem],Table1[Trade'#],Table1[[Trade'#]],Table1[Leg],"&lt;="&amp;Table1[Leg]))</f>
        <v/>
      </c>
    </row>
    <row r="89">
      <c r="A89" s="15" t="inlineStr">
        <is>
          <t>Sold 3 SBH Jul 16 2021 20.0 Put @ 0.67</t>
        </is>
      </c>
      <c r="B89" s="73" t="n">
        <v>39</v>
      </c>
      <c r="C89" s="73" t="n">
        <v>1</v>
      </c>
      <c r="D89" s="15" t="inlineStr">
        <is>
          <t>SP</t>
        </is>
      </c>
      <c r="E89" s="53" t="n">
        <v>44361</v>
      </c>
      <c r="F89" s="53" t="n"/>
      <c r="G89" s="53" t="n">
        <v>44393</v>
      </c>
      <c r="H89" s="73" t="n">
        <v>20</v>
      </c>
      <c r="I89" s="73" t="n"/>
      <c r="J89" s="75" t="n">
        <v>3</v>
      </c>
      <c r="K89" s="78" t="n">
        <v>199</v>
      </c>
      <c r="M89" s="78" t="inlineStr">
        <is>
          <t>SBH</t>
        </is>
      </c>
      <c r="N89" s="73">
        <f>RTD("tos.rtd",,"last", "SBH")</f>
        <v/>
      </c>
      <c r="O89" s="73">
        <f>RTD("tos.rtd",,"ASK",".SBH210716P20")</f>
        <v/>
      </c>
      <c r="P89" s="10">
        <f>IF([TransType]="LS", [OpnPrem]+[ClsPrem],
                                            IF([TransType]="AS", [OpnPrem]+[ClsPrem],
                                               [OpnPrem]-[ClsPrem]))</f>
        <v/>
      </c>
      <c r="Q89" s="51">
        <f>IF([SYM]="","",SUMIFS([NetPrem],[Trade'#],[[Trade'#]],[Leg],"&lt;="&amp;[Leg]))</f>
        <v/>
      </c>
      <c r="R8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9" s="11">
        <f>IF([TransType]="SP",100*[Strike]*[['#Contracts]],
IF([TransType]="LS",[Strike]*[['#Contracts]],
IF([TransType]="BP",100*([Strike]-[Strike2])*[['#Contracts]],
IF([TransType]="BC",100*([Strike2]-[Strike])*[['#Contracts]],
IF([TransType]="NC",100*[Strike]*[['#Contracts]],
IF([TransType]="AS",100*[Strike]*[['#Contracts]],0))))))</f>
        <v/>
      </c>
      <c r="T89" s="11">
        <f>IF([CloseDate]&gt;0,"",[Cap])</f>
        <v/>
      </c>
      <c r="U89" s="11">
        <f>IF([CloseDate]&gt;0,"",
IF([TransType]="BC","",
IF([TransType]="BP",100*[Strike]*[['#Contracts]],
[Cap])))</f>
        <v/>
      </c>
      <c r="V89" s="11">
        <f>IF([SYM]="","",[Cap]*[Days])</f>
        <v/>
      </c>
      <c r="W89" s="11">
        <f>IF([SYM]="","",SUMIFS([CapDays],[Trade'#],[[Trade'#]],[Leg],"&lt;="&amp;[Leg]))</f>
        <v/>
      </c>
      <c r="X89" s="79">
        <f>IF([TotCapDays],365*[TotPrem]/[TotCapDays],"")</f>
        <v/>
      </c>
      <c r="Y89" s="10">
        <f>IF([SYM]="","",
IF([TransType]="LS",[Strike]-[TotPrem]/[['#Contracts]],
IF([['#Contracts]],[Strike]-[TotPrem]/[['#Contracts]]/100,"")))</f>
        <v/>
      </c>
      <c r="Z89" s="11">
        <f>IF([CloseDate]&gt;0,"",
IF([TransType]="LS",['#Contracts],
IF([TransType]="AS",100*[['#Contracts]],
IF([TransType]="SP",100*[['#Contracts]],
IF([TransType]="BP",100*[['#Contracts]],"")))))</f>
        <v/>
      </c>
      <c r="AA89" s="49">
        <f>IF([CloseDate]&gt;0,[CloseDate],
IF([ExpDate]&gt;0,[ExpDate],
TODAY()))</f>
        <v/>
      </c>
      <c r="AB89" s="10">
        <f>IF(PERFORMANCE!D8&gt;0,
IF(PERFORMANCE!D8&lt;[ActDate],"",[NetPrem]),
IF(TODAY()&lt;[ActDate],"",[NetPrem]))</f>
        <v/>
      </c>
      <c r="AC89" s="10">
        <f>IF(PERFORMANCE!D8&gt;0,
IF(PERFORMANCE!D8&lt;[ActDate],"",
IF(PERFORMANCE!D8 - [ActDate]&lt;366,[NetPrem],"")),
IF(TODAY()&lt;[ActDate],"",
IF(TODAY() - [ActDate]&lt;366,[NetPrem],"")))</f>
        <v/>
      </c>
      <c r="AD89" s="10">
        <f>IF(PERFORMANCE!D8&gt;0,
IF(PERFORMANCE!D8&lt;[ActDate],"",
IF(YEAR(PERFORMANCE!D8)=YEAR([ActDate]),[NetPrem],"")),
IF(TODAY()&lt;[ActDate],"",
IF(YEAR(TODAY())=YEAR([ActDate]),[NetPrem],"")))</f>
        <v/>
      </c>
      <c r="AE89" s="10">
        <f>IF(PERFORMANCE!D8&gt;0,
IF(PERFORMANCE!D8&lt;[ActDate],[NetPrem],""),
IF(TODAY()&lt;[ActDate],[NetPrem],""))</f>
        <v/>
      </c>
      <c r="AF89" s="75" t="n"/>
      <c r="AG89">
        <f>IF(Table1[SYM]="","",SUMIFS(Table1[NetPrem],Table1[Trade'#],Table1[[Trade'#]],Table1[Leg],"&lt;="&amp;Table1[Leg]))</f>
        <v/>
      </c>
    </row>
    <row r="90">
      <c r="A90" s="15" t="inlineStr">
        <is>
          <t>Sold 3 TJX Jul 02 2021 65.5 Put @ 1.3</t>
        </is>
      </c>
      <c r="B90" s="73" t="n">
        <v>40</v>
      </c>
      <c r="C90" s="73" t="n">
        <v>1</v>
      </c>
      <c r="D90" s="15" t="inlineStr">
        <is>
          <t>SP</t>
        </is>
      </c>
      <c r="E90" s="53" t="n">
        <v>44362</v>
      </c>
      <c r="F90" s="53" t="n"/>
      <c r="G90" s="53" t="n">
        <v>44379</v>
      </c>
      <c r="H90" s="73" t="n">
        <v>65.5</v>
      </c>
      <c r="I90" s="73" t="n"/>
      <c r="J90" s="75" t="n">
        <v>3</v>
      </c>
      <c r="K90" s="78" t="n">
        <v>388</v>
      </c>
      <c r="M90" s="78" t="inlineStr">
        <is>
          <t>TJX</t>
        </is>
      </c>
      <c r="N90" s="73">
        <f>RTD("tos.rtd",,"last", "TJX")</f>
        <v/>
      </c>
      <c r="O90" s="73">
        <f>RTD("tos.rtd",,"ASK",".TJX210702P65.5")</f>
        <v/>
      </c>
      <c r="P90" s="10">
        <f>IF([TransType]="LS", [OpnPrem]+[ClsPrem],
                                            IF([TransType]="AS", [OpnPrem]+[ClsPrem],
                                               [OpnPrem]-[ClsPrem]))</f>
        <v/>
      </c>
      <c r="Q90" s="51">
        <f>IF([SYM]="","",SUMIFS([NetPrem],[Trade'#],[[Trade'#]],[Leg],"&lt;="&amp;[Leg]))</f>
        <v/>
      </c>
      <c r="R9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0" s="11">
        <f>IF([TransType]="SP",100*[Strike]*[['#Contracts]],
IF([TransType]="LS",[Strike]*[['#Contracts]],
IF([TransType]="BP",100*([Strike]-[Strike2])*[['#Contracts]],
IF([TransType]="BC",100*([Strike2]-[Strike])*[['#Contracts]],
IF([TransType]="NC",100*[Strike]*[['#Contracts]],
IF([TransType]="AS",100*[Strike]*[['#Contracts]],0))))))</f>
        <v/>
      </c>
      <c r="T90" s="11">
        <f>IF([CloseDate]&gt;0,"",[Cap])</f>
        <v/>
      </c>
      <c r="U90" s="11">
        <f>IF([CloseDate]&gt;0,"",
IF([TransType]="BC","",
IF([TransType]="BP",100*[Strike]*[['#Contracts]],
[Cap])))</f>
        <v/>
      </c>
      <c r="V90" s="11">
        <f>IF([SYM]="","",[Cap]*[Days])</f>
        <v/>
      </c>
      <c r="W90" s="11">
        <f>IF([SYM]="","",SUMIFS([CapDays],[Trade'#],[[Trade'#]],[Leg],"&lt;="&amp;[Leg]))</f>
        <v/>
      </c>
      <c r="X90" s="79">
        <f>IF([TotCapDays],365*[TotPrem]/[TotCapDays],"")</f>
        <v/>
      </c>
      <c r="Y90" s="10">
        <f>IF([SYM]="","",
IF([TransType]="LS",[Strike]-[TotPrem]/[['#Contracts]],
IF([['#Contracts]],[Strike]-[TotPrem]/[['#Contracts]]/100,"")))</f>
        <v/>
      </c>
      <c r="Z90" s="11">
        <f>IF([CloseDate]&gt;0,"",
IF([TransType]="LS",['#Contracts],
IF([TransType]="AS",100*[['#Contracts]],
IF([TransType]="SP",100*[['#Contracts]],
IF([TransType]="BP",100*[['#Contracts]],"")))))</f>
        <v/>
      </c>
      <c r="AA90" s="49">
        <f>IF([CloseDate]&gt;0,[CloseDate],
IF([ExpDate]&gt;0,[ExpDate],
TODAY()))</f>
        <v/>
      </c>
      <c r="AB90" s="10">
        <f>IF(PERFORMANCE!D8&gt;0,
IF(PERFORMANCE!D8&lt;[ActDate],"",[NetPrem]),
IF(TODAY()&lt;[ActDate],"",[NetPrem]))</f>
        <v/>
      </c>
      <c r="AC90" s="10">
        <f>IF(PERFORMANCE!D8&gt;0,
IF(PERFORMANCE!D8&lt;[ActDate],"",
IF(PERFORMANCE!D8 - [ActDate]&lt;366,[NetPrem],"")),
IF(TODAY()&lt;[ActDate],"",
IF(TODAY() - [ActDate]&lt;366,[NetPrem],"")))</f>
        <v/>
      </c>
      <c r="AD90" s="10">
        <f>IF(PERFORMANCE!D8&gt;0,
IF(PERFORMANCE!D8&lt;[ActDate],"",
IF(YEAR(PERFORMANCE!D8)=YEAR([ActDate]),[NetPrem],"")),
IF(TODAY()&lt;[ActDate],"",
IF(YEAR(TODAY())=YEAR([ActDate]),[NetPrem],"")))</f>
        <v/>
      </c>
      <c r="AE90" s="10">
        <f>IF(PERFORMANCE!D8&gt;0,
IF(PERFORMANCE!D8&lt;[ActDate],[NetPrem],""),
IF(TODAY()&lt;[ActDate],[NetPrem],""))</f>
        <v/>
      </c>
      <c r="AF90" s="75" t="n"/>
      <c r="AG90">
        <f>IF(Table1[SYM]="","",SUMIFS(Table1[NetPrem],Table1[Trade'#],Table1[[Trade'#]],Table1[Leg],"&lt;="&amp;Table1[Leg]))</f>
        <v/>
      </c>
    </row>
    <row r="91">
      <c r="A91" s="15" t="n"/>
      <c r="B91" s="73" t="n"/>
      <c r="C91" s="73" t="n"/>
      <c r="D91" s="15" t="n"/>
      <c r="E91" s="53" t="n"/>
      <c r="F91" s="53" t="n"/>
      <c r="G91" s="53" t="n"/>
      <c r="H91" s="73" t="n"/>
      <c r="I91" s="73" t="n"/>
      <c r="J91" s="75" t="n"/>
      <c r="K91" s="78" t="n"/>
      <c r="M91" s="78" t="n"/>
      <c r="N91" s="73" t="n"/>
      <c r="O91" s="73" t="n"/>
      <c r="P91" s="10" t="n"/>
      <c r="Q91" s="51" t="n"/>
      <c r="R91" s="11" t="n"/>
      <c r="S91" s="11" t="n"/>
      <c r="T91" s="11" t="n"/>
      <c r="U91" s="11" t="n"/>
      <c r="V91" s="11" t="n"/>
      <c r="W91" s="11" t="n"/>
      <c r="X91" s="66" t="n"/>
      <c r="Y91" s="10" t="n"/>
      <c r="Z91" s="11" t="n"/>
      <c r="AA91" s="49" t="n"/>
      <c r="AB91" s="10" t="n"/>
      <c r="AC91" s="10" t="n"/>
      <c r="AD91" s="10" t="n"/>
      <c r="AE91" s="10" t="n"/>
      <c r="AF91" s="75" t="n"/>
    </row>
    <row r="92">
      <c r="A92" s="15" t="n"/>
      <c r="B92" s="73" t="n"/>
      <c r="C92" s="73" t="n"/>
      <c r="D92" s="15" t="n"/>
      <c r="E92" s="53" t="n"/>
      <c r="F92" s="53" t="n"/>
      <c r="G92" s="53" t="n"/>
      <c r="H92" s="73" t="n"/>
      <c r="I92" s="73" t="n"/>
      <c r="J92" s="75" t="n"/>
      <c r="K92" s="78" t="n"/>
      <c r="M92" s="78" t="n"/>
      <c r="N92" s="73" t="n"/>
      <c r="O92" s="73" t="n"/>
      <c r="P92" s="10" t="n"/>
      <c r="Q92" s="51" t="n"/>
      <c r="R92" s="11" t="n"/>
      <c r="S92" s="11" t="n"/>
      <c r="T92" s="11" t="n"/>
      <c r="U92" s="11" t="n"/>
      <c r="V92" s="11" t="n"/>
      <c r="W92" s="11" t="n"/>
      <c r="X92" s="66" t="n"/>
      <c r="Y92" s="10" t="n"/>
      <c r="Z92" s="11" t="n"/>
      <c r="AA92" s="49" t="n"/>
      <c r="AB92" s="10" t="n"/>
      <c r="AC92" s="10" t="n"/>
      <c r="AD92" s="10" t="n"/>
      <c r="AE92" s="10" t="n"/>
      <c r="AF92" s="75" t="n"/>
    </row>
    <row r="93">
      <c r="A93" s="15" t="n"/>
      <c r="B93" s="73" t="n"/>
      <c r="C93" s="73" t="n"/>
      <c r="D93" s="15" t="n"/>
      <c r="E93" s="53" t="n"/>
      <c r="F93" s="53" t="n"/>
      <c r="G93" s="53" t="n"/>
      <c r="H93" s="73" t="n"/>
      <c r="I93" s="73" t="n"/>
      <c r="J93" s="75" t="n"/>
      <c r="K93" s="78" t="n"/>
      <c r="M93" s="78" t="n"/>
      <c r="N93" s="73" t="n"/>
      <c r="O93" s="73" t="n"/>
      <c r="P93" s="10" t="n"/>
      <c r="Q93" s="51" t="n"/>
      <c r="R93" s="11" t="n"/>
      <c r="S93" s="11" t="n"/>
      <c r="T93" s="11" t="n"/>
      <c r="U93" s="11" t="n"/>
      <c r="V93" s="11" t="n"/>
      <c r="W93" s="11" t="n"/>
      <c r="X93" s="66" t="n"/>
      <c r="Y93" s="10" t="n"/>
      <c r="Z93" s="11" t="n"/>
      <c r="AA93" s="49" t="n"/>
      <c r="AB93" s="10" t="n"/>
      <c r="AC93" s="10" t="n"/>
      <c r="AD93" s="10" t="n"/>
      <c r="AE93" s="10" t="n"/>
      <c r="AF93" s="75" t="n"/>
    </row>
    <row r="94">
      <c r="A94" s="15" t="n"/>
      <c r="B94" s="73" t="n"/>
      <c r="C94" s="73" t="n"/>
      <c r="D94" s="15" t="n"/>
      <c r="E94" s="53" t="n"/>
      <c r="F94" s="53" t="n"/>
      <c r="G94" s="53" t="n"/>
      <c r="H94" s="73" t="n"/>
      <c r="I94" s="73" t="n"/>
      <c r="J94" s="75" t="n"/>
      <c r="K94" s="78" t="n"/>
      <c r="M94" s="78" t="n"/>
      <c r="N94" s="73" t="n"/>
      <c r="O94" s="73" t="n"/>
      <c r="P94" s="10" t="n"/>
      <c r="Q94" s="51" t="n"/>
      <c r="R94" s="11" t="n"/>
      <c r="S94" s="11" t="n"/>
      <c r="T94" s="11" t="n"/>
      <c r="U94" s="11" t="n"/>
      <c r="V94" s="11" t="n"/>
      <c r="W94" s="11" t="n"/>
      <c r="X94" s="66" t="n"/>
      <c r="Y94" s="10" t="n"/>
      <c r="Z94" s="11" t="n"/>
      <c r="AA94" s="49" t="n"/>
      <c r="AB94" s="10" t="n"/>
      <c r="AC94" s="10" t="n"/>
      <c r="AD94" s="10" t="n"/>
      <c r="AE94" s="10" t="n"/>
      <c r="AF94" s="75" t="n"/>
    </row>
    <row r="95">
      <c r="A95" s="15" t="n"/>
      <c r="B95" s="73" t="n"/>
      <c r="C95" s="73" t="n"/>
      <c r="D95" s="15" t="n"/>
      <c r="E95" s="53" t="n"/>
      <c r="F95" s="53" t="n"/>
      <c r="G95" s="53" t="n"/>
      <c r="H95" s="73" t="n"/>
      <c r="I95" s="73" t="n"/>
      <c r="J95" s="75" t="n"/>
      <c r="K95" s="78" t="n"/>
      <c r="M95" s="78" t="n"/>
      <c r="N95" s="73" t="n"/>
      <c r="O95" s="73" t="n"/>
      <c r="P95" s="10" t="n"/>
      <c r="Q95" s="51" t="n"/>
      <c r="R95" s="11" t="n"/>
      <c r="S95" s="11" t="n"/>
      <c r="T95" s="11" t="n"/>
      <c r="U95" s="11" t="n"/>
      <c r="V95" s="11" t="n"/>
      <c r="W95" s="11" t="n"/>
      <c r="X95" s="66" t="n"/>
      <c r="Y95" s="10" t="n"/>
      <c r="Z95" s="11" t="n"/>
      <c r="AA95" s="49" t="n"/>
      <c r="AB95" s="10" t="n"/>
      <c r="AC95" s="10" t="n"/>
      <c r="AD95" s="10" t="n"/>
      <c r="AE95" s="10" t="n"/>
      <c r="AF95" s="75" t="n"/>
    </row>
    <row r="96">
      <c r="A96" s="15" t="n"/>
      <c r="B96" s="73" t="n"/>
      <c r="C96" s="73" t="n"/>
      <c r="D96" s="15" t="n"/>
      <c r="E96" s="53" t="n"/>
      <c r="F96" s="53" t="n"/>
      <c r="G96" s="53" t="n"/>
      <c r="H96" s="73" t="n"/>
      <c r="I96" s="73" t="n"/>
      <c r="J96" s="75" t="n"/>
      <c r="K96" s="78" t="n"/>
      <c r="M96" s="78" t="n"/>
      <c r="N96" s="73" t="n"/>
      <c r="O96" s="73" t="n"/>
      <c r="P96" s="10" t="n"/>
      <c r="Q96" s="51" t="n"/>
      <c r="R96" s="11" t="n"/>
      <c r="S96" s="11" t="n"/>
      <c r="T96" s="11" t="n"/>
      <c r="U96" s="11" t="n"/>
      <c r="V96" s="11" t="n"/>
      <c r="W96" s="11" t="n"/>
      <c r="X96" s="66" t="n"/>
      <c r="Y96" s="10" t="n"/>
      <c r="Z96" s="11" t="n"/>
      <c r="AA96" s="49" t="n"/>
      <c r="AB96" s="10" t="n"/>
      <c r="AC96" s="10" t="n"/>
      <c r="AD96" s="10" t="n"/>
      <c r="AE96" s="10" t="n"/>
      <c r="AF96" s="75" t="n"/>
    </row>
    <row r="97">
      <c r="A97" s="15" t="n"/>
      <c r="B97" s="73" t="n"/>
      <c r="C97" s="73" t="n"/>
      <c r="D97" s="15" t="n"/>
      <c r="E97" s="53" t="n"/>
      <c r="F97" s="53" t="n"/>
      <c r="G97" s="53" t="n"/>
      <c r="H97" s="73" t="n"/>
      <c r="I97" s="73" t="n"/>
      <c r="J97" s="75" t="n"/>
      <c r="K97" s="78" t="n"/>
      <c r="M97" s="78" t="n"/>
      <c r="N97" s="73" t="n"/>
      <c r="O97" s="73" t="n"/>
      <c r="P97" s="10" t="n"/>
      <c r="Q97" s="51" t="n"/>
      <c r="R97" s="11" t="n"/>
      <c r="S97" s="11" t="n"/>
      <c r="T97" s="11" t="n"/>
      <c r="U97" s="11" t="n"/>
      <c r="V97" s="11" t="n"/>
      <c r="W97" s="11" t="n"/>
      <c r="X97" s="66" t="n"/>
      <c r="Y97" s="10" t="n"/>
      <c r="Z97" s="11" t="n"/>
      <c r="AA97" s="49" t="n"/>
      <c r="AB97" s="10" t="n"/>
      <c r="AC97" s="10" t="n"/>
      <c r="AD97" s="10" t="n"/>
      <c r="AE97" s="10" t="n"/>
      <c r="AF97" s="75" t="n"/>
    </row>
    <row r="98">
      <c r="E98" s="49" t="n"/>
      <c r="F98" s="49" t="n"/>
      <c r="G98" s="49" t="n"/>
      <c r="I98" s="75" t="n"/>
      <c r="Q98" s="51" t="n"/>
      <c r="X98" s="66" t="n"/>
      <c r="Y98" s="10" t="n"/>
      <c r="AA98" s="49" t="n"/>
      <c r="AE98" s="10" t="n"/>
      <c r="AF98" s="75" t="n"/>
    </row>
    <row r="99">
      <c r="E99" s="49" t="n"/>
      <c r="F99" s="49" t="n"/>
      <c r="G99" s="49" t="n"/>
      <c r="I99" s="75" t="n"/>
      <c r="Q99" s="51" t="n"/>
      <c r="X99" s="66" t="n"/>
      <c r="Y99" s="10" t="n"/>
      <c r="AA99" s="49" t="n"/>
      <c r="AE99" s="10" t="n"/>
      <c r="AF99" s="75" t="n"/>
    </row>
    <row r="100">
      <c r="E100" s="49" t="n"/>
      <c r="F100" s="49" t="n"/>
      <c r="G100" s="49" t="n"/>
      <c r="I100" s="75" t="n"/>
      <c r="Q100" s="51" t="n"/>
      <c r="X100" s="66" t="n"/>
      <c r="Y100" s="10" t="n"/>
      <c r="AA100" s="49" t="n"/>
      <c r="AE100" s="10" t="n"/>
      <c r="AF100" s="75" t="n"/>
    </row>
    <row r="101">
      <c r="E101" s="49" t="n"/>
      <c r="F101" s="49" t="n"/>
      <c r="G101" s="49" t="n"/>
      <c r="I101" s="75" t="n"/>
      <c r="Q101" s="51" t="n"/>
      <c r="X101" s="66" t="n"/>
      <c r="Y101" s="10" t="n"/>
      <c r="AA101" s="49" t="n"/>
      <c r="AE101" s="10" t="n"/>
      <c r="AF101" s="75" t="n"/>
    </row>
    <row r="102">
      <c r="E102" s="49" t="n"/>
      <c r="F102" s="49" t="n"/>
      <c r="G102" s="49" t="n"/>
      <c r="I102" s="75" t="n"/>
      <c r="Q102" s="51" t="n"/>
      <c r="X102" s="66" t="n"/>
      <c r="Y102" s="10" t="n"/>
      <c r="AA102" s="49" t="n"/>
      <c r="AE102" s="10" t="n"/>
      <c r="AF102" s="75" t="n"/>
    </row>
    <row r="103">
      <c r="E103" s="49" t="n"/>
      <c r="F103" s="49" t="n"/>
      <c r="G103" s="49" t="n"/>
      <c r="I103" s="75" t="n"/>
      <c r="Q103" s="51" t="n"/>
      <c r="X103" s="66" t="n"/>
      <c r="Y103" s="10" t="n"/>
      <c r="AA103" s="49" t="n"/>
      <c r="AE103" s="10" t="n"/>
      <c r="AF103" s="75" t="n"/>
    </row>
    <row r="104">
      <c r="E104" s="49" t="n"/>
      <c r="F104" s="49" t="n"/>
      <c r="G104" s="49" t="n"/>
      <c r="I104" s="75" t="n"/>
      <c r="Q104" s="51" t="n"/>
      <c r="X104" s="66" t="n"/>
      <c r="Y104" s="10" t="n"/>
      <c r="AA104" s="49" t="n"/>
      <c r="AE104" s="10" t="n"/>
      <c r="AF104" s="75" t="n"/>
    </row>
    <row r="105">
      <c r="E105" s="49" t="n"/>
      <c r="F105" s="49" t="n"/>
      <c r="G105" s="49" t="n"/>
      <c r="I105" s="75" t="n"/>
      <c r="Q105" s="51" t="n"/>
      <c r="X105" s="66" t="n"/>
      <c r="Y105" s="10" t="n"/>
      <c r="AA105" s="49" t="n"/>
      <c r="AE105" s="10" t="n"/>
      <c r="AF105" s="75" t="n"/>
    </row>
    <row r="106">
      <c r="E106" s="49" t="n"/>
      <c r="F106" s="49" t="n"/>
      <c r="G106" s="49" t="n"/>
      <c r="I106" s="75" t="n"/>
      <c r="Q106" s="51" t="n"/>
      <c r="X106" s="66" t="n"/>
      <c r="Y106" s="10" t="n"/>
      <c r="AA106" s="49" t="n"/>
      <c r="AE106" s="10" t="n"/>
      <c r="AF106" s="75" t="n"/>
    </row>
    <row r="107">
      <c r="E107" s="49" t="n"/>
      <c r="F107" s="49" t="n"/>
      <c r="G107" s="49" t="n"/>
      <c r="I107" s="75" t="n"/>
      <c r="Q107" s="51" t="n"/>
      <c r="X107" s="66" t="n"/>
      <c r="Y107" s="10" t="n"/>
      <c r="AA107" s="49" t="n"/>
      <c r="AE107" s="10" t="n"/>
      <c r="AF107" s="75" t="n"/>
    </row>
    <row r="108">
      <c r="E108" s="49" t="n"/>
      <c r="F108" s="49" t="n"/>
      <c r="G108" s="49" t="n"/>
      <c r="I108" s="75" t="n"/>
      <c r="Q108" s="51" t="n"/>
      <c r="X108" s="66" t="n"/>
      <c r="Y108" s="10" t="n"/>
      <c r="AA108" s="49" t="n"/>
      <c r="AE108" s="10" t="n"/>
      <c r="AF108" s="75" t="n"/>
    </row>
    <row r="109">
      <c r="E109" s="49" t="n"/>
      <c r="F109" s="49" t="n"/>
      <c r="G109" s="49" t="n"/>
      <c r="I109" s="75" t="n"/>
      <c r="Q109" s="51" t="n"/>
      <c r="X109" s="66" t="n"/>
      <c r="Y109" s="10" t="n"/>
      <c r="AA109" s="49" t="n"/>
      <c r="AE109" s="10" t="n"/>
      <c r="AF109" s="73" t="n"/>
    </row>
    <row r="110">
      <c r="E110" s="49" t="n"/>
      <c r="F110" s="49" t="n"/>
      <c r="G110" s="49" t="n"/>
      <c r="I110" s="75" t="n"/>
      <c r="Q110" s="51" t="n"/>
      <c r="X110" s="66" t="n"/>
      <c r="Y110" s="10" t="n"/>
      <c r="AA110" s="49" t="n"/>
      <c r="AE110" s="10" t="n"/>
      <c r="AF110" s="73" t="n"/>
    </row>
    <row r="111">
      <c r="E111" s="49" t="n"/>
      <c r="F111" s="49" t="n"/>
      <c r="G111" s="49" t="n"/>
      <c r="I111" s="75" t="n"/>
      <c r="Q111" s="51" t="n"/>
      <c r="X111" s="66" t="n"/>
      <c r="Y111" s="10" t="n"/>
      <c r="AA111" s="49" t="n"/>
      <c r="AE111" s="10" t="n"/>
      <c r="AF111" s="73" t="n"/>
    </row>
    <row r="112">
      <c r="E112" s="49" t="n"/>
      <c r="F112" s="49" t="n"/>
      <c r="G112" s="49" t="n"/>
      <c r="I112" s="75" t="n"/>
      <c r="Q112" s="51" t="n"/>
      <c r="X112" s="66" t="n"/>
      <c r="Y112" s="10" t="n"/>
      <c r="AA112" s="49" t="n"/>
      <c r="AE112" s="10" t="n"/>
      <c r="AF112" s="73" t="n"/>
    </row>
    <row r="113">
      <c r="E113" s="49" t="n"/>
      <c r="F113" s="49" t="n"/>
      <c r="G113" s="49" t="n"/>
      <c r="I113" s="75" t="n"/>
      <c r="Q113" s="51" t="n"/>
      <c r="X113" s="66" t="n"/>
      <c r="Y113" s="10" t="n"/>
      <c r="AA113" s="49" t="n"/>
      <c r="AF113" s="73" t="n"/>
    </row>
    <row r="114">
      <c r="E114" s="49" t="n"/>
      <c r="F114" s="49" t="n"/>
      <c r="G114" s="49" t="n"/>
      <c r="I114" s="75" t="n"/>
      <c r="Q114" s="51" t="n"/>
      <c r="X114" s="66" t="n"/>
      <c r="Y114" s="10" t="n"/>
      <c r="AA114" s="49" t="n"/>
      <c r="AF114" s="73" t="n"/>
    </row>
    <row r="115">
      <c r="E115" s="49" t="n"/>
      <c r="F115" s="49" t="n"/>
      <c r="G115" s="49" t="n"/>
      <c r="I115" s="75" t="n"/>
      <c r="Q115" s="51" t="n"/>
      <c r="X115" s="66" t="n"/>
      <c r="Y115" s="10" t="n"/>
      <c r="AA115" s="49" t="n"/>
      <c r="AF115" s="73" t="n"/>
    </row>
    <row r="116">
      <c r="E116" s="49" t="n"/>
      <c r="F116" s="49" t="n"/>
      <c r="G116" s="49" t="n"/>
      <c r="I116" s="75" t="n"/>
      <c r="Q116" s="51" t="n"/>
      <c r="X116" s="66" t="n"/>
      <c r="Y116" s="10" t="n"/>
      <c r="AA116" s="49" t="n"/>
      <c r="AF116" s="73" t="n"/>
    </row>
    <row r="117">
      <c r="E117" s="49" t="n"/>
      <c r="G117" s="49" t="n"/>
      <c r="I117" s="75" t="n"/>
      <c r="Q117" s="51" t="n"/>
      <c r="X117" s="66" t="n"/>
      <c r="Y117" s="10" t="n"/>
      <c r="AA117" s="49" t="n"/>
      <c r="AF117" s="73" t="n"/>
    </row>
    <row r="118">
      <c r="E118" s="49" t="n"/>
      <c r="G118" s="49" t="n"/>
      <c r="I118" s="75" t="n"/>
      <c r="Q118" s="51" t="n"/>
      <c r="X118" s="66" t="n"/>
      <c r="Y118" s="10" t="n"/>
      <c r="AA118" s="49" t="n"/>
      <c r="AF118" s="73" t="n"/>
    </row>
    <row r="119">
      <c r="E119" s="49" t="n"/>
      <c r="G119" s="49" t="n"/>
      <c r="I119" s="75" t="n"/>
      <c r="Q119" s="51" t="n"/>
      <c r="X119" s="66" t="n"/>
      <c r="Y119" s="10" t="n"/>
      <c r="AA119" s="49" t="n"/>
      <c r="AF119" s="73" t="n"/>
    </row>
    <row r="120">
      <c r="E120" s="49" t="n"/>
      <c r="G120" s="49" t="n"/>
      <c r="I120" s="75" t="n"/>
      <c r="Q120" s="51" t="n"/>
      <c r="X120" s="66" t="n"/>
      <c r="Y120" s="10" t="n"/>
      <c r="AA120" s="49" t="n"/>
      <c r="AF120" s="73" t="n"/>
    </row>
    <row r="121">
      <c r="E121" s="49" t="n"/>
      <c r="G121" s="49" t="n"/>
      <c r="I121" s="75" t="n"/>
      <c r="Q121" s="51" t="n"/>
      <c r="X121" s="66" t="n"/>
      <c r="Y121" s="10" t="n"/>
      <c r="AA121" s="49" t="n"/>
      <c r="AF121" s="73" t="n"/>
    </row>
    <row r="122">
      <c r="E122" s="49" t="n"/>
      <c r="G122" s="49" t="n"/>
      <c r="I122" s="75" t="n"/>
      <c r="Q122" s="51" t="n"/>
      <c r="X122" s="66" t="n"/>
      <c r="Y122" s="10" t="n"/>
      <c r="AA122" s="49" t="n"/>
      <c r="AF122" s="73" t="n"/>
    </row>
    <row r="123">
      <c r="E123" s="49" t="n"/>
      <c r="G123" s="49" t="n"/>
      <c r="I123" s="75" t="n"/>
      <c r="Q123" s="51" t="n"/>
      <c r="X123" s="66" t="n"/>
      <c r="Y123" s="10" t="n"/>
      <c r="AA123" s="49" t="n"/>
      <c r="AF123" s="73" t="n"/>
    </row>
    <row r="124">
      <c r="E124" s="49" t="n"/>
      <c r="G124" s="49" t="n"/>
      <c r="I124" s="75" t="n"/>
      <c r="Q124" s="51" t="n"/>
      <c r="X124" s="66" t="n"/>
      <c r="Y124" s="10" t="n"/>
      <c r="AA124" s="49" t="n"/>
      <c r="AF124" s="73" t="n"/>
    </row>
    <row r="125">
      <c r="E125" s="49" t="n"/>
      <c r="G125" s="49" t="n"/>
      <c r="I125" s="75" t="n"/>
      <c r="Q125" s="51" t="n"/>
      <c r="X125" s="66" t="n"/>
      <c r="Y125" s="10" t="n"/>
      <c r="AA125" s="49" t="n"/>
      <c r="AF125" s="73" t="n"/>
    </row>
    <row r="126">
      <c r="E126" s="49" t="n"/>
      <c r="G126" s="49" t="n"/>
      <c r="I126" s="75" t="n"/>
      <c r="Q126" s="51" t="n"/>
      <c r="X126" s="66" t="n"/>
      <c r="Y126" s="10" t="n"/>
      <c r="AA126" s="49" t="n"/>
      <c r="AF126" s="73" t="n"/>
    </row>
    <row r="127">
      <c r="E127" s="49" t="n"/>
      <c r="G127" s="49" t="n"/>
      <c r="I127" s="75" t="n"/>
      <c r="Q127" s="51" t="n"/>
      <c r="X127" s="66" t="n"/>
      <c r="Y127" s="10" t="n"/>
      <c r="AA127" s="49" t="n"/>
      <c r="AF127" s="73" t="n"/>
    </row>
    <row r="128">
      <c r="E128" s="49" t="n"/>
      <c r="G128" s="49" t="n"/>
      <c r="I128" s="75" t="n"/>
      <c r="Q128" s="51" t="n"/>
      <c r="X128" s="66" t="n"/>
      <c r="Y128" s="10" t="n"/>
      <c r="AA128" s="49" t="n"/>
      <c r="AF128" s="73" t="n"/>
    </row>
  </sheetData>
  <mergeCells count="1">
    <mergeCell ref="P7:AE7"/>
  </mergeCells>
  <conditionalFormatting sqref="X9">
    <cfRule dxfId="11" priority="2" type="expression">
      <formula>"o9&lt;0"</formula>
    </cfRule>
    <cfRule dxfId="11" priority="3" type="expression">
      <formula>"o9&gt;0"</formula>
    </cfRule>
    <cfRule dxfId="9" operator="greaterThan" priority="4" type="cellIs">
      <formula>2.332</formula>
    </cfRule>
  </conditionalFormatting>
  <conditionalFormatting sqref="X12">
    <cfRule dxfId="9" operator="greaterThan" priority="1" type="cellIs">
      <formula>2.332</formula>
    </cfRule>
  </conditionalFormatting>
  <pageMargins bottom="0.75" footer="0.3" header="0.3" left="0.45" right="0.2" top="0.75"/>
  <pageSetup orientation="landscape"/>
  <tableParts count="1">
    <tablePart r:id="rId1"/>
  </tableParts>
</worksheet>
</file>

<file path=xl/worksheets/sheet4.xml><?xml version="1.0" encoding="utf-8"?>
<worksheet xmlns="http://schemas.openxmlformats.org/spreadsheetml/2006/main">
  <sheetPr>
    <outlinePr summaryBelow="1" summaryRight="1"/>
    <pageSetUpPr/>
  </sheetPr>
  <dimension ref="A2:R545"/>
  <sheetViews>
    <sheetView topLeftCell="A382" workbookViewId="0" zoomScaleNormal="100">
      <selection activeCell="H8" sqref="H8"/>
    </sheetView>
  </sheetViews>
  <sheetFormatPr baseColWidth="8" defaultRowHeight="15"/>
  <cols>
    <col customWidth="1" max="1" min="1" style="69" width="43.28515625"/>
    <col customWidth="1" max="2" min="2" style="69" width="9"/>
    <col customWidth="1" max="3" min="3" style="69" width="5.5703125"/>
    <col customWidth="1" max="4" min="4" style="69" width="5.42578125"/>
    <col customWidth="1" max="5" min="5" style="69" width="6.42578125"/>
    <col customWidth="1" max="6" min="6" style="69" width="10.85546875"/>
    <col bestFit="1" customWidth="1" max="8" min="7" style="69" width="10.7109375"/>
    <col bestFit="1" customWidth="1" max="9" min="9" style="69" width="7.42578125"/>
    <col customWidth="1" max="10" min="10" style="52" width="10.7109375"/>
    <col customWidth="1" max="11" min="11" style="69" width="11.28515625"/>
    <col bestFit="1" customWidth="1" max="12" min="12" style="69" width="9.5703125"/>
    <col bestFit="1" customWidth="1" max="13" min="13" style="69" width="6.5703125"/>
    <col bestFit="1" customWidth="1" max="14" min="14" style="69" width="12.7109375"/>
    <col bestFit="1" customWidth="1" max="17" min="17" style="69" width="16.140625"/>
  </cols>
  <sheetData>
    <row r="2">
      <c r="A2" t="inlineStr">
        <is>
          <t>To refresh, right click on any cell in the pivot table and select "Refresh" from the menu.</t>
        </is>
      </c>
    </row>
    <row r="3">
      <c r="K3" s="6" t="inlineStr">
        <is>
          <t>Annualized ROI =</t>
        </is>
      </c>
      <c r="L3" s="6" t="n"/>
      <c r="M3" s="6" t="n"/>
      <c r="N3" s="7">
        <f>365*GETPIVOTDATA(" NetPrem",$A6)/GETPIVOTDATA(" CapDays",A6)</f>
        <v/>
      </c>
      <c r="P3" s="1" t="n"/>
      <c r="Q3" t="inlineStr">
        <is>
          <t>From beginning</t>
        </is>
      </c>
    </row>
    <row r="4">
      <c r="A4" t="inlineStr">
        <is>
          <t>Trade#</t>
        </is>
      </c>
      <c r="B4" s="5" t="n">
        <v>1</v>
      </c>
      <c r="K4" s="6" t="inlineStr">
        <is>
          <t>Break Even =</t>
        </is>
      </c>
      <c r="L4" s="6" t="n"/>
      <c r="M4" s="6" t="n"/>
      <c r="N4" s="54">
        <f>IF(GETPIVOTDATA(" Shares",A6)=0,"N/A",(GETPIVOTDATA(" BEcap",A6)-GETPIVOTDATA(" NetPrem",A6))/GETPIVOTDATA(" Shares",A6))</f>
        <v/>
      </c>
      <c r="Q4" t="inlineStr">
        <is>
          <t>net prem</t>
        </is>
      </c>
      <c r="R4" t="inlineStr">
        <is>
          <t>capdays</t>
        </is>
      </c>
    </row>
    <row r="5">
      <c r="K5" s="6" t="inlineStr">
        <is>
          <t>Required Capital =</t>
        </is>
      </c>
      <c r="L5" s="6" t="n"/>
      <c r="M5" s="6" t="n"/>
      <c r="N5" s="54">
        <f>GETPIVOTDATA(" OpenCap",A6)</f>
        <v/>
      </c>
      <c r="Q5" s="52">
        <f>SUM(J:J)/2</f>
        <v/>
      </c>
      <c r="R5">
        <f>SUM(K:K)/2</f>
        <v/>
      </c>
    </row>
    <row r="6">
      <c r="J6" s="28" t="inlineStr">
        <is>
          <t>Values</t>
        </is>
      </c>
    </row>
    <row r="7">
      <c r="A7" s="28" t="inlineStr">
        <is>
          <t>SYM</t>
        </is>
      </c>
      <c r="B7" s="28" t="inlineStr">
        <is>
          <t>Leg</t>
        </is>
      </c>
      <c r="C7" s="28" t="inlineStr">
        <is>
          <t>TransType</t>
        </is>
      </c>
      <c r="D7" s="28" t="inlineStr">
        <is>
          <t>Strike</t>
        </is>
      </c>
      <c r="E7" s="28" t="inlineStr">
        <is>
          <t>#Contracts</t>
        </is>
      </c>
      <c r="F7" s="28" t="inlineStr">
        <is>
          <t>OpenDate</t>
        </is>
      </c>
      <c r="G7" s="28" t="inlineStr">
        <is>
          <t>CloseDate</t>
        </is>
      </c>
      <c r="H7" s="28" t="inlineStr">
        <is>
          <t>ExpDate</t>
        </is>
      </c>
      <c r="I7" s="28" t="inlineStr">
        <is>
          <t>Days</t>
        </is>
      </c>
      <c r="J7" s="52" t="inlineStr">
        <is>
          <t xml:space="preserve"> NetPrem</t>
        </is>
      </c>
      <c r="K7" t="inlineStr">
        <is>
          <t xml:space="preserve"> CapDays</t>
        </is>
      </c>
      <c r="L7" t="inlineStr">
        <is>
          <t xml:space="preserve"> OpenCap</t>
        </is>
      </c>
      <c r="M7" t="inlineStr">
        <is>
          <t xml:space="preserve"> BEcap</t>
        </is>
      </c>
      <c r="N7" t="inlineStr">
        <is>
          <t xml:space="preserve"> Shares</t>
        </is>
      </c>
      <c r="Q7" t="inlineStr">
        <is>
          <t>Annualized ROI =</t>
        </is>
      </c>
      <c r="R7" s="1">
        <f>365*(Q5/R5)</f>
        <v/>
      </c>
    </row>
    <row r="8">
      <c r="A8" t="inlineStr">
        <is>
          <t>Sold 2 JD Apr 16 2021 80.0 Put @ 1.54</t>
        </is>
      </c>
      <c r="B8" t="n">
        <v>1</v>
      </c>
      <c r="C8" t="inlineStr">
        <is>
          <t>SP</t>
        </is>
      </c>
      <c r="D8" t="n">
        <v>80</v>
      </c>
      <c r="E8" t="n">
        <v>2</v>
      </c>
      <c r="F8" s="2" t="n">
        <v>44277</v>
      </c>
      <c r="G8" s="2" t="n">
        <v>44302</v>
      </c>
      <c r="H8" s="2" t="n">
        <v>44302</v>
      </c>
      <c r="I8" s="11" t="n">
        <v>25</v>
      </c>
      <c r="J8" s="52" t="n">
        <v>306.67</v>
      </c>
      <c r="K8" t="n">
        <v>400000</v>
      </c>
      <c r="L8" t="n">
        <v>0</v>
      </c>
      <c r="M8" t="n">
        <v>0</v>
      </c>
      <c r="N8" t="n">
        <v>0</v>
      </c>
    </row>
    <row r="9">
      <c r="A9" t="inlineStr">
        <is>
          <t>Bought 2 JD Apr 16 2021 65.0 Put @ 0.37</t>
        </is>
      </c>
      <c r="B9" t="n">
        <v>2</v>
      </c>
      <c r="C9" t="inlineStr">
        <is>
          <t>SP</t>
        </is>
      </c>
      <c r="D9" t="n">
        <v>65</v>
      </c>
      <c r="E9" t="n">
        <v>2</v>
      </c>
      <c r="F9" s="2" t="n">
        <v>44280</v>
      </c>
      <c r="G9" s="2" t="n">
        <v>44302</v>
      </c>
      <c r="H9" s="2" t="n">
        <v>44302</v>
      </c>
      <c r="I9" s="11" t="n">
        <v>22</v>
      </c>
      <c r="J9" s="52" t="n">
        <v>-75.33</v>
      </c>
      <c r="K9" t="n">
        <v>286000</v>
      </c>
      <c r="L9" t="n">
        <v>0</v>
      </c>
      <c r="M9" t="n">
        <v>0</v>
      </c>
      <c r="N9" t="n">
        <v>0</v>
      </c>
    </row>
    <row r="10">
      <c r="A10" t="inlineStr">
        <is>
          <t>Bought 2 JD Apr 16 2021 80.0 Put @ 2.89</t>
        </is>
      </c>
      <c r="B10" t="n">
        <v>3</v>
      </c>
      <c r="C10" t="inlineStr">
        <is>
          <t>SP</t>
        </is>
      </c>
      <c r="D10" t="n">
        <v>80</v>
      </c>
      <c r="E10" t="n">
        <v>2</v>
      </c>
      <c r="F10" s="2" t="n">
        <v>44302</v>
      </c>
      <c r="G10" s="2" t="n">
        <v>44302</v>
      </c>
      <c r="H10" s="2" t="n">
        <v>44302</v>
      </c>
      <c r="I10" s="11" t="n">
        <v>1</v>
      </c>
      <c r="J10" s="52" t="n">
        <v>-579.33</v>
      </c>
      <c r="K10" t="n">
        <v>16000</v>
      </c>
      <c r="L10" t="n">
        <v>0</v>
      </c>
      <c r="M10" t="n">
        <v>0</v>
      </c>
      <c r="N10" t="n">
        <v>0</v>
      </c>
    </row>
    <row r="11">
      <c r="A11" t="inlineStr">
        <is>
          <t>Sold 2 JD May 21 2021 77.5 Put @ 3.68</t>
        </is>
      </c>
      <c r="B11" t="n">
        <v>4</v>
      </c>
      <c r="C11" t="inlineStr">
        <is>
          <t>SP</t>
        </is>
      </c>
      <c r="D11" t="n">
        <v>77.5</v>
      </c>
      <c r="E11" t="n">
        <v>2</v>
      </c>
      <c r="F11" s="2" t="n">
        <v>44302</v>
      </c>
      <c r="G11" s="2" t="n">
        <v>44335</v>
      </c>
      <c r="H11" s="2" t="n">
        <v>44337</v>
      </c>
      <c r="I11" s="11" t="n">
        <v>33</v>
      </c>
      <c r="J11" s="52" t="n">
        <v>734.67</v>
      </c>
      <c r="K11" t="n">
        <v>511500</v>
      </c>
      <c r="L11" t="n">
        <v>0</v>
      </c>
      <c r="M11" t="n">
        <v>0</v>
      </c>
      <c r="N11" t="n">
        <v>0</v>
      </c>
    </row>
    <row r="12">
      <c r="A12" t="inlineStr">
        <is>
          <t>Bought 1 JD May 21 2021 77.5 Put @ 7.22</t>
        </is>
      </c>
      <c r="B12" t="n">
        <v>5</v>
      </c>
      <c r="C12" t="inlineStr">
        <is>
          <t>SP</t>
        </is>
      </c>
      <c r="D12" t="n">
        <v>77.5</v>
      </c>
      <c r="E12" t="n">
        <v>1</v>
      </c>
      <c r="F12" s="2" t="n">
        <v>44335</v>
      </c>
      <c r="G12" s="2" t="n">
        <v>44335</v>
      </c>
      <c r="H12" s="2" t="n">
        <v>44337</v>
      </c>
      <c r="I12" s="11" t="n">
        <v>1</v>
      </c>
      <c r="J12" s="52" t="n">
        <v>-722.66</v>
      </c>
      <c r="K12" t="n">
        <v>7750</v>
      </c>
      <c r="L12" t="n">
        <v>0</v>
      </c>
      <c r="M12" t="n">
        <v>0</v>
      </c>
      <c r="N12" t="n">
        <v>0</v>
      </c>
    </row>
    <row r="13">
      <c r="B13" t="n">
        <v>6</v>
      </c>
      <c r="C13" t="inlineStr">
        <is>
          <t>SP</t>
        </is>
      </c>
      <c r="D13" t="n">
        <v>77.5</v>
      </c>
      <c r="E13" t="n">
        <v>1</v>
      </c>
      <c r="F13" s="2" t="n">
        <v>44335</v>
      </c>
      <c r="G13" s="2" t="n">
        <v>44335</v>
      </c>
      <c r="H13" s="2" t="n">
        <v>44337</v>
      </c>
      <c r="I13" s="11" t="n">
        <v>1</v>
      </c>
      <c r="J13" s="52" t="n">
        <v>-722.67</v>
      </c>
      <c r="K13" t="n">
        <v>7750</v>
      </c>
      <c r="L13" t="n">
        <v>0</v>
      </c>
      <c r="M13" t="n">
        <v>0</v>
      </c>
      <c r="N13" t="n">
        <v>0</v>
      </c>
    </row>
    <row r="14">
      <c r="A14" t="inlineStr">
        <is>
          <t>Sold 2 JD Jul 16 2021 72.5 Put @ 5.14</t>
        </is>
      </c>
      <c r="B14" t="n">
        <v>7</v>
      </c>
      <c r="C14" t="inlineStr">
        <is>
          <t>SP</t>
        </is>
      </c>
      <c r="D14" t="n">
        <v>72.5</v>
      </c>
      <c r="E14" t="n">
        <v>2</v>
      </c>
      <c r="F14" s="2" t="n">
        <v>44335</v>
      </c>
      <c r="G14" s="2" t="n">
        <v>44348</v>
      </c>
      <c r="H14" s="2" t="n">
        <v>44393</v>
      </c>
      <c r="I14" s="11" t="n">
        <v>13</v>
      </c>
      <c r="J14" s="52" t="n">
        <v>1026.66</v>
      </c>
      <c r="K14" t="n">
        <v>188500</v>
      </c>
      <c r="L14" t="n">
        <v>0</v>
      </c>
      <c r="M14" t="n">
        <v>0</v>
      </c>
      <c r="N14" t="n">
        <v>0</v>
      </c>
    </row>
    <row r="15">
      <c r="B15" t="n">
        <v>8</v>
      </c>
      <c r="C15" t="inlineStr">
        <is>
          <t>SP</t>
        </is>
      </c>
      <c r="D15" t="n">
        <v>72.5</v>
      </c>
      <c r="E15" t="n">
        <v>2</v>
      </c>
      <c r="F15" s="2" t="n">
        <v>44335</v>
      </c>
      <c r="G15" s="2" t="n">
        <v>44348</v>
      </c>
      <c r="H15" s="2" t="n">
        <v>44393</v>
      </c>
      <c r="I15" s="11" t="n">
        <v>13</v>
      </c>
      <c r="J15" s="52" t="n">
        <v>1026.66</v>
      </c>
      <c r="K15" t="n">
        <v>188500</v>
      </c>
      <c r="L15" t="n">
        <v>0</v>
      </c>
      <c r="M15" t="n">
        <v>0</v>
      </c>
      <c r="N15" t="n">
        <v>0</v>
      </c>
    </row>
    <row r="16">
      <c r="A16" t="inlineStr">
        <is>
          <t>Bought 4 JD Jul 16 2021 72.5 Put @ 1.45</t>
        </is>
      </c>
      <c r="B16" t="n">
        <v>9</v>
      </c>
      <c r="C16" t="inlineStr">
        <is>
          <t>SP</t>
        </is>
      </c>
      <c r="D16" t="n">
        <v>72.5</v>
      </c>
      <c r="E16" t="n">
        <v>4</v>
      </c>
      <c r="F16" s="2" t="n">
        <v>44348</v>
      </c>
      <c r="G16" s="2" t="n">
        <v>44348</v>
      </c>
      <c r="H16" s="2" t="n">
        <v>44393</v>
      </c>
      <c r="I16" s="11" t="n">
        <v>1</v>
      </c>
      <c r="J16" s="52" t="n">
        <v>-582.66</v>
      </c>
      <c r="K16" t="n">
        <v>29000</v>
      </c>
      <c r="L16" t="n">
        <v>0</v>
      </c>
      <c r="M16" t="n">
        <v>0</v>
      </c>
      <c r="N16" t="n">
        <v>0</v>
      </c>
    </row>
    <row r="17">
      <c r="A17" t="inlineStr">
        <is>
          <t>Grand Total</t>
        </is>
      </c>
      <c r="J17" s="52" t="n">
        <v>412.0100000000001</v>
      </c>
      <c r="K17" t="n">
        <v>1635000</v>
      </c>
      <c r="L17" t="n">
        <v>0</v>
      </c>
      <c r="M17" t="n">
        <v>0</v>
      </c>
      <c r="N17" t="n">
        <v>0</v>
      </c>
    </row>
    <row r="18">
      <c r="F18" s="2" t="n"/>
      <c r="G18" s="2" t="n"/>
      <c r="H18" s="2" t="n"/>
      <c r="I18" s="11" t="n"/>
    </row>
    <row r="19">
      <c r="K19" s="6" t="inlineStr">
        <is>
          <t>Annualized ROI =</t>
        </is>
      </c>
      <c r="L19" s="6" t="n"/>
      <c r="M19" s="6" t="n"/>
      <c r="N19" s="7">
        <f>365*GETPIVOTDATA(" NetPrem",$A22)/GETPIVOTDATA(" CapDays",A22)</f>
        <v/>
      </c>
    </row>
    <row r="20">
      <c r="A20" t="inlineStr">
        <is>
          <t>Trade#</t>
        </is>
      </c>
      <c r="B20" s="5" t="n">
        <v>2</v>
      </c>
      <c r="K20" s="6" t="inlineStr">
        <is>
          <t>Break Even =</t>
        </is>
      </c>
      <c r="L20" s="6" t="n"/>
      <c r="M20" s="6" t="n"/>
      <c r="N20" s="54">
        <f>IF(GETPIVOTDATA(" Shares",A22)=0,"N/A",(GETPIVOTDATA(" BEcap",A22)-GETPIVOTDATA(" NetPrem",A22))/GETPIVOTDATA(" Shares",A22))</f>
        <v/>
      </c>
    </row>
    <row r="21">
      <c r="K21" s="6" t="inlineStr">
        <is>
          <t>Required Capital =</t>
        </is>
      </c>
      <c r="L21" s="6" t="n"/>
      <c r="M21" s="6" t="n"/>
      <c r="N21" s="54">
        <f>GETPIVOTDATA(" OpenCap",A22)</f>
        <v/>
      </c>
    </row>
    <row r="22">
      <c r="J22" s="28" t="inlineStr">
        <is>
          <t>Values</t>
        </is>
      </c>
    </row>
    <row r="23">
      <c r="A23" s="28" t="inlineStr">
        <is>
          <t>SYM</t>
        </is>
      </c>
      <c r="B23" s="28" t="inlineStr">
        <is>
          <t>Leg</t>
        </is>
      </c>
      <c r="C23" s="28" t="inlineStr">
        <is>
          <t>TransType</t>
        </is>
      </c>
      <c r="D23" s="28" t="inlineStr">
        <is>
          <t>Strike</t>
        </is>
      </c>
      <c r="E23" s="28" t="inlineStr">
        <is>
          <t>#Contracts</t>
        </is>
      </c>
      <c r="F23" s="28" t="inlineStr">
        <is>
          <t>OpenDate</t>
        </is>
      </c>
      <c r="G23" s="28" t="inlineStr">
        <is>
          <t>CloseDate</t>
        </is>
      </c>
      <c r="H23" s="28" t="inlineStr">
        <is>
          <t>ExpDate</t>
        </is>
      </c>
      <c r="I23" s="28" t="inlineStr">
        <is>
          <t>Days</t>
        </is>
      </c>
      <c r="J23" s="52" t="inlineStr">
        <is>
          <t xml:space="preserve"> NetPrem</t>
        </is>
      </c>
      <c r="K23" t="inlineStr">
        <is>
          <t xml:space="preserve"> CapDays</t>
        </is>
      </c>
      <c r="L23" t="inlineStr">
        <is>
          <t xml:space="preserve"> OpenCap</t>
        </is>
      </c>
      <c r="M23" t="inlineStr">
        <is>
          <t xml:space="preserve"> BEcap</t>
        </is>
      </c>
      <c r="N23" t="inlineStr">
        <is>
          <t xml:space="preserve"> Shares</t>
        </is>
      </c>
    </row>
    <row r="24">
      <c r="A24" t="inlineStr">
        <is>
          <t>Sold 2 WPM Apr 16 2021 36.0 Put @ 0.56</t>
        </is>
      </c>
      <c r="B24" t="n">
        <v>1</v>
      </c>
      <c r="C24" t="inlineStr">
        <is>
          <t>SP</t>
        </is>
      </c>
      <c r="D24" t="n">
        <v>36</v>
      </c>
      <c r="E24" t="n">
        <v>2</v>
      </c>
      <c r="F24" s="2" t="n">
        <v>44279</v>
      </c>
      <c r="G24" s="2" t="n">
        <v>44291</v>
      </c>
      <c r="H24" s="2" t="n">
        <v>44302</v>
      </c>
      <c r="I24" s="11" t="n">
        <v>12</v>
      </c>
      <c r="J24" s="52" t="n">
        <v>110.67</v>
      </c>
      <c r="K24" t="n">
        <v>86400</v>
      </c>
      <c r="L24" t="n">
        <v>0</v>
      </c>
      <c r="M24" t="n">
        <v>0</v>
      </c>
      <c r="N24" t="n">
        <v>0</v>
      </c>
    </row>
    <row r="25">
      <c r="A25" t="inlineStr">
        <is>
          <t>Bought 2 WPM Apr 16 2021 36.0 Put @ 0.09</t>
        </is>
      </c>
      <c r="B25" t="n">
        <v>2</v>
      </c>
      <c r="C25" t="inlineStr">
        <is>
          <t>SP</t>
        </is>
      </c>
      <c r="D25" t="n">
        <v>36</v>
      </c>
      <c r="E25" t="n">
        <v>2</v>
      </c>
      <c r="F25" s="2" t="n">
        <v>44291</v>
      </c>
      <c r="G25" s="2" t="n">
        <v>44291</v>
      </c>
      <c r="H25" s="2" t="n">
        <v>44302</v>
      </c>
      <c r="I25" s="11" t="n">
        <v>1</v>
      </c>
      <c r="J25" s="52" t="n">
        <v>-19.33</v>
      </c>
      <c r="K25" t="n">
        <v>7200</v>
      </c>
      <c r="L25" t="n">
        <v>0</v>
      </c>
      <c r="M25" t="n">
        <v>0</v>
      </c>
      <c r="N25" t="n">
        <v>0</v>
      </c>
    </row>
    <row r="26">
      <c r="A26" t="inlineStr">
        <is>
          <t>Grand Total</t>
        </is>
      </c>
      <c r="J26" s="52" t="n">
        <v>91.34</v>
      </c>
      <c r="K26" t="n">
        <v>93600</v>
      </c>
      <c r="L26" t="n">
        <v>0</v>
      </c>
      <c r="M26" t="n">
        <v>0</v>
      </c>
      <c r="N26" t="n">
        <v>0</v>
      </c>
    </row>
    <row r="28">
      <c r="K28" s="6" t="inlineStr">
        <is>
          <t>Annualized ROI =</t>
        </is>
      </c>
      <c r="L28" s="6" t="n"/>
      <c r="M28" s="6" t="n"/>
      <c r="N28" s="7">
        <f>365*GETPIVOTDATA(" NetPrem",$A31)/GETPIVOTDATA(" CapDays",A31)</f>
        <v/>
      </c>
    </row>
    <row r="29">
      <c r="A29" t="inlineStr">
        <is>
          <t>Trade#</t>
        </is>
      </c>
      <c r="B29" s="5" t="n">
        <v>3</v>
      </c>
      <c r="K29" s="6" t="inlineStr">
        <is>
          <t>Break Even =</t>
        </is>
      </c>
      <c r="L29" s="6" t="n"/>
      <c r="M29" s="6" t="n"/>
      <c r="N29" s="54">
        <f>IF(GETPIVOTDATA(" Shares",A31)=0,"N/A",(GETPIVOTDATA(" BEcap",A31)-GETPIVOTDATA(" NetPrem",A31))/GETPIVOTDATA(" Shares",A31))</f>
        <v/>
      </c>
      <c r="Q29" s="11" t="n"/>
    </row>
    <row r="30">
      <c r="K30" s="6" t="inlineStr">
        <is>
          <t>Required Capital =</t>
        </is>
      </c>
      <c r="L30" s="6" t="n"/>
      <c r="M30" s="6" t="n"/>
      <c r="N30" s="54">
        <f>GETPIVOTDATA(" OpenCap",A31)</f>
        <v/>
      </c>
    </row>
    <row r="31">
      <c r="J31" s="28" t="inlineStr">
        <is>
          <t>Values</t>
        </is>
      </c>
    </row>
    <row r="32">
      <c r="A32" s="28" t="inlineStr">
        <is>
          <t>SYM</t>
        </is>
      </c>
      <c r="B32" s="28" t="inlineStr">
        <is>
          <t>Leg</t>
        </is>
      </c>
      <c r="C32" s="28" t="inlineStr">
        <is>
          <t>TransType</t>
        </is>
      </c>
      <c r="D32" s="28" t="inlineStr">
        <is>
          <t>Strike</t>
        </is>
      </c>
      <c r="E32" s="28" t="inlineStr">
        <is>
          <t>#Contracts</t>
        </is>
      </c>
      <c r="F32" s="28" t="inlineStr">
        <is>
          <t>OpenDate</t>
        </is>
      </c>
      <c r="G32" s="28" t="inlineStr">
        <is>
          <t>CloseDate</t>
        </is>
      </c>
      <c r="H32" s="28" t="inlineStr">
        <is>
          <t>ExpDate</t>
        </is>
      </c>
      <c r="I32" s="28" t="inlineStr">
        <is>
          <t>Days</t>
        </is>
      </c>
      <c r="J32" s="52" t="inlineStr">
        <is>
          <t xml:space="preserve"> NetPrem</t>
        </is>
      </c>
      <c r="K32" t="inlineStr">
        <is>
          <t xml:space="preserve"> CapDays</t>
        </is>
      </c>
      <c r="L32" t="inlineStr">
        <is>
          <t xml:space="preserve"> OpenCap</t>
        </is>
      </c>
      <c r="M32" t="inlineStr">
        <is>
          <t xml:space="preserve"> BEcap</t>
        </is>
      </c>
      <c r="N32" t="inlineStr">
        <is>
          <t xml:space="preserve"> Shares</t>
        </is>
      </c>
    </row>
    <row r="33">
      <c r="A33" t="inlineStr">
        <is>
          <t>Sold 2 CCL Apr 16 2021 24.0 Put @ 0.84</t>
        </is>
      </c>
      <c r="B33" t="n">
        <v>1</v>
      </c>
      <c r="C33" t="inlineStr">
        <is>
          <t>SP</t>
        </is>
      </c>
      <c r="D33" t="n">
        <v>24</v>
      </c>
      <c r="E33" t="n">
        <v>2</v>
      </c>
      <c r="F33" s="2" t="n">
        <v>44284</v>
      </c>
      <c r="G33" s="2" t="n">
        <v>44287</v>
      </c>
      <c r="H33" s="2" t="n">
        <v>44302</v>
      </c>
      <c r="I33" s="11" t="n">
        <v>3</v>
      </c>
      <c r="J33" s="52" t="n">
        <v>166.67</v>
      </c>
      <c r="K33" t="n">
        <v>14400</v>
      </c>
      <c r="L33" t="n">
        <v>0</v>
      </c>
      <c r="M33" t="n">
        <v>0</v>
      </c>
      <c r="N33" t="n">
        <v>0</v>
      </c>
    </row>
    <row r="34">
      <c r="A34" t="inlineStr">
        <is>
          <t>Sold 10 CCL Apr 16 2021 24.0 Put @ 0.57</t>
        </is>
      </c>
      <c r="B34" t="n">
        <v>2</v>
      </c>
      <c r="C34" t="inlineStr">
        <is>
          <t>SP</t>
        </is>
      </c>
      <c r="D34" t="n">
        <v>24</v>
      </c>
      <c r="E34" t="n">
        <v>10</v>
      </c>
      <c r="F34" s="2" t="n">
        <v>44285</v>
      </c>
      <c r="G34" s="2" t="n">
        <v>44287</v>
      </c>
      <c r="H34" s="2" t="n">
        <v>44302</v>
      </c>
      <c r="I34" s="11" t="n">
        <v>2</v>
      </c>
      <c r="J34" s="52" t="n">
        <v>563.34</v>
      </c>
      <c r="K34" t="n">
        <v>48000</v>
      </c>
      <c r="L34" t="n">
        <v>0</v>
      </c>
      <c r="M34" t="n">
        <v>0</v>
      </c>
      <c r="N34" t="n">
        <v>0</v>
      </c>
    </row>
    <row r="35">
      <c r="A35" t="inlineStr">
        <is>
          <t>Bought 12 CCL Apr 16 2021 24.0 Put @ 0.35</t>
        </is>
      </c>
      <c r="B35" t="n">
        <v>3</v>
      </c>
      <c r="C35" t="inlineStr">
        <is>
          <t>SP</t>
        </is>
      </c>
      <c r="D35" t="n">
        <v>24</v>
      </c>
      <c r="E35" t="n">
        <v>12</v>
      </c>
      <c r="F35" s="2" t="n">
        <v>44287</v>
      </c>
      <c r="G35" s="2" t="n">
        <v>44287</v>
      </c>
      <c r="H35" s="2" t="n">
        <v>44302</v>
      </c>
      <c r="I35" s="11" t="n">
        <v>1</v>
      </c>
      <c r="J35" s="52" t="n">
        <v>-427.97</v>
      </c>
      <c r="K35" t="n">
        <v>28800</v>
      </c>
      <c r="L35" t="n">
        <v>0</v>
      </c>
      <c r="M35" t="n">
        <v>0</v>
      </c>
      <c r="N35" t="n">
        <v>0</v>
      </c>
    </row>
    <row r="36">
      <c r="A36" t="inlineStr">
        <is>
          <t>Grand Total</t>
        </is>
      </c>
      <c r="J36" s="52" t="n">
        <v>302.04</v>
      </c>
      <c r="K36" t="n">
        <v>91200</v>
      </c>
      <c r="L36" t="n">
        <v>0</v>
      </c>
      <c r="M36" t="n">
        <v>0</v>
      </c>
      <c r="N36" t="n">
        <v>0</v>
      </c>
    </row>
    <row r="38">
      <c r="K38" s="6" t="inlineStr">
        <is>
          <t>Annualized ROI =</t>
        </is>
      </c>
      <c r="L38" s="6" t="n"/>
      <c r="M38" s="6" t="n"/>
      <c r="N38" s="7">
        <f>365*GETPIVOTDATA(" NetPrem",$A41)/GETPIVOTDATA(" CapDays",A41)</f>
        <v/>
      </c>
    </row>
    <row r="39">
      <c r="A39" t="inlineStr">
        <is>
          <t>Trade#</t>
        </is>
      </c>
      <c r="B39" s="5" t="n">
        <v>4</v>
      </c>
      <c r="K39" s="6" t="inlineStr">
        <is>
          <t>Break Even =</t>
        </is>
      </c>
      <c r="L39" s="6" t="n"/>
      <c r="M39" s="6" t="n"/>
      <c r="N39" s="54">
        <f>IF(GETPIVOTDATA(" Shares",A41)=0,"N/A",(GETPIVOTDATA(" BEcap",A41)-GETPIVOTDATA(" NetPrem",A41))/GETPIVOTDATA(" Shares",A41))</f>
        <v/>
      </c>
    </row>
    <row r="40">
      <c r="K40" s="6" t="inlineStr">
        <is>
          <t>Required Capital =</t>
        </is>
      </c>
      <c r="L40" s="6" t="n"/>
      <c r="M40" s="6" t="n"/>
      <c r="N40" s="54">
        <f>GETPIVOTDATA(" OpenCap",A41)</f>
        <v/>
      </c>
    </row>
    <row r="41">
      <c r="J41" s="28" t="inlineStr">
        <is>
          <t>Values</t>
        </is>
      </c>
    </row>
    <row r="42">
      <c r="A42" s="28" t="inlineStr">
        <is>
          <t>SYM</t>
        </is>
      </c>
      <c r="B42" s="28" t="inlineStr">
        <is>
          <t>Leg</t>
        </is>
      </c>
      <c r="C42" s="28" t="inlineStr">
        <is>
          <t>TransType</t>
        </is>
      </c>
      <c r="D42" s="28" t="inlineStr">
        <is>
          <t>Strike</t>
        </is>
      </c>
      <c r="E42" s="28" t="inlineStr">
        <is>
          <t>#Contracts</t>
        </is>
      </c>
      <c r="F42" s="28" t="inlineStr">
        <is>
          <t>OpenDate</t>
        </is>
      </c>
      <c r="G42" s="28" t="inlineStr">
        <is>
          <t>CloseDate</t>
        </is>
      </c>
      <c r="H42" s="28" t="inlineStr">
        <is>
          <t>ExpDate</t>
        </is>
      </c>
      <c r="I42" s="28" t="inlineStr">
        <is>
          <t>Days</t>
        </is>
      </c>
      <c r="J42" s="52" t="inlineStr">
        <is>
          <t xml:space="preserve"> NetPrem</t>
        </is>
      </c>
      <c r="K42" t="inlineStr">
        <is>
          <t xml:space="preserve"> CapDays</t>
        </is>
      </c>
      <c r="L42" t="inlineStr">
        <is>
          <t xml:space="preserve"> OpenCap</t>
        </is>
      </c>
      <c r="M42" t="inlineStr">
        <is>
          <t xml:space="preserve"> BEcap</t>
        </is>
      </c>
      <c r="N42" t="inlineStr">
        <is>
          <t xml:space="preserve"> Shares</t>
        </is>
      </c>
    </row>
    <row r="43">
      <c r="A43" t="inlineStr">
        <is>
          <t>Sold 2 VIAC Apr 9 2021 42.0 Put @ 0.49</t>
        </is>
      </c>
      <c r="B43" t="n">
        <v>1</v>
      </c>
      <c r="C43" t="inlineStr">
        <is>
          <t>SP</t>
        </is>
      </c>
      <c r="D43" t="n">
        <v>42</v>
      </c>
      <c r="E43" t="n">
        <v>2</v>
      </c>
      <c r="F43" s="2" t="n">
        <v>44287</v>
      </c>
      <c r="G43" s="2" t="n">
        <v>44292</v>
      </c>
      <c r="H43" s="2" t="n">
        <v>44295</v>
      </c>
      <c r="I43" s="11" t="n">
        <v>5</v>
      </c>
      <c r="J43" s="52" t="n">
        <v>96.67</v>
      </c>
      <c r="K43" t="n">
        <v>42000</v>
      </c>
      <c r="L43" t="n">
        <v>0</v>
      </c>
      <c r="M43" t="n">
        <v>0</v>
      </c>
      <c r="N43" t="n">
        <v>0</v>
      </c>
    </row>
    <row r="44">
      <c r="A44" t="inlineStr">
        <is>
          <t>Bought 2 VIAC Apr 9 2021 42.0 Put @ 0.9</t>
        </is>
      </c>
      <c r="B44" t="n">
        <v>2</v>
      </c>
      <c r="C44" t="inlineStr">
        <is>
          <t>SP</t>
        </is>
      </c>
      <c r="D44" t="n">
        <v>42</v>
      </c>
      <c r="E44" t="n">
        <v>2</v>
      </c>
      <c r="F44" s="2" t="n">
        <v>44292</v>
      </c>
      <c r="G44" s="2" t="n">
        <v>44292</v>
      </c>
      <c r="H44" s="2" t="n">
        <v>44295</v>
      </c>
      <c r="I44" s="11" t="n">
        <v>1</v>
      </c>
      <c r="J44" s="52" t="n">
        <v>-181.33</v>
      </c>
      <c r="K44" t="n">
        <v>8400</v>
      </c>
      <c r="L44" t="n">
        <v>0</v>
      </c>
      <c r="M44" t="n">
        <v>0</v>
      </c>
      <c r="N44" t="n">
        <v>0</v>
      </c>
    </row>
    <row r="45">
      <c r="A45" t="inlineStr">
        <is>
          <t>Sold 2 VIAC Apr 23 2021 40.0 Put @ 1.21</t>
        </is>
      </c>
      <c r="B45" t="n">
        <v>3</v>
      </c>
      <c r="C45" t="inlineStr">
        <is>
          <t>SP</t>
        </is>
      </c>
      <c r="D45" t="n">
        <v>40</v>
      </c>
      <c r="E45" t="n">
        <v>2</v>
      </c>
      <c r="F45" s="2" t="n">
        <v>44292</v>
      </c>
      <c r="G45" s="2" t="n">
        <v>44308</v>
      </c>
      <c r="H45" s="2" t="n">
        <v>44309</v>
      </c>
      <c r="I45" s="11" t="n">
        <v>16</v>
      </c>
      <c r="J45" s="52" t="n">
        <v>240.67</v>
      </c>
      <c r="K45" t="n">
        <v>128000</v>
      </c>
      <c r="L45" t="n">
        <v>0</v>
      </c>
      <c r="M45" t="n">
        <v>0</v>
      </c>
      <c r="N45" t="n">
        <v>0</v>
      </c>
    </row>
    <row r="46">
      <c r="A46" t="inlineStr">
        <is>
          <t>Bought 2 VIAC Apr 23 2021 40.0 Put @ 0.14</t>
        </is>
      </c>
      <c r="B46" t="n">
        <v>3</v>
      </c>
      <c r="C46" t="inlineStr">
        <is>
          <t>SP</t>
        </is>
      </c>
      <c r="D46" t="n">
        <v>40</v>
      </c>
      <c r="E46" t="n">
        <v>2</v>
      </c>
      <c r="F46" s="2" t="n">
        <v>44308</v>
      </c>
      <c r="G46" s="2" t="n">
        <v>44308</v>
      </c>
      <c r="H46" s="2" t="n">
        <v>44309</v>
      </c>
      <c r="I46" s="11" t="n">
        <v>1</v>
      </c>
      <c r="J46" s="52" t="n">
        <v>-29.33</v>
      </c>
      <c r="K46" t="n">
        <v>8000</v>
      </c>
      <c r="L46" t="n">
        <v>0</v>
      </c>
      <c r="M46" t="n">
        <v>0</v>
      </c>
      <c r="N46" t="n">
        <v>0</v>
      </c>
    </row>
    <row r="47">
      <c r="A47" t="inlineStr">
        <is>
          <t>Grand Total</t>
        </is>
      </c>
      <c r="J47" s="52" t="n">
        <v>126.68</v>
      </c>
      <c r="K47" t="n">
        <v>186400</v>
      </c>
      <c r="L47" t="n">
        <v>0</v>
      </c>
      <c r="M47" t="n">
        <v>0</v>
      </c>
      <c r="N47" t="n">
        <v>0</v>
      </c>
    </row>
    <row r="49">
      <c r="K49" s="6" t="inlineStr">
        <is>
          <t>Annualized ROI =</t>
        </is>
      </c>
      <c r="L49" s="6" t="n"/>
      <c r="M49" s="6" t="n"/>
      <c r="N49" s="7">
        <f>365*GETPIVOTDATA(" NetPrem",$A52)/GETPIVOTDATA(" CapDays",A52)</f>
        <v/>
      </c>
    </row>
    <row r="50">
      <c r="A50" t="inlineStr">
        <is>
          <t>Trade#</t>
        </is>
      </c>
      <c r="B50" s="5" t="n">
        <v>5</v>
      </c>
      <c r="K50" s="6" t="inlineStr">
        <is>
          <t>Break Even =</t>
        </is>
      </c>
      <c r="L50" s="6" t="n"/>
      <c r="M50" s="6" t="n"/>
      <c r="N50" s="54">
        <f>IF(GETPIVOTDATA(" Shares",A52)=0,"N/A",(GETPIVOTDATA(" BEcap",A52)-GETPIVOTDATA(" NetPrem",A52))/GETPIVOTDATA(" Shares",A52))</f>
        <v/>
      </c>
    </row>
    <row r="51">
      <c r="K51" s="6" t="inlineStr">
        <is>
          <t>Required Capital =</t>
        </is>
      </c>
      <c r="L51" s="6" t="n"/>
      <c r="M51" s="6" t="n"/>
      <c r="N51" s="54">
        <f>GETPIVOTDATA(" OpenCap",A52)</f>
        <v/>
      </c>
    </row>
    <row r="52">
      <c r="J52" s="28" t="inlineStr">
        <is>
          <t>Values</t>
        </is>
      </c>
    </row>
    <row r="53">
      <c r="A53" s="28" t="inlineStr">
        <is>
          <t>SYM</t>
        </is>
      </c>
      <c r="B53" s="28" t="inlineStr">
        <is>
          <t>Leg</t>
        </is>
      </c>
      <c r="C53" s="28" t="inlineStr">
        <is>
          <t>TransType</t>
        </is>
      </c>
      <c r="D53" s="28" t="inlineStr">
        <is>
          <t>Strike</t>
        </is>
      </c>
      <c r="E53" s="28" t="inlineStr">
        <is>
          <t>#Contracts</t>
        </is>
      </c>
      <c r="F53" s="28" t="inlineStr">
        <is>
          <t>OpenDate</t>
        </is>
      </c>
      <c r="G53" s="28" t="inlineStr">
        <is>
          <t>CloseDate</t>
        </is>
      </c>
      <c r="H53" s="28" t="inlineStr">
        <is>
          <t>ExpDate</t>
        </is>
      </c>
      <c r="I53" s="28" t="inlineStr">
        <is>
          <t>Days</t>
        </is>
      </c>
      <c r="J53" s="52" t="inlineStr">
        <is>
          <t xml:space="preserve"> NetPrem</t>
        </is>
      </c>
      <c r="K53" t="inlineStr">
        <is>
          <t xml:space="preserve"> CapDays</t>
        </is>
      </c>
      <c r="L53" t="inlineStr">
        <is>
          <t xml:space="preserve"> OpenCap</t>
        </is>
      </c>
      <c r="M53" t="inlineStr">
        <is>
          <t xml:space="preserve"> BEcap</t>
        </is>
      </c>
      <c r="N53" t="inlineStr">
        <is>
          <t xml:space="preserve"> Shares</t>
        </is>
      </c>
    </row>
    <row r="54">
      <c r="A54" t="inlineStr">
        <is>
          <t>Sold 4 APA Apr 16 2021 18.0 Put @ 0.73</t>
        </is>
      </c>
      <c r="B54" t="n">
        <v>1</v>
      </c>
      <c r="C54" t="inlineStr">
        <is>
          <t>SP</t>
        </is>
      </c>
      <c r="D54" t="n">
        <v>18</v>
      </c>
      <c r="E54" t="n">
        <v>4</v>
      </c>
      <c r="F54" s="2" t="n">
        <v>44291</v>
      </c>
      <c r="G54" s="2" t="n">
        <v>44295</v>
      </c>
      <c r="H54" s="2" t="n">
        <v>44302</v>
      </c>
      <c r="I54" s="11" t="n">
        <v>4</v>
      </c>
      <c r="J54" s="52" t="n">
        <v>289.33</v>
      </c>
      <c r="K54" t="n">
        <v>28800</v>
      </c>
      <c r="L54" t="n">
        <v>0</v>
      </c>
      <c r="M54" t="n">
        <v>0</v>
      </c>
      <c r="N54" t="n">
        <v>0</v>
      </c>
    </row>
    <row r="55">
      <c r="A55" t="inlineStr">
        <is>
          <t>Bought 4 APA Apr 16 2021 18.0 Put @ 0.92</t>
        </is>
      </c>
      <c r="B55" t="n">
        <v>2</v>
      </c>
      <c r="C55" t="inlineStr">
        <is>
          <t>SP</t>
        </is>
      </c>
      <c r="D55" t="n">
        <v>18</v>
      </c>
      <c r="E55" t="n">
        <v>4</v>
      </c>
      <c r="F55" s="2" t="n">
        <v>44295</v>
      </c>
      <c r="G55" s="2" t="n">
        <v>44295</v>
      </c>
      <c r="H55" s="2" t="n">
        <v>44302</v>
      </c>
      <c r="I55" s="11" t="n">
        <v>1</v>
      </c>
      <c r="J55" s="52" t="n">
        <v>-370.66</v>
      </c>
      <c r="K55" t="n">
        <v>7200</v>
      </c>
      <c r="L55" t="n">
        <v>0</v>
      </c>
      <c r="M55" t="n">
        <v>0</v>
      </c>
      <c r="N55" t="n">
        <v>0</v>
      </c>
    </row>
    <row r="56">
      <c r="A56" t="inlineStr">
        <is>
          <t>Sold 4 APA Apr 23 2021 17.0 Put @ 0.57</t>
        </is>
      </c>
      <c r="B56" t="n">
        <v>3</v>
      </c>
      <c r="C56" t="inlineStr">
        <is>
          <t>SP</t>
        </is>
      </c>
      <c r="D56" t="n">
        <v>17</v>
      </c>
      <c r="E56" t="n">
        <v>4</v>
      </c>
      <c r="F56" s="2" t="n">
        <v>44295</v>
      </c>
      <c r="G56" s="2" t="n">
        <v>44308</v>
      </c>
      <c r="H56" s="2" t="n">
        <v>44309</v>
      </c>
      <c r="I56" s="11" t="n">
        <v>13</v>
      </c>
      <c r="J56" s="52" t="n">
        <v>225.33</v>
      </c>
      <c r="K56" t="n">
        <v>88400</v>
      </c>
      <c r="L56" t="n">
        <v>0</v>
      </c>
      <c r="M56" t="n">
        <v>0</v>
      </c>
      <c r="N56" t="n">
        <v>0</v>
      </c>
    </row>
    <row r="57">
      <c r="A57" t="inlineStr">
        <is>
          <t>Bought 4 APA Apr 23 2021 17.0 Put @ 0.07</t>
        </is>
      </c>
      <c r="B57" t="n">
        <v>4</v>
      </c>
      <c r="C57" t="inlineStr">
        <is>
          <t>SP</t>
        </is>
      </c>
      <c r="D57" t="n">
        <v>17</v>
      </c>
      <c r="E57" t="n">
        <v>4</v>
      </c>
      <c r="F57" s="2" t="n">
        <v>44308</v>
      </c>
      <c r="G57" s="2" t="n">
        <v>44308</v>
      </c>
      <c r="H57" s="2" t="n">
        <v>44309</v>
      </c>
      <c r="I57" s="11" t="n">
        <v>1</v>
      </c>
      <c r="J57" s="52" t="n">
        <v>-30.66</v>
      </c>
      <c r="K57" t="n">
        <v>6800</v>
      </c>
      <c r="L57" t="n">
        <v>0</v>
      </c>
      <c r="M57" t="n">
        <v>0</v>
      </c>
      <c r="N57" t="n">
        <v>0</v>
      </c>
    </row>
    <row r="58">
      <c r="A58" t="inlineStr">
        <is>
          <t>Grand Total</t>
        </is>
      </c>
      <c r="J58" s="52" t="n">
        <v>113.34</v>
      </c>
      <c r="K58" t="n">
        <v>131200</v>
      </c>
      <c r="L58" t="n">
        <v>0</v>
      </c>
      <c r="M58" t="n">
        <v>0</v>
      </c>
      <c r="N58" t="n">
        <v>0</v>
      </c>
    </row>
    <row r="60">
      <c r="K60" s="6" t="inlineStr">
        <is>
          <t>Annualized ROI =</t>
        </is>
      </c>
      <c r="L60" s="6" t="n"/>
      <c r="M60" s="6" t="n"/>
      <c r="N60" s="7">
        <f>365*GETPIVOTDATA(" NetPrem",$A63)/GETPIVOTDATA(" CapDays",A63)</f>
        <v/>
      </c>
    </row>
    <row r="61">
      <c r="A61" t="inlineStr">
        <is>
          <t>Trade#</t>
        </is>
      </c>
      <c r="B61" s="5" t="n">
        <v>6</v>
      </c>
      <c r="K61" s="6" t="inlineStr">
        <is>
          <t>Break Even =</t>
        </is>
      </c>
      <c r="L61" s="6" t="n"/>
      <c r="M61" s="6" t="n"/>
      <c r="N61" s="54">
        <f>IF(GETPIVOTDATA(" Shares",A63)=0,"N/A",(GETPIVOTDATA(" BEcap",A63)-GETPIVOTDATA(" NetPrem",A63))/GETPIVOTDATA(" Shares",A63))</f>
        <v/>
      </c>
    </row>
    <row r="62">
      <c r="K62" s="6" t="inlineStr">
        <is>
          <t>Required Capital =</t>
        </is>
      </c>
      <c r="L62" s="6" t="n"/>
      <c r="M62" s="6" t="n"/>
      <c r="N62" s="54">
        <f>GETPIVOTDATA(" OpenCap",A63)</f>
        <v/>
      </c>
    </row>
    <row r="63">
      <c r="J63" s="28" t="inlineStr">
        <is>
          <t>Values</t>
        </is>
      </c>
    </row>
    <row r="64">
      <c r="A64" s="28" t="inlineStr">
        <is>
          <t>SYM</t>
        </is>
      </c>
      <c r="B64" s="28" t="inlineStr">
        <is>
          <t>Leg</t>
        </is>
      </c>
      <c r="C64" s="28" t="inlineStr">
        <is>
          <t>TransType</t>
        </is>
      </c>
      <c r="D64" s="28" t="inlineStr">
        <is>
          <t>Strike</t>
        </is>
      </c>
      <c r="E64" s="28" t="inlineStr">
        <is>
          <t>#Contracts</t>
        </is>
      </c>
      <c r="F64" s="28" t="inlineStr">
        <is>
          <t>OpenDate</t>
        </is>
      </c>
      <c r="G64" s="28" t="inlineStr">
        <is>
          <t>CloseDate</t>
        </is>
      </c>
      <c r="H64" s="28" t="inlineStr">
        <is>
          <t>ExpDate</t>
        </is>
      </c>
      <c r="I64" s="28" t="inlineStr">
        <is>
          <t>Days</t>
        </is>
      </c>
      <c r="J64" s="52" t="inlineStr">
        <is>
          <t xml:space="preserve"> NetPrem</t>
        </is>
      </c>
      <c r="K64" t="inlineStr">
        <is>
          <t xml:space="preserve"> CapDays</t>
        </is>
      </c>
      <c r="L64" t="inlineStr">
        <is>
          <t xml:space="preserve"> OpenCap</t>
        </is>
      </c>
      <c r="M64" t="inlineStr">
        <is>
          <t xml:space="preserve"> BEcap</t>
        </is>
      </c>
      <c r="N64" t="inlineStr">
        <is>
          <t xml:space="preserve"> Shares</t>
        </is>
      </c>
    </row>
    <row r="65">
      <c r="A65" t="inlineStr">
        <is>
          <t>Sold 2 SFIX Apr 16 2021 45.0 Put @ 1.13</t>
        </is>
      </c>
      <c r="B65" t="n">
        <v>1</v>
      </c>
      <c r="C65" t="inlineStr">
        <is>
          <t>SP</t>
        </is>
      </c>
      <c r="D65" t="n">
        <v>45</v>
      </c>
      <c r="E65" t="n">
        <v>2</v>
      </c>
      <c r="F65" s="2" t="n">
        <v>44291</v>
      </c>
      <c r="G65" s="2" t="n">
        <v>44301</v>
      </c>
      <c r="H65" s="2" t="n">
        <v>44302</v>
      </c>
      <c r="I65" s="11" t="n">
        <v>10</v>
      </c>
      <c r="J65" s="52" t="n">
        <v>224.67</v>
      </c>
      <c r="K65" t="n">
        <v>90000</v>
      </c>
      <c r="L65" t="n">
        <v>0</v>
      </c>
      <c r="M65" t="n">
        <v>0</v>
      </c>
      <c r="N65" t="n">
        <v>0</v>
      </c>
    </row>
    <row r="66">
      <c r="A66" t="inlineStr">
        <is>
          <t>Bought 2 SFIX Apr 16 2021 45.0 Put @ 0.49</t>
        </is>
      </c>
      <c r="B66" t="n">
        <v>2</v>
      </c>
      <c r="C66" t="inlineStr">
        <is>
          <t>SP</t>
        </is>
      </c>
      <c r="D66" t="n">
        <v>45</v>
      </c>
      <c r="E66" t="n">
        <v>2</v>
      </c>
      <c r="F66" s="2" t="n">
        <v>44301</v>
      </c>
      <c r="G66" s="2" t="n">
        <v>44301</v>
      </c>
      <c r="H66" s="2" t="n">
        <v>44302</v>
      </c>
      <c r="I66" s="11" t="n">
        <v>1</v>
      </c>
      <c r="J66" s="52" t="n">
        <v>-99.33</v>
      </c>
      <c r="K66" t="n">
        <v>9000</v>
      </c>
      <c r="L66" t="n">
        <v>0</v>
      </c>
      <c r="M66" t="n">
        <v>0</v>
      </c>
      <c r="N66" t="n">
        <v>0</v>
      </c>
    </row>
    <row r="67">
      <c r="A67" t="inlineStr">
        <is>
          <t>Sold 2 SFIX Apr 30 2021 45.0 Put @ 1.93</t>
        </is>
      </c>
      <c r="B67" t="n">
        <v>3</v>
      </c>
      <c r="C67" t="inlineStr">
        <is>
          <t>SP</t>
        </is>
      </c>
      <c r="D67" t="n">
        <v>45</v>
      </c>
      <c r="E67" t="n">
        <v>2</v>
      </c>
      <c r="F67" s="2" t="n">
        <v>44301</v>
      </c>
      <c r="G67" s="2" t="n">
        <v>44316</v>
      </c>
      <c r="H67" s="2" t="n">
        <v>44316</v>
      </c>
      <c r="I67" s="11" t="n">
        <v>15</v>
      </c>
      <c r="J67" s="52" t="n">
        <v>384.67</v>
      </c>
      <c r="K67" t="n">
        <v>135000</v>
      </c>
      <c r="L67" t="n">
        <v>0</v>
      </c>
      <c r="M67" t="n">
        <v>0</v>
      </c>
      <c r="N67" t="n">
        <v>0</v>
      </c>
    </row>
    <row r="68">
      <c r="A68" t="inlineStr">
        <is>
          <t>Bought 2 SFIX Apr 30 2021 45.0 Put @ 1.14</t>
        </is>
      </c>
      <c r="B68" t="n">
        <v>4</v>
      </c>
      <c r="C68" t="inlineStr">
        <is>
          <t>SP</t>
        </is>
      </c>
      <c r="D68" t="n">
        <v>45</v>
      </c>
      <c r="E68" t="n">
        <v>2</v>
      </c>
      <c r="F68" s="2" t="n">
        <v>44316</v>
      </c>
      <c r="G68" s="2" t="n">
        <v>44316</v>
      </c>
      <c r="H68" s="2" t="n">
        <v>44316</v>
      </c>
      <c r="I68" s="11" t="n">
        <v>1</v>
      </c>
      <c r="J68" s="52" t="n">
        <v>-229.33</v>
      </c>
      <c r="K68" t="n">
        <v>9000</v>
      </c>
      <c r="L68" t="n">
        <v>0</v>
      </c>
      <c r="M68" t="n">
        <v>0</v>
      </c>
      <c r="N68" t="n">
        <v>0</v>
      </c>
    </row>
    <row r="69">
      <c r="A69" t="inlineStr">
        <is>
          <t>Sold 2 SFIX May 21 2021 44.5 Put @ 2.78</t>
        </is>
      </c>
      <c r="B69" t="n">
        <v>5</v>
      </c>
      <c r="C69" t="inlineStr">
        <is>
          <t>SP</t>
        </is>
      </c>
      <c r="D69" t="n">
        <v>44.5</v>
      </c>
      <c r="E69" t="n">
        <v>2</v>
      </c>
      <c r="F69" s="2" t="n">
        <v>44316</v>
      </c>
      <c r="G69" s="2" t="n">
        <v>44328</v>
      </c>
      <c r="H69" s="2" t="n">
        <v>44337</v>
      </c>
      <c r="I69" s="11" t="n">
        <v>12</v>
      </c>
      <c r="J69" s="52" t="n">
        <v>554.67</v>
      </c>
      <c r="K69" t="n">
        <v>106800</v>
      </c>
      <c r="L69" t="n">
        <v>0</v>
      </c>
      <c r="M69" t="n">
        <v>0</v>
      </c>
      <c r="N69" t="n">
        <v>0</v>
      </c>
    </row>
    <row r="70">
      <c r="A70" t="inlineStr">
        <is>
          <t>Bought 1 SFIX May 21 2021 44.5 Put @ 3.47</t>
        </is>
      </c>
      <c r="B70" t="n">
        <v>6</v>
      </c>
      <c r="C70" t="inlineStr">
        <is>
          <t>SP</t>
        </is>
      </c>
      <c r="D70" t="n">
        <v>44.5</v>
      </c>
      <c r="E70" t="n">
        <v>1</v>
      </c>
      <c r="F70" s="2" t="n">
        <v>44328</v>
      </c>
      <c r="G70" s="2" t="n">
        <v>44328</v>
      </c>
      <c r="H70" s="2" t="n">
        <v>44337</v>
      </c>
      <c r="I70" s="11" t="n">
        <v>1</v>
      </c>
      <c r="J70" s="52" t="n">
        <v>-347.66</v>
      </c>
      <c r="K70" t="n">
        <v>4450</v>
      </c>
      <c r="L70" t="n">
        <v>0</v>
      </c>
      <c r="M70" t="n">
        <v>0</v>
      </c>
      <c r="N70" t="n">
        <v>0</v>
      </c>
    </row>
    <row r="71">
      <c r="A71" t="inlineStr">
        <is>
          <t>Sold 1 SFIX Jun 11 2021 42.0 Put @ 4.87</t>
        </is>
      </c>
      <c r="B71" t="n">
        <v>7</v>
      </c>
      <c r="C71" t="inlineStr">
        <is>
          <t>SP</t>
        </is>
      </c>
      <c r="D71" t="n">
        <v>42</v>
      </c>
      <c r="E71" t="n">
        <v>1</v>
      </c>
      <c r="F71" s="2" t="n">
        <v>44328</v>
      </c>
      <c r="G71" s="2" t="n">
        <v>44342</v>
      </c>
      <c r="H71" s="2" t="n">
        <v>44358</v>
      </c>
      <c r="I71" s="11" t="n">
        <v>14</v>
      </c>
      <c r="J71" s="52" t="n">
        <v>486.34</v>
      </c>
      <c r="K71" t="n">
        <v>58800</v>
      </c>
      <c r="L71" t="n">
        <v>0</v>
      </c>
      <c r="M71" t="n">
        <v>0</v>
      </c>
      <c r="N71" t="n">
        <v>0</v>
      </c>
    </row>
    <row r="72">
      <c r="A72" t="inlineStr">
        <is>
          <t>Bought 1 SFIX May 21 2021 44.5 Put @ 4.4</t>
        </is>
      </c>
      <c r="B72" t="n">
        <v>8</v>
      </c>
      <c r="C72" t="inlineStr">
        <is>
          <t>SP</t>
        </is>
      </c>
      <c r="D72" t="n">
        <v>44.5</v>
      </c>
      <c r="E72" t="n">
        <v>1</v>
      </c>
      <c r="F72" s="2" t="n">
        <v>44328</v>
      </c>
      <c r="G72" s="2" t="n">
        <v>44328</v>
      </c>
      <c r="H72" s="2" t="n">
        <v>44337</v>
      </c>
      <c r="I72" s="11" t="n">
        <v>1</v>
      </c>
      <c r="J72" s="52" t="n">
        <v>-440.66</v>
      </c>
      <c r="K72" t="n">
        <v>4450</v>
      </c>
      <c r="L72" t="n">
        <v>0</v>
      </c>
      <c r="M72" t="n">
        <v>0</v>
      </c>
      <c r="N72" t="n">
        <v>0</v>
      </c>
    </row>
    <row r="73">
      <c r="A73" t="inlineStr">
        <is>
          <t>Sold 1 SFIX Jun 11 2021 42.0 Put @ 4.66</t>
        </is>
      </c>
      <c r="B73" t="n">
        <v>9</v>
      </c>
      <c r="C73" t="inlineStr">
        <is>
          <t>SP</t>
        </is>
      </c>
      <c r="D73" t="n">
        <v>42</v>
      </c>
      <c r="E73" t="n">
        <v>1</v>
      </c>
      <c r="F73" s="2" t="n">
        <v>44328</v>
      </c>
      <c r="G73" s="2" t="n">
        <v>44342</v>
      </c>
      <c r="H73" s="2" t="n">
        <v>44358</v>
      </c>
      <c r="I73" s="11" t="n">
        <v>14</v>
      </c>
      <c r="J73" s="52" t="n">
        <v>465.34</v>
      </c>
      <c r="K73" t="n">
        <v>58800</v>
      </c>
      <c r="L73" t="n">
        <v>0</v>
      </c>
      <c r="M73" t="n">
        <v>0</v>
      </c>
      <c r="N73" t="n">
        <v>0</v>
      </c>
    </row>
    <row r="74">
      <c r="A74" t="inlineStr">
        <is>
          <t>Bought 2 SFIX Jun 11 2021 42.0 Put @ 1.55</t>
        </is>
      </c>
      <c r="B74" t="n">
        <v>10</v>
      </c>
      <c r="C74" t="inlineStr">
        <is>
          <t>SP</t>
        </is>
      </c>
      <c r="D74" t="n">
        <v>42</v>
      </c>
      <c r="E74" t="n">
        <v>2</v>
      </c>
      <c r="F74" s="2" t="n">
        <v>44342</v>
      </c>
      <c r="G74" s="2" t="n">
        <v>44342</v>
      </c>
      <c r="H74" s="2" t="n">
        <v>44358</v>
      </c>
      <c r="I74" s="11" t="n">
        <v>1</v>
      </c>
      <c r="J74" s="52" t="n">
        <v>-311.33</v>
      </c>
      <c r="K74" t="n">
        <v>8400</v>
      </c>
      <c r="L74" t="n">
        <v>0</v>
      </c>
      <c r="M74" t="n">
        <v>0</v>
      </c>
      <c r="N74" t="n">
        <v>0</v>
      </c>
    </row>
    <row r="75">
      <c r="A75" t="inlineStr">
        <is>
          <t>Grand Total</t>
        </is>
      </c>
      <c r="J75" s="52" t="n">
        <v>687.3799999999999</v>
      </c>
      <c r="K75" t="n">
        <v>484700</v>
      </c>
      <c r="L75" t="n">
        <v>0</v>
      </c>
      <c r="M75" t="n">
        <v>0</v>
      </c>
      <c r="N75" t="n">
        <v>0</v>
      </c>
    </row>
    <row r="78">
      <c r="K78" s="6" t="inlineStr">
        <is>
          <t>Annualized ROI =</t>
        </is>
      </c>
      <c r="L78" s="6" t="n"/>
      <c r="M78" s="6" t="n"/>
      <c r="N78" s="7">
        <f>365*GETPIVOTDATA(" NetPrem",$A81)/GETPIVOTDATA(" CapDays",A81)</f>
        <v/>
      </c>
    </row>
    <row r="79">
      <c r="A79" t="inlineStr">
        <is>
          <t>Trade#</t>
        </is>
      </c>
      <c r="B79" s="5" t="n">
        <v>7</v>
      </c>
      <c r="K79" s="6" t="inlineStr">
        <is>
          <t>Break Even =</t>
        </is>
      </c>
      <c r="L79" s="6" t="n"/>
      <c r="M79" s="6" t="n"/>
      <c r="N79" s="54">
        <f>IF(GETPIVOTDATA(" Shares",A81)=0,"N/A",(GETPIVOTDATA(" BEcap",A81)-GETPIVOTDATA(" NetPrem",A81))/GETPIVOTDATA(" Shares",A81))</f>
        <v/>
      </c>
    </row>
    <row r="80">
      <c r="K80" s="6" t="inlineStr">
        <is>
          <t>Required Capital =</t>
        </is>
      </c>
      <c r="L80" s="6" t="n"/>
      <c r="M80" s="6" t="n"/>
      <c r="N80" s="54">
        <f>GETPIVOTDATA(" OpenCap",A81)</f>
        <v/>
      </c>
    </row>
    <row r="81">
      <c r="J81" s="28" t="inlineStr">
        <is>
          <t>Values</t>
        </is>
      </c>
    </row>
    <row r="82">
      <c r="A82" s="28" t="inlineStr">
        <is>
          <t>SYM</t>
        </is>
      </c>
      <c r="B82" s="28" t="inlineStr">
        <is>
          <t>Leg</t>
        </is>
      </c>
      <c r="C82" s="28" t="inlineStr">
        <is>
          <t>TransType</t>
        </is>
      </c>
      <c r="D82" s="28" t="inlineStr">
        <is>
          <t>Strike</t>
        </is>
      </c>
      <c r="E82" s="28" t="inlineStr">
        <is>
          <t>#Contracts</t>
        </is>
      </c>
      <c r="F82" s="28" t="inlineStr">
        <is>
          <t>OpenDate</t>
        </is>
      </c>
      <c r="G82" s="28" t="inlineStr">
        <is>
          <t>CloseDate</t>
        </is>
      </c>
      <c r="H82" s="28" t="inlineStr">
        <is>
          <t>ExpDate</t>
        </is>
      </c>
      <c r="I82" s="28" t="inlineStr">
        <is>
          <t>Days</t>
        </is>
      </c>
      <c r="J82" s="52" t="inlineStr">
        <is>
          <t xml:space="preserve"> NetPrem</t>
        </is>
      </c>
      <c r="K82" t="inlineStr">
        <is>
          <t xml:space="preserve"> CapDays</t>
        </is>
      </c>
      <c r="L82" t="inlineStr">
        <is>
          <t xml:space="preserve"> OpenCap</t>
        </is>
      </c>
      <c r="M82" t="inlineStr">
        <is>
          <t xml:space="preserve"> BEcap</t>
        </is>
      </c>
      <c r="N82" t="inlineStr">
        <is>
          <t xml:space="preserve"> Shares</t>
        </is>
      </c>
      <c r="P82" s="1" t="n"/>
    </row>
    <row r="83">
      <c r="A83" t="inlineStr">
        <is>
          <t>Sold 10 SBGI Apr 16 2021 28.0 Put @ 0.37</t>
        </is>
      </c>
      <c r="B83" t="n">
        <v>1</v>
      </c>
      <c r="C83" t="inlineStr">
        <is>
          <t>SP</t>
        </is>
      </c>
      <c r="D83" t="n">
        <v>28</v>
      </c>
      <c r="E83" t="n">
        <v>10</v>
      </c>
      <c r="F83" s="2" t="n">
        <v>44292</v>
      </c>
      <c r="G83" s="2" t="n">
        <v>44302</v>
      </c>
      <c r="H83" s="2" t="n">
        <v>44302</v>
      </c>
      <c r="I83" s="11" t="n">
        <v>10</v>
      </c>
      <c r="J83" s="52" t="n">
        <v>363.34</v>
      </c>
      <c r="K83" t="n">
        <v>280000</v>
      </c>
      <c r="L83" t="n">
        <v>0</v>
      </c>
      <c r="M83" t="n">
        <v>0</v>
      </c>
      <c r="N83" t="n">
        <v>0</v>
      </c>
    </row>
    <row r="84">
      <c r="A84" t="inlineStr">
        <is>
          <t>Grand Total</t>
        </is>
      </c>
      <c r="J84" s="52" t="n">
        <v>363.34</v>
      </c>
      <c r="K84" t="n">
        <v>280000</v>
      </c>
      <c r="L84" t="n">
        <v>0</v>
      </c>
      <c r="M84" t="n">
        <v>0</v>
      </c>
      <c r="N84" t="n">
        <v>0</v>
      </c>
    </row>
    <row r="86">
      <c r="K86" s="6" t="inlineStr">
        <is>
          <t>Annualized ROI =</t>
        </is>
      </c>
      <c r="L86" s="6" t="n"/>
      <c r="M86" s="6" t="n"/>
      <c r="N86" s="7">
        <f>365*GETPIVOTDATA(" NetPrem",$A89)/GETPIVOTDATA(" CapDays",A89)</f>
        <v/>
      </c>
    </row>
    <row r="87">
      <c r="A87" t="inlineStr">
        <is>
          <t>Trade#</t>
        </is>
      </c>
      <c r="B87" s="5" t="n">
        <v>8</v>
      </c>
      <c r="K87" s="6" t="inlineStr">
        <is>
          <t>Break Even =</t>
        </is>
      </c>
      <c r="L87" s="6" t="n"/>
      <c r="M87" s="6" t="n"/>
      <c r="N87" s="54">
        <f>IF(GETPIVOTDATA(" Shares",A89)=0,"N/A",(GETPIVOTDATA(" BEcap",A89)-GETPIVOTDATA(" NetPrem",A89))/GETPIVOTDATA(" Shares",A89))</f>
        <v/>
      </c>
    </row>
    <row r="88">
      <c r="K88" s="6" t="inlineStr">
        <is>
          <t>Required Capital =</t>
        </is>
      </c>
      <c r="L88" s="6" t="n"/>
      <c r="M88" s="6" t="n"/>
      <c r="N88" s="54">
        <f>GETPIVOTDATA(" OpenCap",A89)</f>
        <v/>
      </c>
    </row>
    <row r="89">
      <c r="J89" s="28" t="inlineStr">
        <is>
          <t>Values</t>
        </is>
      </c>
    </row>
    <row r="90">
      <c r="A90" s="28" t="inlineStr">
        <is>
          <t>SYM</t>
        </is>
      </c>
      <c r="B90" s="28" t="inlineStr">
        <is>
          <t>Leg</t>
        </is>
      </c>
      <c r="C90" s="28" t="inlineStr">
        <is>
          <t>TransType</t>
        </is>
      </c>
      <c r="D90" s="28" t="inlineStr">
        <is>
          <t>Strike</t>
        </is>
      </c>
      <c r="E90" s="28" t="inlineStr">
        <is>
          <t>#Contracts</t>
        </is>
      </c>
      <c r="F90" s="28" t="inlineStr">
        <is>
          <t>OpenDate</t>
        </is>
      </c>
      <c r="G90" s="28" t="inlineStr">
        <is>
          <t>CloseDate</t>
        </is>
      </c>
      <c r="H90" s="28" t="inlineStr">
        <is>
          <t>ExpDate</t>
        </is>
      </c>
      <c r="I90" s="28" t="inlineStr">
        <is>
          <t>Days</t>
        </is>
      </c>
      <c r="J90" s="52" t="inlineStr">
        <is>
          <t xml:space="preserve"> NetPrem</t>
        </is>
      </c>
      <c r="K90" t="inlineStr">
        <is>
          <t xml:space="preserve"> CapDays</t>
        </is>
      </c>
      <c r="L90" t="inlineStr">
        <is>
          <t xml:space="preserve"> OpenCap</t>
        </is>
      </c>
      <c r="M90" t="inlineStr">
        <is>
          <t xml:space="preserve"> BEcap</t>
        </is>
      </c>
      <c r="N90" t="inlineStr">
        <is>
          <t xml:space="preserve"> Shares</t>
        </is>
      </c>
      <c r="P90" s="1" t="n"/>
    </row>
    <row r="91">
      <c r="A91" t="inlineStr">
        <is>
          <t>Sold 10 AAL May 7 2021 22.0 Put @ 0.86</t>
        </is>
      </c>
      <c r="B91" t="n">
        <v>1</v>
      </c>
      <c r="C91" t="inlineStr">
        <is>
          <t>SP</t>
        </is>
      </c>
      <c r="D91" t="n">
        <v>22</v>
      </c>
      <c r="E91" t="n">
        <v>10</v>
      </c>
      <c r="F91" s="2" t="n">
        <v>44294</v>
      </c>
      <c r="G91" s="2" t="n">
        <v>44323</v>
      </c>
      <c r="H91" s="2" t="n">
        <v>44323</v>
      </c>
      <c r="I91" s="11" t="n">
        <v>29</v>
      </c>
      <c r="J91" s="52" t="n">
        <v>853.34</v>
      </c>
      <c r="K91" t="n">
        <v>638000</v>
      </c>
      <c r="L91" t="n">
        <v>0</v>
      </c>
      <c r="M91" t="n">
        <v>0</v>
      </c>
      <c r="N91" t="n">
        <v>0</v>
      </c>
    </row>
    <row r="92">
      <c r="A92" t="inlineStr">
        <is>
          <t>Bought 10 AAL May 7 2021 22.0 Put @ 0.61</t>
        </is>
      </c>
      <c r="B92" t="n">
        <v>2</v>
      </c>
      <c r="C92" t="inlineStr">
        <is>
          <t>SP</t>
        </is>
      </c>
      <c r="D92" t="n">
        <v>22</v>
      </c>
      <c r="E92" t="n">
        <v>10</v>
      </c>
      <c r="F92" s="2" t="n">
        <v>44323</v>
      </c>
      <c r="G92" s="2" t="n">
        <v>44323</v>
      </c>
      <c r="H92" s="2" t="n">
        <v>44323</v>
      </c>
      <c r="I92" s="11" t="n">
        <v>1</v>
      </c>
      <c r="J92" s="52" t="n">
        <v>-616.64</v>
      </c>
      <c r="K92" t="n">
        <v>22000</v>
      </c>
      <c r="L92" t="n">
        <v>0</v>
      </c>
      <c r="M92" t="n">
        <v>0</v>
      </c>
      <c r="N92" t="n">
        <v>0</v>
      </c>
    </row>
    <row r="93">
      <c r="A93" t="inlineStr">
        <is>
          <t>Sold 10 AAL May 28 2021 21.5 Put @ 0.98</t>
        </is>
      </c>
      <c r="B93" t="n">
        <v>3</v>
      </c>
      <c r="C93" t="inlineStr">
        <is>
          <t>SP</t>
        </is>
      </c>
      <c r="D93" t="n">
        <v>21.5</v>
      </c>
      <c r="E93" t="n">
        <v>10</v>
      </c>
      <c r="F93" s="2" t="n">
        <v>44323</v>
      </c>
      <c r="G93" s="2" t="n">
        <v>44323</v>
      </c>
      <c r="H93" s="2" t="n">
        <v>44344</v>
      </c>
      <c r="I93" s="11" t="n">
        <v>1</v>
      </c>
      <c r="J93" s="52" t="n">
        <v>973.34</v>
      </c>
      <c r="K93" t="n">
        <v>21500</v>
      </c>
      <c r="L93" t="n">
        <v>0</v>
      </c>
      <c r="M93" t="n">
        <v>0</v>
      </c>
      <c r="N93" t="n">
        <v>0</v>
      </c>
    </row>
    <row r="94">
      <c r="A94" t="inlineStr">
        <is>
          <t>Bought 10 AAL May 28 2021 21.5 Put @ 0.74</t>
        </is>
      </c>
      <c r="B94" t="n">
        <v>4</v>
      </c>
      <c r="C94" t="inlineStr">
        <is>
          <t>SP</t>
        </is>
      </c>
      <c r="D94" t="n">
        <v>21.5</v>
      </c>
      <c r="E94" t="n">
        <v>10</v>
      </c>
      <c r="F94" s="2" t="n">
        <v>44323</v>
      </c>
      <c r="G94" s="2" t="n">
        <v>44323</v>
      </c>
      <c r="H94" s="2" t="n">
        <v>44344</v>
      </c>
      <c r="I94" s="11" t="n">
        <v>1</v>
      </c>
      <c r="J94" s="52" t="n">
        <v>-746.64</v>
      </c>
      <c r="K94" t="n">
        <v>21500</v>
      </c>
      <c r="L94" t="n">
        <v>0</v>
      </c>
      <c r="M94" t="n">
        <v>0</v>
      </c>
      <c r="N94" t="n">
        <v>0</v>
      </c>
    </row>
    <row r="95">
      <c r="A95" t="inlineStr">
        <is>
          <t>Grand Total</t>
        </is>
      </c>
      <c r="J95" s="52" t="n">
        <v>463.4</v>
      </c>
      <c r="K95" t="n">
        <v>703000</v>
      </c>
      <c r="L95" t="n">
        <v>0</v>
      </c>
      <c r="M95" t="n">
        <v>0</v>
      </c>
      <c r="N95" t="n">
        <v>0</v>
      </c>
    </row>
    <row customHeight="1" ht="16.5" r="96" s="69"/>
    <row r="98">
      <c r="K98" s="6" t="inlineStr">
        <is>
          <t>Annualized ROI =</t>
        </is>
      </c>
      <c r="L98" s="6" t="n"/>
      <c r="M98" s="6" t="n"/>
      <c r="N98" s="7">
        <f>365*GETPIVOTDATA(" NetPrem",$A101)/GETPIVOTDATA(" CapDays",A101)</f>
        <v/>
      </c>
    </row>
    <row r="99">
      <c r="A99" t="inlineStr">
        <is>
          <t>Trade#</t>
        </is>
      </c>
      <c r="B99" s="5" t="n">
        <v>9</v>
      </c>
      <c r="K99" s="6" t="inlineStr">
        <is>
          <t>Break Even =</t>
        </is>
      </c>
      <c r="L99" s="6" t="n"/>
      <c r="M99" s="6" t="n"/>
      <c r="N99" s="54">
        <f>IF(GETPIVOTDATA(" Shares",A101)=0,"N/A",(GETPIVOTDATA(" BEcap",A101)-GETPIVOTDATA(" NetPrem",A101))/GETPIVOTDATA(" Shares",A101))</f>
        <v/>
      </c>
    </row>
    <row r="100">
      <c r="K100" s="6" t="inlineStr">
        <is>
          <t>Required Capital =</t>
        </is>
      </c>
      <c r="L100" s="6" t="n"/>
      <c r="M100" s="6" t="n"/>
      <c r="N100" s="54">
        <f>GETPIVOTDATA(" OpenCap",A101)</f>
        <v/>
      </c>
    </row>
    <row r="101">
      <c r="J101" s="28" t="inlineStr">
        <is>
          <t>Values</t>
        </is>
      </c>
    </row>
    <row r="102">
      <c r="A102" s="28" t="inlineStr">
        <is>
          <t>SYM</t>
        </is>
      </c>
      <c r="B102" s="28" t="inlineStr">
        <is>
          <t>Leg</t>
        </is>
      </c>
      <c r="C102" s="28" t="inlineStr">
        <is>
          <t>TransType</t>
        </is>
      </c>
      <c r="D102" s="28" t="inlineStr">
        <is>
          <t>Strike</t>
        </is>
      </c>
      <c r="E102" s="28" t="inlineStr">
        <is>
          <t>#Contracts</t>
        </is>
      </c>
      <c r="F102" s="28" t="inlineStr">
        <is>
          <t>OpenDate</t>
        </is>
      </c>
      <c r="G102" s="28" t="inlineStr">
        <is>
          <t>CloseDate</t>
        </is>
      </c>
      <c r="H102" s="28" t="inlineStr">
        <is>
          <t>ExpDate</t>
        </is>
      </c>
      <c r="I102" s="28" t="inlineStr">
        <is>
          <t>Days</t>
        </is>
      </c>
      <c r="J102" s="52" t="inlineStr">
        <is>
          <t xml:space="preserve"> NetPrem</t>
        </is>
      </c>
      <c r="K102" t="inlineStr">
        <is>
          <t xml:space="preserve"> CapDays</t>
        </is>
      </c>
      <c r="L102" t="inlineStr">
        <is>
          <t xml:space="preserve"> OpenCap</t>
        </is>
      </c>
      <c r="M102" t="inlineStr">
        <is>
          <t xml:space="preserve"> BEcap</t>
        </is>
      </c>
      <c r="N102" t="inlineStr">
        <is>
          <t xml:space="preserve"> Shares</t>
        </is>
      </c>
      <c r="P102" s="1" t="n"/>
    </row>
    <row r="103">
      <c r="A103" t="inlineStr">
        <is>
          <t>Sold 10 CCL May 7 2021 25.0 Put @ 0.44</t>
        </is>
      </c>
      <c r="B103" t="n">
        <v>1</v>
      </c>
      <c r="C103" t="inlineStr">
        <is>
          <t>SP</t>
        </is>
      </c>
      <c r="D103" t="n">
        <v>25</v>
      </c>
      <c r="E103" t="n">
        <v>10</v>
      </c>
      <c r="F103" s="2" t="n">
        <v>44294</v>
      </c>
      <c r="G103" s="2" t="n">
        <v>44322</v>
      </c>
      <c r="H103" s="2" t="n">
        <v>44323</v>
      </c>
      <c r="I103" s="11" t="n">
        <v>28</v>
      </c>
      <c r="J103" s="52" t="n">
        <v>433.34</v>
      </c>
      <c r="K103" t="n">
        <v>700000</v>
      </c>
      <c r="L103" t="n">
        <v>0</v>
      </c>
      <c r="M103" t="n">
        <v>0</v>
      </c>
      <c r="N103" t="n">
        <v>0</v>
      </c>
    </row>
    <row r="104">
      <c r="A104" t="inlineStr">
        <is>
          <t>Bought 10 CCL May 07 2021 25.0 Put @ 0.04</t>
        </is>
      </c>
      <c r="B104" t="n">
        <v>2</v>
      </c>
      <c r="C104" t="inlineStr">
        <is>
          <t>SP</t>
        </is>
      </c>
      <c r="D104" t="n">
        <v>25</v>
      </c>
      <c r="E104" t="n">
        <v>10</v>
      </c>
      <c r="F104" s="2" t="n">
        <v>44319</v>
      </c>
      <c r="G104" s="2" t="n">
        <v>44322</v>
      </c>
      <c r="H104" s="2" t="n">
        <v>44323</v>
      </c>
      <c r="I104" s="11" t="n">
        <v>3</v>
      </c>
      <c r="J104" s="52" t="n">
        <v>-40.14</v>
      </c>
      <c r="K104" t="n">
        <v>75000</v>
      </c>
      <c r="L104" t="n">
        <v>0</v>
      </c>
      <c r="M104" t="n">
        <v>0</v>
      </c>
      <c r="N104" t="n">
        <v>0</v>
      </c>
    </row>
    <row r="105">
      <c r="A105" t="inlineStr">
        <is>
          <t>Grand Total</t>
        </is>
      </c>
      <c r="J105" s="52" t="n">
        <v>393.2</v>
      </c>
      <c r="K105" t="n">
        <v>775000</v>
      </c>
      <c r="L105" t="n">
        <v>0</v>
      </c>
      <c r="M105" t="n">
        <v>0</v>
      </c>
      <c r="N105" t="n">
        <v>0</v>
      </c>
    </row>
    <row r="110">
      <c r="K110" s="6" t="inlineStr">
        <is>
          <t>Annualized ROI =</t>
        </is>
      </c>
      <c r="L110" s="6" t="n"/>
      <c r="M110" s="6" t="n"/>
      <c r="N110" s="7">
        <f>365*GETPIVOTDATA(" NetPrem",$A113)/GETPIVOTDATA(" CapDays",A113)</f>
        <v/>
      </c>
    </row>
    <row r="111">
      <c r="A111" t="inlineStr">
        <is>
          <t>Trade#</t>
        </is>
      </c>
      <c r="B111" s="5" t="n">
        <v>10</v>
      </c>
      <c r="K111" s="6" t="inlineStr">
        <is>
          <t>Break Even =</t>
        </is>
      </c>
      <c r="L111" s="6" t="n"/>
      <c r="M111" s="6" t="n"/>
      <c r="N111" s="54">
        <f>IF(GETPIVOTDATA(" Shares",A113)=0,"N/A",(GETPIVOTDATA(" BEcap",A113)-GETPIVOTDATA(" NetPrem",A113))/GETPIVOTDATA(" Shares",A113))</f>
        <v/>
      </c>
    </row>
    <row r="112">
      <c r="K112" s="6" t="inlineStr">
        <is>
          <t>Required Capital =</t>
        </is>
      </c>
      <c r="L112" s="6" t="n"/>
      <c r="M112" s="6" t="n"/>
      <c r="N112" s="54">
        <f>GETPIVOTDATA(" OpenCap",A113)</f>
        <v/>
      </c>
    </row>
    <row r="113">
      <c r="J113" s="28" t="inlineStr">
        <is>
          <t>Values</t>
        </is>
      </c>
    </row>
    <row r="114">
      <c r="A114" s="28" t="inlineStr">
        <is>
          <t>SYM</t>
        </is>
      </c>
      <c r="B114" s="28" t="inlineStr">
        <is>
          <t>Leg</t>
        </is>
      </c>
      <c r="C114" s="28" t="inlineStr">
        <is>
          <t>TransType</t>
        </is>
      </c>
      <c r="D114" s="28" t="inlineStr">
        <is>
          <t>Strike</t>
        </is>
      </c>
      <c r="E114" s="28" t="inlineStr">
        <is>
          <t>#Contracts</t>
        </is>
      </c>
      <c r="F114" s="28" t="inlineStr">
        <is>
          <t>OpenDate</t>
        </is>
      </c>
      <c r="G114" s="28" t="inlineStr">
        <is>
          <t>CloseDate</t>
        </is>
      </c>
      <c r="H114" s="28" t="inlineStr">
        <is>
          <t>ExpDate</t>
        </is>
      </c>
      <c r="I114" s="28" t="inlineStr">
        <is>
          <t>Days</t>
        </is>
      </c>
      <c r="J114" s="52" t="inlineStr">
        <is>
          <t xml:space="preserve"> NetPrem</t>
        </is>
      </c>
      <c r="K114" t="inlineStr">
        <is>
          <t xml:space="preserve"> CapDays</t>
        </is>
      </c>
      <c r="L114" t="inlineStr">
        <is>
          <t xml:space="preserve"> OpenCap</t>
        </is>
      </c>
      <c r="M114" t="inlineStr">
        <is>
          <t xml:space="preserve"> BEcap</t>
        </is>
      </c>
      <c r="N114" t="inlineStr">
        <is>
          <t xml:space="preserve"> Shares</t>
        </is>
      </c>
    </row>
    <row r="115">
      <c r="A115" t="inlineStr">
        <is>
          <t>Sold 3 GE Apr 30 2021 13.0 Put @ 0.35</t>
        </is>
      </c>
      <c r="B115" t="n">
        <v>1</v>
      </c>
      <c r="C115" t="inlineStr">
        <is>
          <t>SP</t>
        </is>
      </c>
      <c r="D115" t="n">
        <v>13</v>
      </c>
      <c r="E115" t="n">
        <v>3</v>
      </c>
      <c r="F115" s="2" t="n">
        <v>44295</v>
      </c>
      <c r="G115" s="2" t="n">
        <v>44313</v>
      </c>
      <c r="H115" s="2" t="n">
        <v>44316</v>
      </c>
      <c r="I115" s="11" t="n">
        <v>18</v>
      </c>
      <c r="J115" s="52" t="n">
        <v>103</v>
      </c>
      <c r="K115" t="n">
        <v>70200</v>
      </c>
      <c r="L115" t="n">
        <v>0</v>
      </c>
      <c r="M115" t="n">
        <v>0</v>
      </c>
      <c r="N115" t="n">
        <v>0</v>
      </c>
    </row>
    <row r="116">
      <c r="A116" t="inlineStr">
        <is>
          <t>Bought 2 GE Apr 30 2021 13.0 Put @ 0.09</t>
        </is>
      </c>
      <c r="B116" t="n">
        <v>2</v>
      </c>
      <c r="C116" t="inlineStr">
        <is>
          <t>SP</t>
        </is>
      </c>
      <c r="D116" t="n">
        <v>13</v>
      </c>
      <c r="E116" t="n">
        <v>2</v>
      </c>
      <c r="F116" s="2" t="n">
        <v>44313</v>
      </c>
      <c r="G116" s="2" t="n">
        <v>44313</v>
      </c>
      <c r="H116" s="2" t="n">
        <v>44316</v>
      </c>
      <c r="I116" s="11" t="n">
        <v>1</v>
      </c>
      <c r="J116" s="52" t="n">
        <v>-19.33</v>
      </c>
      <c r="K116" t="n">
        <v>2600</v>
      </c>
      <c r="L116" t="n">
        <v>0</v>
      </c>
      <c r="M116" t="n">
        <v>0</v>
      </c>
      <c r="N116" t="n">
        <v>0</v>
      </c>
    </row>
    <row r="117">
      <c r="A117" t="inlineStr">
        <is>
          <t>Bought 1 GE Apr 30 2021 13.0 Put @ 0.09</t>
        </is>
      </c>
      <c r="B117" t="n">
        <v>3</v>
      </c>
      <c r="C117" t="inlineStr">
        <is>
          <t>SP</t>
        </is>
      </c>
      <c r="D117" t="n">
        <v>13</v>
      </c>
      <c r="E117" t="n">
        <v>1</v>
      </c>
      <c r="F117" s="2" t="n">
        <v>44313</v>
      </c>
      <c r="G117" s="2" t="n">
        <v>44313</v>
      </c>
      <c r="H117" s="2" t="n">
        <v>44316</v>
      </c>
      <c r="I117" s="11" t="n">
        <v>1</v>
      </c>
      <c r="J117" s="52" t="n">
        <v>-9.66</v>
      </c>
      <c r="K117" t="n">
        <v>1300</v>
      </c>
      <c r="L117" t="n">
        <v>0</v>
      </c>
      <c r="M117" t="n">
        <v>0</v>
      </c>
      <c r="N117" t="n">
        <v>0</v>
      </c>
    </row>
    <row r="118">
      <c r="A118" t="inlineStr">
        <is>
          <t>Grand Total</t>
        </is>
      </c>
      <c r="J118" s="52" t="n">
        <v>74.01000000000001</v>
      </c>
      <c r="K118" t="n">
        <v>74100</v>
      </c>
      <c r="L118" t="n">
        <v>0</v>
      </c>
      <c r="M118" t="n">
        <v>0</v>
      </c>
      <c r="N118" t="n">
        <v>0</v>
      </c>
    </row>
    <row r="120">
      <c r="K120" s="6" t="inlineStr">
        <is>
          <t>Annualized ROI =</t>
        </is>
      </c>
      <c r="L120" s="6" t="n"/>
      <c r="M120" s="6" t="n"/>
      <c r="N120" s="7">
        <f>365*GETPIVOTDATA(" NetPrem",$A123)/GETPIVOTDATA(" CapDays",A123)</f>
        <v/>
      </c>
    </row>
    <row r="121">
      <c r="A121" t="inlineStr">
        <is>
          <t>Trade#</t>
        </is>
      </c>
      <c r="B121" s="5" t="n">
        <v>11</v>
      </c>
      <c r="K121" s="6" t="inlineStr">
        <is>
          <t>Break Even =</t>
        </is>
      </c>
      <c r="L121" s="6" t="n"/>
      <c r="M121" s="6" t="n"/>
      <c r="N121" s="54">
        <f>IF(GETPIVOTDATA(" Shares",A123)=0,"N/A",(GETPIVOTDATA(" BEcap",A123)-GETPIVOTDATA(" NetPrem",A123))/GETPIVOTDATA(" Shares",A123))</f>
        <v/>
      </c>
    </row>
    <row r="122">
      <c r="K122" s="6" t="inlineStr">
        <is>
          <t>Required Capital =</t>
        </is>
      </c>
      <c r="L122" s="6" t="n"/>
      <c r="M122" s="6" t="n"/>
      <c r="N122" s="54">
        <f>GETPIVOTDATA(" OpenCap",A123)</f>
        <v/>
      </c>
    </row>
    <row r="123">
      <c r="J123" s="28" t="inlineStr">
        <is>
          <t>Values</t>
        </is>
      </c>
    </row>
    <row r="124">
      <c r="A124" s="28" t="inlineStr">
        <is>
          <t>SYM</t>
        </is>
      </c>
      <c r="B124" s="28" t="inlineStr">
        <is>
          <t>Leg</t>
        </is>
      </c>
      <c r="C124" s="28" t="inlineStr">
        <is>
          <t>TransType</t>
        </is>
      </c>
      <c r="D124" s="28" t="inlineStr">
        <is>
          <t>Strike</t>
        </is>
      </c>
      <c r="E124" s="28" t="inlineStr">
        <is>
          <t>#Contracts</t>
        </is>
      </c>
      <c r="F124" s="28" t="inlineStr">
        <is>
          <t>OpenDate</t>
        </is>
      </c>
      <c r="G124" s="28" t="inlineStr">
        <is>
          <t>CloseDate</t>
        </is>
      </c>
      <c r="H124" s="28" t="inlineStr">
        <is>
          <t>ExpDate</t>
        </is>
      </c>
      <c r="I124" s="28" t="inlineStr">
        <is>
          <t>Days</t>
        </is>
      </c>
      <c r="J124" s="52" t="inlineStr">
        <is>
          <t xml:space="preserve"> NetPrem</t>
        </is>
      </c>
      <c r="K124" t="inlineStr">
        <is>
          <t xml:space="preserve"> CapDays</t>
        </is>
      </c>
      <c r="L124" t="inlineStr">
        <is>
          <t xml:space="preserve"> OpenCap</t>
        </is>
      </c>
      <c r="M124" t="inlineStr">
        <is>
          <t xml:space="preserve"> BEcap</t>
        </is>
      </c>
      <c r="N124" t="inlineStr">
        <is>
          <t xml:space="preserve"> Shares</t>
        </is>
      </c>
    </row>
    <row r="125">
      <c r="A125" t="inlineStr">
        <is>
          <t>Sold 4 CPB May 21 2021 48.0 Put @ 0.6</t>
        </is>
      </c>
      <c r="B125" t="n">
        <v>1</v>
      </c>
      <c r="C125" t="inlineStr">
        <is>
          <t>SP</t>
        </is>
      </c>
      <c r="D125" t="n">
        <v>48</v>
      </c>
      <c r="E125" t="n">
        <v>4</v>
      </c>
      <c r="F125" s="2" t="n">
        <v>44305</v>
      </c>
      <c r="G125" s="2" t="n">
        <v>44330</v>
      </c>
      <c r="H125" s="2" t="n">
        <v>44337</v>
      </c>
      <c r="I125" s="11" t="n">
        <v>25</v>
      </c>
      <c r="J125" s="52" t="n">
        <v>237.33</v>
      </c>
      <c r="K125" t="n">
        <v>480000</v>
      </c>
      <c r="L125" t="n">
        <v>0</v>
      </c>
      <c r="M125" t="n">
        <v>0</v>
      </c>
      <c r="N125" t="n">
        <v>0</v>
      </c>
    </row>
    <row r="126">
      <c r="A126" t="inlineStr">
        <is>
          <t>Bought 4 CPB May 21 2021 48.0 Put @ 0.15</t>
        </is>
      </c>
      <c r="B126" t="n">
        <v>2</v>
      </c>
      <c r="C126" t="inlineStr">
        <is>
          <t>SP</t>
        </is>
      </c>
      <c r="D126" t="n">
        <v>48</v>
      </c>
      <c r="E126" t="n">
        <v>4</v>
      </c>
      <c r="F126" s="2" t="n">
        <v>44330</v>
      </c>
      <c r="G126" s="2" t="n">
        <v>44330</v>
      </c>
      <c r="H126" s="2" t="n">
        <v>44337</v>
      </c>
      <c r="I126" s="11" t="n">
        <v>1</v>
      </c>
      <c r="J126" s="52" t="n">
        <v>-62.66</v>
      </c>
      <c r="K126" t="n">
        <v>19200</v>
      </c>
      <c r="L126" t="n">
        <v>0</v>
      </c>
      <c r="M126" t="n">
        <v>0</v>
      </c>
      <c r="N126" t="n">
        <v>0</v>
      </c>
    </row>
    <row r="127">
      <c r="A127" t="inlineStr">
        <is>
          <t>Grand Total</t>
        </is>
      </c>
      <c r="J127" s="52" t="n">
        <v>174.67</v>
      </c>
      <c r="K127" t="n">
        <v>499200</v>
      </c>
      <c r="L127" t="n">
        <v>0</v>
      </c>
      <c r="M127" t="n">
        <v>0</v>
      </c>
      <c r="N127" t="n">
        <v>0</v>
      </c>
    </row>
    <row r="132">
      <c r="K132" s="6" t="inlineStr">
        <is>
          <t>Annualized ROI =</t>
        </is>
      </c>
      <c r="L132" s="6" t="n"/>
      <c r="M132" s="6" t="n"/>
      <c r="N132" s="7">
        <f>365*GETPIVOTDATA(" NetPrem",$A135)/GETPIVOTDATA(" CapDays",A135)</f>
        <v/>
      </c>
    </row>
    <row r="133">
      <c r="A133" t="inlineStr">
        <is>
          <t>Trade#</t>
        </is>
      </c>
      <c r="B133" s="5" t="n">
        <v>12</v>
      </c>
      <c r="K133" s="6" t="inlineStr">
        <is>
          <t>Break Even =</t>
        </is>
      </c>
      <c r="L133" s="6" t="n"/>
      <c r="M133" s="6" t="n"/>
      <c r="N133" s="54">
        <f>IF(GETPIVOTDATA(" Shares",A135)=0,"N/A",(GETPIVOTDATA(" BEcap",A135)-GETPIVOTDATA(" NetPrem",A135))/GETPIVOTDATA(" Shares",A135))</f>
        <v/>
      </c>
    </row>
    <row r="134">
      <c r="K134" s="6" t="inlineStr">
        <is>
          <t>Required Capital =</t>
        </is>
      </c>
      <c r="L134" s="6" t="n"/>
      <c r="M134" s="6" t="n"/>
      <c r="N134" s="54">
        <f>GETPIVOTDATA(" OpenCap",A135)</f>
        <v/>
      </c>
    </row>
    <row r="135">
      <c r="J135" s="28" t="inlineStr">
        <is>
          <t>Values</t>
        </is>
      </c>
    </row>
    <row r="136">
      <c r="A136" s="28" t="inlineStr">
        <is>
          <t>SYM</t>
        </is>
      </c>
      <c r="B136" s="28" t="inlineStr">
        <is>
          <t>Leg</t>
        </is>
      </c>
      <c r="C136" s="28" t="inlineStr">
        <is>
          <t>TransType</t>
        </is>
      </c>
      <c r="D136" s="28" t="inlineStr">
        <is>
          <t>Strike</t>
        </is>
      </c>
      <c r="E136" s="28" t="inlineStr">
        <is>
          <t>#Contracts</t>
        </is>
      </c>
      <c r="F136" s="28" t="inlineStr">
        <is>
          <t>OpenDate</t>
        </is>
      </c>
      <c r="G136" s="28" t="inlineStr">
        <is>
          <t>CloseDate</t>
        </is>
      </c>
      <c r="H136" s="28" t="inlineStr">
        <is>
          <t>ExpDate</t>
        </is>
      </c>
      <c r="I136" s="28" t="inlineStr">
        <is>
          <t>Days</t>
        </is>
      </c>
      <c r="J136" s="52" t="inlineStr">
        <is>
          <t xml:space="preserve"> NetPrem</t>
        </is>
      </c>
      <c r="K136" t="inlineStr">
        <is>
          <t xml:space="preserve"> CapDays</t>
        </is>
      </c>
      <c r="L136" t="inlineStr">
        <is>
          <t xml:space="preserve"> OpenCap</t>
        </is>
      </c>
      <c r="M136" t="inlineStr">
        <is>
          <t xml:space="preserve"> BEcap</t>
        </is>
      </c>
      <c r="N136" t="inlineStr">
        <is>
          <t xml:space="preserve"> Shares</t>
        </is>
      </c>
    </row>
    <row r="137">
      <c r="A137" t="inlineStr">
        <is>
          <t>Sold 3 GBX May 21 2021 40.0 Put @ 0.8</t>
        </is>
      </c>
      <c r="B137" t="n">
        <v>1</v>
      </c>
      <c r="C137" t="inlineStr">
        <is>
          <t>SP</t>
        </is>
      </c>
      <c r="D137" t="n">
        <v>40</v>
      </c>
      <c r="E137" t="n">
        <v>3</v>
      </c>
      <c r="F137" s="2" t="n">
        <v>44305</v>
      </c>
      <c r="G137" s="2" t="n">
        <v>44313</v>
      </c>
      <c r="H137" s="2" t="n">
        <v>44337</v>
      </c>
      <c r="I137" s="11" t="n">
        <v>8</v>
      </c>
      <c r="J137" s="52" t="n">
        <v>238</v>
      </c>
      <c r="K137" t="n">
        <v>96000</v>
      </c>
      <c r="L137" t="n">
        <v>0</v>
      </c>
      <c r="M137" t="n">
        <v>0</v>
      </c>
      <c r="N137" t="n">
        <v>0</v>
      </c>
    </row>
    <row r="138">
      <c r="A138" t="inlineStr">
        <is>
          <t>Bought 3 GBX May 21 2021 40.0 Put @ 0.22</t>
        </is>
      </c>
      <c r="B138" t="n">
        <v>2</v>
      </c>
      <c r="C138" t="inlineStr">
        <is>
          <t>SP</t>
        </is>
      </c>
      <c r="D138" t="n">
        <v>40</v>
      </c>
      <c r="E138" t="n">
        <v>3</v>
      </c>
      <c r="F138" s="2" t="n">
        <v>44313</v>
      </c>
      <c r="G138" s="2" t="n">
        <v>44313</v>
      </c>
      <c r="H138" s="2" t="n">
        <v>44337</v>
      </c>
      <c r="I138" s="11" t="n">
        <v>1</v>
      </c>
      <c r="J138" s="52" t="n">
        <v>-67.98999999999999</v>
      </c>
      <c r="K138" t="n">
        <v>12000</v>
      </c>
      <c r="L138" t="n">
        <v>0</v>
      </c>
      <c r="M138" t="n">
        <v>0</v>
      </c>
      <c r="N138" t="n">
        <v>0</v>
      </c>
    </row>
    <row r="139">
      <c r="A139" t="inlineStr">
        <is>
          <t>Grand Total</t>
        </is>
      </c>
      <c r="J139" s="52" t="n">
        <v>170.01</v>
      </c>
      <c r="K139" t="n">
        <v>108000</v>
      </c>
      <c r="L139" t="n">
        <v>0</v>
      </c>
      <c r="M139" t="n">
        <v>0</v>
      </c>
      <c r="N139" t="n">
        <v>0</v>
      </c>
    </row>
    <row r="141">
      <c r="K141" s="6" t="inlineStr">
        <is>
          <t>Annualized ROI =</t>
        </is>
      </c>
      <c r="L141" s="6" t="n"/>
      <c r="M141" s="6" t="n"/>
      <c r="N141" s="7">
        <f>365*GETPIVOTDATA(" NetPrem",$A144)/GETPIVOTDATA(" CapDays",A144)</f>
        <v/>
      </c>
    </row>
    <row r="142">
      <c r="A142" t="inlineStr">
        <is>
          <t>Trade#</t>
        </is>
      </c>
      <c r="B142" s="5" t="n">
        <v>13</v>
      </c>
      <c r="K142" s="6" t="inlineStr">
        <is>
          <t>Break Even =</t>
        </is>
      </c>
      <c r="L142" s="6" t="n"/>
      <c r="M142" s="6" t="n"/>
      <c r="N142" s="54">
        <f>IF(GETPIVOTDATA(" Shares",A144)=0,"N/A",(GETPIVOTDATA(" BEcap",A144)-GETPIVOTDATA(" NetPrem",A144))/GETPIVOTDATA(" Shares",A144))</f>
        <v/>
      </c>
    </row>
    <row r="143">
      <c r="K143" s="6" t="inlineStr">
        <is>
          <t>Required Capital =</t>
        </is>
      </c>
      <c r="L143" s="6" t="n"/>
      <c r="M143" s="6" t="n"/>
      <c r="N143" s="54">
        <f>GETPIVOTDATA(" OpenCap",A144)</f>
        <v/>
      </c>
    </row>
    <row r="144">
      <c r="J144" s="28" t="inlineStr">
        <is>
          <t>Values</t>
        </is>
      </c>
    </row>
    <row r="145">
      <c r="A145" s="28" t="inlineStr">
        <is>
          <t>SYM</t>
        </is>
      </c>
      <c r="B145" s="28" t="inlineStr">
        <is>
          <t>Leg</t>
        </is>
      </c>
      <c r="C145" s="28" t="inlineStr">
        <is>
          <t>TransType</t>
        </is>
      </c>
      <c r="D145" s="28" t="inlineStr">
        <is>
          <t>Strike</t>
        </is>
      </c>
      <c r="E145" s="28" t="inlineStr">
        <is>
          <t>#Contracts</t>
        </is>
      </c>
      <c r="F145" s="28" t="inlineStr">
        <is>
          <t>OpenDate</t>
        </is>
      </c>
      <c r="G145" s="28" t="inlineStr">
        <is>
          <t>CloseDate</t>
        </is>
      </c>
      <c r="H145" s="28" t="inlineStr">
        <is>
          <t>ExpDate</t>
        </is>
      </c>
      <c r="I145" s="28" t="inlineStr">
        <is>
          <t>Days</t>
        </is>
      </c>
      <c r="J145" s="52" t="inlineStr">
        <is>
          <t xml:space="preserve"> NetPrem</t>
        </is>
      </c>
      <c r="K145" t="inlineStr">
        <is>
          <t xml:space="preserve"> CapDays</t>
        </is>
      </c>
      <c r="L145" t="inlineStr">
        <is>
          <t xml:space="preserve"> OpenCap</t>
        </is>
      </c>
      <c r="M145" t="inlineStr">
        <is>
          <t xml:space="preserve"> BEcap</t>
        </is>
      </c>
      <c r="N145" t="inlineStr">
        <is>
          <t xml:space="preserve"> Shares</t>
        </is>
      </c>
    </row>
    <row r="146">
      <c r="A146" t="inlineStr">
        <is>
          <t>Sold 10 CCL May 21 2021 24.5 Put @ 0.37</t>
        </is>
      </c>
      <c r="B146" t="n">
        <v>1</v>
      </c>
      <c r="C146" t="inlineStr">
        <is>
          <t>SP</t>
        </is>
      </c>
      <c r="D146" t="n">
        <v>24.5</v>
      </c>
      <c r="E146" t="n">
        <v>10</v>
      </c>
      <c r="F146" s="2" t="n">
        <v>44308</v>
      </c>
      <c r="G146" s="2" t="n">
        <v>44330</v>
      </c>
      <c r="H146" s="2" t="n">
        <v>44337</v>
      </c>
      <c r="I146" s="11" t="n">
        <v>22</v>
      </c>
      <c r="J146" s="52" t="n">
        <v>363.34</v>
      </c>
      <c r="K146" t="n">
        <v>539000</v>
      </c>
      <c r="L146" t="n">
        <v>0</v>
      </c>
      <c r="M146" t="n">
        <v>0</v>
      </c>
      <c r="N146" t="n">
        <v>0</v>
      </c>
    </row>
    <row r="147">
      <c r="A147" t="inlineStr">
        <is>
          <t>Bought 10 CCL May 21 2021 24.5 Put @ 0.09</t>
        </is>
      </c>
      <c r="B147" t="n">
        <v>2</v>
      </c>
      <c r="C147" t="inlineStr">
        <is>
          <t>SP</t>
        </is>
      </c>
      <c r="D147" t="n">
        <v>24.5</v>
      </c>
      <c r="E147" t="n">
        <v>10</v>
      </c>
      <c r="F147" s="2" t="n">
        <v>44330</v>
      </c>
      <c r="G147" s="2" t="n">
        <v>44330</v>
      </c>
      <c r="H147" s="2" t="n">
        <v>44337</v>
      </c>
      <c r="I147" s="11" t="n">
        <v>1</v>
      </c>
      <c r="J147" s="52" t="n">
        <v>-96.64</v>
      </c>
      <c r="K147" t="n">
        <v>24500</v>
      </c>
      <c r="L147" t="n">
        <v>0</v>
      </c>
      <c r="M147" t="n">
        <v>0</v>
      </c>
      <c r="N147" t="n">
        <v>0</v>
      </c>
    </row>
    <row r="148">
      <c r="A148" t="inlineStr">
        <is>
          <t>Grand Total</t>
        </is>
      </c>
      <c r="J148" s="52" t="n">
        <v>266.7</v>
      </c>
      <c r="K148" t="n">
        <v>563500</v>
      </c>
      <c r="L148" t="n">
        <v>0</v>
      </c>
      <c r="M148" t="n">
        <v>0</v>
      </c>
      <c r="N148" t="n">
        <v>0</v>
      </c>
    </row>
    <row r="153">
      <c r="K153" s="6" t="inlineStr">
        <is>
          <t>Annualized ROI =</t>
        </is>
      </c>
      <c r="L153" s="6" t="n"/>
      <c r="M153" s="6" t="n"/>
      <c r="N153" s="7">
        <f>365*GETPIVOTDATA(" NetPrem",$A156)/GETPIVOTDATA(" CapDays",A156)</f>
        <v/>
      </c>
    </row>
    <row r="154">
      <c r="A154" t="inlineStr">
        <is>
          <t>Trade#</t>
        </is>
      </c>
      <c r="B154" s="5" t="n">
        <v>14</v>
      </c>
      <c r="K154" s="6" t="inlineStr">
        <is>
          <t>Break Even =</t>
        </is>
      </c>
      <c r="L154" s="6" t="n"/>
      <c r="M154" s="6" t="n"/>
      <c r="N154" s="54">
        <f>IF(GETPIVOTDATA(" Shares",A156)=0,"N/A",(GETPIVOTDATA(" BEcap",A156)-GETPIVOTDATA(" NetPrem",A156))/GETPIVOTDATA(" Shares",A156))</f>
        <v/>
      </c>
    </row>
    <row r="155">
      <c r="K155" s="6" t="inlineStr">
        <is>
          <t>Required Capital =</t>
        </is>
      </c>
      <c r="L155" s="6" t="n"/>
      <c r="M155" s="6" t="n"/>
      <c r="N155" s="54">
        <f>GETPIVOTDATA(" OpenCap",A156)</f>
        <v/>
      </c>
    </row>
    <row r="156">
      <c r="J156" s="28" t="inlineStr">
        <is>
          <t>Values</t>
        </is>
      </c>
    </row>
    <row r="157">
      <c r="A157" s="28" t="inlineStr">
        <is>
          <t>SYM</t>
        </is>
      </c>
      <c r="B157" s="28" t="inlineStr">
        <is>
          <t>Leg</t>
        </is>
      </c>
      <c r="C157" s="28" t="inlineStr">
        <is>
          <t>TransType</t>
        </is>
      </c>
      <c r="D157" s="28" t="inlineStr">
        <is>
          <t>Strike</t>
        </is>
      </c>
      <c r="E157" s="28" t="inlineStr">
        <is>
          <t>#Contracts</t>
        </is>
      </c>
      <c r="F157" s="28" t="inlineStr">
        <is>
          <t>OpenDate</t>
        </is>
      </c>
      <c r="G157" s="28" t="inlineStr">
        <is>
          <t>CloseDate</t>
        </is>
      </c>
      <c r="H157" s="28" t="inlineStr">
        <is>
          <t>ExpDate</t>
        </is>
      </c>
      <c r="I157" s="28" t="inlineStr">
        <is>
          <t>Days</t>
        </is>
      </c>
      <c r="J157" s="52" t="inlineStr">
        <is>
          <t xml:space="preserve"> NetPrem</t>
        </is>
      </c>
      <c r="K157" t="inlineStr">
        <is>
          <t xml:space="preserve"> CapDays</t>
        </is>
      </c>
      <c r="L157" t="inlineStr">
        <is>
          <t xml:space="preserve"> OpenCap</t>
        </is>
      </c>
      <c r="M157" t="inlineStr">
        <is>
          <t xml:space="preserve"> BEcap</t>
        </is>
      </c>
      <c r="N157" t="inlineStr">
        <is>
          <t xml:space="preserve"> Shares</t>
        </is>
      </c>
    </row>
    <row r="158">
      <c r="A158" t="inlineStr">
        <is>
          <t>Sold 3 BIG May 21 2021 62.5 Put @ 1.29</t>
        </is>
      </c>
      <c r="B158" t="n">
        <v>1</v>
      </c>
      <c r="C158" t="inlineStr">
        <is>
          <t>SP</t>
        </is>
      </c>
      <c r="D158" t="n">
        <v>62.5</v>
      </c>
      <c r="E158" t="n">
        <v>3</v>
      </c>
      <c r="F158" s="2" t="n">
        <v>44312</v>
      </c>
      <c r="G158" s="2" t="n">
        <v>44322</v>
      </c>
      <c r="H158" s="2" t="n">
        <v>44337</v>
      </c>
      <c r="I158" s="11" t="n">
        <v>10</v>
      </c>
      <c r="J158" s="52" t="n">
        <v>385</v>
      </c>
      <c r="K158" t="n">
        <v>187500</v>
      </c>
      <c r="L158" t="n">
        <v>0</v>
      </c>
      <c r="M158" t="n">
        <v>0</v>
      </c>
      <c r="N158" t="n">
        <v>0</v>
      </c>
    </row>
    <row r="159">
      <c r="A159" t="inlineStr">
        <is>
          <t>Bought 2 BIG May 21 2021 62.5 Put @ 0.32</t>
        </is>
      </c>
      <c r="B159" t="n">
        <v>2</v>
      </c>
      <c r="C159" t="inlineStr">
        <is>
          <t>SP</t>
        </is>
      </c>
      <c r="D159" t="n">
        <v>62.5</v>
      </c>
      <c r="E159" t="n">
        <v>2</v>
      </c>
      <c r="F159" s="2" t="n">
        <v>44322</v>
      </c>
      <c r="G159" s="2" t="n">
        <v>44322</v>
      </c>
      <c r="H159" s="2" t="n">
        <v>44337</v>
      </c>
      <c r="I159" s="11" t="n">
        <v>1</v>
      </c>
      <c r="J159" s="52" t="n">
        <v>-65.33</v>
      </c>
      <c r="K159" t="n">
        <v>12500</v>
      </c>
      <c r="L159" t="n">
        <v>0</v>
      </c>
      <c r="M159" t="n">
        <v>0</v>
      </c>
      <c r="N159" t="n">
        <v>0</v>
      </c>
    </row>
    <row r="160">
      <c r="A160" t="inlineStr">
        <is>
          <t>Bought 1 BIG May 21 2021 62.5 Put @ 0.32</t>
        </is>
      </c>
      <c r="B160" t="n">
        <v>3</v>
      </c>
      <c r="C160" t="inlineStr">
        <is>
          <t>SP</t>
        </is>
      </c>
      <c r="D160" t="n">
        <v>62.5</v>
      </c>
      <c r="E160" t="n">
        <v>1</v>
      </c>
      <c r="F160" s="2" t="n">
        <v>44322</v>
      </c>
      <c r="G160" s="2" t="n">
        <v>44322</v>
      </c>
      <c r="H160" s="2" t="n">
        <v>44337</v>
      </c>
      <c r="I160" s="11" t="n">
        <v>1</v>
      </c>
      <c r="J160" s="52" t="n">
        <v>-32.66</v>
      </c>
      <c r="K160" t="n">
        <v>6250</v>
      </c>
      <c r="L160" t="n">
        <v>0</v>
      </c>
      <c r="M160" t="n">
        <v>0</v>
      </c>
      <c r="N160" t="n">
        <v>0</v>
      </c>
    </row>
    <row r="161">
      <c r="A161" t="inlineStr">
        <is>
          <t>Grand Total</t>
        </is>
      </c>
      <c r="J161" s="52" t="n">
        <v>287.01</v>
      </c>
      <c r="K161" t="n">
        <v>206250</v>
      </c>
      <c r="L161" t="n">
        <v>0</v>
      </c>
      <c r="M161" t="n">
        <v>0</v>
      </c>
      <c r="N161" t="n">
        <v>0</v>
      </c>
    </row>
    <row r="165">
      <c r="K165" s="6" t="inlineStr">
        <is>
          <t>Annualized ROI =</t>
        </is>
      </c>
      <c r="L165" s="6" t="n"/>
      <c r="M165" s="6" t="n"/>
      <c r="N165" s="7">
        <f>365*GETPIVOTDATA(" NetPrem",$A168)/GETPIVOTDATA(" CapDays",A168)</f>
        <v/>
      </c>
    </row>
    <row r="166">
      <c r="A166" t="inlineStr">
        <is>
          <t>Trade#</t>
        </is>
      </c>
      <c r="B166" s="5" t="n">
        <v>15</v>
      </c>
      <c r="K166" s="6" t="inlineStr">
        <is>
          <t>Break Even =</t>
        </is>
      </c>
      <c r="L166" s="6" t="n"/>
      <c r="M166" s="6" t="n"/>
      <c r="N166" s="54">
        <f>IF(GETPIVOTDATA(" Shares",A168)=0,"N/A",(GETPIVOTDATA(" BEcap",A168)-GETPIVOTDATA(" NetPrem",A168))/GETPIVOTDATA(" Shares",A168))</f>
        <v/>
      </c>
    </row>
    <row r="167">
      <c r="K167" s="6" t="inlineStr">
        <is>
          <t>Required Capital =</t>
        </is>
      </c>
      <c r="L167" s="6" t="n"/>
      <c r="M167" s="6" t="n"/>
      <c r="N167" s="54">
        <f>GETPIVOTDATA(" OpenCap",A168)</f>
        <v/>
      </c>
    </row>
    <row r="168">
      <c r="J168" s="28" t="inlineStr">
        <is>
          <t>Values</t>
        </is>
      </c>
    </row>
    <row r="169">
      <c r="A169" s="28" t="inlineStr">
        <is>
          <t>SYM</t>
        </is>
      </c>
      <c r="B169" s="28" t="inlineStr">
        <is>
          <t>Leg</t>
        </is>
      </c>
      <c r="C169" s="28" t="inlineStr">
        <is>
          <t>TransType</t>
        </is>
      </c>
      <c r="D169" s="28" t="inlineStr">
        <is>
          <t>Strike</t>
        </is>
      </c>
      <c r="E169" s="28" t="inlineStr">
        <is>
          <t>#Contracts</t>
        </is>
      </c>
      <c r="F169" s="28" t="inlineStr">
        <is>
          <t>OpenDate</t>
        </is>
      </c>
      <c r="G169" s="28" t="inlineStr">
        <is>
          <t>CloseDate</t>
        </is>
      </c>
      <c r="H169" s="28" t="inlineStr">
        <is>
          <t>ExpDate</t>
        </is>
      </c>
      <c r="I169" s="28" t="inlineStr">
        <is>
          <t>Days</t>
        </is>
      </c>
      <c r="J169" s="52" t="inlineStr">
        <is>
          <t xml:space="preserve"> NetPrem</t>
        </is>
      </c>
      <c r="K169" t="inlineStr">
        <is>
          <t xml:space="preserve"> CapDays</t>
        </is>
      </c>
      <c r="L169" t="inlineStr">
        <is>
          <t xml:space="preserve"> OpenCap</t>
        </is>
      </c>
      <c r="M169" t="inlineStr">
        <is>
          <t xml:space="preserve"> BEcap</t>
        </is>
      </c>
      <c r="N169" t="inlineStr">
        <is>
          <t xml:space="preserve"> Shares</t>
        </is>
      </c>
    </row>
    <row r="170">
      <c r="A170" t="inlineStr">
        <is>
          <t>Sold 6 BBBY May 14 2021 23.5 Put @ 0.52</t>
        </is>
      </c>
      <c r="B170" t="n">
        <v>1</v>
      </c>
      <c r="C170" t="inlineStr">
        <is>
          <t>SP</t>
        </is>
      </c>
      <c r="D170" t="n">
        <v>23.5</v>
      </c>
      <c r="E170" t="n">
        <v>6</v>
      </c>
      <c r="F170" s="2" t="n">
        <v>44312</v>
      </c>
      <c r="G170" s="2" t="n">
        <v>44329</v>
      </c>
      <c r="H170" s="2" t="n">
        <v>44330</v>
      </c>
      <c r="I170" s="11" t="n">
        <v>17</v>
      </c>
      <c r="J170" s="52" t="n">
        <v>308.01</v>
      </c>
      <c r="K170" t="n">
        <v>239700</v>
      </c>
      <c r="L170" t="n">
        <v>0</v>
      </c>
      <c r="M170" t="n">
        <v>0</v>
      </c>
      <c r="N170" t="n">
        <v>0</v>
      </c>
    </row>
    <row r="171">
      <c r="A171" t="inlineStr">
        <is>
          <t>Bought 6 BBBY May 14 2021 23.5 Put @ 0.68</t>
        </is>
      </c>
      <c r="B171" t="n">
        <v>2</v>
      </c>
      <c r="C171" t="inlineStr">
        <is>
          <t>SP</t>
        </is>
      </c>
      <c r="D171" t="n">
        <v>23.5</v>
      </c>
      <c r="E171" t="n">
        <v>6</v>
      </c>
      <c r="F171" s="2" t="n">
        <v>44329</v>
      </c>
      <c r="G171" s="2" t="n">
        <v>44329</v>
      </c>
      <c r="H171" s="2" t="n">
        <v>44330</v>
      </c>
      <c r="I171" s="11" t="n">
        <v>1</v>
      </c>
      <c r="J171" s="52" t="n">
        <v>-411.98</v>
      </c>
      <c r="K171" t="n">
        <v>14100</v>
      </c>
      <c r="L171" t="n">
        <v>0</v>
      </c>
      <c r="M171" t="n">
        <v>0</v>
      </c>
      <c r="N171" t="n">
        <v>0</v>
      </c>
    </row>
    <row r="172">
      <c r="A172" t="inlineStr">
        <is>
          <t>Sold 6 BBBY May 21 2021 23.0 Put @ 0.94</t>
        </is>
      </c>
      <c r="B172" t="n">
        <v>3</v>
      </c>
      <c r="C172" t="inlineStr">
        <is>
          <t>SP</t>
        </is>
      </c>
      <c r="D172" t="n">
        <v>23</v>
      </c>
      <c r="E172" t="n">
        <v>6</v>
      </c>
      <c r="F172" s="2" t="n">
        <v>44329</v>
      </c>
      <c r="G172" s="2" t="n">
        <v>44330</v>
      </c>
      <c r="H172" s="2" t="n">
        <v>44337</v>
      </c>
      <c r="I172" s="11" t="n">
        <v>1</v>
      </c>
      <c r="J172" s="52" t="n">
        <v>560.01</v>
      </c>
      <c r="K172" t="n">
        <v>13800</v>
      </c>
      <c r="L172" t="n">
        <v>0</v>
      </c>
      <c r="M172" t="n">
        <v>0</v>
      </c>
      <c r="N172" t="n">
        <v>0</v>
      </c>
    </row>
    <row r="173">
      <c r="A173" t="inlineStr">
        <is>
          <t>Bought 6 BBBY May 21 2021 23.0 Put @ 0.19</t>
        </is>
      </c>
      <c r="B173" t="n">
        <v>4</v>
      </c>
      <c r="C173" t="inlineStr">
        <is>
          <t>SP</t>
        </is>
      </c>
      <c r="D173" t="n">
        <v>23</v>
      </c>
      <c r="E173" t="n">
        <v>6</v>
      </c>
      <c r="F173" s="2" t="n">
        <v>44330</v>
      </c>
      <c r="G173" s="2" t="n">
        <v>44330</v>
      </c>
      <c r="H173" s="2" t="n">
        <v>44337</v>
      </c>
      <c r="I173" s="11" t="n">
        <v>1</v>
      </c>
      <c r="J173" s="52" t="n">
        <v>-117.98</v>
      </c>
      <c r="K173" t="n">
        <v>13800</v>
      </c>
      <c r="L173" t="n">
        <v>0</v>
      </c>
      <c r="M173" t="n">
        <v>0</v>
      </c>
      <c r="N173" t="n">
        <v>0</v>
      </c>
    </row>
    <row r="174">
      <c r="A174" t="inlineStr">
        <is>
          <t>Grand Total</t>
        </is>
      </c>
      <c r="J174" s="52" t="n">
        <v>338.0599999999999</v>
      </c>
      <c r="K174" t="n">
        <v>281400</v>
      </c>
      <c r="L174" t="n">
        <v>0</v>
      </c>
      <c r="M174" t="n">
        <v>0</v>
      </c>
      <c r="N174" t="n">
        <v>0</v>
      </c>
    </row>
    <row r="177">
      <c r="K177" s="6" t="inlineStr">
        <is>
          <t>Annualized ROI =</t>
        </is>
      </c>
      <c r="L177" s="6" t="n"/>
      <c r="M177" s="6" t="n"/>
      <c r="N177" s="7">
        <f>365*GETPIVOTDATA(" NetPrem",$A180)/GETPIVOTDATA(" CapDays",A180)</f>
        <v/>
      </c>
    </row>
    <row r="178">
      <c r="A178" t="inlineStr">
        <is>
          <t>Trade#</t>
        </is>
      </c>
      <c r="B178" s="5" t="n">
        <v>16</v>
      </c>
      <c r="K178" s="6" t="inlineStr">
        <is>
          <t>Break Even =</t>
        </is>
      </c>
      <c r="L178" s="6" t="n"/>
      <c r="M178" s="6" t="n"/>
      <c r="N178" s="54">
        <f>IF(GETPIVOTDATA(" Shares",A180)=0,"N/A",(GETPIVOTDATA(" BEcap",A180)-GETPIVOTDATA(" NetPrem",A180))/GETPIVOTDATA(" Shares",A180))</f>
        <v/>
      </c>
    </row>
    <row r="179">
      <c r="K179" s="6" t="inlineStr">
        <is>
          <t>Required Capital =</t>
        </is>
      </c>
      <c r="L179" s="6" t="n"/>
      <c r="M179" s="6" t="n"/>
      <c r="N179" s="54">
        <f>GETPIVOTDATA(" OpenCap",A180)</f>
        <v/>
      </c>
    </row>
    <row r="180">
      <c r="J180" s="28" t="inlineStr">
        <is>
          <t>Values</t>
        </is>
      </c>
    </row>
    <row r="181">
      <c r="A181" s="28" t="inlineStr">
        <is>
          <t>SYM</t>
        </is>
      </c>
      <c r="B181" s="28" t="inlineStr">
        <is>
          <t>Leg</t>
        </is>
      </c>
      <c r="C181" s="28" t="inlineStr">
        <is>
          <t>TransType</t>
        </is>
      </c>
      <c r="D181" s="28" t="inlineStr">
        <is>
          <t>Strike</t>
        </is>
      </c>
      <c r="E181" s="28" t="inlineStr">
        <is>
          <t>#Contracts</t>
        </is>
      </c>
      <c r="F181" s="28" t="inlineStr">
        <is>
          <t>OpenDate</t>
        </is>
      </c>
      <c r="G181" s="28" t="inlineStr">
        <is>
          <t>CloseDate</t>
        </is>
      </c>
      <c r="H181" s="28" t="inlineStr">
        <is>
          <t>ExpDate</t>
        </is>
      </c>
      <c r="I181" s="28" t="inlineStr">
        <is>
          <t>Days</t>
        </is>
      </c>
      <c r="J181" s="52" t="inlineStr">
        <is>
          <t xml:space="preserve"> NetPrem</t>
        </is>
      </c>
      <c r="K181" t="inlineStr">
        <is>
          <t xml:space="preserve"> CapDays</t>
        </is>
      </c>
      <c r="L181" t="inlineStr">
        <is>
          <t xml:space="preserve"> OpenCap</t>
        </is>
      </c>
      <c r="M181" t="inlineStr">
        <is>
          <t xml:space="preserve"> BEcap</t>
        </is>
      </c>
      <c r="N181" t="inlineStr">
        <is>
          <t xml:space="preserve"> Shares</t>
        </is>
      </c>
    </row>
    <row r="182">
      <c r="A182" t="inlineStr">
        <is>
          <t>Sold 4 UAL May 14 2021 51.0 Put @ 0.83</t>
        </is>
      </c>
      <c r="J182" s="52" t="n">
        <v>329.33</v>
      </c>
      <c r="K182" t="n">
        <v>326400</v>
      </c>
      <c r="L182" t="n">
        <v>0</v>
      </c>
      <c r="M182" t="n">
        <v>0</v>
      </c>
      <c r="N182" t="n">
        <v>0</v>
      </c>
    </row>
    <row r="183">
      <c r="A183" t="inlineStr">
        <is>
          <t>Bought 4 UAL May 14 2021 51.0 Put @ 0.37</t>
        </is>
      </c>
      <c r="B183" t="n">
        <v>2</v>
      </c>
      <c r="C183" t="inlineStr">
        <is>
          <t>SP</t>
        </is>
      </c>
      <c r="D183" t="n">
        <v>51</v>
      </c>
      <c r="E183" t="n">
        <v>4</v>
      </c>
      <c r="F183" s="2" t="n">
        <v>44329</v>
      </c>
      <c r="G183" s="2" t="n">
        <v>44329</v>
      </c>
      <c r="H183" s="2" t="n">
        <v>44330</v>
      </c>
      <c r="I183" s="11" t="n">
        <v>1</v>
      </c>
      <c r="J183" s="52" t="n">
        <v>-150.66</v>
      </c>
      <c r="K183" t="n">
        <v>20400</v>
      </c>
      <c r="L183" t="n">
        <v>0</v>
      </c>
      <c r="M183" t="n">
        <v>0</v>
      </c>
      <c r="N183" t="n">
        <v>0</v>
      </c>
    </row>
    <row r="184">
      <c r="A184" t="inlineStr">
        <is>
          <t>Sold 4 UAL May 21 2021 50.0 Put @ 0.85</t>
        </is>
      </c>
      <c r="B184" t="n">
        <v>3</v>
      </c>
      <c r="C184" t="inlineStr">
        <is>
          <t>SP</t>
        </is>
      </c>
      <c r="D184" t="n">
        <v>50</v>
      </c>
      <c r="E184" t="n">
        <v>4</v>
      </c>
      <c r="F184" s="2" t="n">
        <v>44329</v>
      </c>
      <c r="G184" s="2" t="n">
        <v>44330</v>
      </c>
      <c r="H184" s="2" t="n">
        <v>44337</v>
      </c>
      <c r="I184" s="11" t="n">
        <v>1</v>
      </c>
      <c r="J184" s="52" t="n">
        <v>337.33</v>
      </c>
      <c r="K184" t="n">
        <v>20000</v>
      </c>
      <c r="L184" t="n">
        <v>0</v>
      </c>
      <c r="M184" t="n">
        <v>0</v>
      </c>
      <c r="N184" t="n">
        <v>0</v>
      </c>
    </row>
    <row r="185">
      <c r="A185" t="inlineStr">
        <is>
          <t>Bought 4 UAL May 21 2021 50.0 Put @ 0.15</t>
        </is>
      </c>
      <c r="B185" t="n">
        <v>4</v>
      </c>
      <c r="C185" t="inlineStr">
        <is>
          <t>SP</t>
        </is>
      </c>
      <c r="D185" t="n">
        <v>50</v>
      </c>
      <c r="E185" t="n">
        <v>4</v>
      </c>
      <c r="F185" s="2" t="n">
        <v>44330</v>
      </c>
      <c r="G185" s="2" t="n">
        <v>44330</v>
      </c>
      <c r="H185" s="2" t="n">
        <v>44337</v>
      </c>
      <c r="I185" s="11" t="n">
        <v>1</v>
      </c>
      <c r="J185" s="52" t="n">
        <v>-62.66</v>
      </c>
      <c r="K185" t="n">
        <v>20000</v>
      </c>
      <c r="L185" t="n">
        <v>0</v>
      </c>
      <c r="M185" t="n">
        <v>0</v>
      </c>
      <c r="N185" t="n">
        <v>0</v>
      </c>
    </row>
    <row r="186">
      <c r="A186" t="inlineStr">
        <is>
          <t>Grand Total</t>
        </is>
      </c>
      <c r="J186" s="52" t="n">
        <v>453.34</v>
      </c>
      <c r="K186" t="n">
        <v>386800</v>
      </c>
      <c r="L186" t="n">
        <v>0</v>
      </c>
      <c r="M186" t="n">
        <v>0</v>
      </c>
      <c r="N186" t="n">
        <v>0</v>
      </c>
    </row>
    <row r="189">
      <c r="K189" s="6" t="inlineStr">
        <is>
          <t>Annualized ROI =</t>
        </is>
      </c>
      <c r="L189" s="6" t="n"/>
      <c r="M189" s="6" t="n"/>
      <c r="N189" s="7">
        <f>365*GETPIVOTDATA(" NetPrem",$A192)/GETPIVOTDATA(" CapDays",A192)</f>
        <v/>
      </c>
    </row>
    <row r="190">
      <c r="A190" t="inlineStr">
        <is>
          <t>Trade#</t>
        </is>
      </c>
      <c r="B190" s="5" t="n">
        <v>17</v>
      </c>
      <c r="K190" s="6" t="inlineStr">
        <is>
          <t>Break Even =</t>
        </is>
      </c>
      <c r="L190" s="6" t="n"/>
      <c r="M190" s="6" t="n"/>
      <c r="N190" s="54">
        <f>IF(GETPIVOTDATA(" Shares",A192)=0,"N/A",(GETPIVOTDATA(" BEcap",A192)-GETPIVOTDATA(" NetPrem",A192))/GETPIVOTDATA(" Shares",A192))</f>
        <v/>
      </c>
    </row>
    <row r="191">
      <c r="K191" s="6" t="inlineStr">
        <is>
          <t>Required Capital =</t>
        </is>
      </c>
      <c r="L191" s="6" t="n"/>
      <c r="M191" s="6" t="n"/>
      <c r="N191" s="54">
        <f>GETPIVOTDATA(" OpenCap",A192)</f>
        <v/>
      </c>
    </row>
    <row r="192">
      <c r="J192" s="28" t="inlineStr">
        <is>
          <t>Values</t>
        </is>
      </c>
    </row>
    <row r="193">
      <c r="A193" s="28" t="inlineStr">
        <is>
          <t>`</t>
        </is>
      </c>
      <c r="B193" s="28" t="inlineStr">
        <is>
          <t>Leg</t>
        </is>
      </c>
      <c r="C193" s="28" t="inlineStr">
        <is>
          <t>TransType</t>
        </is>
      </c>
      <c r="D193" s="28" t="inlineStr">
        <is>
          <t>Strike</t>
        </is>
      </c>
      <c r="E193" s="28" t="inlineStr">
        <is>
          <t>#Contracts</t>
        </is>
      </c>
      <c r="F193" s="28" t="inlineStr">
        <is>
          <t>OpenDate</t>
        </is>
      </c>
      <c r="G193" s="28" t="inlineStr">
        <is>
          <t>CloseDate</t>
        </is>
      </c>
      <c r="H193" s="28" t="inlineStr">
        <is>
          <t>ExpDate</t>
        </is>
      </c>
      <c r="I193" s="28" t="inlineStr">
        <is>
          <t>Days</t>
        </is>
      </c>
      <c r="J193" s="52" t="inlineStr">
        <is>
          <t xml:space="preserve"> NetPrem</t>
        </is>
      </c>
      <c r="K193" t="inlineStr">
        <is>
          <t xml:space="preserve"> CapDays</t>
        </is>
      </c>
      <c r="L193" t="inlineStr">
        <is>
          <t xml:space="preserve"> OpenCap</t>
        </is>
      </c>
      <c r="M193" t="inlineStr">
        <is>
          <t xml:space="preserve"> BEcap</t>
        </is>
      </c>
      <c r="N193" t="inlineStr">
        <is>
          <t xml:space="preserve"> Shares</t>
        </is>
      </c>
    </row>
    <row r="194">
      <c r="A194" t="inlineStr">
        <is>
          <t>Sold 2 SFIX May 07 2021 45.0 Put @ 0.97</t>
        </is>
      </c>
      <c r="B194" t="n">
        <v>1</v>
      </c>
      <c r="C194" t="inlineStr">
        <is>
          <t>SP</t>
        </is>
      </c>
      <c r="D194" t="n">
        <v>45</v>
      </c>
      <c r="E194" t="n">
        <v>2</v>
      </c>
      <c r="F194" s="2" t="n">
        <v>44314</v>
      </c>
      <c r="G194" s="2" t="n">
        <v>44322</v>
      </c>
      <c r="H194" s="2" t="n">
        <v>44323</v>
      </c>
      <c r="I194" s="11" t="n">
        <v>8</v>
      </c>
      <c r="J194" s="52" t="n">
        <v>192.67</v>
      </c>
      <c r="K194" t="n">
        <v>72000</v>
      </c>
      <c r="L194" t="n">
        <v>0</v>
      </c>
      <c r="M194" t="n">
        <v>0</v>
      </c>
      <c r="N194" t="n">
        <v>0</v>
      </c>
    </row>
    <row r="195">
      <c r="A195" t="inlineStr">
        <is>
          <t>Sold 2 SFIX Jun 11 2021 43.0 Put @ 6.5</t>
        </is>
      </c>
      <c r="B195" t="n">
        <v>3</v>
      </c>
      <c r="C195" t="inlineStr">
        <is>
          <t>SP</t>
        </is>
      </c>
      <c r="D195" t="n">
        <v>43</v>
      </c>
      <c r="E195" t="n">
        <v>2</v>
      </c>
      <c r="F195" s="2" t="n">
        <v>44322</v>
      </c>
      <c r="G195" s="2" t="n">
        <v>44356</v>
      </c>
      <c r="H195" s="2" t="n">
        <v>44358</v>
      </c>
      <c r="I195" s="11" t="n">
        <v>34</v>
      </c>
      <c r="J195" s="52" t="n">
        <v>1298.66</v>
      </c>
      <c r="K195" t="n">
        <v>292400</v>
      </c>
      <c r="L195" t="n">
        <v>0</v>
      </c>
      <c r="M195" t="n">
        <v>0</v>
      </c>
      <c r="N195" t="n">
        <v>0</v>
      </c>
    </row>
    <row r="196">
      <c r="A196" t="inlineStr">
        <is>
          <t>Bought 2 SFIX May 07 2021 45.0 Put @ 6.2</t>
        </is>
      </c>
      <c r="B196" t="n">
        <v>2</v>
      </c>
      <c r="C196" t="inlineStr">
        <is>
          <t>SP</t>
        </is>
      </c>
      <c r="D196" t="n">
        <v>45</v>
      </c>
      <c r="E196" t="n">
        <v>2</v>
      </c>
      <c r="F196" s="2" t="n">
        <v>44322</v>
      </c>
      <c r="G196" s="2" t="n">
        <v>44322</v>
      </c>
      <c r="H196" s="2" t="n">
        <v>44323</v>
      </c>
      <c r="I196" s="11" t="n">
        <v>1</v>
      </c>
      <c r="J196" s="52" t="n">
        <v>-1241.33</v>
      </c>
      <c r="K196" t="n">
        <v>9000</v>
      </c>
      <c r="L196" t="n">
        <v>0</v>
      </c>
      <c r="M196" t="n">
        <v>0</v>
      </c>
      <c r="N196" t="n">
        <v>0</v>
      </c>
    </row>
    <row r="197">
      <c r="A197" t="inlineStr">
        <is>
          <t>Bought to Close 2 SFIX Jun 11 2021 43.0 Put @ 0.03</t>
        </is>
      </c>
      <c r="B197" t="n">
        <v>4</v>
      </c>
      <c r="C197" t="inlineStr">
        <is>
          <t>SP</t>
        </is>
      </c>
      <c r="D197" t="n">
        <v>43</v>
      </c>
      <c r="E197" t="n">
        <v>2</v>
      </c>
      <c r="F197" s="2" t="n">
        <v>44356</v>
      </c>
      <c r="G197" s="2" t="n">
        <v>44356</v>
      </c>
      <c r="H197" s="2" t="n">
        <v>44358</v>
      </c>
      <c r="I197" s="11" t="n">
        <v>1</v>
      </c>
      <c r="J197" s="52" t="n">
        <v>-3.01</v>
      </c>
      <c r="K197" t="n">
        <v>8600</v>
      </c>
      <c r="L197" t="n">
        <v>0</v>
      </c>
      <c r="M197" t="n">
        <v>0</v>
      </c>
      <c r="N197" t="n">
        <v>0</v>
      </c>
    </row>
    <row r="198">
      <c r="A198" t="inlineStr">
        <is>
          <t>Grand Total</t>
        </is>
      </c>
      <c r="J198" s="52" t="n">
        <v>246.9900000000002</v>
      </c>
      <c r="K198" t="n">
        <v>382000</v>
      </c>
      <c r="L198" t="n">
        <v>0</v>
      </c>
      <c r="M198" t="n">
        <v>0</v>
      </c>
      <c r="N198" t="n">
        <v>0</v>
      </c>
    </row>
    <row r="205">
      <c r="K205" s="6" t="inlineStr">
        <is>
          <t>Annualized ROI =</t>
        </is>
      </c>
      <c r="L205" s="6" t="n"/>
      <c r="M205" s="6" t="n"/>
      <c r="N205" s="7">
        <f>365*GETPIVOTDATA(" NetPrem",$A208)/GETPIVOTDATA(" CapDays",A208)</f>
        <v/>
      </c>
    </row>
    <row r="206">
      <c r="A206" t="inlineStr">
        <is>
          <t>Trade#</t>
        </is>
      </c>
      <c r="B206" s="5" t="n">
        <v>18</v>
      </c>
      <c r="K206" s="6" t="inlineStr">
        <is>
          <t>Break Even =</t>
        </is>
      </c>
      <c r="L206" s="6" t="n"/>
      <c r="M206" s="6" t="n"/>
      <c r="N206" s="54">
        <f>IF(GETPIVOTDATA(" Shares",A208)=0,"N/A",(GETPIVOTDATA(" BEcap",A208)-GETPIVOTDATA(" NetPrem",A208))/GETPIVOTDATA(" Shares",A208))</f>
        <v/>
      </c>
    </row>
    <row r="207">
      <c r="K207" s="6" t="inlineStr">
        <is>
          <t>Required Capital =</t>
        </is>
      </c>
      <c r="L207" s="6" t="n"/>
      <c r="M207" s="6" t="n"/>
      <c r="N207" s="54">
        <f>GETPIVOTDATA(" OpenCap",A208)</f>
        <v/>
      </c>
    </row>
    <row r="208">
      <c r="J208" s="28" t="inlineStr">
        <is>
          <t>Values</t>
        </is>
      </c>
    </row>
    <row r="209">
      <c r="A209" s="28" t="inlineStr">
        <is>
          <t>SYM</t>
        </is>
      </c>
      <c r="B209" s="28" t="inlineStr">
        <is>
          <t>Leg</t>
        </is>
      </c>
      <c r="C209" s="28" t="inlineStr">
        <is>
          <t>TransType</t>
        </is>
      </c>
      <c r="D209" s="28" t="inlineStr">
        <is>
          <t>Strike</t>
        </is>
      </c>
      <c r="E209" s="28" t="inlineStr">
        <is>
          <t>#Contracts</t>
        </is>
      </c>
      <c r="F209" s="28" t="inlineStr">
        <is>
          <t>OpenDate</t>
        </is>
      </c>
      <c r="G209" s="28" t="inlineStr">
        <is>
          <t>CloseDate</t>
        </is>
      </c>
      <c r="H209" s="28" t="inlineStr">
        <is>
          <t>ExpDate</t>
        </is>
      </c>
      <c r="I209" s="28" t="inlineStr">
        <is>
          <t>Days</t>
        </is>
      </c>
      <c r="J209" s="52" t="inlineStr">
        <is>
          <t xml:space="preserve"> NetPrem</t>
        </is>
      </c>
      <c r="K209" t="inlineStr">
        <is>
          <t xml:space="preserve"> CapDays</t>
        </is>
      </c>
      <c r="L209" t="inlineStr">
        <is>
          <t xml:space="preserve"> OpenCap</t>
        </is>
      </c>
      <c r="M209" t="inlineStr">
        <is>
          <t xml:space="preserve"> BEcap</t>
        </is>
      </c>
      <c r="N209" t="inlineStr">
        <is>
          <t xml:space="preserve"> Shares</t>
        </is>
      </c>
    </row>
    <row r="210">
      <c r="A210" t="inlineStr">
        <is>
          <t>Sold 2 EAT May 21 2021 65.0 Put @ 1</t>
        </is>
      </c>
      <c r="B210" t="n">
        <v>1</v>
      </c>
      <c r="C210" t="inlineStr">
        <is>
          <t>SP</t>
        </is>
      </c>
      <c r="D210" t="n">
        <v>65</v>
      </c>
      <c r="E210" t="n">
        <v>2</v>
      </c>
      <c r="F210" s="2" t="n">
        <v>44316</v>
      </c>
      <c r="G210" s="2" t="n">
        <v>44335</v>
      </c>
      <c r="H210" s="2" t="n">
        <v>44337</v>
      </c>
      <c r="I210" s="11" t="n">
        <v>19</v>
      </c>
      <c r="J210" s="52" t="n">
        <v>198.67</v>
      </c>
      <c r="K210" t="n">
        <v>247000</v>
      </c>
      <c r="L210" t="n">
        <v>0</v>
      </c>
      <c r="M210" t="n">
        <v>0</v>
      </c>
      <c r="N210" t="n">
        <v>0</v>
      </c>
    </row>
    <row r="211">
      <c r="A211" t="inlineStr">
        <is>
          <t>Sold 2 EAT May 21 2021 65.0 Put @ 2.3</t>
        </is>
      </c>
      <c r="B211" t="n">
        <v>2</v>
      </c>
      <c r="C211" t="inlineStr">
        <is>
          <t>SP</t>
        </is>
      </c>
      <c r="D211" t="n">
        <v>65</v>
      </c>
      <c r="E211" t="n">
        <v>2</v>
      </c>
      <c r="F211" s="2" t="n">
        <v>44320</v>
      </c>
      <c r="G211" s="2" t="n">
        <v>44335</v>
      </c>
      <c r="H211" s="2" t="n">
        <v>44337</v>
      </c>
      <c r="I211" s="11" t="n">
        <v>15</v>
      </c>
      <c r="J211" s="52" t="n">
        <v>458.67</v>
      </c>
      <c r="K211" t="n">
        <v>195000</v>
      </c>
      <c r="L211" t="n">
        <v>0</v>
      </c>
      <c r="M211" t="n">
        <v>0</v>
      </c>
      <c r="N211" t="n">
        <v>0</v>
      </c>
    </row>
    <row r="212">
      <c r="A212" t="inlineStr">
        <is>
          <t>Bought 4 EAT May 21 2021 65.0 Put @ 4.5</t>
        </is>
      </c>
      <c r="B212" t="n">
        <v>3</v>
      </c>
      <c r="C212" t="inlineStr">
        <is>
          <t>SP</t>
        </is>
      </c>
      <c r="D212" t="n">
        <v>65</v>
      </c>
      <c r="E212" t="n">
        <v>4</v>
      </c>
      <c r="F212" s="2" t="n">
        <v>44335</v>
      </c>
      <c r="G212" s="2" t="n">
        <v>44335</v>
      </c>
      <c r="H212" s="2" t="n">
        <v>44337</v>
      </c>
      <c r="I212" s="11" t="n">
        <v>1</v>
      </c>
      <c r="J212" s="52" t="n">
        <v>-1802.66</v>
      </c>
      <c r="K212" t="n">
        <v>26000</v>
      </c>
      <c r="L212" t="n">
        <v>0</v>
      </c>
      <c r="M212" t="n">
        <v>0</v>
      </c>
      <c r="N212" t="n">
        <v>0</v>
      </c>
    </row>
    <row r="213">
      <c r="A213" t="inlineStr">
        <is>
          <t>Sold 4 EAT Jun 18 2021 65.0 Put @ 5.91</t>
        </is>
      </c>
      <c r="B213" t="n">
        <v>4</v>
      </c>
      <c r="C213" t="inlineStr">
        <is>
          <t>SP</t>
        </is>
      </c>
      <c r="D213" t="n">
        <v>65</v>
      </c>
      <c r="E213" t="n">
        <v>4</v>
      </c>
      <c r="F213" s="2" t="n">
        <v>44335</v>
      </c>
      <c r="G213" s="2" t="n">
        <v>44362</v>
      </c>
      <c r="H213" s="2" t="n">
        <v>44365</v>
      </c>
      <c r="I213" s="11" t="n">
        <v>27</v>
      </c>
      <c r="J213" s="52" t="n">
        <v>2361.32</v>
      </c>
      <c r="K213" t="n">
        <v>702000</v>
      </c>
      <c r="L213" t="n">
        <v>0</v>
      </c>
      <c r="M213" t="n">
        <v>0</v>
      </c>
      <c r="N213" t="n">
        <v>0</v>
      </c>
    </row>
    <row r="214">
      <c r="A214" t="inlineStr">
        <is>
          <t>Bought 4 EAT Jun 18 2021 65.0 Put @ 6.9</t>
        </is>
      </c>
      <c r="B214" t="n">
        <v>5</v>
      </c>
      <c r="C214" t="inlineStr">
        <is>
          <t>SP</t>
        </is>
      </c>
      <c r="D214" t="n">
        <v>65</v>
      </c>
      <c r="E214" t="n">
        <v>4</v>
      </c>
      <c r="F214" s="2" t="n">
        <v>44362</v>
      </c>
      <c r="G214" s="2" t="n">
        <v>44362</v>
      </c>
      <c r="H214" s="2" t="n">
        <v>44365</v>
      </c>
      <c r="I214" s="11" t="n">
        <v>1</v>
      </c>
      <c r="J214" s="52" t="n">
        <v>-2762.66</v>
      </c>
      <c r="K214" t="n">
        <v>26000</v>
      </c>
      <c r="L214" t="n">
        <v>0</v>
      </c>
      <c r="M214" t="n">
        <v>0</v>
      </c>
      <c r="N214" t="n">
        <v>0</v>
      </c>
    </row>
    <row r="215">
      <c r="A215" t="inlineStr">
        <is>
          <t>Sold 4 EAT Jul 16 2021 65.0 Put @ 7.7</t>
        </is>
      </c>
      <c r="B215" t="n">
        <v>5</v>
      </c>
      <c r="C215" t="inlineStr">
        <is>
          <t>SP</t>
        </is>
      </c>
      <c r="D215" t="n">
        <v>65</v>
      </c>
      <c r="E215" t="n">
        <v>4</v>
      </c>
      <c r="F215" s="2" t="n">
        <v>44362</v>
      </c>
      <c r="G215" t="inlineStr">
        <is>
          <t>(blank)</t>
        </is>
      </c>
      <c r="H215" s="2" t="n">
        <v>44393</v>
      </c>
      <c r="I215" s="11" t="n">
        <v>31</v>
      </c>
      <c r="J215" s="52" t="n">
        <v>3077.31</v>
      </c>
      <c r="K215" t="n">
        <v>806000</v>
      </c>
      <c r="L215" t="n">
        <v>26000</v>
      </c>
      <c r="M215" t="n">
        <v>26000</v>
      </c>
      <c r="N215" t="n">
        <v>400</v>
      </c>
    </row>
    <row r="216">
      <c r="A216" t="inlineStr">
        <is>
          <t>Grand Total</t>
        </is>
      </c>
      <c r="J216" s="52" t="n">
        <v>1530.65</v>
      </c>
      <c r="K216" t="n">
        <v>2002000</v>
      </c>
      <c r="L216" t="n">
        <v>26000</v>
      </c>
      <c r="M216" t="n">
        <v>26000</v>
      </c>
      <c r="N216" t="n">
        <v>400</v>
      </c>
    </row>
    <row r="219">
      <c r="K219" s="6" t="inlineStr">
        <is>
          <t>Annualized ROI =</t>
        </is>
      </c>
      <c r="L219" s="6" t="n"/>
      <c r="M219" s="6" t="n"/>
      <c r="N219" s="7">
        <f>365*GETPIVOTDATA(" NetPrem",$A222)/GETPIVOTDATA(" CapDays",A222)</f>
        <v/>
      </c>
    </row>
    <row r="220">
      <c r="A220" t="inlineStr">
        <is>
          <t>Trade#</t>
        </is>
      </c>
      <c r="B220" s="5" t="n">
        <v>19</v>
      </c>
      <c r="K220" s="6" t="inlineStr">
        <is>
          <t>Break Even =</t>
        </is>
      </c>
      <c r="L220" s="6" t="n"/>
      <c r="M220" s="6" t="n"/>
      <c r="N220" s="54">
        <f>IF(GETPIVOTDATA(" Shares",A222)=0,"N/A",(GETPIVOTDATA(" BEcap",A222)-GETPIVOTDATA(" NetPrem",A222))/GETPIVOTDATA(" Shares",A222))</f>
        <v/>
      </c>
    </row>
    <row r="221">
      <c r="K221" s="6" t="inlineStr">
        <is>
          <t>Required Capital =</t>
        </is>
      </c>
      <c r="L221" s="6" t="n"/>
      <c r="M221" s="6" t="n"/>
      <c r="N221" s="54">
        <f>GETPIVOTDATA(" OpenCap",A222)</f>
        <v/>
      </c>
    </row>
    <row r="222">
      <c r="J222" s="28" t="inlineStr">
        <is>
          <t>Values</t>
        </is>
      </c>
    </row>
    <row r="223">
      <c r="A223" s="28" t="inlineStr">
        <is>
          <t>SYM</t>
        </is>
      </c>
      <c r="B223" s="28" t="inlineStr">
        <is>
          <t>Leg</t>
        </is>
      </c>
      <c r="C223" s="28" t="inlineStr">
        <is>
          <t>TransType</t>
        </is>
      </c>
      <c r="D223" s="28" t="inlineStr">
        <is>
          <t>Strike</t>
        </is>
      </c>
      <c r="E223" s="28" t="inlineStr">
        <is>
          <t>#Contracts</t>
        </is>
      </c>
      <c r="F223" s="28" t="inlineStr">
        <is>
          <t>OpenDate</t>
        </is>
      </c>
      <c r="G223" s="28" t="inlineStr">
        <is>
          <t>CloseDate</t>
        </is>
      </c>
      <c r="H223" s="28" t="inlineStr">
        <is>
          <t>ExpDate</t>
        </is>
      </c>
      <c r="I223" s="28" t="inlineStr">
        <is>
          <t>Days</t>
        </is>
      </c>
      <c r="J223" s="52" t="inlineStr">
        <is>
          <t xml:space="preserve"> NetPrem</t>
        </is>
      </c>
      <c r="K223" t="inlineStr">
        <is>
          <t xml:space="preserve"> CapDays</t>
        </is>
      </c>
      <c r="L223" t="inlineStr">
        <is>
          <t xml:space="preserve"> OpenCap</t>
        </is>
      </c>
      <c r="M223" t="inlineStr">
        <is>
          <t xml:space="preserve"> BEcap</t>
        </is>
      </c>
      <c r="N223" t="inlineStr">
        <is>
          <t xml:space="preserve"> Shares</t>
        </is>
      </c>
    </row>
    <row r="224">
      <c r="A224" t="inlineStr">
        <is>
          <t>Sold 2 PCAR Jun 18 2021 90.0 Put @ 2.5</t>
        </is>
      </c>
      <c r="B224" t="n">
        <v>1</v>
      </c>
      <c r="C224" t="inlineStr">
        <is>
          <t>SP</t>
        </is>
      </c>
      <c r="D224" t="n">
        <v>90</v>
      </c>
      <c r="E224" t="n">
        <v>2</v>
      </c>
      <c r="F224" s="2" t="n">
        <v>44322</v>
      </c>
      <c r="G224" s="2" t="n">
        <v>44326</v>
      </c>
      <c r="H224" s="2" t="n">
        <v>44365</v>
      </c>
      <c r="I224" s="11" t="n">
        <v>4</v>
      </c>
      <c r="J224" s="52" t="n">
        <v>498.67</v>
      </c>
      <c r="K224" t="n">
        <v>72000</v>
      </c>
      <c r="L224" t="n">
        <v>0</v>
      </c>
      <c r="M224" t="n">
        <v>0</v>
      </c>
      <c r="N224" t="n">
        <v>0</v>
      </c>
    </row>
    <row r="225">
      <c r="A225" t="inlineStr">
        <is>
          <t>Bought 2 PCAR Jun 18 2021 90.0 Put @ 0.86</t>
        </is>
      </c>
      <c r="B225" t="n">
        <v>2</v>
      </c>
      <c r="C225" t="inlineStr">
        <is>
          <t>SP</t>
        </is>
      </c>
      <c r="D225" t="n">
        <v>90</v>
      </c>
      <c r="E225" t="n">
        <v>2</v>
      </c>
      <c r="F225" s="2" t="n">
        <v>44326</v>
      </c>
      <c r="G225" s="2" t="n">
        <v>44326</v>
      </c>
      <c r="H225" s="2" t="n">
        <v>44365</v>
      </c>
      <c r="I225" s="11" t="n">
        <v>1</v>
      </c>
      <c r="J225" s="52" t="n">
        <v>-173.33</v>
      </c>
      <c r="K225" t="n">
        <v>18000</v>
      </c>
      <c r="L225" t="n">
        <v>0</v>
      </c>
      <c r="M225" t="n">
        <v>0</v>
      </c>
      <c r="N225" t="n">
        <v>0</v>
      </c>
    </row>
    <row r="226">
      <c r="A226" t="inlineStr">
        <is>
          <t>Grand Total</t>
        </is>
      </c>
      <c r="J226" s="52" t="n">
        <v>325.34</v>
      </c>
      <c r="K226" t="n">
        <v>90000</v>
      </c>
      <c r="L226" t="n">
        <v>0</v>
      </c>
      <c r="M226" t="n">
        <v>0</v>
      </c>
      <c r="N226" t="n">
        <v>0</v>
      </c>
    </row>
    <row r="231">
      <c r="K231" s="6" t="inlineStr">
        <is>
          <t>Annualized ROI =</t>
        </is>
      </c>
      <c r="L231" s="6" t="n"/>
      <c r="M231" s="6" t="n"/>
      <c r="N231" s="7">
        <f>365*GETPIVOTDATA(" NetPrem",$A234)/GETPIVOTDATA(" CapDays",A234)</f>
        <v/>
      </c>
    </row>
    <row r="232">
      <c r="A232" t="inlineStr">
        <is>
          <t>Trade#</t>
        </is>
      </c>
      <c r="B232" s="5" t="n">
        <v>20</v>
      </c>
      <c r="K232" s="6" t="inlineStr">
        <is>
          <t>Break Even =</t>
        </is>
      </c>
      <c r="L232" s="6" t="n"/>
      <c r="M232" s="6" t="n"/>
      <c r="N232" s="54">
        <f>IF(GETPIVOTDATA(" Shares",A234)=0,"N/A",(GETPIVOTDATA(" BEcap",A234)-GETPIVOTDATA(" NetPrem",A234))/GETPIVOTDATA(" Shares",A234))</f>
        <v/>
      </c>
    </row>
    <row r="233">
      <c r="K233" s="6" t="inlineStr">
        <is>
          <t>Required Capital =</t>
        </is>
      </c>
      <c r="L233" s="6" t="n"/>
      <c r="M233" s="6" t="n"/>
      <c r="N233" s="54">
        <f>GETPIVOTDATA(" OpenCap",A234)</f>
        <v/>
      </c>
    </row>
    <row r="234">
      <c r="J234" s="28" t="inlineStr">
        <is>
          <t>Values</t>
        </is>
      </c>
    </row>
    <row r="235">
      <c r="A235" s="28" t="inlineStr">
        <is>
          <t>SYM</t>
        </is>
      </c>
      <c r="B235" s="28" t="inlineStr">
        <is>
          <t>Leg</t>
        </is>
      </c>
      <c r="C235" s="28" t="inlineStr">
        <is>
          <t>TransType</t>
        </is>
      </c>
      <c r="D235" s="28" t="inlineStr">
        <is>
          <t>Strike</t>
        </is>
      </c>
      <c r="E235" s="28" t="inlineStr">
        <is>
          <t>#Contracts</t>
        </is>
      </c>
      <c r="F235" s="28" t="inlineStr">
        <is>
          <t>OpenDate</t>
        </is>
      </c>
      <c r="G235" s="28" t="inlineStr">
        <is>
          <t>CloseDate</t>
        </is>
      </c>
      <c r="H235" s="28" t="inlineStr">
        <is>
          <t>ExpDate</t>
        </is>
      </c>
      <c r="I235" s="28" t="inlineStr">
        <is>
          <t>Days</t>
        </is>
      </c>
      <c r="J235" s="52" t="inlineStr">
        <is>
          <t xml:space="preserve"> NetPrem</t>
        </is>
      </c>
      <c r="K235" t="inlineStr">
        <is>
          <t xml:space="preserve"> CapDays</t>
        </is>
      </c>
      <c r="L235" t="inlineStr">
        <is>
          <t xml:space="preserve"> OpenCap</t>
        </is>
      </c>
      <c r="M235" t="inlineStr">
        <is>
          <t xml:space="preserve"> BEcap</t>
        </is>
      </c>
      <c r="N235" t="inlineStr">
        <is>
          <t xml:space="preserve"> Shares</t>
        </is>
      </c>
    </row>
    <row r="236">
      <c r="A236" t="inlineStr">
        <is>
          <t>Sold 10 AAL Jun 4 2021 21.0 Put @ 0.56</t>
        </is>
      </c>
      <c r="B236" t="n">
        <v>1</v>
      </c>
      <c r="C236" t="inlineStr">
        <is>
          <t>SP</t>
        </is>
      </c>
      <c r="D236" t="n">
        <v>21</v>
      </c>
      <c r="E236" t="n">
        <v>10</v>
      </c>
      <c r="F236" s="2" t="n">
        <v>44323</v>
      </c>
      <c r="G236" s="2" t="n">
        <v>44342</v>
      </c>
      <c r="H236" s="2" t="n">
        <v>44351</v>
      </c>
      <c r="I236" s="11" t="n">
        <v>19</v>
      </c>
      <c r="J236" s="52" t="n">
        <v>553.34</v>
      </c>
      <c r="K236" t="n">
        <v>399000</v>
      </c>
      <c r="L236" t="n">
        <v>0</v>
      </c>
      <c r="M236" t="n">
        <v>0</v>
      </c>
      <c r="N236" t="n">
        <v>0</v>
      </c>
    </row>
    <row r="237">
      <c r="A237" t="inlineStr">
        <is>
          <t>Bought 10 AAL Jun 04 2021 21.0 Put @ 0.05</t>
        </is>
      </c>
      <c r="B237" t="n">
        <v>2</v>
      </c>
      <c r="C237" t="inlineStr">
        <is>
          <t>SP</t>
        </is>
      </c>
      <c r="D237" t="n">
        <v>21</v>
      </c>
      <c r="E237" t="n">
        <v>10</v>
      </c>
      <c r="F237" s="2" t="n">
        <v>44342</v>
      </c>
      <c r="G237" s="2" t="n">
        <v>44342</v>
      </c>
      <c r="H237" s="2" t="n">
        <v>44351</v>
      </c>
      <c r="I237" s="11" t="n">
        <v>1</v>
      </c>
      <c r="J237" s="52" t="n">
        <v>-50.14</v>
      </c>
      <c r="K237" t="n">
        <v>21000</v>
      </c>
      <c r="L237" t="n">
        <v>0</v>
      </c>
      <c r="M237" t="n">
        <v>0</v>
      </c>
      <c r="N237" t="n">
        <v>0</v>
      </c>
    </row>
    <row r="238">
      <c r="A238" t="inlineStr">
        <is>
          <t>Grand Total</t>
        </is>
      </c>
      <c r="J238" s="52" t="n">
        <v>503.2</v>
      </c>
      <c r="K238" t="n">
        <v>420000</v>
      </c>
      <c r="L238" t="n">
        <v>0</v>
      </c>
      <c r="M238" t="n">
        <v>0</v>
      </c>
      <c r="N238" t="n">
        <v>0</v>
      </c>
    </row>
    <row r="243">
      <c r="K243" s="6" t="inlineStr">
        <is>
          <t>Annualized ROI =</t>
        </is>
      </c>
      <c r="L243" s="6" t="n"/>
      <c r="M243" s="6" t="n"/>
      <c r="N243" s="7">
        <f>365*GETPIVOTDATA(" NetPrem",$A246)/GETPIVOTDATA(" CapDays",A246)</f>
        <v/>
      </c>
    </row>
    <row r="244">
      <c r="A244" t="inlineStr">
        <is>
          <t>Trade#</t>
        </is>
      </c>
      <c r="B244" s="5" t="n">
        <v>21</v>
      </c>
      <c r="K244" s="6" t="inlineStr">
        <is>
          <t>Break Even =</t>
        </is>
      </c>
      <c r="L244" s="6" t="n"/>
      <c r="M244" s="6" t="n"/>
      <c r="N244" s="54">
        <f>IF(GETPIVOTDATA(" Shares",A246)=0,"N/A",(GETPIVOTDATA(" BEcap",A246)-GETPIVOTDATA(" NetPrem",A246))/GETPIVOTDATA(" Shares",A246))</f>
        <v/>
      </c>
    </row>
    <row r="245">
      <c r="K245" s="6" t="inlineStr">
        <is>
          <t>Required Capital =</t>
        </is>
      </c>
      <c r="L245" s="6" t="n"/>
      <c r="M245" s="6" t="n"/>
      <c r="N245" s="54">
        <f>GETPIVOTDATA(" OpenCap",A246)</f>
        <v/>
      </c>
    </row>
    <row r="246">
      <c r="J246" s="28" t="inlineStr">
        <is>
          <t>Values</t>
        </is>
      </c>
    </row>
    <row r="247">
      <c r="A247" s="28" t="inlineStr">
        <is>
          <t>SYM</t>
        </is>
      </c>
      <c r="B247" s="28" t="inlineStr">
        <is>
          <t>Leg</t>
        </is>
      </c>
      <c r="C247" s="28" t="inlineStr">
        <is>
          <t>TransType</t>
        </is>
      </c>
      <c r="D247" s="28" t="inlineStr">
        <is>
          <t>Strike</t>
        </is>
      </c>
      <c r="E247" s="28" t="inlineStr">
        <is>
          <t>#Contracts</t>
        </is>
      </c>
      <c r="F247" s="28" t="inlineStr">
        <is>
          <t>OpenDate</t>
        </is>
      </c>
      <c r="G247" s="28" t="inlineStr">
        <is>
          <t>CloseDate</t>
        </is>
      </c>
      <c r="H247" s="28" t="inlineStr">
        <is>
          <t>ExpDate</t>
        </is>
      </c>
      <c r="I247" s="28" t="inlineStr">
        <is>
          <t>Days</t>
        </is>
      </c>
      <c r="J247" s="52" t="inlineStr">
        <is>
          <t xml:space="preserve"> NetPrem</t>
        </is>
      </c>
      <c r="K247" t="inlineStr">
        <is>
          <t xml:space="preserve"> CapDays</t>
        </is>
      </c>
      <c r="L247" t="inlineStr">
        <is>
          <t xml:space="preserve"> OpenCap</t>
        </is>
      </c>
      <c r="M247" t="inlineStr">
        <is>
          <t xml:space="preserve"> BEcap</t>
        </is>
      </c>
      <c r="N247" t="inlineStr">
        <is>
          <t xml:space="preserve"> Shares</t>
        </is>
      </c>
    </row>
    <row r="248">
      <c r="A248" t="inlineStr">
        <is>
          <t>Sold 2 SNAP May 28 2021 50.0 Put @ 1.53</t>
        </is>
      </c>
      <c r="B248" t="n">
        <v>1</v>
      </c>
      <c r="C248" t="inlineStr">
        <is>
          <t>SP</t>
        </is>
      </c>
      <c r="D248" t="n">
        <v>50</v>
      </c>
      <c r="E248" t="n">
        <v>2</v>
      </c>
      <c r="F248" s="2" t="n">
        <v>44326</v>
      </c>
      <c r="G248" s="2" t="n">
        <v>44340</v>
      </c>
      <c r="H248" s="2" t="n">
        <v>44344</v>
      </c>
      <c r="I248" s="11" t="n">
        <v>14</v>
      </c>
      <c r="J248" s="52" t="n">
        <v>304.67</v>
      </c>
      <c r="K248" t="n">
        <v>140000</v>
      </c>
      <c r="L248" t="n">
        <v>0</v>
      </c>
      <c r="M248" t="n">
        <v>0</v>
      </c>
      <c r="N248" t="n">
        <v>0</v>
      </c>
    </row>
    <row r="249">
      <c r="A249" t="inlineStr">
        <is>
          <t>Bought 2 SNAP May 28 2021 50.0 Put @ 0.04</t>
        </is>
      </c>
      <c r="B249" t="n">
        <v>2</v>
      </c>
      <c r="C249" t="inlineStr">
        <is>
          <t>SP</t>
        </is>
      </c>
      <c r="D249" t="n">
        <v>50</v>
      </c>
      <c r="E249" t="n">
        <v>2</v>
      </c>
      <c r="F249" s="2" t="n">
        <v>44340</v>
      </c>
      <c r="G249" s="2" t="n">
        <v>44340</v>
      </c>
      <c r="H249" s="2" t="n">
        <v>44344</v>
      </c>
      <c r="I249" s="11" t="n">
        <v>1</v>
      </c>
      <c r="J249" s="52" t="n">
        <v>-8.029999999999999</v>
      </c>
      <c r="K249" t="n">
        <v>10000</v>
      </c>
      <c r="L249" t="n">
        <v>0</v>
      </c>
      <c r="M249" t="n">
        <v>0</v>
      </c>
      <c r="N249" t="n">
        <v>0</v>
      </c>
    </row>
    <row r="250">
      <c r="A250" t="inlineStr">
        <is>
          <t>Grand Total</t>
        </is>
      </c>
      <c r="J250" s="52" t="n">
        <v>296.64</v>
      </c>
      <c r="K250" t="n">
        <v>150000</v>
      </c>
      <c r="L250" t="n">
        <v>0</v>
      </c>
      <c r="M250" t="n">
        <v>0</v>
      </c>
      <c r="N250" t="n">
        <v>0</v>
      </c>
    </row>
    <row r="255">
      <c r="K255" s="6" t="inlineStr">
        <is>
          <t>Annualized ROI =</t>
        </is>
      </c>
      <c r="L255" s="6" t="n"/>
      <c r="M255" s="6" t="n"/>
      <c r="N255" s="7">
        <f>365*GETPIVOTDATA(" NetPrem",$A258)/GETPIVOTDATA(" CapDays",A258)</f>
        <v/>
      </c>
    </row>
    <row r="256">
      <c r="A256" t="inlineStr">
        <is>
          <t>Trade#</t>
        </is>
      </c>
      <c r="B256" s="5" t="n">
        <v>22</v>
      </c>
      <c r="K256" s="6" t="inlineStr">
        <is>
          <t>Break Even =</t>
        </is>
      </c>
      <c r="L256" s="6" t="n"/>
      <c r="M256" s="6" t="n"/>
      <c r="N256" s="54">
        <f>IF(GETPIVOTDATA(" Shares",A258)=0,"N/A",(GETPIVOTDATA(" BEcap",A258)-GETPIVOTDATA(" NetPrem",A258))/GETPIVOTDATA(" Shares",A258))</f>
        <v/>
      </c>
    </row>
    <row r="257">
      <c r="K257" s="6" t="inlineStr">
        <is>
          <t>Required Capital =</t>
        </is>
      </c>
      <c r="L257" s="6" t="n"/>
      <c r="M257" s="6" t="n"/>
      <c r="N257" s="54">
        <f>GETPIVOTDATA(" OpenCap",A258)</f>
        <v/>
      </c>
    </row>
    <row r="258">
      <c r="J258" s="28" t="inlineStr">
        <is>
          <t>Values</t>
        </is>
      </c>
    </row>
    <row r="259">
      <c r="A259" s="28" t="inlineStr">
        <is>
          <t>SYM</t>
        </is>
      </c>
      <c r="B259" s="28" t="inlineStr">
        <is>
          <t>Leg</t>
        </is>
      </c>
      <c r="C259" s="28" t="inlineStr">
        <is>
          <t>TransType</t>
        </is>
      </c>
      <c r="D259" s="28" t="inlineStr">
        <is>
          <t>Strike</t>
        </is>
      </c>
      <c r="E259" s="28" t="inlineStr">
        <is>
          <t>#Contracts</t>
        </is>
      </c>
      <c r="F259" s="28" t="inlineStr">
        <is>
          <t>OpenDate</t>
        </is>
      </c>
      <c r="G259" s="28" t="inlineStr">
        <is>
          <t>CloseDate</t>
        </is>
      </c>
      <c r="H259" s="28" t="inlineStr">
        <is>
          <t>ExpDate</t>
        </is>
      </c>
      <c r="I259" s="28" t="inlineStr">
        <is>
          <t>Days</t>
        </is>
      </c>
      <c r="J259" s="52" t="inlineStr">
        <is>
          <t xml:space="preserve"> NetPrem</t>
        </is>
      </c>
      <c r="K259" t="inlineStr">
        <is>
          <t xml:space="preserve"> CapDays</t>
        </is>
      </c>
      <c r="L259" t="inlineStr">
        <is>
          <t xml:space="preserve"> OpenCap</t>
        </is>
      </c>
      <c r="M259" t="inlineStr">
        <is>
          <t xml:space="preserve"> BEcap</t>
        </is>
      </c>
      <c r="N259" t="inlineStr">
        <is>
          <t xml:space="preserve"> Shares</t>
        </is>
      </c>
    </row>
    <row r="260">
      <c r="A260" t="inlineStr">
        <is>
          <t>Sold 4 DBX Jun 04 2021 24.5 Put @ 0.67</t>
        </is>
      </c>
      <c r="B260" t="n">
        <v>1</v>
      </c>
      <c r="C260" t="inlineStr">
        <is>
          <t>SP</t>
        </is>
      </c>
      <c r="D260" t="n">
        <v>24.5</v>
      </c>
      <c r="E260" t="n">
        <v>4</v>
      </c>
      <c r="F260" s="2" t="n">
        <v>44327</v>
      </c>
      <c r="G260" s="2" t="n">
        <v>44342</v>
      </c>
      <c r="H260" s="2" t="n">
        <v>44351</v>
      </c>
      <c r="I260" s="11" t="n">
        <v>15</v>
      </c>
      <c r="J260" s="52" t="n">
        <v>265.33</v>
      </c>
      <c r="K260" t="n">
        <v>147000</v>
      </c>
      <c r="L260" t="n">
        <v>0</v>
      </c>
      <c r="M260" t="n">
        <v>0</v>
      </c>
      <c r="N260" t="n">
        <v>0</v>
      </c>
    </row>
    <row r="261">
      <c r="A261" t="inlineStr">
        <is>
          <t>Bought 3 DBX Jun 04 2021 24.5 Put @ 0.05</t>
        </is>
      </c>
      <c r="B261" t="n">
        <v>2</v>
      </c>
      <c r="C261" t="inlineStr">
        <is>
          <t>SP</t>
        </is>
      </c>
      <c r="D261" t="n">
        <v>24.5</v>
      </c>
      <c r="E261" t="n">
        <v>3</v>
      </c>
      <c r="F261" s="2" t="n">
        <v>44342</v>
      </c>
      <c r="G261" s="2" t="n">
        <v>44342</v>
      </c>
      <c r="H261" s="2" t="n">
        <v>44351</v>
      </c>
      <c r="I261" s="11" t="n">
        <v>1</v>
      </c>
      <c r="J261" s="52" t="n">
        <v>-15.04</v>
      </c>
      <c r="K261" t="n">
        <v>7350</v>
      </c>
      <c r="L261" t="n">
        <v>0</v>
      </c>
      <c r="M261" t="n">
        <v>0</v>
      </c>
      <c r="N261" t="n">
        <v>0</v>
      </c>
    </row>
    <row r="262">
      <c r="A262" t="inlineStr">
        <is>
          <t>Bought 1 DBX Jun 04 2021 24.5 Put @ 0.05</t>
        </is>
      </c>
      <c r="B262" t="n">
        <v>3</v>
      </c>
      <c r="C262" t="inlineStr">
        <is>
          <t>SP</t>
        </is>
      </c>
      <c r="D262" t="n">
        <v>24.5</v>
      </c>
      <c r="E262" t="n">
        <v>1</v>
      </c>
      <c r="F262" s="2" t="n">
        <v>44342</v>
      </c>
      <c r="G262" s="2" t="n">
        <v>44342</v>
      </c>
      <c r="H262" s="2" t="n">
        <v>44351</v>
      </c>
      <c r="I262" s="11" t="n">
        <v>1</v>
      </c>
      <c r="J262" s="52" t="n">
        <v>-5.02</v>
      </c>
      <c r="K262" t="n">
        <v>2450</v>
      </c>
      <c r="L262" t="n">
        <v>0</v>
      </c>
      <c r="M262" t="n">
        <v>0</v>
      </c>
      <c r="N262" t="n">
        <v>0</v>
      </c>
    </row>
    <row r="263">
      <c r="A263" t="inlineStr">
        <is>
          <t>Grand Total</t>
        </is>
      </c>
      <c r="J263" s="52" t="n">
        <v>245.27</v>
      </c>
      <c r="K263" t="n">
        <v>156800</v>
      </c>
      <c r="L263" t="n">
        <v>0</v>
      </c>
      <c r="M263" t="n">
        <v>0</v>
      </c>
      <c r="N263" t="n">
        <v>0</v>
      </c>
    </row>
    <row r="267">
      <c r="K267" s="6" t="inlineStr">
        <is>
          <t>Annualized ROI =</t>
        </is>
      </c>
      <c r="L267" s="6" t="n"/>
      <c r="M267" s="6" t="n"/>
      <c r="N267" s="7">
        <f>365*GETPIVOTDATA(" NetPrem",$A270)/GETPIVOTDATA(" CapDays",A270)</f>
        <v/>
      </c>
    </row>
    <row r="268">
      <c r="A268" t="inlineStr">
        <is>
          <t>Trade#</t>
        </is>
      </c>
      <c r="B268" s="5" t="n">
        <v>23</v>
      </c>
      <c r="K268" s="6" t="inlineStr">
        <is>
          <t>Break Even =</t>
        </is>
      </c>
      <c r="L268" s="6" t="n"/>
      <c r="M268" s="6" t="n"/>
      <c r="N268" s="54">
        <f>IF(GETPIVOTDATA(" Shares",A270)=0,"N/A",(GETPIVOTDATA(" BEcap",A270)-GETPIVOTDATA(" NetPrem",A270))/GETPIVOTDATA(" Shares",A270))</f>
        <v/>
      </c>
    </row>
    <row r="269">
      <c r="K269" s="6" t="inlineStr">
        <is>
          <t>Required Capital =</t>
        </is>
      </c>
      <c r="L269" s="6" t="n"/>
      <c r="M269" s="6" t="n"/>
      <c r="N269" s="54">
        <f>GETPIVOTDATA(" OpenCap",A270)</f>
        <v/>
      </c>
    </row>
    <row r="270">
      <c r="J270" s="28" t="inlineStr">
        <is>
          <t>Values</t>
        </is>
      </c>
    </row>
    <row r="271">
      <c r="A271" s="28" t="inlineStr">
        <is>
          <t>SYM</t>
        </is>
      </c>
      <c r="B271" s="28" t="inlineStr">
        <is>
          <t>Leg</t>
        </is>
      </c>
      <c r="C271" s="28" t="inlineStr">
        <is>
          <t>TransType</t>
        </is>
      </c>
      <c r="D271" s="28" t="inlineStr">
        <is>
          <t>Strike</t>
        </is>
      </c>
      <c r="E271" s="28" t="inlineStr">
        <is>
          <t>#Contracts</t>
        </is>
      </c>
      <c r="F271" s="28" t="inlineStr">
        <is>
          <t>OpenDate</t>
        </is>
      </c>
      <c r="G271" s="28" t="inlineStr">
        <is>
          <t>CloseDate</t>
        </is>
      </c>
      <c r="H271" s="28" t="inlineStr">
        <is>
          <t>ExpDate</t>
        </is>
      </c>
      <c r="I271" s="28" t="inlineStr">
        <is>
          <t>Days</t>
        </is>
      </c>
      <c r="J271" s="52" t="inlineStr">
        <is>
          <t xml:space="preserve"> NetPrem</t>
        </is>
      </c>
      <c r="K271" t="inlineStr">
        <is>
          <t xml:space="preserve"> CapDays</t>
        </is>
      </c>
      <c r="L271" t="inlineStr">
        <is>
          <t xml:space="preserve"> OpenCap</t>
        </is>
      </c>
      <c r="M271" t="inlineStr">
        <is>
          <t xml:space="preserve"> BEcap</t>
        </is>
      </c>
      <c r="N271" t="inlineStr">
        <is>
          <t xml:space="preserve"> Shares</t>
        </is>
      </c>
    </row>
    <row r="272">
      <c r="A272" t="inlineStr">
        <is>
          <t>Sold 2 AMD Jun 18 2021 70.0 Put @ 1.39</t>
        </is>
      </c>
      <c r="B272" t="n">
        <v>1</v>
      </c>
      <c r="C272" t="inlineStr">
        <is>
          <t>SP</t>
        </is>
      </c>
      <c r="D272" t="n">
        <v>70</v>
      </c>
      <c r="E272" t="n">
        <v>2</v>
      </c>
      <c r="F272" s="2" t="n">
        <v>44333</v>
      </c>
      <c r="G272" s="2" t="n">
        <v>44342</v>
      </c>
      <c r="H272" s="2" t="n">
        <v>44365</v>
      </c>
      <c r="I272" s="11" t="n">
        <v>9</v>
      </c>
      <c r="J272" s="52" t="n">
        <v>276.67</v>
      </c>
      <c r="K272" t="n">
        <v>126000</v>
      </c>
      <c r="L272" t="n">
        <v>0</v>
      </c>
      <c r="M272" t="n">
        <v>0</v>
      </c>
      <c r="N272" t="n">
        <v>0</v>
      </c>
    </row>
    <row r="273">
      <c r="A273" t="inlineStr">
        <is>
          <t>Bought 1 AMD Jun 18 2021 70.0 Put @ 0.36</t>
        </is>
      </c>
      <c r="B273" t="n">
        <v>2</v>
      </c>
      <c r="C273" t="inlineStr">
        <is>
          <t>SP</t>
        </is>
      </c>
      <c r="D273" t="n">
        <v>70</v>
      </c>
      <c r="E273" t="n">
        <v>1</v>
      </c>
      <c r="F273" s="2" t="n">
        <v>44342</v>
      </c>
      <c r="G273" s="2" t="n">
        <v>44342</v>
      </c>
      <c r="H273" s="2" t="n">
        <v>44365</v>
      </c>
      <c r="I273" s="11" t="n">
        <v>1</v>
      </c>
      <c r="J273" s="52" t="n">
        <v>-36.66</v>
      </c>
      <c r="K273" t="n">
        <v>7000</v>
      </c>
      <c r="L273" t="n">
        <v>0</v>
      </c>
      <c r="M273" t="n">
        <v>0</v>
      </c>
      <c r="N273" t="n">
        <v>0</v>
      </c>
    </row>
    <row r="274">
      <c r="B274" t="n">
        <v>3</v>
      </c>
      <c r="C274" t="inlineStr">
        <is>
          <t>SP</t>
        </is>
      </c>
      <c r="D274" t="n">
        <v>70</v>
      </c>
      <c r="E274" t="n">
        <v>1</v>
      </c>
      <c r="F274" s="2" t="n">
        <v>44342</v>
      </c>
      <c r="G274" s="2" t="n">
        <v>44342</v>
      </c>
      <c r="H274" s="2" t="n">
        <v>44365</v>
      </c>
      <c r="I274" s="11" t="n">
        <v>1</v>
      </c>
      <c r="J274" s="52" t="n">
        <v>-36.67</v>
      </c>
      <c r="K274" t="n">
        <v>7000</v>
      </c>
      <c r="L274" t="n">
        <v>0</v>
      </c>
      <c r="M274" t="n">
        <v>0</v>
      </c>
      <c r="N274" t="n">
        <v>0</v>
      </c>
    </row>
    <row r="275">
      <c r="A275" t="inlineStr">
        <is>
          <t>Grand Total</t>
        </is>
      </c>
      <c r="J275" s="52" t="n">
        <v>203.34</v>
      </c>
      <c r="K275" t="n">
        <v>140000</v>
      </c>
      <c r="L275" t="n">
        <v>0</v>
      </c>
      <c r="M275" t="n">
        <v>0</v>
      </c>
      <c r="N275" t="n">
        <v>0</v>
      </c>
    </row>
    <row r="279">
      <c r="K279" s="6" t="inlineStr">
        <is>
          <t>Annualized ROI =</t>
        </is>
      </c>
      <c r="L279" s="6" t="n"/>
      <c r="M279" s="6" t="n"/>
      <c r="N279" s="7">
        <f>365*GETPIVOTDATA(" NetPrem",$A282)/GETPIVOTDATA(" CapDays",A282)</f>
        <v/>
      </c>
    </row>
    <row r="280">
      <c r="A280" t="inlineStr">
        <is>
          <t>Trade#</t>
        </is>
      </c>
      <c r="B280" s="5" t="n">
        <v>24</v>
      </c>
      <c r="K280" s="6" t="inlineStr">
        <is>
          <t>Break Even =</t>
        </is>
      </c>
      <c r="L280" s="6" t="n"/>
      <c r="M280" s="6" t="n"/>
      <c r="N280" s="54">
        <f>IF(GETPIVOTDATA(" Shares",A282)=0,"N/A",(GETPIVOTDATA(" BEcap",A282)-GETPIVOTDATA(" NetPrem",A282))/GETPIVOTDATA(" Shares",A282))</f>
        <v/>
      </c>
    </row>
    <row r="281">
      <c r="K281" s="6" t="inlineStr">
        <is>
          <t>Required Capital =</t>
        </is>
      </c>
      <c r="L281" s="6" t="n"/>
      <c r="M281" s="6" t="n"/>
      <c r="N281" s="54">
        <f>GETPIVOTDATA(" OpenCap",A282)</f>
        <v/>
      </c>
    </row>
    <row r="282">
      <c r="J282" s="28" t="inlineStr">
        <is>
          <t>Values</t>
        </is>
      </c>
    </row>
    <row r="283">
      <c r="A283" s="28" t="inlineStr">
        <is>
          <t>SYM</t>
        </is>
      </c>
      <c r="B283" s="28" t="inlineStr">
        <is>
          <t>Leg</t>
        </is>
      </c>
      <c r="C283" s="28" t="inlineStr">
        <is>
          <t>TransType</t>
        </is>
      </c>
      <c r="D283" s="28" t="inlineStr">
        <is>
          <t>Strike</t>
        </is>
      </c>
      <c r="E283" s="28" t="inlineStr">
        <is>
          <t>#Contracts</t>
        </is>
      </c>
      <c r="F283" s="28" t="inlineStr">
        <is>
          <t>OpenDate</t>
        </is>
      </c>
      <c r="G283" s="28" t="inlineStr">
        <is>
          <t>CloseDate</t>
        </is>
      </c>
      <c r="H283" s="28" t="inlineStr">
        <is>
          <t>ExpDate</t>
        </is>
      </c>
      <c r="I283" s="28" t="inlineStr">
        <is>
          <t>Days</t>
        </is>
      </c>
      <c r="J283" s="52" t="inlineStr">
        <is>
          <t xml:space="preserve"> NetPrem</t>
        </is>
      </c>
      <c r="K283" t="inlineStr">
        <is>
          <t xml:space="preserve"> CapDays</t>
        </is>
      </c>
      <c r="L283" t="inlineStr">
        <is>
          <t xml:space="preserve"> OpenCap</t>
        </is>
      </c>
      <c r="M283" t="inlineStr">
        <is>
          <t xml:space="preserve"> BEcap</t>
        </is>
      </c>
      <c r="N283" t="inlineStr">
        <is>
          <t xml:space="preserve"> Shares</t>
        </is>
      </c>
    </row>
    <row r="284">
      <c r="A284" t="inlineStr">
        <is>
          <t>Sold 1 NRG Jun 18 2021 33.0 Put @ 0.94</t>
        </is>
      </c>
      <c r="B284" t="n">
        <v>1</v>
      </c>
      <c r="C284" t="inlineStr">
        <is>
          <t>SP</t>
        </is>
      </c>
      <c r="D284" t="n">
        <v>33</v>
      </c>
      <c r="E284" t="n">
        <v>1</v>
      </c>
      <c r="F284" s="2" t="n">
        <v>44333</v>
      </c>
      <c r="G284" s="2" t="n">
        <v>44358</v>
      </c>
      <c r="H284" s="2" t="n">
        <v>44365</v>
      </c>
      <c r="I284" s="11" t="n">
        <v>25</v>
      </c>
      <c r="J284" s="52" t="n">
        <v>93.34</v>
      </c>
      <c r="K284" t="n">
        <v>82500</v>
      </c>
      <c r="L284" t="n">
        <v>0</v>
      </c>
      <c r="M284" t="n">
        <v>0</v>
      </c>
      <c r="N284" t="n">
        <v>0</v>
      </c>
    </row>
    <row r="285">
      <c r="A285" t="inlineStr">
        <is>
          <t>Sold 2 NRG Jun 18 2021 33.0 Put @ 0.94</t>
        </is>
      </c>
      <c r="B285" t="n">
        <v>2</v>
      </c>
      <c r="C285" t="inlineStr">
        <is>
          <t>SP</t>
        </is>
      </c>
      <c r="D285" t="n">
        <v>33</v>
      </c>
      <c r="E285" t="n">
        <v>2</v>
      </c>
      <c r="F285" s="2" t="n">
        <v>44333</v>
      </c>
      <c r="G285" s="2" t="n">
        <v>44358</v>
      </c>
      <c r="H285" s="2" t="n">
        <v>44365</v>
      </c>
      <c r="I285" s="11" t="n">
        <v>25</v>
      </c>
      <c r="J285" s="52" t="n">
        <v>186.66</v>
      </c>
      <c r="K285" t="n">
        <v>165000</v>
      </c>
      <c r="L285" t="n">
        <v>0</v>
      </c>
      <c r="M285" t="n">
        <v>0</v>
      </c>
      <c r="N285" t="n">
        <v>0</v>
      </c>
    </row>
    <row r="286">
      <c r="A286" t="inlineStr">
        <is>
          <t>Bought 3 NRG Jun 18 2021 33.0 Put @ 0.1</t>
        </is>
      </c>
      <c r="B286" t="n">
        <v>3</v>
      </c>
      <c r="C286" t="inlineStr">
        <is>
          <t>SP</t>
        </is>
      </c>
      <c r="D286" t="n">
        <v>33</v>
      </c>
      <c r="E286" t="n">
        <v>3</v>
      </c>
      <c r="F286" s="2" t="n">
        <v>44358</v>
      </c>
      <c r="G286" s="2" t="n">
        <v>44358</v>
      </c>
      <c r="H286" s="2" t="n">
        <v>44365</v>
      </c>
      <c r="I286" s="11" t="n">
        <v>1</v>
      </c>
      <c r="J286" s="52" t="n">
        <v>-31.99</v>
      </c>
      <c r="K286" t="n">
        <v>9900</v>
      </c>
      <c r="L286" t="n">
        <v>0</v>
      </c>
      <c r="M286" t="n">
        <v>0</v>
      </c>
      <c r="N286" t="n">
        <v>0</v>
      </c>
    </row>
    <row r="287">
      <c r="A287" t="inlineStr">
        <is>
          <t>Grand Total</t>
        </is>
      </c>
      <c r="J287" s="52" t="n">
        <v>248.01</v>
      </c>
      <c r="K287" t="n">
        <v>257400</v>
      </c>
      <c r="L287" t="n">
        <v>0</v>
      </c>
      <c r="M287" t="n">
        <v>0</v>
      </c>
      <c r="N287" t="n">
        <v>0</v>
      </c>
    </row>
    <row r="293">
      <c r="K293" s="6" t="inlineStr">
        <is>
          <t>Annualized ROI =</t>
        </is>
      </c>
      <c r="L293" s="6" t="n"/>
      <c r="M293" s="6" t="n"/>
      <c r="N293" s="7">
        <f>365*GETPIVOTDATA(" NetPrem",$A296)/GETPIVOTDATA(" CapDays",A296)</f>
        <v/>
      </c>
    </row>
    <row r="294">
      <c r="A294" t="inlineStr">
        <is>
          <t>Trade#</t>
        </is>
      </c>
      <c r="B294" s="5" t="n">
        <v>25</v>
      </c>
      <c r="K294" s="6" t="inlineStr">
        <is>
          <t>Break Even =</t>
        </is>
      </c>
      <c r="L294" s="6" t="n"/>
      <c r="M294" s="6" t="n"/>
      <c r="N294" s="54">
        <f>IF(GETPIVOTDATA(" Shares",A296)=0,"N/A",(GETPIVOTDATA(" BEcap",A296)-GETPIVOTDATA(" NetPrem",A296))/GETPIVOTDATA(" Shares",A296))</f>
        <v/>
      </c>
    </row>
    <row r="295">
      <c r="K295" s="6" t="inlineStr">
        <is>
          <t>Required Capital =</t>
        </is>
      </c>
      <c r="L295" s="6" t="n"/>
      <c r="M295" s="6" t="n"/>
      <c r="N295" s="54">
        <f>GETPIVOTDATA(" OpenCap",A296)</f>
        <v/>
      </c>
    </row>
    <row r="296">
      <c r="J296" s="28" t="inlineStr">
        <is>
          <t>Values</t>
        </is>
      </c>
    </row>
    <row r="297">
      <c r="A297" s="28" t="inlineStr">
        <is>
          <t>SYM</t>
        </is>
      </c>
      <c r="B297" s="28" t="inlineStr">
        <is>
          <t>Leg</t>
        </is>
      </c>
      <c r="C297" s="28" t="inlineStr">
        <is>
          <t>TransType</t>
        </is>
      </c>
      <c r="D297" s="28" t="inlineStr">
        <is>
          <t>Strike</t>
        </is>
      </c>
      <c r="E297" s="28" t="inlineStr">
        <is>
          <t>#Contracts</t>
        </is>
      </c>
      <c r="F297" s="28" t="inlineStr">
        <is>
          <t>OpenDate</t>
        </is>
      </c>
      <c r="G297" s="28" t="inlineStr">
        <is>
          <t>CloseDate</t>
        </is>
      </c>
      <c r="H297" s="28" t="inlineStr">
        <is>
          <t>ExpDate</t>
        </is>
      </c>
      <c r="I297" s="28" t="inlineStr">
        <is>
          <t>Days</t>
        </is>
      </c>
      <c r="J297" s="52" t="inlineStr">
        <is>
          <t xml:space="preserve"> NetPrem</t>
        </is>
      </c>
      <c r="K297" t="inlineStr">
        <is>
          <t xml:space="preserve"> CapDays</t>
        </is>
      </c>
      <c r="L297" t="inlineStr">
        <is>
          <t xml:space="preserve"> OpenCap</t>
        </is>
      </c>
      <c r="M297" t="inlineStr">
        <is>
          <t xml:space="preserve"> BEcap</t>
        </is>
      </c>
      <c r="N297" t="inlineStr">
        <is>
          <t xml:space="preserve"> Shares</t>
        </is>
      </c>
    </row>
    <row r="298">
      <c r="A298" t="inlineStr">
        <is>
          <t>Sold 2 IRBT Jun 11 2021 91.0 Put @ 2.65</t>
        </is>
      </c>
      <c r="B298" t="n">
        <v>1</v>
      </c>
      <c r="C298" t="inlineStr">
        <is>
          <t>SP</t>
        </is>
      </c>
      <c r="D298" t="n">
        <v>91</v>
      </c>
      <c r="E298" t="n">
        <v>2</v>
      </c>
      <c r="F298" s="2" t="n">
        <v>44333</v>
      </c>
      <c r="G298" s="2" t="n">
        <v>44358</v>
      </c>
      <c r="H298" s="2" t="n">
        <v>44358</v>
      </c>
      <c r="I298" s="11" t="n">
        <v>25</v>
      </c>
      <c r="J298" s="52" t="n">
        <v>528.67</v>
      </c>
      <c r="K298" t="n">
        <v>455000</v>
      </c>
      <c r="L298" t="n">
        <v>0</v>
      </c>
      <c r="M298" t="n">
        <v>0</v>
      </c>
      <c r="N298" t="n">
        <v>0</v>
      </c>
    </row>
    <row r="299">
      <c r="A299" t="inlineStr">
        <is>
          <t>Bought 2 IRBT Jun 11 2021 91.0 Put @ 0.1</t>
        </is>
      </c>
      <c r="B299" t="n">
        <v>2</v>
      </c>
      <c r="C299" t="inlineStr">
        <is>
          <t>SP</t>
        </is>
      </c>
      <c r="D299" t="n">
        <v>91</v>
      </c>
      <c r="E299" t="n">
        <v>2</v>
      </c>
      <c r="F299" s="2" t="n">
        <v>44358</v>
      </c>
      <c r="G299" s="2" t="n">
        <v>44358</v>
      </c>
      <c r="H299" s="2" t="n">
        <v>44358</v>
      </c>
      <c r="I299" s="11" t="n">
        <v>1</v>
      </c>
      <c r="J299" s="52" t="n">
        <v>-21.33</v>
      </c>
      <c r="K299" t="n">
        <v>18200</v>
      </c>
      <c r="L299" t="n">
        <v>0</v>
      </c>
      <c r="M299" t="n">
        <v>0</v>
      </c>
      <c r="N299" t="n">
        <v>0</v>
      </c>
    </row>
    <row r="300">
      <c r="A300" t="inlineStr">
        <is>
          <t>Grand Total</t>
        </is>
      </c>
      <c r="J300" s="52" t="n">
        <v>507.34</v>
      </c>
      <c r="K300" t="n">
        <v>473200</v>
      </c>
      <c r="L300" t="n">
        <v>0</v>
      </c>
      <c r="M300" t="n">
        <v>0</v>
      </c>
      <c r="N300" t="n">
        <v>0</v>
      </c>
    </row>
    <row r="305">
      <c r="K305" s="6" t="inlineStr">
        <is>
          <t>Annualized ROI =</t>
        </is>
      </c>
      <c r="L305" s="6" t="n"/>
      <c r="M305" s="6" t="n"/>
      <c r="N305" s="7">
        <f>365*GETPIVOTDATA(" NetPrem",$A308)/GETPIVOTDATA(" CapDays",A308)</f>
        <v/>
      </c>
    </row>
    <row r="306">
      <c r="A306" t="inlineStr">
        <is>
          <t>Trade#</t>
        </is>
      </c>
      <c r="B306" s="5" t="n">
        <v>26</v>
      </c>
      <c r="K306" s="6" t="inlineStr">
        <is>
          <t>Break Even =</t>
        </is>
      </c>
      <c r="L306" s="6" t="n"/>
      <c r="M306" s="6" t="n"/>
      <c r="N306" s="54">
        <f>IF(GETPIVOTDATA(" Shares",A308)=0,"N/A",(GETPIVOTDATA(" BEcap",A308)-GETPIVOTDATA(" NetPrem",A308))/GETPIVOTDATA(" Shares",A308))</f>
        <v/>
      </c>
    </row>
    <row r="307">
      <c r="K307" s="6" t="inlineStr">
        <is>
          <t>Required Capital =</t>
        </is>
      </c>
      <c r="L307" s="6" t="n"/>
      <c r="M307" s="6" t="n"/>
      <c r="N307" s="54">
        <f>GETPIVOTDATA(" OpenCap",A308)</f>
        <v/>
      </c>
    </row>
    <row r="308">
      <c r="J308" s="28" t="inlineStr">
        <is>
          <t>Values</t>
        </is>
      </c>
    </row>
    <row r="309">
      <c r="A309" s="28" t="inlineStr">
        <is>
          <t>SYM</t>
        </is>
      </c>
      <c r="B309" s="28" t="inlineStr">
        <is>
          <t>Leg</t>
        </is>
      </c>
      <c r="C309" s="28" t="inlineStr">
        <is>
          <t>TransType</t>
        </is>
      </c>
      <c r="D309" s="28" t="inlineStr">
        <is>
          <t>Strike</t>
        </is>
      </c>
      <c r="E309" s="28" t="inlineStr">
        <is>
          <t>#Contracts</t>
        </is>
      </c>
      <c r="F309" s="28" t="inlineStr">
        <is>
          <t>OpenDate</t>
        </is>
      </c>
      <c r="G309" s="28" t="inlineStr">
        <is>
          <t>CloseDate</t>
        </is>
      </c>
      <c r="H309" s="28" t="inlineStr">
        <is>
          <t>ExpDate</t>
        </is>
      </c>
      <c r="I309" s="28" t="inlineStr">
        <is>
          <t>Days</t>
        </is>
      </c>
      <c r="J309" s="52" t="inlineStr">
        <is>
          <t xml:space="preserve"> NetPrem</t>
        </is>
      </c>
      <c r="K309" t="inlineStr">
        <is>
          <t xml:space="preserve"> CapDays</t>
        </is>
      </c>
      <c r="L309" t="inlineStr">
        <is>
          <t xml:space="preserve"> OpenCap</t>
        </is>
      </c>
      <c r="M309" t="inlineStr">
        <is>
          <t xml:space="preserve"> BEcap</t>
        </is>
      </c>
      <c r="N309" t="inlineStr">
        <is>
          <t xml:space="preserve"> Shares</t>
        </is>
      </c>
    </row>
    <row r="310">
      <c r="A310" t="inlineStr">
        <is>
          <t>Sold 1 ABT Jun 18 2021 115.0 Put @ 1.27</t>
        </is>
      </c>
      <c r="B310" t="n">
        <v>1</v>
      </c>
      <c r="C310" t="inlineStr">
        <is>
          <t>SP</t>
        </is>
      </c>
      <c r="D310" t="n">
        <v>115</v>
      </c>
      <c r="E310" t="n">
        <v>1</v>
      </c>
      <c r="F310" s="2" t="n">
        <v>44340</v>
      </c>
      <c r="G310" s="2" t="n">
        <v>44355</v>
      </c>
      <c r="H310" s="2" t="n">
        <v>44365</v>
      </c>
      <c r="I310" s="11" t="n">
        <v>15</v>
      </c>
      <c r="J310" s="52" t="n">
        <v>126.34</v>
      </c>
      <c r="K310" t="n">
        <v>172500</v>
      </c>
      <c r="L310" t="n">
        <v>0</v>
      </c>
      <c r="M310" t="n">
        <v>0</v>
      </c>
      <c r="N310" t="n">
        <v>0</v>
      </c>
    </row>
    <row r="311">
      <c r="A311" t="inlineStr">
        <is>
          <t>Bought 1 ABT Jun 18 2021 115.0 Put @ 6.65</t>
        </is>
      </c>
      <c r="B311" t="n">
        <v>2</v>
      </c>
      <c r="C311" t="inlineStr">
        <is>
          <t>SP</t>
        </is>
      </c>
      <c r="D311" t="n">
        <v>115</v>
      </c>
      <c r="E311" t="n">
        <v>1</v>
      </c>
      <c r="F311" s="2" t="n">
        <v>44355</v>
      </c>
      <c r="G311" s="2" t="n">
        <v>44355</v>
      </c>
      <c r="H311" s="2" t="n">
        <v>44365</v>
      </c>
      <c r="I311" s="11" t="n">
        <v>1</v>
      </c>
      <c r="J311" s="52" t="n">
        <v>-665.66</v>
      </c>
      <c r="K311" t="n">
        <v>11500</v>
      </c>
      <c r="L311" t="n">
        <v>0</v>
      </c>
      <c r="M311" t="n">
        <v>0</v>
      </c>
      <c r="N311" t="n">
        <v>0</v>
      </c>
    </row>
    <row r="312">
      <c r="A312" t="inlineStr">
        <is>
          <t>Sold 1 ABT Aug 20 2021 115.0 Put @ 8.52</t>
        </is>
      </c>
      <c r="B312" t="n">
        <v>3</v>
      </c>
      <c r="C312" t="inlineStr">
        <is>
          <t>SP</t>
        </is>
      </c>
      <c r="D312" t="n">
        <v>115</v>
      </c>
      <c r="E312" t="n">
        <v>1</v>
      </c>
      <c r="F312" s="2" t="n">
        <v>44355</v>
      </c>
      <c r="G312" t="inlineStr">
        <is>
          <t>(blank)</t>
        </is>
      </c>
      <c r="H312" s="2" t="n">
        <v>44428</v>
      </c>
      <c r="I312" s="11" t="n">
        <v>73</v>
      </c>
      <c r="J312" s="52" t="n">
        <v>851.34</v>
      </c>
      <c r="K312" t="n">
        <v>839500</v>
      </c>
      <c r="L312" t="n">
        <v>11500</v>
      </c>
      <c r="M312" t="n">
        <v>11500</v>
      </c>
      <c r="N312" t="n">
        <v>100</v>
      </c>
    </row>
    <row r="313">
      <c r="A313" t="inlineStr">
        <is>
          <t>Grand Total</t>
        </is>
      </c>
      <c r="J313" s="52" t="n">
        <v>312.0200000000001</v>
      </c>
      <c r="K313" t="n">
        <v>1023500</v>
      </c>
      <c r="L313" t="n">
        <v>11500</v>
      </c>
      <c r="M313" t="n">
        <v>11500</v>
      </c>
      <c r="N313" t="n">
        <v>100</v>
      </c>
    </row>
    <row r="317">
      <c r="K317" s="6" t="inlineStr">
        <is>
          <t>Annualized ROI =</t>
        </is>
      </c>
      <c r="L317" s="6" t="n"/>
      <c r="M317" s="6" t="n"/>
      <c r="N317" s="7">
        <f>365*GETPIVOTDATA(" NetPrem",$A320)/GETPIVOTDATA(" CapDays",A320)</f>
        <v/>
      </c>
    </row>
    <row r="318">
      <c r="A318" t="inlineStr">
        <is>
          <t>Trade#</t>
        </is>
      </c>
      <c r="B318" s="5" t="n">
        <v>27</v>
      </c>
      <c r="K318" s="6" t="inlineStr">
        <is>
          <t>Break Even =</t>
        </is>
      </c>
      <c r="L318" s="6" t="n"/>
      <c r="M318" s="6" t="n"/>
      <c r="N318" s="54">
        <f>IF(GETPIVOTDATA(" Shares",A320)=0,"N/A",(GETPIVOTDATA(" BEcap",A320)-GETPIVOTDATA(" NetPrem",A320))/GETPIVOTDATA(" Shares",A320))</f>
        <v/>
      </c>
    </row>
    <row r="319">
      <c r="K319" s="6" t="inlineStr">
        <is>
          <t>Required Capital =</t>
        </is>
      </c>
      <c r="L319" s="6" t="n"/>
      <c r="M319" s="6" t="n"/>
      <c r="N319" s="54">
        <f>GETPIVOTDATA(" OpenCap",A320)</f>
        <v/>
      </c>
    </row>
    <row r="320">
      <c r="J320" s="28" t="inlineStr">
        <is>
          <t>Values</t>
        </is>
      </c>
    </row>
    <row r="321">
      <c r="A321" s="28" t="inlineStr">
        <is>
          <t>SYM</t>
        </is>
      </c>
      <c r="B321" s="28" t="inlineStr">
        <is>
          <t>Leg</t>
        </is>
      </c>
      <c r="C321" s="28" t="inlineStr">
        <is>
          <t>TransType</t>
        </is>
      </c>
      <c r="D321" s="28" t="inlineStr">
        <is>
          <t>Strike</t>
        </is>
      </c>
      <c r="E321" s="28" t="inlineStr">
        <is>
          <t>#Contracts</t>
        </is>
      </c>
      <c r="F321" s="28" t="inlineStr">
        <is>
          <t>OpenDate</t>
        </is>
      </c>
      <c r="G321" s="28" t="inlineStr">
        <is>
          <t>CloseDate</t>
        </is>
      </c>
      <c r="H321" s="28" t="inlineStr">
        <is>
          <t>ExpDate</t>
        </is>
      </c>
      <c r="I321" s="28" t="inlineStr">
        <is>
          <t>Days</t>
        </is>
      </c>
      <c r="J321" s="52" t="inlineStr">
        <is>
          <t xml:space="preserve"> NetPrem</t>
        </is>
      </c>
      <c r="K321" t="inlineStr">
        <is>
          <t xml:space="preserve"> CapDays</t>
        </is>
      </c>
      <c r="L321" t="inlineStr">
        <is>
          <t xml:space="preserve"> OpenCap</t>
        </is>
      </c>
      <c r="M321" t="inlineStr">
        <is>
          <t xml:space="preserve"> BEcap</t>
        </is>
      </c>
      <c r="N321" t="inlineStr">
        <is>
          <t xml:space="preserve"> Shares</t>
        </is>
      </c>
    </row>
    <row r="322">
      <c r="A322" t="inlineStr">
        <is>
          <t>Sold 10 CCL May 28 2021 27.5 Put @ 0.16</t>
        </is>
      </c>
      <c r="B322" t="n">
        <v>1</v>
      </c>
      <c r="C322" t="inlineStr">
        <is>
          <t>SP</t>
        </is>
      </c>
      <c r="D322" t="n">
        <v>27.5</v>
      </c>
      <c r="E322" t="n">
        <v>10</v>
      </c>
      <c r="F322" s="2" t="n">
        <v>44341</v>
      </c>
      <c r="G322" s="2" t="n">
        <v>44345</v>
      </c>
      <c r="H322" s="2" t="n">
        <v>44344</v>
      </c>
      <c r="I322" s="11" t="n">
        <v>4</v>
      </c>
      <c r="J322" s="52" t="n">
        <v>153.34</v>
      </c>
      <c r="K322" t="n">
        <v>110000</v>
      </c>
      <c r="L322" t="n">
        <v>0</v>
      </c>
      <c r="M322" t="n">
        <v>0</v>
      </c>
      <c r="N322" t="n">
        <v>0</v>
      </c>
    </row>
    <row r="323">
      <c r="A323" t="inlineStr">
        <is>
          <t>Grand Total</t>
        </is>
      </c>
      <c r="J323" s="52" t="n">
        <v>153.34</v>
      </c>
      <c r="K323" t="n">
        <v>110000</v>
      </c>
      <c r="L323" t="n">
        <v>0</v>
      </c>
      <c r="M323" t="n">
        <v>0</v>
      </c>
      <c r="N323" t="n">
        <v>0</v>
      </c>
    </row>
    <row r="329">
      <c r="K329" s="6" t="inlineStr">
        <is>
          <t>Annualized ROI =</t>
        </is>
      </c>
      <c r="L329" s="6" t="n"/>
      <c r="M329" s="6" t="n"/>
      <c r="N329" s="7">
        <f>365*GETPIVOTDATA(" NetPrem",$A332)/GETPIVOTDATA(" CapDays",A332)</f>
        <v/>
      </c>
    </row>
    <row r="330">
      <c r="A330" t="inlineStr">
        <is>
          <t>Trade#</t>
        </is>
      </c>
      <c r="B330" s="5" t="n">
        <v>28</v>
      </c>
      <c r="K330" s="6" t="inlineStr">
        <is>
          <t>Break Even =</t>
        </is>
      </c>
      <c r="L330" s="6" t="n"/>
      <c r="M330" s="6" t="n"/>
      <c r="N330" s="54">
        <f>IF(GETPIVOTDATA(" Shares",A332)=0,"N/A",(GETPIVOTDATA(" BEcap",A332)-GETPIVOTDATA(" NetPrem",A332))/GETPIVOTDATA(" Shares",A332))</f>
        <v/>
      </c>
    </row>
    <row r="331">
      <c r="K331" s="6" t="inlineStr">
        <is>
          <t>Required Capital =</t>
        </is>
      </c>
      <c r="L331" s="6" t="n"/>
      <c r="M331" s="6" t="n"/>
      <c r="N331" s="54">
        <f>GETPIVOTDATA(" OpenCap",A332)</f>
        <v/>
      </c>
    </row>
    <row r="332">
      <c r="J332" s="28" t="inlineStr">
        <is>
          <t>Values</t>
        </is>
      </c>
    </row>
    <row r="333">
      <c r="A333" s="28" t="inlineStr">
        <is>
          <t>SYM</t>
        </is>
      </c>
      <c r="B333" s="28" t="inlineStr">
        <is>
          <t>Leg</t>
        </is>
      </c>
      <c r="C333" s="28" t="inlineStr">
        <is>
          <t>TransType</t>
        </is>
      </c>
      <c r="D333" s="28" t="inlineStr">
        <is>
          <t>Strike</t>
        </is>
      </c>
      <c r="E333" s="28" t="inlineStr">
        <is>
          <t>#Contracts</t>
        </is>
      </c>
      <c r="F333" s="28" t="inlineStr">
        <is>
          <t>OpenDate</t>
        </is>
      </c>
      <c r="G333" s="28" t="inlineStr">
        <is>
          <t>CloseDate</t>
        </is>
      </c>
      <c r="H333" s="28" t="inlineStr">
        <is>
          <t>ExpDate</t>
        </is>
      </c>
      <c r="I333" s="28" t="inlineStr">
        <is>
          <t>Days</t>
        </is>
      </c>
      <c r="J333" s="52" t="inlineStr">
        <is>
          <t xml:space="preserve"> NetPrem</t>
        </is>
      </c>
      <c r="K333" t="inlineStr">
        <is>
          <t xml:space="preserve"> CapDays</t>
        </is>
      </c>
      <c r="L333" t="inlineStr">
        <is>
          <t xml:space="preserve"> OpenCap</t>
        </is>
      </c>
      <c r="M333" t="inlineStr">
        <is>
          <t xml:space="preserve"> BEcap</t>
        </is>
      </c>
      <c r="N333" t="inlineStr">
        <is>
          <t xml:space="preserve"> Shares</t>
        </is>
      </c>
    </row>
    <row r="334">
      <c r="A334" t="inlineStr">
        <is>
          <t>Sold 4 VIAC Jun 18 2021 40.0 Put @ 0.96</t>
        </is>
      </c>
      <c r="B334" t="n">
        <v>1</v>
      </c>
      <c r="C334" t="inlineStr">
        <is>
          <t>SP</t>
        </is>
      </c>
      <c r="D334" t="n">
        <v>40</v>
      </c>
      <c r="E334" t="n">
        <v>2</v>
      </c>
      <c r="F334" s="2" t="n">
        <v>44343</v>
      </c>
      <c r="G334" s="2" t="n">
        <v>44365</v>
      </c>
      <c r="H334" s="2" t="n">
        <v>44365</v>
      </c>
      <c r="I334" s="11" t="n">
        <v>22</v>
      </c>
      <c r="J334" s="52" t="n">
        <v>190.67</v>
      </c>
      <c r="K334" t="n">
        <v>176000</v>
      </c>
      <c r="L334" t="n">
        <v>0</v>
      </c>
      <c r="M334" t="n">
        <v>0</v>
      </c>
      <c r="N334" t="n">
        <v>0</v>
      </c>
    </row>
    <row r="335">
      <c r="A335" t="inlineStr">
        <is>
          <t>Bought 4 VIAC Jun 18 2021 40.0 Put @ 0.37</t>
        </is>
      </c>
      <c r="B335" t="n">
        <v>2</v>
      </c>
      <c r="C335" t="inlineStr">
        <is>
          <t>SP</t>
        </is>
      </c>
      <c r="D335" t="n">
        <v>40</v>
      </c>
      <c r="E335" t="n">
        <v>4</v>
      </c>
      <c r="F335" s="2" t="n">
        <v>44365</v>
      </c>
      <c r="G335" s="2" t="n">
        <v>44351</v>
      </c>
      <c r="H335" s="2" t="n">
        <v>44365</v>
      </c>
      <c r="I335" s="11" t="n">
        <v>1</v>
      </c>
      <c r="J335" s="52" t="n">
        <v>-150.66</v>
      </c>
      <c r="K335" t="n">
        <v>16000</v>
      </c>
      <c r="L335" t="n">
        <v>0</v>
      </c>
      <c r="M335" t="n">
        <v>0</v>
      </c>
      <c r="N335" t="n">
        <v>0</v>
      </c>
    </row>
    <row r="336">
      <c r="A336" t="inlineStr">
        <is>
          <t>Sold 4 VIAC Jun 25 2021 39.5 Put @ 0.76</t>
        </is>
      </c>
      <c r="B336" t="n">
        <v>3</v>
      </c>
      <c r="C336" t="inlineStr">
        <is>
          <t>SP</t>
        </is>
      </c>
      <c r="D336" t="n">
        <v>39.5</v>
      </c>
      <c r="E336" t="n">
        <v>4</v>
      </c>
      <c r="F336" s="2" t="n">
        <v>44365</v>
      </c>
      <c r="G336" s="2" t="n">
        <v>44370</v>
      </c>
      <c r="H336" s="2" t="n">
        <v>44372</v>
      </c>
      <c r="I336" s="11" t="n">
        <v>5</v>
      </c>
      <c r="J336" s="52" t="n">
        <v>301.33</v>
      </c>
      <c r="K336" t="n">
        <v>79000</v>
      </c>
      <c r="L336" t="n">
        <v>0</v>
      </c>
      <c r="M336" t="n">
        <v>0</v>
      </c>
      <c r="N336" t="n">
        <v>0</v>
      </c>
    </row>
    <row r="337">
      <c r="A337" t="inlineStr">
        <is>
          <t>Bought 4 VIAC Jun 25 2021 39.5 Put @ 0.06</t>
        </is>
      </c>
      <c r="B337" t="n">
        <v>4</v>
      </c>
      <c r="C337" t="inlineStr">
        <is>
          <t>SP</t>
        </is>
      </c>
      <c r="D337" t="n">
        <v>39.5</v>
      </c>
      <c r="E337" t="n">
        <v>4</v>
      </c>
      <c r="F337" s="2" t="n">
        <v>44370</v>
      </c>
      <c r="G337" s="2" t="n">
        <v>44370</v>
      </c>
      <c r="H337" s="2" t="n">
        <v>44372</v>
      </c>
      <c r="I337" s="11" t="n">
        <v>1</v>
      </c>
      <c r="J337" s="52" t="n">
        <v>-26.66</v>
      </c>
      <c r="K337" t="n">
        <v>15800</v>
      </c>
      <c r="L337" t="n">
        <v>0</v>
      </c>
      <c r="M337" t="n">
        <v>0</v>
      </c>
      <c r="N337" t="n">
        <v>0</v>
      </c>
    </row>
    <row r="338">
      <c r="A338" t="inlineStr">
        <is>
          <t>Grand Total</t>
        </is>
      </c>
      <c r="J338" s="52" t="n">
        <v>314.6799999999999</v>
      </c>
      <c r="K338" t="n">
        <v>286800</v>
      </c>
      <c r="L338" t="n">
        <v>0</v>
      </c>
      <c r="M338" t="n">
        <v>0</v>
      </c>
      <c r="N338" t="n">
        <v>0</v>
      </c>
    </row>
    <row r="342">
      <c r="K342" s="6" t="inlineStr">
        <is>
          <t>Annualized ROI =</t>
        </is>
      </c>
      <c r="L342" s="6" t="n"/>
      <c r="M342" s="6" t="n"/>
      <c r="N342" s="7">
        <f>365*GETPIVOTDATA(" NetPrem",$A345)/GETPIVOTDATA(" CapDays",A345)</f>
        <v/>
      </c>
    </row>
    <row r="343">
      <c r="A343" t="inlineStr">
        <is>
          <t>Trade#</t>
        </is>
      </c>
      <c r="B343" s="5" t="n">
        <v>29</v>
      </c>
      <c r="K343" s="6" t="inlineStr">
        <is>
          <t>Break Even =</t>
        </is>
      </c>
      <c r="L343" s="6" t="n"/>
      <c r="M343" s="6" t="n"/>
      <c r="N343" s="54">
        <f>IF(GETPIVOTDATA(" Shares",A345)=0,"N/A",(GETPIVOTDATA(" BEcap",A345)-GETPIVOTDATA(" NetPrem",A345))/GETPIVOTDATA(" Shares",A345))</f>
        <v/>
      </c>
    </row>
    <row r="344">
      <c r="K344" s="6" t="inlineStr">
        <is>
          <t>Required Capital =</t>
        </is>
      </c>
      <c r="L344" s="6" t="n"/>
      <c r="M344" s="6" t="n"/>
      <c r="N344" s="54">
        <f>GETPIVOTDATA(" OpenCap",A345)</f>
        <v/>
      </c>
    </row>
    <row r="345">
      <c r="J345" s="28" t="inlineStr">
        <is>
          <t>Values</t>
        </is>
      </c>
    </row>
    <row r="346">
      <c r="A346" s="28" t="inlineStr">
        <is>
          <t>SYM</t>
        </is>
      </c>
      <c r="B346" s="28" t="inlineStr">
        <is>
          <t>Leg</t>
        </is>
      </c>
      <c r="C346" s="28" t="inlineStr">
        <is>
          <t>TransType</t>
        </is>
      </c>
      <c r="D346" s="28" t="inlineStr">
        <is>
          <t>Strike</t>
        </is>
      </c>
      <c r="E346" s="28" t="inlineStr">
        <is>
          <t>#Contracts</t>
        </is>
      </c>
      <c r="F346" s="28" t="inlineStr">
        <is>
          <t>OpenDate</t>
        </is>
      </c>
      <c r="G346" s="28" t="inlineStr">
        <is>
          <t>CloseDate</t>
        </is>
      </c>
      <c r="H346" s="28" t="inlineStr">
        <is>
          <t>ExpDate</t>
        </is>
      </c>
      <c r="I346" s="28" t="inlineStr">
        <is>
          <t>Days</t>
        </is>
      </c>
      <c r="J346" s="52" t="inlineStr">
        <is>
          <t xml:space="preserve"> NetPrem</t>
        </is>
      </c>
      <c r="K346" t="inlineStr">
        <is>
          <t xml:space="preserve"> CapDays</t>
        </is>
      </c>
      <c r="L346" t="inlineStr">
        <is>
          <t xml:space="preserve"> OpenCap</t>
        </is>
      </c>
      <c r="M346" t="inlineStr">
        <is>
          <t xml:space="preserve"> BEcap</t>
        </is>
      </c>
      <c r="N346" t="inlineStr">
        <is>
          <t xml:space="preserve"> Shares</t>
        </is>
      </c>
    </row>
    <row r="347">
      <c r="A347" t="inlineStr">
        <is>
          <t>Sold 4 WBA Jun 04 2021 52.0 Put @ 0.34</t>
        </is>
      </c>
      <c r="B347" t="n">
        <v>1</v>
      </c>
      <c r="C347" t="inlineStr">
        <is>
          <t>SP</t>
        </is>
      </c>
      <c r="D347" t="n">
        <v>52</v>
      </c>
      <c r="E347" t="n">
        <v>4</v>
      </c>
      <c r="F347" s="2" t="n">
        <v>44343</v>
      </c>
      <c r="G347" s="2" t="n">
        <v>44351</v>
      </c>
      <c r="H347" s="2" t="n">
        <v>44351</v>
      </c>
      <c r="I347" s="11" t="n">
        <v>8</v>
      </c>
      <c r="J347" s="52" t="n">
        <v>133.33</v>
      </c>
      <c r="K347" t="n">
        <v>166400</v>
      </c>
      <c r="L347" t="n">
        <v>0</v>
      </c>
      <c r="M347" t="n">
        <v>0</v>
      </c>
      <c r="N347" t="n">
        <v>0</v>
      </c>
    </row>
    <row r="348">
      <c r="A348" t="inlineStr">
        <is>
          <t>Grand Total</t>
        </is>
      </c>
      <c r="J348" s="52" t="n">
        <v>133.33</v>
      </c>
      <c r="K348" t="n">
        <v>166400</v>
      </c>
      <c r="L348" t="n">
        <v>0</v>
      </c>
      <c r="M348" t="n">
        <v>0</v>
      </c>
      <c r="N348" t="n">
        <v>0</v>
      </c>
    </row>
    <row r="354">
      <c r="K354" s="6" t="inlineStr">
        <is>
          <t>Annualized ROI =</t>
        </is>
      </c>
      <c r="L354" s="6" t="n"/>
      <c r="M354" s="6" t="n"/>
      <c r="N354" s="7">
        <f>365*GETPIVOTDATA(" NetPrem",$A357)/GETPIVOTDATA(" CapDays",A357)</f>
        <v/>
      </c>
    </row>
    <row r="355">
      <c r="A355" t="inlineStr">
        <is>
          <t>Trade#</t>
        </is>
      </c>
      <c r="B355" s="5" t="n">
        <v>30</v>
      </c>
      <c r="K355" s="6" t="inlineStr">
        <is>
          <t>Break Even =</t>
        </is>
      </c>
      <c r="L355" s="6" t="n"/>
      <c r="M355" s="6" t="n"/>
      <c r="N355" s="54">
        <f>IF(GETPIVOTDATA(" Shares",A357)=0,"N/A",(GETPIVOTDATA(" BEcap",A357)-GETPIVOTDATA(" NetPrem",A357))/GETPIVOTDATA(" Shares",A357))</f>
        <v/>
      </c>
    </row>
    <row r="356">
      <c r="K356" s="6" t="inlineStr">
        <is>
          <t>Required Capital =</t>
        </is>
      </c>
      <c r="L356" s="6" t="n"/>
      <c r="M356" s="6" t="n"/>
      <c r="N356" s="54">
        <f>GETPIVOTDATA(" OpenCap",A357)</f>
        <v/>
      </c>
    </row>
    <row r="357">
      <c r="J357" s="28" t="inlineStr">
        <is>
          <t>Values</t>
        </is>
      </c>
    </row>
    <row r="358">
      <c r="A358" s="28" t="inlineStr">
        <is>
          <t>SYM</t>
        </is>
      </c>
      <c r="B358" s="28" t="inlineStr">
        <is>
          <t>Leg</t>
        </is>
      </c>
      <c r="C358" s="28" t="inlineStr">
        <is>
          <t>TransType</t>
        </is>
      </c>
      <c r="D358" s="28" t="inlineStr">
        <is>
          <t>Strike</t>
        </is>
      </c>
      <c r="E358" s="28" t="inlineStr">
        <is>
          <t>#Contracts</t>
        </is>
      </c>
      <c r="F358" s="28" t="inlineStr">
        <is>
          <t>OpenDate</t>
        </is>
      </c>
      <c r="G358" s="28" t="inlineStr">
        <is>
          <t>CloseDate</t>
        </is>
      </c>
      <c r="H358" s="28" t="inlineStr">
        <is>
          <t>ExpDate</t>
        </is>
      </c>
      <c r="I358" s="28" t="inlineStr">
        <is>
          <t>Days</t>
        </is>
      </c>
      <c r="J358" s="52" t="inlineStr">
        <is>
          <t xml:space="preserve"> NetPrem</t>
        </is>
      </c>
      <c r="K358" t="inlineStr">
        <is>
          <t xml:space="preserve"> CapDays</t>
        </is>
      </c>
      <c r="L358" t="inlineStr">
        <is>
          <t xml:space="preserve"> OpenCap</t>
        </is>
      </c>
      <c r="M358" t="inlineStr">
        <is>
          <t xml:space="preserve"> BEcap</t>
        </is>
      </c>
      <c r="N358" t="inlineStr">
        <is>
          <t xml:space="preserve"> Shares</t>
        </is>
      </c>
    </row>
    <row r="359">
      <c r="A359" t="inlineStr">
        <is>
          <t>Sold 2 DLTR Jun 04 2021 100.0 Put @ 0.97</t>
        </is>
      </c>
      <c r="B359" t="n">
        <v>1</v>
      </c>
      <c r="C359" t="inlineStr">
        <is>
          <t>SP</t>
        </is>
      </c>
      <c r="D359" t="n">
        <v>100</v>
      </c>
      <c r="E359" t="n">
        <v>2</v>
      </c>
      <c r="F359" s="2" t="n">
        <v>44343</v>
      </c>
      <c r="G359" s="2" t="n">
        <v>44351</v>
      </c>
      <c r="H359" s="2" t="n">
        <v>44351</v>
      </c>
      <c r="I359" s="11" t="n">
        <v>8</v>
      </c>
      <c r="J359" s="52" t="n">
        <v>192.67</v>
      </c>
      <c r="K359" t="n">
        <v>160000</v>
      </c>
      <c r="L359" t="n">
        <v>0</v>
      </c>
      <c r="M359" t="n">
        <v>0</v>
      </c>
      <c r="N359" t="n">
        <v>0</v>
      </c>
    </row>
    <row r="360">
      <c r="A360" t="inlineStr">
        <is>
          <t>Grand Total</t>
        </is>
      </c>
      <c r="J360" s="52" t="n">
        <v>192.67</v>
      </c>
      <c r="K360" t="n">
        <v>160000</v>
      </c>
      <c r="L360" t="n">
        <v>0</v>
      </c>
      <c r="M360" t="n">
        <v>0</v>
      </c>
      <c r="N360" t="n">
        <v>0</v>
      </c>
    </row>
    <row r="366">
      <c r="K366" s="6" t="inlineStr">
        <is>
          <t>Annualized ROI =</t>
        </is>
      </c>
      <c r="L366" s="6" t="n"/>
      <c r="M366" s="6" t="n"/>
      <c r="N366" s="7">
        <f>365*GETPIVOTDATA(" NetPrem",$A369)/GETPIVOTDATA(" CapDays",A369)</f>
        <v/>
      </c>
    </row>
    <row r="367">
      <c r="A367" t="inlineStr">
        <is>
          <t>Trade#</t>
        </is>
      </c>
      <c r="B367" s="5" t="n">
        <v>31</v>
      </c>
      <c r="K367" s="6" t="inlineStr">
        <is>
          <t>Break Even =</t>
        </is>
      </c>
      <c r="L367" s="6" t="n"/>
      <c r="M367" s="6" t="n"/>
      <c r="N367" s="54">
        <f>IF(GETPIVOTDATA(" Shares",A369)=0,"N/A",(GETPIVOTDATA(" BEcap",A369)-GETPIVOTDATA(" NetPrem",A369))/GETPIVOTDATA(" Shares",A369))</f>
        <v/>
      </c>
    </row>
    <row r="368">
      <c r="K368" s="6" t="inlineStr">
        <is>
          <t>Required Capital =</t>
        </is>
      </c>
      <c r="L368" s="6" t="n"/>
      <c r="M368" s="6" t="n"/>
      <c r="N368" s="54">
        <f>GETPIVOTDATA(" OpenCap",A369)</f>
        <v/>
      </c>
    </row>
    <row r="369">
      <c r="J369" s="28" t="inlineStr">
        <is>
          <t>Values</t>
        </is>
      </c>
    </row>
    <row r="370">
      <c r="A370" s="28" t="inlineStr">
        <is>
          <t>SYM</t>
        </is>
      </c>
      <c r="B370" s="28" t="inlineStr">
        <is>
          <t>Leg</t>
        </is>
      </c>
      <c r="C370" s="28" t="inlineStr">
        <is>
          <t>TransType</t>
        </is>
      </c>
      <c r="D370" s="28" t="inlineStr">
        <is>
          <t>Strike</t>
        </is>
      </c>
      <c r="E370" s="28" t="inlineStr">
        <is>
          <t>#Contracts</t>
        </is>
      </c>
      <c r="F370" s="28" t="inlineStr">
        <is>
          <t>OpenDate</t>
        </is>
      </c>
      <c r="G370" s="28" t="inlineStr">
        <is>
          <t>CloseDate</t>
        </is>
      </c>
      <c r="H370" s="28" t="inlineStr">
        <is>
          <t>ExpDate</t>
        </is>
      </c>
      <c r="I370" s="28" t="inlineStr">
        <is>
          <t>Days</t>
        </is>
      </c>
      <c r="J370" s="52" t="inlineStr">
        <is>
          <t xml:space="preserve"> NetPrem</t>
        </is>
      </c>
      <c r="K370" t="inlineStr">
        <is>
          <t xml:space="preserve"> CapDays</t>
        </is>
      </c>
      <c r="L370" t="inlineStr">
        <is>
          <t xml:space="preserve"> OpenCap</t>
        </is>
      </c>
      <c r="M370" t="inlineStr">
        <is>
          <t xml:space="preserve"> BEcap</t>
        </is>
      </c>
      <c r="N370" t="inlineStr">
        <is>
          <t xml:space="preserve"> Shares</t>
        </is>
      </c>
    </row>
    <row r="371">
      <c r="A371" t="inlineStr">
        <is>
          <t>Sold 3 BIG Jun 18 2021 62.5 Put @ 2.85</t>
        </is>
      </c>
      <c r="B371" t="n">
        <v>1</v>
      </c>
      <c r="C371" t="inlineStr">
        <is>
          <t>SP</t>
        </is>
      </c>
      <c r="D371" t="n">
        <v>62.5</v>
      </c>
      <c r="E371" t="n">
        <v>3</v>
      </c>
      <c r="F371" s="2" t="n">
        <v>44348</v>
      </c>
      <c r="G371" s="2" t="n">
        <v>44356</v>
      </c>
      <c r="H371" s="2" t="n">
        <v>44365</v>
      </c>
      <c r="I371" s="11" t="n">
        <v>8</v>
      </c>
      <c r="J371" s="52" t="n">
        <v>853</v>
      </c>
      <c r="K371" t="n">
        <v>150000</v>
      </c>
      <c r="L371" t="n">
        <v>0</v>
      </c>
      <c r="M371" t="n">
        <v>0</v>
      </c>
      <c r="N371" t="n">
        <v>0</v>
      </c>
    </row>
    <row r="372">
      <c r="A372" t="inlineStr">
        <is>
          <t>Sold 2 BIG Jun 18 2021 62.5 Put @ 1.8</t>
        </is>
      </c>
      <c r="B372" t="n">
        <v>2</v>
      </c>
      <c r="C372" t="inlineStr">
        <is>
          <t>SP</t>
        </is>
      </c>
      <c r="D372" t="n">
        <v>62.5</v>
      </c>
      <c r="E372" t="n">
        <v>2</v>
      </c>
      <c r="F372" s="2" t="n">
        <v>44350</v>
      </c>
      <c r="G372" s="2" t="n">
        <v>44356</v>
      </c>
      <c r="H372" s="2" t="n">
        <v>44365</v>
      </c>
      <c r="I372" s="11" t="n">
        <v>6</v>
      </c>
      <c r="J372" s="52" t="n">
        <v>358.67</v>
      </c>
      <c r="K372" t="n">
        <v>75000</v>
      </c>
      <c r="L372" t="n">
        <v>0</v>
      </c>
      <c r="M372" t="n">
        <v>0</v>
      </c>
      <c r="N372" t="n">
        <v>0</v>
      </c>
    </row>
    <row r="373">
      <c r="A373" t="inlineStr">
        <is>
          <t>Sold 2 BIG Jun 18 2021 62.5 Put @ 1.05</t>
        </is>
      </c>
      <c r="B373" t="n">
        <v>3</v>
      </c>
      <c r="C373" t="inlineStr">
        <is>
          <t>SP</t>
        </is>
      </c>
      <c r="D373" t="n">
        <v>62.5</v>
      </c>
      <c r="E373" t="n">
        <v>2</v>
      </c>
      <c r="F373" s="2" t="n">
        <v>44354</v>
      </c>
      <c r="G373" s="2" t="n">
        <v>44356</v>
      </c>
      <c r="H373" s="2" t="n">
        <v>44365</v>
      </c>
      <c r="I373" s="11" t="n">
        <v>2</v>
      </c>
      <c r="J373" s="52" t="n">
        <v>104.34</v>
      </c>
      <c r="K373" t="n">
        <v>25000</v>
      </c>
      <c r="L373" t="n">
        <v>0</v>
      </c>
      <c r="M373" t="n">
        <v>0</v>
      </c>
      <c r="N373" t="n">
        <v>0</v>
      </c>
    </row>
    <row r="374">
      <c r="A374" t="inlineStr">
        <is>
          <t>Bought to Close 7 BIG Jun 18 2021 62.5 Put @ 0.2</t>
        </is>
      </c>
      <c r="B374" t="n">
        <v>4</v>
      </c>
      <c r="C374" t="inlineStr">
        <is>
          <t>SP</t>
        </is>
      </c>
      <c r="D374" t="n">
        <v>62.5</v>
      </c>
      <c r="E374" t="n">
        <v>7</v>
      </c>
      <c r="F374" s="2" t="n">
        <v>44356</v>
      </c>
      <c r="G374" s="2" t="n">
        <v>44356</v>
      </c>
      <c r="H374" s="2" t="n">
        <v>44365</v>
      </c>
      <c r="I374" s="11" t="n">
        <v>1</v>
      </c>
      <c r="J374" s="52" t="n">
        <v>-144.65</v>
      </c>
      <c r="K374" t="n">
        <v>43750</v>
      </c>
      <c r="L374" t="n">
        <v>0</v>
      </c>
      <c r="M374" t="n">
        <v>0</v>
      </c>
      <c r="N374" t="n">
        <v>0</v>
      </c>
    </row>
    <row r="375">
      <c r="A375" t="inlineStr">
        <is>
          <t>Grand Total</t>
        </is>
      </c>
      <c r="J375" s="52" t="n">
        <v>1171.36</v>
      </c>
      <c r="K375" t="n">
        <v>293750</v>
      </c>
      <c r="L375" t="n">
        <v>0</v>
      </c>
      <c r="M375" t="n">
        <v>0</v>
      </c>
      <c r="N375" t="n">
        <v>0</v>
      </c>
    </row>
    <row r="378">
      <c r="K378" s="6" t="inlineStr">
        <is>
          <t>Annualized ROI =</t>
        </is>
      </c>
      <c r="L378" s="6" t="n"/>
      <c r="M378" s="6" t="n"/>
      <c r="N378" s="7">
        <f>365*GETPIVOTDATA(" NetPrem",$A381)/GETPIVOTDATA(" CapDays",A381)</f>
        <v/>
      </c>
    </row>
    <row r="379">
      <c r="A379" t="inlineStr">
        <is>
          <t>Trade#</t>
        </is>
      </c>
      <c r="B379" s="5" t="n">
        <v>32</v>
      </c>
      <c r="K379" s="6" t="inlineStr">
        <is>
          <t>Break Even =</t>
        </is>
      </c>
      <c r="L379" s="6" t="n"/>
      <c r="M379" s="6" t="n"/>
      <c r="N379" s="54">
        <f>IF(GETPIVOTDATA(" Shares",A381)=0,"N/A",(GETPIVOTDATA(" BEcap",A381)-GETPIVOTDATA(" NetPrem",A381))/GETPIVOTDATA(" Shares",A381))</f>
        <v/>
      </c>
    </row>
    <row r="380">
      <c r="K380" s="6" t="inlineStr">
        <is>
          <t>Required Capital =</t>
        </is>
      </c>
      <c r="L380" s="6" t="n"/>
      <c r="M380" s="6" t="n"/>
      <c r="N380" s="54">
        <f>GETPIVOTDATA(" OpenCap",A381)</f>
        <v/>
      </c>
    </row>
    <row r="381">
      <c r="J381" s="28" t="inlineStr">
        <is>
          <t>Values</t>
        </is>
      </c>
    </row>
    <row r="382">
      <c r="A382" s="28" t="inlineStr">
        <is>
          <t>SYM</t>
        </is>
      </c>
      <c r="B382" s="28" t="inlineStr">
        <is>
          <t>Leg</t>
        </is>
      </c>
      <c r="C382" s="28" t="inlineStr">
        <is>
          <t>TransType</t>
        </is>
      </c>
      <c r="D382" s="28" t="inlineStr">
        <is>
          <t>Strike</t>
        </is>
      </c>
      <c r="E382" s="28" t="inlineStr">
        <is>
          <t>#Contracts</t>
        </is>
      </c>
      <c r="F382" s="28" t="inlineStr">
        <is>
          <t>OpenDate</t>
        </is>
      </c>
      <c r="G382" s="28" t="inlineStr">
        <is>
          <t>CloseDate</t>
        </is>
      </c>
      <c r="H382" s="28" t="inlineStr">
        <is>
          <t>ExpDate</t>
        </is>
      </c>
      <c r="I382" s="28" t="inlineStr">
        <is>
          <t>Days</t>
        </is>
      </c>
      <c r="J382" s="52" t="inlineStr">
        <is>
          <t xml:space="preserve"> NetPrem</t>
        </is>
      </c>
      <c r="K382" t="inlineStr">
        <is>
          <t xml:space="preserve"> CapDays</t>
        </is>
      </c>
      <c r="L382" t="inlineStr">
        <is>
          <t xml:space="preserve"> OpenCap</t>
        </is>
      </c>
      <c r="M382" t="inlineStr">
        <is>
          <t xml:space="preserve"> BEcap</t>
        </is>
      </c>
      <c r="N382" t="inlineStr">
        <is>
          <t xml:space="preserve"> Shares</t>
        </is>
      </c>
    </row>
    <row r="383">
      <c r="A383" t="inlineStr">
        <is>
          <t>Sold 3 TJX Jun 18 2021 66.0 Put @ 0.94</t>
        </is>
      </c>
      <c r="B383" t="n">
        <v>1</v>
      </c>
      <c r="C383" t="inlineStr">
        <is>
          <t>SP</t>
        </is>
      </c>
      <c r="D383" t="n">
        <v>66</v>
      </c>
      <c r="E383" t="n">
        <v>3</v>
      </c>
      <c r="F383" s="2" t="n">
        <v>44348</v>
      </c>
      <c r="G383" s="2" t="n">
        <v>44362</v>
      </c>
      <c r="H383" s="2" t="n">
        <v>44365</v>
      </c>
      <c r="I383" s="11" t="n">
        <v>14</v>
      </c>
      <c r="J383" s="52" t="n">
        <v>280</v>
      </c>
      <c r="K383" t="n">
        <v>277200</v>
      </c>
      <c r="L383" t="n">
        <v>0</v>
      </c>
      <c r="M383" t="n">
        <v>0</v>
      </c>
      <c r="N383" t="n">
        <v>0</v>
      </c>
    </row>
    <row r="384">
      <c r="A384" t="inlineStr">
        <is>
          <t>Sold 3 TJX Jul 02 2021 65.5 Put @ 1.3</t>
        </is>
      </c>
      <c r="B384" t="n">
        <v>2</v>
      </c>
      <c r="C384" t="inlineStr">
        <is>
          <t>SP</t>
        </is>
      </c>
      <c r="D384" t="n">
        <v>65.5</v>
      </c>
      <c r="E384" t="n">
        <v>3</v>
      </c>
      <c r="F384" s="2" t="n">
        <v>44362</v>
      </c>
      <c r="G384" s="2" t="n">
        <v>44368</v>
      </c>
      <c r="H384" s="2" t="n">
        <v>44379</v>
      </c>
      <c r="I384" s="11" t="n">
        <v>6</v>
      </c>
      <c r="J384" s="52" t="n">
        <v>388</v>
      </c>
      <c r="K384" t="n">
        <v>117900</v>
      </c>
      <c r="L384" t="n">
        <v>0</v>
      </c>
      <c r="M384" t="n">
        <v>0</v>
      </c>
      <c r="N384" t="n">
        <v>0</v>
      </c>
    </row>
    <row r="385">
      <c r="A385" t="inlineStr">
        <is>
          <t xml:space="preserve"> </t>
        </is>
      </c>
      <c r="B385" t="n">
        <v>3</v>
      </c>
      <c r="C385" t="inlineStr">
        <is>
          <t>SP</t>
        </is>
      </c>
      <c r="D385" t="n">
        <v>66</v>
      </c>
      <c r="E385" t="n">
        <v>3</v>
      </c>
      <c r="F385" s="2" t="n">
        <v>44362</v>
      </c>
      <c r="G385" s="2" t="n">
        <v>44362</v>
      </c>
      <c r="H385" s="2" t="n">
        <v>44365</v>
      </c>
      <c r="I385" s="11" t="n">
        <v>1</v>
      </c>
      <c r="J385" s="52" t="n">
        <v>-304.99</v>
      </c>
      <c r="K385" t="n">
        <v>19800</v>
      </c>
      <c r="L385" t="n">
        <v>0</v>
      </c>
      <c r="M385" t="n">
        <v>0</v>
      </c>
      <c r="N385" t="n">
        <v>0</v>
      </c>
    </row>
    <row r="386">
      <c r="A386" t="inlineStr">
        <is>
          <t>Bought 3 TJX Jul 02 2021 65.5 Put @ 1.37</t>
        </is>
      </c>
      <c r="B386" t="n">
        <v>3</v>
      </c>
      <c r="C386" t="inlineStr">
        <is>
          <t>SP</t>
        </is>
      </c>
      <c r="D386" t="n">
        <v>65.5</v>
      </c>
      <c r="E386" t="n">
        <v>3</v>
      </c>
      <c r="F386" s="2" t="n">
        <v>44368</v>
      </c>
      <c r="G386" s="2" t="n">
        <v>44368</v>
      </c>
      <c r="H386" s="2" t="n">
        <v>44379</v>
      </c>
      <c r="I386" s="11" t="n">
        <v>1</v>
      </c>
      <c r="J386" s="52" t="n">
        <v>-412.99</v>
      </c>
      <c r="K386" t="n">
        <v>19650</v>
      </c>
      <c r="L386" t="n">
        <v>0</v>
      </c>
      <c r="M386" t="n">
        <v>0</v>
      </c>
      <c r="N386" t="n">
        <v>0</v>
      </c>
    </row>
    <row r="387">
      <c r="A387" t="inlineStr">
        <is>
          <t>Sold 3 TJX Jul 23 2021 65.0 Put @ 1.7</t>
        </is>
      </c>
      <c r="B387" t="n">
        <v>3</v>
      </c>
      <c r="C387" t="inlineStr">
        <is>
          <t>SP</t>
        </is>
      </c>
      <c r="D387" t="n">
        <v>65</v>
      </c>
      <c r="E387" t="n">
        <v>3</v>
      </c>
      <c r="F387" s="2" t="n">
        <v>44368</v>
      </c>
      <c r="G387" s="2" t="n">
        <v>44365</v>
      </c>
      <c r="H387" s="2" t="n">
        <v>44400</v>
      </c>
      <c r="I387" s="11" t="n">
        <v>1</v>
      </c>
      <c r="J387" s="52" t="n">
        <v>508</v>
      </c>
      <c r="K387" t="n">
        <v>19500</v>
      </c>
      <c r="L387" t="n">
        <v>0</v>
      </c>
      <c r="M387" t="n">
        <v>0</v>
      </c>
      <c r="N387" t="n">
        <v>0</v>
      </c>
    </row>
    <row r="388">
      <c r="A388" t="inlineStr">
        <is>
          <t>Grand Total</t>
        </is>
      </c>
      <c r="J388" s="52" t="n">
        <v>458.02</v>
      </c>
      <c r="K388" t="n">
        <v>454050</v>
      </c>
      <c r="L388" t="n">
        <v>0</v>
      </c>
      <c r="M388" t="n">
        <v>0</v>
      </c>
      <c r="N388" t="n">
        <v>0</v>
      </c>
    </row>
    <row r="394">
      <c r="K394" s="6" t="n"/>
      <c r="L394" s="6" t="n"/>
      <c r="M394" s="6" t="n"/>
      <c r="N394" s="7" t="n"/>
    </row>
    <row r="395">
      <c r="K395" s="6" t="inlineStr">
        <is>
          <t>Annualized ROI =</t>
        </is>
      </c>
      <c r="L395" s="6" t="n"/>
      <c r="M395" s="6" t="n"/>
      <c r="N395" s="7">
        <f>365*GETPIVOTDATA(" NetPrem",$A398)/GETPIVOTDATA(" CapDays",A398)</f>
        <v/>
      </c>
    </row>
    <row r="396">
      <c r="A396" t="inlineStr">
        <is>
          <t>Trade#</t>
        </is>
      </c>
      <c r="B396" s="5" t="n">
        <v>33</v>
      </c>
      <c r="K396" s="6" t="inlineStr">
        <is>
          <t>Break Even =</t>
        </is>
      </c>
      <c r="L396" s="6" t="n"/>
      <c r="M396" s="6" t="n"/>
      <c r="N396" s="54">
        <f>IF(GETPIVOTDATA(" Shares",A398)=0,"N/A",(GETPIVOTDATA(" BEcap",A398)-GETPIVOTDATA(" NetPrem",A398))/GETPIVOTDATA(" Shares",A398))</f>
        <v/>
      </c>
    </row>
    <row r="397">
      <c r="K397" s="6" t="inlineStr">
        <is>
          <t>Required Capital =</t>
        </is>
      </c>
      <c r="L397" s="6" t="n"/>
      <c r="M397" s="6" t="n"/>
      <c r="N397" s="54">
        <f>GETPIVOTDATA(" OpenCap",A398)</f>
        <v/>
      </c>
    </row>
    <row r="398">
      <c r="J398" s="28" t="inlineStr">
        <is>
          <t>Values</t>
        </is>
      </c>
    </row>
    <row r="399">
      <c r="A399" s="28" t="inlineStr">
        <is>
          <t>SYM</t>
        </is>
      </c>
      <c r="B399" s="28" t="inlineStr">
        <is>
          <t>Leg</t>
        </is>
      </c>
      <c r="C399" s="28" t="inlineStr">
        <is>
          <t>TransType</t>
        </is>
      </c>
      <c r="D399" s="28" t="inlineStr">
        <is>
          <t>Strike</t>
        </is>
      </c>
      <c r="E399" s="28" t="inlineStr">
        <is>
          <t>#Contracts</t>
        </is>
      </c>
      <c r="F399" s="28" t="inlineStr">
        <is>
          <t>OpenDate</t>
        </is>
      </c>
      <c r="G399" s="28" t="inlineStr">
        <is>
          <t>CloseDate</t>
        </is>
      </c>
      <c r="H399" s="28" t="inlineStr">
        <is>
          <t>ExpDate</t>
        </is>
      </c>
      <c r="I399" s="28" t="inlineStr">
        <is>
          <t>Days</t>
        </is>
      </c>
      <c r="J399" s="52" t="inlineStr">
        <is>
          <t xml:space="preserve"> NetPrem</t>
        </is>
      </c>
      <c r="K399" t="inlineStr">
        <is>
          <t xml:space="preserve"> CapDays</t>
        </is>
      </c>
      <c r="L399" t="inlineStr">
        <is>
          <t xml:space="preserve"> OpenCap</t>
        </is>
      </c>
      <c r="M399" t="inlineStr">
        <is>
          <t xml:space="preserve"> BEcap</t>
        </is>
      </c>
      <c r="N399" t="inlineStr">
        <is>
          <t xml:space="preserve"> Shares</t>
        </is>
      </c>
    </row>
    <row r="400">
      <c r="A400" t="inlineStr">
        <is>
          <t>Sold 5 HPQ Jun 25 2021 29.5 Put @ 0.32</t>
        </is>
      </c>
      <c r="B400" t="n">
        <v>1</v>
      </c>
      <c r="C400" t="inlineStr">
        <is>
          <t>SP</t>
        </is>
      </c>
      <c r="D400" t="n">
        <v>29.5</v>
      </c>
      <c r="E400" t="n">
        <v>5</v>
      </c>
      <c r="F400" s="2" t="n">
        <v>44354</v>
      </c>
      <c r="G400" s="2" t="n">
        <v>44365</v>
      </c>
      <c r="H400" s="2" t="n">
        <v>44372</v>
      </c>
      <c r="I400" s="11" t="n">
        <v>11</v>
      </c>
      <c r="J400" s="52" t="n">
        <v>156.67</v>
      </c>
      <c r="K400" t="n">
        <v>162250</v>
      </c>
      <c r="L400" t="n">
        <v>0</v>
      </c>
      <c r="M400" t="n">
        <v>0</v>
      </c>
      <c r="N400" t="n">
        <v>0</v>
      </c>
    </row>
    <row r="401">
      <c r="A401" t="inlineStr">
        <is>
          <t>Sold 5 HPQ Jul 02 2021 29.5 Put @ 1.11</t>
        </is>
      </c>
      <c r="B401" t="n">
        <v>2</v>
      </c>
      <c r="C401" t="inlineStr">
        <is>
          <t>SP</t>
        </is>
      </c>
      <c r="D401" t="n">
        <v>29.5</v>
      </c>
      <c r="E401" t="n">
        <v>5</v>
      </c>
      <c r="F401" s="2" t="n">
        <v>44365</v>
      </c>
      <c r="G401" s="2" t="n">
        <v>44365</v>
      </c>
      <c r="H401" s="2" t="n">
        <v>44379</v>
      </c>
      <c r="I401" s="11" t="n">
        <v>1</v>
      </c>
      <c r="J401" s="52" t="n">
        <v>551.67</v>
      </c>
      <c r="K401" t="n">
        <v>14750</v>
      </c>
      <c r="L401" t="n">
        <v>0</v>
      </c>
      <c r="M401" t="n">
        <v>0</v>
      </c>
      <c r="N401" t="n">
        <v>0</v>
      </c>
    </row>
    <row r="402">
      <c r="A402" t="inlineStr">
        <is>
          <t>Bought 5 HPQ Jun 25 2021 29.5 Put @ 1.03</t>
        </is>
      </c>
      <c r="B402" t="n">
        <v>3</v>
      </c>
      <c r="C402" t="inlineStr">
        <is>
          <t>SP</t>
        </is>
      </c>
      <c r="D402" t="n">
        <v>29.5</v>
      </c>
      <c r="E402" t="n">
        <v>5</v>
      </c>
      <c r="F402" s="2" t="n">
        <v>44365</v>
      </c>
      <c r="G402" s="2" t="n">
        <v>44365</v>
      </c>
      <c r="H402" s="2" t="n">
        <v>44372</v>
      </c>
      <c r="I402" s="11" t="n">
        <v>1</v>
      </c>
      <c r="J402" s="52" t="n">
        <v>-518.3200000000001</v>
      </c>
      <c r="K402" t="n">
        <v>14750</v>
      </c>
      <c r="L402" t="n">
        <v>0</v>
      </c>
      <c r="M402" t="n">
        <v>0</v>
      </c>
      <c r="N402" t="n">
        <v>0</v>
      </c>
    </row>
    <row r="403">
      <c r="A403" t="inlineStr">
        <is>
          <t>Grand Total</t>
        </is>
      </c>
      <c r="J403" s="52" t="n">
        <v>190.0199999999999</v>
      </c>
      <c r="K403" t="n">
        <v>191750</v>
      </c>
      <c r="L403" t="n">
        <v>0</v>
      </c>
      <c r="M403" t="n">
        <v>0</v>
      </c>
      <c r="N403" t="n">
        <v>0</v>
      </c>
    </row>
    <row r="408">
      <c r="K408" s="6" t="n"/>
      <c r="L408" s="6" t="n"/>
      <c r="M408" s="6" t="n"/>
      <c r="N408" s="7" t="n"/>
    </row>
    <row r="409">
      <c r="K409" s="6" t="inlineStr">
        <is>
          <t>Annualized ROI =</t>
        </is>
      </c>
      <c r="L409" s="6" t="n"/>
      <c r="M409" s="6" t="n"/>
      <c r="N409" s="7">
        <f>365*GETPIVOTDATA(" NetPrem",$A412)/GETPIVOTDATA(" CapDays",A412)</f>
        <v/>
      </c>
    </row>
    <row r="410">
      <c r="A410" t="inlineStr">
        <is>
          <t>Trade#</t>
        </is>
      </c>
      <c r="B410" s="5" t="n">
        <v>34</v>
      </c>
      <c r="K410" s="6" t="inlineStr">
        <is>
          <t>Break Even =</t>
        </is>
      </c>
      <c r="L410" s="6" t="n"/>
      <c r="M410" s="6" t="n"/>
      <c r="N410" s="54">
        <f>IF(GETPIVOTDATA(" Shares",A412)=0,"N/A",(GETPIVOTDATA(" BEcap",A412)-GETPIVOTDATA(" NetPrem",A412))/GETPIVOTDATA(" Shares",A412))</f>
        <v/>
      </c>
    </row>
    <row r="411">
      <c r="K411" s="6" t="inlineStr">
        <is>
          <t>Required Capital =</t>
        </is>
      </c>
      <c r="L411" s="6" t="n"/>
      <c r="M411" s="6" t="n"/>
      <c r="N411" s="54">
        <f>GETPIVOTDATA(" OpenCap",A412)</f>
        <v/>
      </c>
    </row>
    <row r="412">
      <c r="J412" s="28" t="inlineStr">
        <is>
          <t>Values</t>
        </is>
      </c>
    </row>
    <row r="413">
      <c r="A413" s="28" t="inlineStr">
        <is>
          <t>SYM</t>
        </is>
      </c>
      <c r="B413" s="28" t="inlineStr">
        <is>
          <t>Leg</t>
        </is>
      </c>
      <c r="C413" s="28" t="inlineStr">
        <is>
          <t>TransType</t>
        </is>
      </c>
      <c r="D413" s="28" t="inlineStr">
        <is>
          <t>Strike</t>
        </is>
      </c>
      <c r="E413" s="28" t="inlineStr">
        <is>
          <t>#Contracts</t>
        </is>
      </c>
      <c r="F413" s="28" t="inlineStr">
        <is>
          <t>OpenDate</t>
        </is>
      </c>
      <c r="G413" s="28" t="inlineStr">
        <is>
          <t>CloseDate</t>
        </is>
      </c>
      <c r="H413" s="28" t="inlineStr">
        <is>
          <t>ExpDate</t>
        </is>
      </c>
      <c r="I413" s="28" t="inlineStr">
        <is>
          <t>Days</t>
        </is>
      </c>
      <c r="J413" s="52" t="inlineStr">
        <is>
          <t xml:space="preserve"> NetPrem</t>
        </is>
      </c>
      <c r="K413" t="inlineStr">
        <is>
          <t xml:space="preserve"> CapDays</t>
        </is>
      </c>
      <c r="L413" t="inlineStr">
        <is>
          <t xml:space="preserve"> OpenCap</t>
        </is>
      </c>
      <c r="M413" t="inlineStr">
        <is>
          <t xml:space="preserve"> BEcap</t>
        </is>
      </c>
      <c r="N413" t="inlineStr">
        <is>
          <t xml:space="preserve"> Shares</t>
        </is>
      </c>
    </row>
    <row r="414">
      <c r="A414" t="inlineStr">
        <is>
          <t>Sold to Open 10 FF Jul 16 2021 10.0 Put @ 0.45</t>
        </is>
      </c>
      <c r="B414" t="n">
        <v>1</v>
      </c>
      <c r="C414" t="inlineStr">
        <is>
          <t>SP</t>
        </is>
      </c>
      <c r="D414" t="n">
        <v>10</v>
      </c>
      <c r="E414" t="n">
        <v>10</v>
      </c>
      <c r="F414" s="2" t="n">
        <v>44356</v>
      </c>
      <c r="G414" t="inlineStr">
        <is>
          <t>(blank)</t>
        </is>
      </c>
      <c r="H414" s="2" t="n">
        <v>44393</v>
      </c>
      <c r="I414" s="11" t="n">
        <v>37</v>
      </c>
      <c r="J414" s="52" t="n">
        <v>443.34</v>
      </c>
      <c r="K414" t="n">
        <v>370000</v>
      </c>
      <c r="L414" t="n">
        <v>10000</v>
      </c>
      <c r="M414" t="n">
        <v>10000</v>
      </c>
      <c r="N414" t="n">
        <v>1000</v>
      </c>
    </row>
    <row r="415">
      <c r="A415" t="inlineStr">
        <is>
          <t>Grand Total</t>
        </is>
      </c>
      <c r="J415" s="52" t="n">
        <v>443.34</v>
      </c>
      <c r="K415" t="n">
        <v>370000</v>
      </c>
      <c r="L415" t="n">
        <v>10000</v>
      </c>
      <c r="M415" t="n">
        <v>10000</v>
      </c>
      <c r="N415" t="n">
        <v>1000</v>
      </c>
    </row>
    <row r="422">
      <c r="K422" s="6" t="n"/>
      <c r="L422" s="6" t="n"/>
      <c r="M422" s="6" t="n"/>
      <c r="N422" s="7" t="n"/>
    </row>
    <row r="423">
      <c r="K423" s="6" t="inlineStr">
        <is>
          <t>Annualized ROI =</t>
        </is>
      </c>
      <c r="L423" s="6" t="n"/>
      <c r="M423" s="6" t="n"/>
      <c r="N423" s="7">
        <f>365*GETPIVOTDATA(" NetPrem",$A426)/GETPIVOTDATA(" CapDays",A426)</f>
        <v/>
      </c>
    </row>
    <row r="424">
      <c r="A424" t="inlineStr">
        <is>
          <t>Trade#</t>
        </is>
      </c>
      <c r="B424" s="5" t="n">
        <v>35</v>
      </c>
      <c r="K424" s="6" t="inlineStr">
        <is>
          <t>Break Even =</t>
        </is>
      </c>
      <c r="L424" s="6" t="n"/>
      <c r="M424" s="6" t="n"/>
      <c r="N424" s="54">
        <f>IF(GETPIVOTDATA(" Shares",A426)=0,"N/A",(GETPIVOTDATA(" BEcap",A426)-GETPIVOTDATA(" NetPrem",A426))/GETPIVOTDATA(" Shares",A426))</f>
        <v/>
      </c>
    </row>
    <row r="425">
      <c r="K425" s="6" t="inlineStr">
        <is>
          <t>Required Capital =</t>
        </is>
      </c>
      <c r="L425" s="6" t="n"/>
      <c r="M425" s="6" t="n"/>
      <c r="N425" s="54">
        <f>GETPIVOTDATA(" OpenCap",A426)</f>
        <v/>
      </c>
    </row>
    <row r="426">
      <c r="J426" s="28" t="inlineStr">
        <is>
          <t>Values</t>
        </is>
      </c>
    </row>
    <row r="427">
      <c r="A427" s="28" t="inlineStr">
        <is>
          <t>SYM</t>
        </is>
      </c>
      <c r="B427" s="28" t="inlineStr">
        <is>
          <t>Leg</t>
        </is>
      </c>
      <c r="C427" s="28" t="inlineStr">
        <is>
          <t>TransType</t>
        </is>
      </c>
      <c r="D427" s="28" t="inlineStr">
        <is>
          <t>Strike</t>
        </is>
      </c>
      <c r="E427" s="28" t="inlineStr">
        <is>
          <t>#Contracts</t>
        </is>
      </c>
      <c r="F427" s="28" t="inlineStr">
        <is>
          <t>OpenDate</t>
        </is>
      </c>
      <c r="G427" s="28" t="inlineStr">
        <is>
          <t>CloseDate</t>
        </is>
      </c>
      <c r="H427" s="28" t="inlineStr">
        <is>
          <t>ExpDate</t>
        </is>
      </c>
      <c r="I427" s="28" t="inlineStr">
        <is>
          <t>Days</t>
        </is>
      </c>
      <c r="J427" s="52" t="inlineStr">
        <is>
          <t xml:space="preserve"> NetPrem</t>
        </is>
      </c>
      <c r="K427" t="inlineStr">
        <is>
          <t xml:space="preserve"> CapDays</t>
        </is>
      </c>
      <c r="L427" t="inlineStr">
        <is>
          <t xml:space="preserve"> OpenCap</t>
        </is>
      </c>
      <c r="M427" t="inlineStr">
        <is>
          <t xml:space="preserve"> BEcap</t>
        </is>
      </c>
      <c r="N427" t="inlineStr">
        <is>
          <t xml:space="preserve"> Shares</t>
        </is>
      </c>
    </row>
    <row r="428">
      <c r="A428" t="inlineStr">
        <is>
          <t>Sold to Open 4 BSX Jul 02 2021 41.5 Put @ 0.7</t>
        </is>
      </c>
      <c r="B428" t="n">
        <v>1</v>
      </c>
      <c r="C428" t="inlineStr">
        <is>
          <t>SP</t>
        </is>
      </c>
      <c r="D428" t="n">
        <v>41.5</v>
      </c>
      <c r="E428" t="n">
        <v>4</v>
      </c>
      <c r="F428" s="2" t="n">
        <v>44356</v>
      </c>
      <c r="G428" t="inlineStr">
        <is>
          <t>(blank)</t>
        </is>
      </c>
      <c r="H428" s="2" t="n">
        <v>44379</v>
      </c>
      <c r="I428" s="11" t="n">
        <v>23</v>
      </c>
      <c r="J428" s="52" t="n">
        <v>277.33</v>
      </c>
      <c r="K428" t="n">
        <v>381800</v>
      </c>
      <c r="L428" t="n">
        <v>16600</v>
      </c>
      <c r="M428" t="n">
        <v>16600</v>
      </c>
      <c r="N428" t="n">
        <v>400</v>
      </c>
    </row>
    <row r="429">
      <c r="A429" t="inlineStr">
        <is>
          <t>Grand Total</t>
        </is>
      </c>
      <c r="J429" s="52" t="n">
        <v>277.33</v>
      </c>
      <c r="K429" t="n">
        <v>381800</v>
      </c>
      <c r="L429" t="n">
        <v>16600</v>
      </c>
      <c r="M429" t="n">
        <v>16600</v>
      </c>
      <c r="N429" t="n">
        <v>400</v>
      </c>
    </row>
    <row r="437">
      <c r="K437" s="6" t="n"/>
      <c r="L437" s="6" t="n"/>
      <c r="M437" s="6" t="n"/>
      <c r="N437" s="7" t="n"/>
    </row>
    <row r="438">
      <c r="K438" s="6" t="inlineStr">
        <is>
          <t>Annualized ROI =</t>
        </is>
      </c>
      <c r="L438" s="6" t="n"/>
      <c r="M438" s="6" t="n"/>
      <c r="N438" s="7">
        <f>365*GETPIVOTDATA(" NetPrem",$A441)/GETPIVOTDATA(" CapDays",A441)</f>
        <v/>
      </c>
    </row>
    <row r="439">
      <c r="A439" t="inlineStr">
        <is>
          <t>Trade#</t>
        </is>
      </c>
      <c r="B439" s="5" t="n">
        <v>36</v>
      </c>
      <c r="K439" s="6" t="inlineStr">
        <is>
          <t>Break Even =</t>
        </is>
      </c>
      <c r="L439" s="6" t="n"/>
      <c r="M439" s="6" t="n"/>
      <c r="N439" s="54">
        <f>IF(GETPIVOTDATA(" Shares",A441)=0,"N/A",(GETPIVOTDATA(" BEcap",A441)-GETPIVOTDATA(" NetPrem",A441))/GETPIVOTDATA(" Shares",A441))</f>
        <v/>
      </c>
    </row>
    <row r="440">
      <c r="K440" s="6" t="inlineStr">
        <is>
          <t>Required Capital =</t>
        </is>
      </c>
      <c r="L440" s="6" t="n"/>
      <c r="M440" s="6" t="n"/>
      <c r="N440" s="54">
        <f>GETPIVOTDATA(" OpenCap",A441)</f>
        <v/>
      </c>
    </row>
    <row r="441">
      <c r="J441" s="28" t="inlineStr">
        <is>
          <t>Values</t>
        </is>
      </c>
    </row>
    <row r="442">
      <c r="A442" s="28" t="inlineStr">
        <is>
          <t>SYM</t>
        </is>
      </c>
      <c r="B442" s="28" t="inlineStr">
        <is>
          <t>Leg</t>
        </is>
      </c>
      <c r="C442" s="28" t="inlineStr">
        <is>
          <t>TransType</t>
        </is>
      </c>
      <c r="D442" s="28" t="inlineStr">
        <is>
          <t>Strike</t>
        </is>
      </c>
      <c r="E442" s="28" t="inlineStr">
        <is>
          <t>#Contracts</t>
        </is>
      </c>
      <c r="F442" s="28" t="inlineStr">
        <is>
          <t>OpenDate</t>
        </is>
      </c>
      <c r="G442" s="28" t="inlineStr">
        <is>
          <t>CloseDate</t>
        </is>
      </c>
      <c r="H442" s="28" t="inlineStr">
        <is>
          <t>ExpDate</t>
        </is>
      </c>
      <c r="I442" s="28" t="inlineStr">
        <is>
          <t>Days</t>
        </is>
      </c>
      <c r="J442" s="52" t="inlineStr">
        <is>
          <t xml:space="preserve"> NetPrem</t>
        </is>
      </c>
      <c r="K442" t="inlineStr">
        <is>
          <t xml:space="preserve"> CapDays</t>
        </is>
      </c>
      <c r="L442" t="inlineStr">
        <is>
          <t xml:space="preserve"> OpenCap</t>
        </is>
      </c>
      <c r="M442" t="inlineStr">
        <is>
          <t xml:space="preserve"> BEcap</t>
        </is>
      </c>
      <c r="N442" t="inlineStr">
        <is>
          <t xml:space="preserve"> Shares</t>
        </is>
      </c>
    </row>
    <row r="443">
      <c r="A443" t="inlineStr">
        <is>
          <t>Sold to Open 1 BLL Jul 16 2021 80.0 Put @ 1.95</t>
        </is>
      </c>
      <c r="B443" t="n">
        <v>1</v>
      </c>
      <c r="C443" t="inlineStr">
        <is>
          <t>SP</t>
        </is>
      </c>
      <c r="D443" t="n">
        <v>80</v>
      </c>
      <c r="E443" t="n">
        <v>1</v>
      </c>
      <c r="F443" s="2" t="n">
        <v>44356</v>
      </c>
      <c r="G443" t="inlineStr">
        <is>
          <t>(blank)</t>
        </is>
      </c>
      <c r="H443" s="2" t="n">
        <v>44393</v>
      </c>
      <c r="I443" s="11" t="n">
        <v>37</v>
      </c>
      <c r="J443" s="52" t="n">
        <v>194.34</v>
      </c>
      <c r="K443" t="n">
        <v>296000</v>
      </c>
      <c r="L443" t="n">
        <v>8000</v>
      </c>
      <c r="M443" t="n">
        <v>8000</v>
      </c>
      <c r="N443" t="n">
        <v>100</v>
      </c>
    </row>
    <row r="444">
      <c r="A444" t="inlineStr">
        <is>
          <t>Grand Total</t>
        </is>
      </c>
      <c r="J444" s="52" t="n">
        <v>194.34</v>
      </c>
      <c r="K444" t="n">
        <v>296000</v>
      </c>
      <c r="L444" t="n">
        <v>8000</v>
      </c>
      <c r="M444" t="n">
        <v>8000</v>
      </c>
      <c r="N444" t="n">
        <v>100</v>
      </c>
    </row>
    <row r="451">
      <c r="K451" s="6" t="n"/>
      <c r="L451" s="6" t="n"/>
      <c r="M451" s="6" t="n"/>
      <c r="N451" s="7" t="n"/>
    </row>
    <row r="452">
      <c r="K452" s="6" t="inlineStr">
        <is>
          <t>Annualized ROI =</t>
        </is>
      </c>
      <c r="L452" s="6" t="n"/>
      <c r="M452" s="6" t="n"/>
      <c r="N452" s="7">
        <f>365*GETPIVOTDATA(" NetPrem",$A455)/GETPIVOTDATA(" CapDays",A455)</f>
        <v/>
      </c>
    </row>
    <row r="453">
      <c r="A453" t="inlineStr">
        <is>
          <t>Trade#</t>
        </is>
      </c>
      <c r="B453" s="5" t="n">
        <v>37</v>
      </c>
      <c r="K453" s="6" t="inlineStr">
        <is>
          <t>Break Even =</t>
        </is>
      </c>
      <c r="L453" s="6" t="n"/>
      <c r="M453" s="6" t="n"/>
      <c r="N453" s="54">
        <f>IF(GETPIVOTDATA(" Shares",A455)=0,"N/A",(GETPIVOTDATA(" BEcap",A455)-GETPIVOTDATA(" NetPrem",A455))/GETPIVOTDATA(" Shares",A455))</f>
        <v/>
      </c>
    </row>
    <row r="454">
      <c r="K454" s="6" t="inlineStr">
        <is>
          <t>Required Capital =</t>
        </is>
      </c>
      <c r="L454" s="6" t="n"/>
      <c r="M454" s="6" t="n"/>
      <c r="N454" s="54">
        <f>GETPIVOTDATA(" OpenCap",A455)</f>
        <v/>
      </c>
    </row>
    <row r="455">
      <c r="J455" s="28" t="inlineStr">
        <is>
          <t>Values</t>
        </is>
      </c>
    </row>
    <row r="456">
      <c r="A456" s="28" t="inlineStr">
        <is>
          <t>SYM</t>
        </is>
      </c>
      <c r="B456" s="28" t="inlineStr">
        <is>
          <t>Leg</t>
        </is>
      </c>
      <c r="C456" s="28" t="inlineStr">
        <is>
          <t>TransType</t>
        </is>
      </c>
      <c r="D456" s="28" t="inlineStr">
        <is>
          <t>Strike</t>
        </is>
      </c>
      <c r="E456" s="28" t="inlineStr">
        <is>
          <t>#Contracts</t>
        </is>
      </c>
      <c r="F456" s="28" t="inlineStr">
        <is>
          <t>OpenDate</t>
        </is>
      </c>
      <c r="G456" s="28" t="inlineStr">
        <is>
          <t>CloseDate</t>
        </is>
      </c>
      <c r="H456" s="28" t="inlineStr">
        <is>
          <t>ExpDate</t>
        </is>
      </c>
      <c r="I456" s="28" t="inlineStr">
        <is>
          <t>Days</t>
        </is>
      </c>
      <c r="J456" s="52" t="inlineStr">
        <is>
          <t xml:space="preserve"> NetPrem</t>
        </is>
      </c>
      <c r="K456" t="inlineStr">
        <is>
          <t xml:space="preserve"> CapDays</t>
        </is>
      </c>
      <c r="L456" t="inlineStr">
        <is>
          <t xml:space="preserve"> OpenCap</t>
        </is>
      </c>
      <c r="M456" t="inlineStr">
        <is>
          <t xml:space="preserve"> BEcap</t>
        </is>
      </c>
      <c r="N456" t="inlineStr">
        <is>
          <t xml:space="preserve"> Shares</t>
        </is>
      </c>
    </row>
    <row r="457">
      <c r="A457" t="inlineStr">
        <is>
          <t>Sold to Open 3 MU Jun 25 2021 76.0 Put @ 1.03</t>
        </is>
      </c>
      <c r="B457" t="n">
        <v>1</v>
      </c>
      <c r="C457" t="inlineStr">
        <is>
          <t>SP</t>
        </is>
      </c>
      <c r="D457" t="n">
        <v>76</v>
      </c>
      <c r="E457" t="n">
        <v>3</v>
      </c>
      <c r="F457" s="2" t="n">
        <v>44356</v>
      </c>
      <c r="G457" t="inlineStr">
        <is>
          <t>(blank)</t>
        </is>
      </c>
      <c r="H457" s="2" t="n">
        <v>44372</v>
      </c>
      <c r="I457" s="11" t="n">
        <v>16</v>
      </c>
      <c r="J457" s="52" t="n">
        <v>307</v>
      </c>
      <c r="K457" t="n">
        <v>364800</v>
      </c>
      <c r="L457" t="n">
        <v>22800</v>
      </c>
      <c r="M457" t="n">
        <v>22800</v>
      </c>
      <c r="N457" t="n">
        <v>300</v>
      </c>
    </row>
    <row r="458">
      <c r="A458" t="inlineStr">
        <is>
          <t>Grand Total</t>
        </is>
      </c>
      <c r="J458" s="52" t="n">
        <v>307</v>
      </c>
      <c r="K458" t="n">
        <v>364800</v>
      </c>
      <c r="L458" t="n">
        <v>22800</v>
      </c>
      <c r="M458" t="n">
        <v>22800</v>
      </c>
      <c r="N458" t="n">
        <v>300</v>
      </c>
    </row>
    <row r="465">
      <c r="K465" s="6" t="n"/>
      <c r="L465" s="6" t="n"/>
      <c r="M465" s="6" t="n"/>
      <c r="N465" s="7" t="n"/>
    </row>
    <row r="466">
      <c r="K466" s="6" t="inlineStr">
        <is>
          <t>Annualized ROI =</t>
        </is>
      </c>
      <c r="L466" s="6" t="n"/>
      <c r="M466" s="6" t="n"/>
      <c r="N466" s="7">
        <f>365*GETPIVOTDATA(" NetPrem",$A469)/GETPIVOTDATA(" CapDays",A469)</f>
        <v/>
      </c>
    </row>
    <row r="467">
      <c r="A467" t="inlineStr">
        <is>
          <t>Trade#</t>
        </is>
      </c>
      <c r="B467" s="5" t="n">
        <v>38</v>
      </c>
      <c r="K467" s="6" t="inlineStr">
        <is>
          <t>Break Even =</t>
        </is>
      </c>
      <c r="L467" s="6" t="n"/>
      <c r="M467" s="6" t="n"/>
      <c r="N467" s="54">
        <f>IF(GETPIVOTDATA(" Shares",A469)=0,"N/A",(GETPIVOTDATA(" BEcap",A469)-GETPIVOTDATA(" NetPrem",A469))/GETPIVOTDATA(" Shares",A469))</f>
        <v/>
      </c>
    </row>
    <row r="468">
      <c r="K468" s="6" t="inlineStr">
        <is>
          <t>Required Capital =</t>
        </is>
      </c>
      <c r="L468" s="6" t="n"/>
      <c r="M468" s="6" t="n"/>
      <c r="N468" s="54">
        <f>GETPIVOTDATA(" OpenCap",A469)</f>
        <v/>
      </c>
    </row>
    <row r="469">
      <c r="J469" s="28" t="inlineStr">
        <is>
          <t>Values</t>
        </is>
      </c>
    </row>
    <row r="470">
      <c r="A470" s="28" t="inlineStr">
        <is>
          <t>SYM</t>
        </is>
      </c>
      <c r="B470" s="28" t="inlineStr">
        <is>
          <t>Leg</t>
        </is>
      </c>
      <c r="C470" s="28" t="inlineStr">
        <is>
          <t>TransType</t>
        </is>
      </c>
      <c r="D470" s="28" t="inlineStr">
        <is>
          <t>Strike</t>
        </is>
      </c>
      <c r="E470" s="28" t="inlineStr">
        <is>
          <t>#Contracts</t>
        </is>
      </c>
      <c r="F470" s="28" t="inlineStr">
        <is>
          <t>OpenDate</t>
        </is>
      </c>
      <c r="G470" s="28" t="inlineStr">
        <is>
          <t>CloseDate</t>
        </is>
      </c>
      <c r="H470" s="28" t="inlineStr">
        <is>
          <t>ExpDate</t>
        </is>
      </c>
      <c r="I470" s="28" t="inlineStr">
        <is>
          <t>Days</t>
        </is>
      </c>
      <c r="J470" s="52" t="inlineStr">
        <is>
          <t xml:space="preserve"> NetPrem</t>
        </is>
      </c>
      <c r="K470" t="inlineStr">
        <is>
          <t xml:space="preserve"> CapDays</t>
        </is>
      </c>
      <c r="L470" t="inlineStr">
        <is>
          <t xml:space="preserve"> OpenCap</t>
        </is>
      </c>
      <c r="M470" t="inlineStr">
        <is>
          <t xml:space="preserve"> BEcap</t>
        </is>
      </c>
      <c r="N470" t="inlineStr">
        <is>
          <t xml:space="preserve"> Shares</t>
        </is>
      </c>
    </row>
    <row r="471">
      <c r="A471" t="inlineStr">
        <is>
          <t>Sold 2 SAVE Jul 16 2021 35.0 Put @ 2.15</t>
        </is>
      </c>
      <c r="B471" t="n">
        <v>1</v>
      </c>
      <c r="C471" t="inlineStr">
        <is>
          <t>SP</t>
        </is>
      </c>
      <c r="D471" t="n">
        <v>35</v>
      </c>
      <c r="E471" t="n">
        <v>2</v>
      </c>
      <c r="F471" s="2" t="n">
        <v>44357</v>
      </c>
      <c r="G471" t="inlineStr">
        <is>
          <t>(blank)</t>
        </is>
      </c>
      <c r="H471" s="2" t="n">
        <v>44393</v>
      </c>
      <c r="I471" s="11" t="n">
        <v>36</v>
      </c>
      <c r="J471" s="52" t="n">
        <v>428.67</v>
      </c>
      <c r="K471" t="n">
        <v>252000</v>
      </c>
      <c r="L471" t="n">
        <v>7000</v>
      </c>
      <c r="M471" t="n">
        <v>7000</v>
      </c>
      <c r="N471" t="n">
        <v>200</v>
      </c>
    </row>
    <row r="472">
      <c r="A472" t="inlineStr">
        <is>
          <t>Sold to Open 2 SAVE Jul 16 2021 35.0 Put @ 2.64</t>
        </is>
      </c>
      <c r="B472" t="n">
        <v>2</v>
      </c>
      <c r="C472" t="inlineStr">
        <is>
          <t>SP</t>
        </is>
      </c>
      <c r="D472" t="n">
        <v>35</v>
      </c>
      <c r="E472" t="n">
        <v>2</v>
      </c>
      <c r="F472" s="2" t="n">
        <v>44370</v>
      </c>
      <c r="G472" t="inlineStr">
        <is>
          <t>(blank)</t>
        </is>
      </c>
      <c r="H472" s="2" t="n">
        <v>44393</v>
      </c>
      <c r="I472" s="11" t="n">
        <v>23</v>
      </c>
      <c r="J472" s="52" t="n">
        <v>526.67</v>
      </c>
      <c r="K472" t="n">
        <v>161000</v>
      </c>
      <c r="L472" t="n">
        <v>7000</v>
      </c>
      <c r="M472" t="n">
        <v>7000</v>
      </c>
      <c r="N472" t="n">
        <v>200</v>
      </c>
    </row>
    <row r="473">
      <c r="A473" t="inlineStr">
        <is>
          <t>Grand Total</t>
        </is>
      </c>
      <c r="J473" s="52" t="n">
        <v>955.3399999999999</v>
      </c>
      <c r="K473" t="n">
        <v>413000</v>
      </c>
      <c r="L473" t="n">
        <v>14000</v>
      </c>
      <c r="M473" t="n">
        <v>14000</v>
      </c>
      <c r="N473" t="n">
        <v>400</v>
      </c>
    </row>
    <row r="479">
      <c r="K479" s="6" t="n"/>
      <c r="L479" s="6" t="n"/>
      <c r="M479" s="6" t="n"/>
      <c r="N479" s="7" t="n"/>
    </row>
    <row r="480">
      <c r="K480" s="6" t="inlineStr">
        <is>
          <t>Annualized ROI =</t>
        </is>
      </c>
      <c r="L480" s="6" t="n"/>
      <c r="M480" s="6" t="n"/>
      <c r="N480" s="7">
        <f>365*GETPIVOTDATA(" NetPrem",$A483)/GETPIVOTDATA(" CapDays",A483)</f>
        <v/>
      </c>
    </row>
    <row r="481">
      <c r="A481" t="inlineStr">
        <is>
          <t>Trade#</t>
        </is>
      </c>
      <c r="B481" s="5" t="n">
        <v>39</v>
      </c>
      <c r="K481" s="6" t="inlineStr">
        <is>
          <t>Break Even =</t>
        </is>
      </c>
      <c r="L481" s="6" t="n"/>
      <c r="M481" s="6" t="n"/>
      <c r="N481" s="54">
        <f>IF(GETPIVOTDATA(" Shares",A483)=0,"N/A",(GETPIVOTDATA(" BEcap",A483)-GETPIVOTDATA(" NetPrem",A483))/GETPIVOTDATA(" Shares",A483))</f>
        <v/>
      </c>
    </row>
    <row r="482">
      <c r="K482" s="6" t="inlineStr">
        <is>
          <t>Required Capital =</t>
        </is>
      </c>
      <c r="L482" s="6" t="n"/>
      <c r="M482" s="6" t="n"/>
      <c r="N482" s="54">
        <f>GETPIVOTDATA(" OpenCap",A483)</f>
        <v/>
      </c>
    </row>
    <row r="483">
      <c r="J483" s="28" t="inlineStr">
        <is>
          <t>Values</t>
        </is>
      </c>
    </row>
    <row r="484">
      <c r="A484" s="28" t="inlineStr">
        <is>
          <t>SYM</t>
        </is>
      </c>
      <c r="B484" s="28" t="inlineStr">
        <is>
          <t>Leg</t>
        </is>
      </c>
      <c r="C484" s="28" t="inlineStr">
        <is>
          <t>TransType</t>
        </is>
      </c>
      <c r="D484" s="28" t="inlineStr">
        <is>
          <t>Strike</t>
        </is>
      </c>
      <c r="E484" s="28" t="inlineStr">
        <is>
          <t>#Contracts</t>
        </is>
      </c>
      <c r="F484" s="28" t="inlineStr">
        <is>
          <t>OpenDate</t>
        </is>
      </c>
      <c r="G484" s="28" t="inlineStr">
        <is>
          <t>CloseDate</t>
        </is>
      </c>
      <c r="H484" s="28" t="inlineStr">
        <is>
          <t>ExpDate</t>
        </is>
      </c>
      <c r="I484" s="28" t="inlineStr">
        <is>
          <t>Days</t>
        </is>
      </c>
      <c r="J484" s="52" t="inlineStr">
        <is>
          <t xml:space="preserve"> NetPrem</t>
        </is>
      </c>
      <c r="K484" t="inlineStr">
        <is>
          <t xml:space="preserve"> CapDays</t>
        </is>
      </c>
      <c r="L484" t="inlineStr">
        <is>
          <t xml:space="preserve"> OpenCap</t>
        </is>
      </c>
      <c r="M484" t="inlineStr">
        <is>
          <t xml:space="preserve"> BEcap</t>
        </is>
      </c>
      <c r="N484" t="inlineStr">
        <is>
          <t xml:space="preserve"> Shares</t>
        </is>
      </c>
    </row>
    <row r="485">
      <c r="A485" t="inlineStr">
        <is>
          <t>Sold 1 CHWY Jul 9 2021 71.5 Put @ 1.88</t>
        </is>
      </c>
      <c r="B485" t="n">
        <v>1</v>
      </c>
      <c r="C485" t="inlineStr">
        <is>
          <t>SP</t>
        </is>
      </c>
      <c r="D485" t="n">
        <v>71.5</v>
      </c>
      <c r="E485" t="n">
        <v>1</v>
      </c>
      <c r="F485" s="2" t="n">
        <v>44358</v>
      </c>
      <c r="G485" t="inlineStr">
        <is>
          <t>(blank)</t>
        </is>
      </c>
      <c r="H485" s="2" t="n">
        <v>44386</v>
      </c>
      <c r="I485" s="11" t="n">
        <v>28</v>
      </c>
      <c r="J485" s="52" t="n">
        <v>187.34</v>
      </c>
      <c r="K485" t="n">
        <v>200200</v>
      </c>
      <c r="L485" t="n">
        <v>7150</v>
      </c>
      <c r="M485" t="n">
        <v>7150</v>
      </c>
      <c r="N485" t="n">
        <v>100</v>
      </c>
    </row>
    <row r="486">
      <c r="A486" t="inlineStr">
        <is>
          <t>Grand Total</t>
        </is>
      </c>
      <c r="J486" s="52" t="n">
        <v>187.34</v>
      </c>
      <c r="K486" t="n">
        <v>200200</v>
      </c>
      <c r="L486" t="n">
        <v>7150</v>
      </c>
      <c r="M486" t="n">
        <v>7150</v>
      </c>
      <c r="N486" t="n">
        <v>100</v>
      </c>
    </row>
    <row r="494">
      <c r="K494" s="6" t="n"/>
      <c r="L494" s="6" t="n"/>
      <c r="M494" s="6" t="n"/>
      <c r="N494" s="7" t="n"/>
    </row>
    <row r="495">
      <c r="K495" s="6" t="inlineStr">
        <is>
          <t>Annualized ROI =</t>
        </is>
      </c>
      <c r="L495" s="6" t="n"/>
      <c r="M495" s="6" t="n"/>
      <c r="N495" s="7">
        <f>365*GETPIVOTDATA(" NetPrem",$A498)/GETPIVOTDATA(" CapDays",A498)</f>
        <v/>
      </c>
    </row>
    <row r="496">
      <c r="A496" t="inlineStr">
        <is>
          <t>Trade#</t>
        </is>
      </c>
      <c r="B496" s="5" t="n">
        <v>40</v>
      </c>
      <c r="K496" s="6" t="inlineStr">
        <is>
          <t>Break Even =</t>
        </is>
      </c>
      <c r="L496" s="6" t="n"/>
      <c r="M496" s="6" t="n"/>
      <c r="N496" s="54">
        <f>IF(GETPIVOTDATA(" Shares",A498)=0,"N/A",(GETPIVOTDATA(" BEcap",A498)-GETPIVOTDATA(" NetPrem",A498))/GETPIVOTDATA(" Shares",A498))</f>
        <v/>
      </c>
    </row>
    <row r="497">
      <c r="K497" s="6" t="inlineStr">
        <is>
          <t>Required Capital =</t>
        </is>
      </c>
      <c r="L497" s="6" t="n"/>
      <c r="M497" s="6" t="n"/>
      <c r="N497" s="54">
        <f>GETPIVOTDATA(" OpenCap",A498)</f>
        <v/>
      </c>
    </row>
    <row r="498">
      <c r="J498" s="28" t="inlineStr">
        <is>
          <t>Values</t>
        </is>
      </c>
    </row>
    <row r="499">
      <c r="A499" s="28" t="inlineStr">
        <is>
          <t>SYM</t>
        </is>
      </c>
      <c r="B499" s="28" t="inlineStr">
        <is>
          <t>Leg</t>
        </is>
      </c>
      <c r="C499" s="28" t="inlineStr">
        <is>
          <t>TransType</t>
        </is>
      </c>
      <c r="D499" s="28" t="inlineStr">
        <is>
          <t>Strike</t>
        </is>
      </c>
      <c r="E499" s="28" t="inlineStr">
        <is>
          <t>#Contracts</t>
        </is>
      </c>
      <c r="F499" s="28" t="inlineStr">
        <is>
          <t>OpenDate</t>
        </is>
      </c>
      <c r="G499" s="28" t="inlineStr">
        <is>
          <t>CloseDate</t>
        </is>
      </c>
      <c r="H499" s="28" t="inlineStr">
        <is>
          <t>ExpDate</t>
        </is>
      </c>
      <c r="I499" s="28" t="inlineStr">
        <is>
          <t>Days</t>
        </is>
      </c>
      <c r="J499" s="52" t="inlineStr">
        <is>
          <t xml:space="preserve"> NetPrem</t>
        </is>
      </c>
      <c r="K499" t="inlineStr">
        <is>
          <t xml:space="preserve"> CapDays</t>
        </is>
      </c>
      <c r="L499" t="inlineStr">
        <is>
          <t xml:space="preserve"> OpenCap</t>
        </is>
      </c>
      <c r="M499" t="inlineStr">
        <is>
          <t xml:space="preserve"> BEcap</t>
        </is>
      </c>
      <c r="N499" t="inlineStr">
        <is>
          <t xml:space="preserve"> Shares</t>
        </is>
      </c>
    </row>
    <row r="500">
      <c r="A500" t="inlineStr">
        <is>
          <t>Sold 4 DAL Jul 2 2021 46.0 Put @ 1.16</t>
        </is>
      </c>
      <c r="B500" t="n">
        <v>1</v>
      </c>
      <c r="C500" t="inlineStr">
        <is>
          <t>SP</t>
        </is>
      </c>
      <c r="D500" t="n">
        <v>46</v>
      </c>
      <c r="E500" t="n">
        <v>4</v>
      </c>
      <c r="F500" s="2" t="n">
        <v>44358</v>
      </c>
      <c r="G500" t="inlineStr">
        <is>
          <t>(blank)</t>
        </is>
      </c>
      <c r="H500" s="2" t="n">
        <v>44379</v>
      </c>
      <c r="I500" s="11" t="n">
        <v>21</v>
      </c>
      <c r="J500" s="52" t="n">
        <v>461.33</v>
      </c>
      <c r="K500" t="n">
        <v>386400</v>
      </c>
      <c r="L500" t="n">
        <v>18400</v>
      </c>
      <c r="M500" t="n">
        <v>18400</v>
      </c>
      <c r="N500" t="n">
        <v>400</v>
      </c>
    </row>
    <row r="501">
      <c r="A501" t="inlineStr">
        <is>
          <t>Grand Total</t>
        </is>
      </c>
      <c r="J501" s="52" t="n">
        <v>461.33</v>
      </c>
      <c r="K501" t="n">
        <v>386400</v>
      </c>
      <c r="L501" t="n">
        <v>18400</v>
      </c>
      <c r="M501" t="n">
        <v>18400</v>
      </c>
      <c r="N501" t="n">
        <v>400</v>
      </c>
    </row>
    <row r="508">
      <c r="K508" s="6" t="n"/>
      <c r="L508" s="6" t="n"/>
      <c r="M508" s="6" t="n"/>
      <c r="N508" s="7" t="n"/>
    </row>
    <row r="509">
      <c r="K509" s="6" t="inlineStr">
        <is>
          <t>Annualized ROI =</t>
        </is>
      </c>
      <c r="L509" s="6" t="n"/>
      <c r="M509" s="6" t="n"/>
      <c r="N509" s="7">
        <f>365*GETPIVOTDATA(" NetPrem",$A512)/GETPIVOTDATA(" CapDays",A512)</f>
        <v/>
      </c>
    </row>
    <row r="510">
      <c r="A510" t="inlineStr">
        <is>
          <t>Trade#</t>
        </is>
      </c>
      <c r="B510" s="5" t="n">
        <v>41</v>
      </c>
      <c r="K510" s="6" t="inlineStr">
        <is>
          <t>Break Even =</t>
        </is>
      </c>
      <c r="L510" s="6" t="n"/>
      <c r="M510" s="6" t="n"/>
      <c r="N510" s="54">
        <f>IF(GETPIVOTDATA(" Shares",A512)=0,"N/A",(GETPIVOTDATA(" BEcap",A512)-GETPIVOTDATA(" NetPrem",A512))/GETPIVOTDATA(" Shares",A512))</f>
        <v/>
      </c>
    </row>
    <row r="511">
      <c r="K511" s="6" t="inlineStr">
        <is>
          <t>Required Capital =</t>
        </is>
      </c>
      <c r="L511" s="6" t="n"/>
      <c r="M511" s="6" t="n"/>
      <c r="N511" s="54">
        <f>GETPIVOTDATA(" OpenCap",A512)</f>
        <v/>
      </c>
    </row>
    <row r="512">
      <c r="J512" s="28" t="inlineStr">
        <is>
          <t>Values</t>
        </is>
      </c>
    </row>
    <row r="513">
      <c r="A513" s="28" t="inlineStr">
        <is>
          <t>SYM</t>
        </is>
      </c>
      <c r="B513" s="28" t="inlineStr">
        <is>
          <t>Leg</t>
        </is>
      </c>
      <c r="C513" s="28" t="inlineStr">
        <is>
          <t>TransType</t>
        </is>
      </c>
      <c r="D513" s="28" t="inlineStr">
        <is>
          <t>Strike</t>
        </is>
      </c>
      <c r="E513" s="28" t="inlineStr">
        <is>
          <t>#Contracts</t>
        </is>
      </c>
      <c r="F513" s="28" t="inlineStr">
        <is>
          <t>OpenDate</t>
        </is>
      </c>
      <c r="G513" s="28" t="inlineStr">
        <is>
          <t>CloseDate</t>
        </is>
      </c>
      <c r="H513" s="28" t="inlineStr">
        <is>
          <t>ExpDate</t>
        </is>
      </c>
      <c r="I513" s="28" t="inlineStr">
        <is>
          <t>Days</t>
        </is>
      </c>
      <c r="J513" s="52" t="inlineStr">
        <is>
          <t xml:space="preserve"> NetPrem</t>
        </is>
      </c>
      <c r="K513" t="inlineStr">
        <is>
          <t xml:space="preserve"> CapDays</t>
        </is>
      </c>
      <c r="L513" t="inlineStr">
        <is>
          <t xml:space="preserve"> OpenCap</t>
        </is>
      </c>
      <c r="M513" t="inlineStr">
        <is>
          <t xml:space="preserve"> BEcap</t>
        </is>
      </c>
      <c r="N513" t="inlineStr">
        <is>
          <t xml:space="preserve"> Shares</t>
        </is>
      </c>
    </row>
    <row r="514">
      <c r="A514" t="inlineStr">
        <is>
          <t>Sold 3 SBH Jul 16 2021 20.0 Put @ 0.67</t>
        </is>
      </c>
      <c r="B514" t="n">
        <v>1</v>
      </c>
      <c r="C514" t="inlineStr">
        <is>
          <t>SP</t>
        </is>
      </c>
      <c r="D514" t="n">
        <v>20</v>
      </c>
      <c r="E514" t="n">
        <v>3</v>
      </c>
      <c r="F514" s="2" t="n">
        <v>44361</v>
      </c>
      <c r="G514" t="inlineStr">
        <is>
          <t>(blank)</t>
        </is>
      </c>
      <c r="H514" s="2" t="n">
        <v>44393</v>
      </c>
      <c r="I514" s="11" t="n">
        <v>32</v>
      </c>
      <c r="J514" s="52" t="n">
        <v>199</v>
      </c>
      <c r="K514" t="n">
        <v>192000</v>
      </c>
      <c r="L514" t="n">
        <v>6000</v>
      </c>
      <c r="M514" t="n">
        <v>6000</v>
      </c>
      <c r="N514" t="n">
        <v>300</v>
      </c>
    </row>
    <row r="515">
      <c r="A515" t="inlineStr">
        <is>
          <t>Grand Total</t>
        </is>
      </c>
      <c r="J515" s="52" t="n">
        <v>199</v>
      </c>
      <c r="K515" t="n">
        <v>192000</v>
      </c>
      <c r="L515" t="n">
        <v>6000</v>
      </c>
      <c r="M515" t="n">
        <v>6000</v>
      </c>
      <c r="N515" t="n">
        <v>300</v>
      </c>
    </row>
    <row r="523">
      <c r="K523" s="6" t="n"/>
      <c r="L523" s="6" t="n"/>
      <c r="M523" s="6" t="n"/>
      <c r="N523" s="7" t="n"/>
    </row>
    <row r="524">
      <c r="K524" s="6" t="inlineStr">
        <is>
          <t>Annualized ROI =</t>
        </is>
      </c>
      <c r="L524" s="6" t="n"/>
      <c r="M524" s="6" t="n"/>
      <c r="N524" s="7">
        <f>365*GETPIVOTDATA(" NetPrem",$A527)/GETPIVOTDATA(" CapDays",A527)</f>
        <v/>
      </c>
    </row>
    <row r="525">
      <c r="A525" t="inlineStr">
        <is>
          <t>Trade#</t>
        </is>
      </c>
      <c r="B525" s="5" t="n">
        <v>42</v>
      </c>
      <c r="K525" s="6" t="inlineStr">
        <is>
          <t>Break Even =</t>
        </is>
      </c>
      <c r="L525" s="6" t="n"/>
      <c r="M525" s="6" t="n"/>
      <c r="N525" s="54">
        <f>IF(GETPIVOTDATA(" Shares",A527)=0,"N/A",(GETPIVOTDATA(" BEcap",A527)-GETPIVOTDATA(" NetPrem",A527))/GETPIVOTDATA(" Shares",A527))</f>
        <v/>
      </c>
    </row>
    <row r="526">
      <c r="K526" s="6" t="inlineStr">
        <is>
          <t>Required Capital =</t>
        </is>
      </c>
      <c r="L526" s="6" t="n"/>
      <c r="M526" s="6" t="n"/>
      <c r="N526" s="54">
        <f>GETPIVOTDATA(" OpenCap",A527)</f>
        <v/>
      </c>
    </row>
    <row r="527">
      <c r="J527" s="28" t="inlineStr">
        <is>
          <t>Values</t>
        </is>
      </c>
    </row>
    <row r="528">
      <c r="A528" s="28" t="inlineStr">
        <is>
          <t>SYM</t>
        </is>
      </c>
      <c r="B528" s="28" t="inlineStr">
        <is>
          <t>Leg</t>
        </is>
      </c>
      <c r="C528" s="28" t="inlineStr">
        <is>
          <t>TransType</t>
        </is>
      </c>
      <c r="D528" s="28" t="inlineStr">
        <is>
          <t>Strike</t>
        </is>
      </c>
      <c r="E528" s="28" t="inlineStr">
        <is>
          <t>#Contracts</t>
        </is>
      </c>
      <c r="F528" s="28" t="inlineStr">
        <is>
          <t>OpenDate</t>
        </is>
      </c>
      <c r="G528" s="28" t="inlineStr">
        <is>
          <t>CloseDate</t>
        </is>
      </c>
      <c r="H528" s="28" t="inlineStr">
        <is>
          <t>ExpDate</t>
        </is>
      </c>
      <c r="I528" s="28" t="inlineStr">
        <is>
          <t>Days</t>
        </is>
      </c>
      <c r="J528" s="52" t="inlineStr">
        <is>
          <t xml:space="preserve"> NetPrem</t>
        </is>
      </c>
      <c r="K528" t="inlineStr">
        <is>
          <t xml:space="preserve"> CapDays</t>
        </is>
      </c>
      <c r="L528" t="inlineStr">
        <is>
          <t xml:space="preserve"> OpenCap</t>
        </is>
      </c>
      <c r="M528" t="inlineStr">
        <is>
          <t xml:space="preserve"> BEcap</t>
        </is>
      </c>
      <c r="N528" t="inlineStr">
        <is>
          <t xml:space="preserve"> Shares</t>
        </is>
      </c>
    </row>
    <row r="529">
      <c r="A529" t="inlineStr">
        <is>
          <t>Sold 4 BBBY Jul 02 2021 26.5 Put @ 1.1</t>
        </is>
      </c>
      <c r="B529" t="n">
        <v>1</v>
      </c>
      <c r="C529" t="inlineStr">
        <is>
          <t>SP</t>
        </is>
      </c>
      <c r="D529" t="n">
        <v>26.5</v>
      </c>
      <c r="E529" t="n">
        <v>4</v>
      </c>
      <c r="F529" s="2" t="n">
        <v>44363</v>
      </c>
      <c r="G529" t="inlineStr">
        <is>
          <t>(blank)</t>
        </is>
      </c>
      <c r="H529" s="2" t="n">
        <v>44379</v>
      </c>
      <c r="I529" s="11" t="n">
        <v>16</v>
      </c>
      <c r="J529" s="52" t="n">
        <v>437.33</v>
      </c>
      <c r="K529" t="n">
        <v>169600</v>
      </c>
      <c r="L529" t="n">
        <v>10600</v>
      </c>
      <c r="M529" t="n">
        <v>10600</v>
      </c>
      <c r="N529" t="n">
        <v>400</v>
      </c>
    </row>
    <row r="530">
      <c r="A530" t="inlineStr">
        <is>
          <t>Grand Total</t>
        </is>
      </c>
      <c r="J530" s="52" t="n">
        <v>437.33</v>
      </c>
      <c r="K530" t="n">
        <v>169600</v>
      </c>
      <c r="L530" t="n">
        <v>10600</v>
      </c>
      <c r="M530" t="n">
        <v>10600</v>
      </c>
      <c r="N530" t="n">
        <v>400</v>
      </c>
    </row>
    <row r="537">
      <c r="K537" s="6" t="n"/>
      <c r="L537" s="6" t="n"/>
      <c r="M537" s="6" t="n"/>
      <c r="N537" s="7" t="n"/>
    </row>
    <row r="538">
      <c r="K538" s="6" t="inlineStr">
        <is>
          <t>Annualized ROI =</t>
        </is>
      </c>
      <c r="L538" s="6" t="n"/>
      <c r="M538" s="6" t="n"/>
      <c r="N538" s="7">
        <f>365*GETPIVOTDATA(" NetPrem",$A541)/GETPIVOTDATA(" CapDays",A541)</f>
        <v/>
      </c>
    </row>
    <row r="539">
      <c r="A539" t="inlineStr">
        <is>
          <t>Trade#</t>
        </is>
      </c>
      <c r="B539" s="5" t="n">
        <v>43</v>
      </c>
      <c r="K539" s="6" t="inlineStr">
        <is>
          <t>Break Even =</t>
        </is>
      </c>
      <c r="L539" s="6" t="n"/>
      <c r="M539" s="6" t="n"/>
      <c r="N539" s="54">
        <f>IF(GETPIVOTDATA(" Shares",A541)=0,"N/A",(GETPIVOTDATA(" BEcap",A541)-GETPIVOTDATA(" NetPrem",A541))/GETPIVOTDATA(" Shares",A541))</f>
        <v/>
      </c>
    </row>
    <row r="540">
      <c r="K540" s="6" t="inlineStr">
        <is>
          <t>Required Capital =</t>
        </is>
      </c>
      <c r="L540" s="6" t="n"/>
      <c r="M540" s="6" t="n"/>
      <c r="N540" s="54">
        <f>GETPIVOTDATA(" OpenCap",A541)</f>
        <v/>
      </c>
    </row>
    <row r="541">
      <c r="J541" s="28" t="inlineStr">
        <is>
          <t>Values</t>
        </is>
      </c>
    </row>
    <row r="542">
      <c r="A542" s="28" t="inlineStr">
        <is>
          <t>SYM</t>
        </is>
      </c>
      <c r="B542" s="28" t="inlineStr">
        <is>
          <t>Leg</t>
        </is>
      </c>
      <c r="C542" s="28" t="inlineStr">
        <is>
          <t>TransType</t>
        </is>
      </c>
      <c r="D542" s="28" t="inlineStr">
        <is>
          <t>Strike</t>
        </is>
      </c>
      <c r="E542" s="28" t="inlineStr">
        <is>
          <t>#Contracts</t>
        </is>
      </c>
      <c r="F542" s="28" t="inlineStr">
        <is>
          <t>OpenDate</t>
        </is>
      </c>
      <c r="G542" s="28" t="inlineStr">
        <is>
          <t>CloseDate</t>
        </is>
      </c>
      <c r="H542" s="28" t="inlineStr">
        <is>
          <t>ExpDate</t>
        </is>
      </c>
      <c r="I542" s="28" t="inlineStr">
        <is>
          <t>Days</t>
        </is>
      </c>
      <c r="J542" s="52" t="inlineStr">
        <is>
          <t xml:space="preserve"> NetPrem</t>
        </is>
      </c>
      <c r="K542" t="inlineStr">
        <is>
          <t xml:space="preserve"> CapDays</t>
        </is>
      </c>
      <c r="L542" t="inlineStr">
        <is>
          <t xml:space="preserve"> OpenCap</t>
        </is>
      </c>
      <c r="M542" t="inlineStr">
        <is>
          <t xml:space="preserve"> BEcap</t>
        </is>
      </c>
      <c r="N542" t="inlineStr">
        <is>
          <t xml:space="preserve"> Shares</t>
        </is>
      </c>
    </row>
    <row r="543">
      <c r="A543" t="inlineStr">
        <is>
          <t>Sold 2 CWH Jul 16 2021 35.0 Put @ 0.64</t>
        </is>
      </c>
      <c r="B543" t="n">
        <v>1</v>
      </c>
      <c r="C543" t="inlineStr">
        <is>
          <t>SP</t>
        </is>
      </c>
      <c r="D543" t="n">
        <v>35</v>
      </c>
      <c r="E543" t="n">
        <v>2</v>
      </c>
      <c r="F543" s="2" t="n">
        <v>44370</v>
      </c>
      <c r="G543" t="inlineStr">
        <is>
          <t>(blank)</t>
        </is>
      </c>
      <c r="H543" s="2" t="n">
        <v>44393</v>
      </c>
      <c r="I543" s="11" t="n">
        <v>23</v>
      </c>
      <c r="J543" s="52" t="n">
        <v>126.67</v>
      </c>
      <c r="K543" t="n">
        <v>161000</v>
      </c>
      <c r="L543" t="n">
        <v>7000</v>
      </c>
      <c r="M543" t="n">
        <v>7000</v>
      </c>
      <c r="N543" t="n">
        <v>200</v>
      </c>
    </row>
    <row r="544">
      <c r="A544" t="inlineStr">
        <is>
          <t>Sold 5 CWH Jul 16 2021 35.0 Put @ 0.51</t>
        </is>
      </c>
      <c r="B544" t="n">
        <v>2</v>
      </c>
      <c r="C544" t="inlineStr">
        <is>
          <t>SP</t>
        </is>
      </c>
      <c r="D544" t="n">
        <v>35</v>
      </c>
      <c r="E544" t="n">
        <v>5</v>
      </c>
      <c r="F544" s="2" t="n">
        <v>44370</v>
      </c>
      <c r="G544" t="inlineStr">
        <is>
          <t>(blank)</t>
        </is>
      </c>
      <c r="H544" s="2" t="n">
        <v>44393</v>
      </c>
      <c r="I544" s="11" t="n">
        <v>23</v>
      </c>
      <c r="J544" s="52" t="n">
        <v>251.67</v>
      </c>
      <c r="K544" t="n">
        <v>402500</v>
      </c>
      <c r="L544" t="n">
        <v>17500</v>
      </c>
      <c r="M544" t="n">
        <v>17500</v>
      </c>
      <c r="N544" t="n">
        <v>500</v>
      </c>
    </row>
    <row r="545">
      <c r="A545" t="inlineStr">
        <is>
          <t>Grand Total</t>
        </is>
      </c>
      <c r="J545" s="52" t="n">
        <v>378.34</v>
      </c>
      <c r="K545" t="n">
        <v>563500</v>
      </c>
      <c r="L545" t="n">
        <v>24500</v>
      </c>
      <c r="M545" t="n">
        <v>24500</v>
      </c>
      <c r="N545" t="n">
        <v>700</v>
      </c>
    </row>
  </sheetData>
  <pageMargins bottom="0.75" footer="0.3" header="0.3" left="0.7" right="0.7" top="0.75"/>
  <pageSetup orientation="landscape"/>
</worksheet>
</file>

<file path=xl/worksheets/sheet5.xml><?xml version="1.0" encoding="utf-8"?>
<worksheet xmlns="http://schemas.openxmlformats.org/spreadsheetml/2006/main">
  <sheetPr>
    <outlinePr summaryBelow="1" summaryRight="1"/>
    <pageSetUpPr/>
  </sheetPr>
  <dimension ref="A1:O22"/>
  <sheetViews>
    <sheetView topLeftCell="B1" workbookViewId="0" zoomScaleNormal="100">
      <selection activeCell="K8" sqref="K8"/>
    </sheetView>
  </sheetViews>
  <sheetFormatPr baseColWidth="8" defaultRowHeight="15"/>
  <cols>
    <col customWidth="1" max="1" min="1" style="69" width="12.7109375"/>
    <col customWidth="1" max="2" min="2" style="69" width="8"/>
    <col customWidth="1" max="3" min="3" style="69" width="41.42578125"/>
    <col bestFit="1" customWidth="1" max="5" min="4" style="69" width="10.5703125"/>
    <col bestFit="1" customWidth="1" max="6" min="6" style="2" width="10.7109375"/>
    <col customWidth="1" max="7" min="7" style="69" width="8.42578125"/>
    <col bestFit="1" customWidth="1" max="8" min="8" style="69" width="12.5703125"/>
    <col bestFit="1" customWidth="1" max="9" min="9" style="69" width="13.42578125"/>
    <col bestFit="1" customWidth="1" max="10" min="10" style="69" width="15.7109375"/>
    <col bestFit="1" customWidth="1" max="11" min="11" style="69" width="15.85546875"/>
    <col bestFit="1" customWidth="1" max="12" min="12" style="69" width="15.28515625"/>
    <col bestFit="1" customWidth="1" max="13" min="13" style="69" width="15.85546875"/>
    <col bestFit="1" customWidth="1" max="14" min="14" style="69" width="15.28515625"/>
    <col bestFit="1" customWidth="1" max="15" min="15" style="69" width="15.85546875"/>
    <col bestFit="1" customWidth="1" max="16" min="16" style="69" width="15.28515625"/>
    <col bestFit="1" customWidth="1" max="17" min="17" style="69" width="8.85546875"/>
    <col bestFit="1" customWidth="1" max="18" min="18" style="69" width="7.140625"/>
    <col bestFit="1" customWidth="1" max="19" min="19" style="69" width="10.140625"/>
    <col bestFit="1" customWidth="1" max="20" min="20" style="69" width="6.140625"/>
    <col bestFit="1" customWidth="1" max="21" min="21" style="69" width="9.140625"/>
    <col bestFit="1" customWidth="1" max="22" min="22" style="69" width="7"/>
    <col bestFit="1" customWidth="1" max="23" min="23" style="69" width="10"/>
    <col bestFit="1" customWidth="1" max="24" min="24" style="69" width="6"/>
    <col bestFit="1" customWidth="1" max="25" min="25" style="69" width="9"/>
    <col bestFit="1" customWidth="1" max="26" min="26" style="69" width="6.140625"/>
    <col bestFit="1" customWidth="1" max="27" min="27" style="69" width="9.140625"/>
    <col bestFit="1" customWidth="1" max="28" min="28" style="69" width="6.28515625"/>
    <col bestFit="1" customWidth="1" max="29" min="29" style="69" width="9.28515625"/>
    <col bestFit="1" customWidth="1" max="31" min="30" style="69" width="8.85546875"/>
  </cols>
  <sheetData>
    <row r="1">
      <c r="A1" t="inlineStr">
        <is>
          <t>This pivot table displays the open campaigns (positions).  If "CloseDate" is changed, it must be set back to "(blank)" to show the open positions.</t>
        </is>
      </c>
    </row>
    <row r="2">
      <c r="A2" t="inlineStr">
        <is>
          <t>If changes have been made to the DATA sheet, then this pivot table must be refreshed. To refresh, right click on any cell in the pivot table and select "Refresh" from the menu.</t>
        </is>
      </c>
    </row>
    <row r="3">
      <c r="F3" s="2" t="inlineStr">
        <is>
          <t>Highlighted means ITM</t>
        </is>
      </c>
    </row>
    <row r="4">
      <c r="A4" s="28" t="inlineStr">
        <is>
          <t>CloseDate</t>
        </is>
      </c>
      <c r="B4" t="inlineStr">
        <is>
          <t>(blank)</t>
        </is>
      </c>
    </row>
    <row r="6">
      <c r="L6" s="28" t="inlineStr">
        <is>
          <t>Values</t>
        </is>
      </c>
    </row>
    <row r="7">
      <c r="A7" s="3" t="inlineStr">
        <is>
          <t>ExpDate</t>
        </is>
      </c>
      <c r="B7" s="28" t="inlineStr">
        <is>
          <t>Trade#</t>
        </is>
      </c>
      <c r="C7" s="32" t="inlineStr">
        <is>
          <t>SYM</t>
        </is>
      </c>
      <c r="D7" s="28" t="inlineStr">
        <is>
          <t>Leg</t>
        </is>
      </c>
      <c r="E7" s="28" t="inlineStr">
        <is>
          <t>TransType</t>
        </is>
      </c>
      <c r="F7" s="28" t="inlineStr">
        <is>
          <t>OpenDate</t>
        </is>
      </c>
      <c r="G7" s="28" t="inlineStr">
        <is>
          <t>Strike</t>
        </is>
      </c>
      <c r="H7" s="28" t="inlineStr">
        <is>
          <t>Current value</t>
        </is>
      </c>
      <c r="I7" s="28" t="inlineStr">
        <is>
          <t>ask</t>
        </is>
      </c>
      <c r="J7" s="28" t="inlineStr">
        <is>
          <t>#Contracts</t>
        </is>
      </c>
      <c r="K7" s="28" t="inlineStr">
        <is>
          <t>ActDate</t>
        </is>
      </c>
      <c r="L7" t="inlineStr">
        <is>
          <t>Req uired Cap</t>
        </is>
      </c>
      <c r="M7" t="inlineStr">
        <is>
          <t>Sum of TotPrem</t>
        </is>
      </c>
      <c r="N7" t="inlineStr">
        <is>
          <t>Sum of AROI</t>
        </is>
      </c>
    </row>
    <row r="8">
      <c r="A8" s="2" t="n">
        <v>44372</v>
      </c>
      <c r="B8" t="n">
        <v>37</v>
      </c>
      <c r="C8" t="inlineStr">
        <is>
          <t>Sold to Open 3 MU Jun 25 2021 76.0 Put @ 1.03</t>
        </is>
      </c>
      <c r="D8" t="n">
        <v>1</v>
      </c>
      <c r="E8" t="inlineStr">
        <is>
          <t>SP</t>
        </is>
      </c>
      <c r="F8" s="2" t="n">
        <v>44356</v>
      </c>
      <c r="G8" t="n">
        <v>76</v>
      </c>
      <c r="H8" t="inlineStr">
        <is>
          <t>#N/A</t>
        </is>
      </c>
      <c r="I8" t="inlineStr">
        <is>
          <t>#N/A</t>
        </is>
      </c>
      <c r="J8" s="11" t="n">
        <v>3</v>
      </c>
      <c r="K8" s="2" t="n">
        <v>44372</v>
      </c>
      <c r="L8" t="n">
        <v>22800</v>
      </c>
      <c r="M8" t="n">
        <v>307</v>
      </c>
      <c r="N8" t="n">
        <v>0.3071683114035088</v>
      </c>
    </row>
    <row r="9">
      <c r="A9" s="2" t="n">
        <v>44379</v>
      </c>
      <c r="B9" t="n">
        <v>35</v>
      </c>
      <c r="C9" t="inlineStr">
        <is>
          <t>Sold to Open 4 BSX Jul 02 2021 41.5 Put @ 0.7</t>
        </is>
      </c>
      <c r="D9" t="n">
        <v>1</v>
      </c>
      <c r="E9" t="inlineStr">
        <is>
          <t>SP</t>
        </is>
      </c>
      <c r="F9" s="2" t="n">
        <v>44356</v>
      </c>
      <c r="G9" t="n">
        <v>41.5</v>
      </c>
      <c r="H9" t="inlineStr">
        <is>
          <t>#N/A</t>
        </is>
      </c>
      <c r="I9" t="inlineStr">
        <is>
          <t>#N/A</t>
        </is>
      </c>
      <c r="J9" s="11" t="n">
        <v>4</v>
      </c>
      <c r="K9" s="2" t="n">
        <v>44379</v>
      </c>
      <c r="L9" t="n">
        <v>16600</v>
      </c>
      <c r="M9" t="n">
        <v>277.33</v>
      </c>
      <c r="N9" t="n">
        <v>0.2651268988999476</v>
      </c>
    </row>
    <row r="10">
      <c r="B10" t="n">
        <v>40</v>
      </c>
      <c r="C10" t="inlineStr">
        <is>
          <t>Sold 4 DAL Jul 2 2021 46.0 Put @ 1.16</t>
        </is>
      </c>
      <c r="D10" t="n">
        <v>1</v>
      </c>
      <c r="E10" t="inlineStr">
        <is>
          <t>SP</t>
        </is>
      </c>
      <c r="F10" s="2" t="n">
        <v>44358</v>
      </c>
      <c r="G10" t="n">
        <v>46</v>
      </c>
      <c r="H10" t="inlineStr">
        <is>
          <t>#N/A</t>
        </is>
      </c>
      <c r="I10" t="inlineStr">
        <is>
          <t>#N/A</t>
        </is>
      </c>
      <c r="J10" s="11" t="n">
        <v>4</v>
      </c>
      <c r="K10" s="2" t="n">
        <v>44379</v>
      </c>
      <c r="L10" t="n">
        <v>18400</v>
      </c>
      <c r="M10" t="n">
        <v>461.33</v>
      </c>
      <c r="N10" t="n">
        <v>0.4357801501035196</v>
      </c>
    </row>
    <row r="11">
      <c r="B11" t="n">
        <v>42</v>
      </c>
      <c r="C11" t="inlineStr">
        <is>
          <t>Sold 4 BBBY Jul 02 2021 26.5 Put @ 1.1</t>
        </is>
      </c>
      <c r="D11" t="n">
        <v>1</v>
      </c>
      <c r="E11" t="inlineStr">
        <is>
          <t>SP</t>
        </is>
      </c>
      <c r="F11" s="2" t="n">
        <v>44363</v>
      </c>
      <c r="G11" t="n">
        <v>26.5</v>
      </c>
      <c r="H11" t="inlineStr">
        <is>
          <t>#N/A</t>
        </is>
      </c>
      <c r="I11" t="inlineStr">
        <is>
          <t>#N/A</t>
        </is>
      </c>
      <c r="J11" s="11" t="n">
        <v>4</v>
      </c>
      <c r="K11" s="2" t="n">
        <v>44379</v>
      </c>
      <c r="L11" t="n">
        <v>10600</v>
      </c>
      <c r="M11" t="n">
        <v>437.33</v>
      </c>
      <c r="N11" t="n">
        <v>0.9411877948113206</v>
      </c>
    </row>
    <row r="12">
      <c r="A12" s="2" t="n">
        <v>44386</v>
      </c>
      <c r="B12" t="n">
        <v>39</v>
      </c>
      <c r="C12" t="inlineStr">
        <is>
          <t>Sold 1 CHWY Jul 9 2021 71.5 Put @ 1.88</t>
        </is>
      </c>
      <c r="D12" t="n">
        <v>1</v>
      </c>
      <c r="E12" t="inlineStr">
        <is>
          <t>SP</t>
        </is>
      </c>
      <c r="F12" s="2" t="n">
        <v>44358</v>
      </c>
      <c r="G12" t="n">
        <v>71.5</v>
      </c>
      <c r="H12" t="inlineStr">
        <is>
          <t>#N/A</t>
        </is>
      </c>
      <c r="I12" t="inlineStr">
        <is>
          <t>#N/A</t>
        </is>
      </c>
      <c r="J12" s="11" t="n">
        <v>1</v>
      </c>
      <c r="K12" s="2" t="n">
        <v>44386</v>
      </c>
      <c r="L12" t="n">
        <v>7150</v>
      </c>
      <c r="M12" t="n">
        <v>187.34</v>
      </c>
      <c r="N12" t="n">
        <v>0.3415539460539461</v>
      </c>
    </row>
    <row r="13">
      <c r="A13" s="2" t="n">
        <v>44393</v>
      </c>
      <c r="B13" t="n">
        <v>18</v>
      </c>
      <c r="C13" t="inlineStr">
        <is>
          <t>Sold 4 EAT Jul 16 2021 65.0 Put @ 7.7</t>
        </is>
      </c>
      <c r="D13" t="n">
        <v>5</v>
      </c>
      <c r="E13" t="inlineStr">
        <is>
          <t>SP</t>
        </is>
      </c>
      <c r="F13" s="2" t="n">
        <v>44362</v>
      </c>
      <c r="G13" t="n">
        <v>65</v>
      </c>
      <c r="H13" t="inlineStr">
        <is>
          <t>#N/A</t>
        </is>
      </c>
      <c r="I13" t="inlineStr">
        <is>
          <t>#N/A</t>
        </is>
      </c>
      <c r="J13" s="11" t="n">
        <v>4</v>
      </c>
      <c r="K13" s="2" t="n">
        <v>44393</v>
      </c>
      <c r="L13" t="n">
        <v>26000</v>
      </c>
      <c r="M13" t="n">
        <v>1530.65</v>
      </c>
      <c r="N13" t="n">
        <v>0.2790645604395605</v>
      </c>
    </row>
    <row r="14">
      <c r="B14" t="n">
        <v>34</v>
      </c>
      <c r="C14" t="inlineStr">
        <is>
          <t>Sold to Open 10 FF Jul 16 2021 10.0 Put @ 0.45</t>
        </is>
      </c>
      <c r="D14" t="n">
        <v>1</v>
      </c>
      <c r="E14" t="inlineStr">
        <is>
          <t>SP</t>
        </is>
      </c>
      <c r="F14" s="2" t="n">
        <v>44356</v>
      </c>
      <c r="G14" t="n">
        <v>10</v>
      </c>
      <c r="H14" t="inlineStr">
        <is>
          <t>#N/A</t>
        </is>
      </c>
      <c r="I14" t="inlineStr">
        <is>
          <t>#N/A</t>
        </is>
      </c>
      <c r="J14" s="11" t="n">
        <v>10</v>
      </c>
      <c r="K14" s="2" t="n">
        <v>44393</v>
      </c>
      <c r="L14" t="n">
        <v>10000</v>
      </c>
      <c r="M14" t="n">
        <v>443.34</v>
      </c>
      <c r="N14" t="n">
        <v>0.4373489189189189</v>
      </c>
    </row>
    <row r="15">
      <c r="B15" t="n">
        <v>36</v>
      </c>
      <c r="C15" t="inlineStr">
        <is>
          <t>Sold to Open 1 BLL Jul 16 2021 80.0 Put @ 1.95</t>
        </is>
      </c>
      <c r="D15" t="n">
        <v>1</v>
      </c>
      <c r="E15" t="inlineStr">
        <is>
          <t>SP</t>
        </is>
      </c>
      <c r="F15" s="2" t="n">
        <v>44356</v>
      </c>
      <c r="G15" t="n">
        <v>80</v>
      </c>
      <c r="H15" t="inlineStr">
        <is>
          <t>#N/A</t>
        </is>
      </c>
      <c r="I15" t="inlineStr">
        <is>
          <t>#N/A</t>
        </is>
      </c>
      <c r="J15" s="11" t="n">
        <v>1</v>
      </c>
      <c r="K15" s="2" t="n">
        <v>44393</v>
      </c>
      <c r="L15" t="n">
        <v>8000</v>
      </c>
      <c r="M15" t="n">
        <v>194.34</v>
      </c>
      <c r="N15" t="n">
        <v>0.2396422297297298</v>
      </c>
    </row>
    <row r="16">
      <c r="B16" t="n">
        <v>38</v>
      </c>
      <c r="C16" t="inlineStr">
        <is>
          <t>Sold 2 SAVE Jul 16 2021 35.0 Put @ 2.15</t>
        </is>
      </c>
      <c r="D16" t="n">
        <v>1</v>
      </c>
      <c r="E16" t="inlineStr">
        <is>
          <t>SP</t>
        </is>
      </c>
      <c r="F16" s="2" t="n">
        <v>44357</v>
      </c>
      <c r="G16" t="n">
        <v>35</v>
      </c>
      <c r="H16" t="inlineStr">
        <is>
          <t>#N/A</t>
        </is>
      </c>
      <c r="I16" t="inlineStr">
        <is>
          <t>#N/A</t>
        </is>
      </c>
      <c r="J16" s="11" t="n">
        <v>2</v>
      </c>
      <c r="K16" s="2" t="n">
        <v>44393</v>
      </c>
      <c r="L16" t="n">
        <v>7000</v>
      </c>
      <c r="M16" t="n">
        <v>428.67</v>
      </c>
      <c r="N16" t="n">
        <v>0.6208910714285715</v>
      </c>
    </row>
    <row r="17">
      <c r="C17" t="inlineStr">
        <is>
          <t>Sold to Open 2 SAVE Jul 16 2021 35.0 Put @ 2.64</t>
        </is>
      </c>
      <c r="D17" t="n">
        <v>2</v>
      </c>
      <c r="E17" t="inlineStr">
        <is>
          <t>SP</t>
        </is>
      </c>
      <c r="F17" s="2" t="n">
        <v>44370</v>
      </c>
      <c r="G17" t="n">
        <v>35</v>
      </c>
      <c r="H17" t="inlineStr">
        <is>
          <t>#N/A</t>
        </is>
      </c>
      <c r="I17" t="inlineStr">
        <is>
          <t>#N/A</t>
        </is>
      </c>
      <c r="J17" s="11" t="n">
        <v>2</v>
      </c>
      <c r="K17" s="2" t="n">
        <v>44393</v>
      </c>
      <c r="L17" t="n">
        <v>7000</v>
      </c>
      <c r="M17" t="n">
        <v>955.3399999999999</v>
      </c>
      <c r="N17" t="n">
        <v>0.8443077481840193</v>
      </c>
    </row>
    <row r="18">
      <c r="B18" t="n">
        <v>41</v>
      </c>
      <c r="C18" t="inlineStr">
        <is>
          <t>Sold 3 SBH Jul 16 2021 20.0 Put @ 0.67</t>
        </is>
      </c>
      <c r="D18" t="n">
        <v>1</v>
      </c>
      <c r="E18" t="inlineStr">
        <is>
          <t>SP</t>
        </is>
      </c>
      <c r="F18" s="2" t="n">
        <v>44361</v>
      </c>
      <c r="G18" t="n">
        <v>20</v>
      </c>
      <c r="H18" t="inlineStr">
        <is>
          <t>#N/A</t>
        </is>
      </c>
      <c r="I18" t="inlineStr">
        <is>
          <t>#N/A</t>
        </is>
      </c>
      <c r="J18" s="11" t="n">
        <v>3</v>
      </c>
      <c r="K18" s="2" t="n">
        <v>44393</v>
      </c>
      <c r="L18" t="n">
        <v>6000</v>
      </c>
      <c r="M18" t="n">
        <v>199</v>
      </c>
      <c r="N18" t="n">
        <v>0.3783072916666667</v>
      </c>
    </row>
    <row r="19">
      <c r="B19" t="n">
        <v>43</v>
      </c>
      <c r="C19" t="inlineStr">
        <is>
          <t>Sold 2 CWH Jul 16 2021 35.0 Put @ 0.64</t>
        </is>
      </c>
      <c r="D19" t="n">
        <v>1</v>
      </c>
      <c r="E19" t="inlineStr">
        <is>
          <t>SP</t>
        </is>
      </c>
      <c r="F19" s="2" t="n">
        <v>44370</v>
      </c>
      <c r="G19" t="n">
        <v>35</v>
      </c>
      <c r="H19" t="inlineStr">
        <is>
          <t>#N/A</t>
        </is>
      </c>
      <c r="I19" t="inlineStr">
        <is>
          <t>#N/A</t>
        </is>
      </c>
      <c r="J19" s="11" t="n">
        <v>2</v>
      </c>
      <c r="K19" s="2" t="n">
        <v>44393</v>
      </c>
      <c r="L19" t="n">
        <v>7000</v>
      </c>
      <c r="M19" t="n">
        <v>126.67</v>
      </c>
      <c r="N19" t="n">
        <v>0.2871711180124224</v>
      </c>
    </row>
    <row r="20">
      <c r="C20" t="inlineStr">
        <is>
          <t>Sold 5 CWH Jul 16 2021 35.0 Put @ 0.51</t>
        </is>
      </c>
      <c r="D20" t="n">
        <v>2</v>
      </c>
      <c r="E20" t="inlineStr">
        <is>
          <t>SP</t>
        </is>
      </c>
      <c r="F20" s="2" t="n">
        <v>44370</v>
      </c>
      <c r="G20" t="n">
        <v>35</v>
      </c>
      <c r="H20" t="inlineStr">
        <is>
          <t>#N/A</t>
        </is>
      </c>
      <c r="I20" t="inlineStr">
        <is>
          <t>#N/A</t>
        </is>
      </c>
      <c r="J20" s="11" t="n">
        <v>5</v>
      </c>
      <c r="K20" s="2" t="n">
        <v>44393</v>
      </c>
      <c r="L20" t="n">
        <v>17500</v>
      </c>
      <c r="M20" t="n">
        <v>378.34</v>
      </c>
      <c r="N20" t="n">
        <v>0.2450649511978704</v>
      </c>
    </row>
    <row r="21">
      <c r="A21" s="2" t="n">
        <v>44428</v>
      </c>
      <c r="B21" t="n">
        <v>26</v>
      </c>
      <c r="C21" t="inlineStr">
        <is>
          <t>Sold 1 ABT Aug 20 2021 115.0 Put @ 8.52</t>
        </is>
      </c>
      <c r="D21" t="n">
        <v>3</v>
      </c>
      <c r="E21" t="inlineStr">
        <is>
          <t>SP</t>
        </is>
      </c>
      <c r="F21" s="2" t="n">
        <v>44355</v>
      </c>
      <c r="G21" t="n">
        <v>115</v>
      </c>
      <c r="H21" t="inlineStr">
        <is>
          <t>#N/A</t>
        </is>
      </c>
      <c r="I21" t="inlineStr">
        <is>
          <t>#N/A</t>
        </is>
      </c>
      <c r="J21" s="11" t="n">
        <v>1</v>
      </c>
      <c r="K21" s="2" t="n">
        <v>44428</v>
      </c>
      <c r="L21" t="n">
        <v>11500</v>
      </c>
      <c r="M21" t="n">
        <v>312.0200000000001</v>
      </c>
      <c r="N21" t="n">
        <v>0.1112723986321446</v>
      </c>
    </row>
    <row r="22">
      <c r="A22" t="inlineStr">
        <is>
          <t>Grand Total</t>
        </is>
      </c>
      <c r="L22" t="n">
        <v>175550</v>
      </c>
      <c r="M22" t="n">
        <v>6238.700000000001</v>
      </c>
      <c r="N22" t="n">
        <v>5.733887389482146</v>
      </c>
    </row>
  </sheetData>
  <conditionalFormatting sqref="E1:E1048576">
    <cfRule dxfId="197" operator="equal" priority="5" type="cellIs">
      <formula>"(blank)"</formula>
    </cfRule>
    <cfRule dxfId="198" operator="equal" priority="6" type="cellIs">
      <formula>"(blank)"</formula>
    </cfRule>
  </conditionalFormatting>
  <conditionalFormatting sqref="A4:H6 A335:H1048576 A7:F23 A24:G334">
    <cfRule dxfId="197" operator="equal" priority="4" type="cellIs">
      <formula>"(blank)"</formula>
    </cfRule>
  </conditionalFormatting>
  <conditionalFormatting sqref="G7:G16">
    <cfRule dxfId="195" priority="2" type="expression">
      <formula>G7&gt;H7</formula>
    </cfRule>
  </conditionalFormatting>
  <conditionalFormatting sqref="G17:G21">
    <cfRule dxfId="195" priority="1" type="expression">
      <formula>G17&gt;H17</formula>
    </cfRule>
  </conditionalFormatting>
  <pageMargins bottom="0.75" footer="0.3" header="0.3" left="0.7" right="0.7" top="0.75"/>
  <pageSetup orientation="landscape"/>
</worksheet>
</file>

<file path=xl/worksheets/sheet6.xml><?xml version="1.0" encoding="utf-8"?>
<worksheet xmlns="http://schemas.openxmlformats.org/spreadsheetml/2006/main">
  <sheetPr>
    <outlinePr summaryBelow="1" summaryRight="1"/>
    <pageSetUpPr/>
  </sheetPr>
  <dimension ref="A1:AI39"/>
  <sheetViews>
    <sheetView topLeftCell="A7" workbookViewId="0">
      <selection activeCell="I14" sqref="I14"/>
    </sheetView>
  </sheetViews>
  <sheetFormatPr baseColWidth="8" defaultRowHeight="15"/>
  <cols>
    <col customWidth="1" max="1" min="1" style="69" width="18.42578125"/>
    <col customWidth="1" max="3" min="2" style="69" width="9.7109375"/>
    <col customWidth="1" max="4" min="4" style="69" width="14.28515625"/>
    <col customWidth="1" max="8" min="5" style="69" width="9.7109375"/>
    <col bestFit="1" customWidth="1" max="9" min="9" style="69" width="10.140625"/>
    <col customWidth="1" max="13" min="10" style="69" width="9.7109375"/>
    <col customWidth="1" max="14" min="14" style="69" width="11.28515625"/>
    <col bestFit="1" customWidth="1" max="15" min="15" style="69" width="8.42578125"/>
    <col customWidth="1" max="16" min="16" style="4" width="12.28515625"/>
    <col bestFit="1" customWidth="1" max="17" min="17" style="69" width="8.42578125"/>
    <col customWidth="1" max="18" min="18" style="10" width="12"/>
    <col bestFit="1" customWidth="1" max="27" min="19" style="69" width="7.7109375"/>
    <col bestFit="1" customWidth="1" max="28" min="28" style="69" width="6.7109375"/>
    <col bestFit="1" customWidth="1" max="29" min="29" style="69" width="7.7109375"/>
    <col bestFit="1" customWidth="1" max="30" min="30" style="69" width="6.7109375"/>
    <col bestFit="1" customWidth="1" max="33" min="31" style="69" width="7.7109375"/>
    <col bestFit="1" customWidth="1" max="35" min="34" style="69" width="6.7109375"/>
    <col bestFit="1" customWidth="1" max="38" min="36" style="69" width="7.7109375"/>
    <col bestFit="1" customWidth="1" max="39" min="39" style="69" width="6.7109375"/>
    <col bestFit="1" customWidth="1" max="43" min="40" style="69" width="7.7109375"/>
    <col bestFit="1" customWidth="1" max="45" min="44" style="69" width="6.7109375"/>
    <col bestFit="1" customWidth="1" max="46" min="46" style="69" width="5.7109375"/>
    <col bestFit="1" customWidth="1" max="59" min="47" style="69" width="6.7109375"/>
    <col bestFit="1" customWidth="1" max="60" min="60" style="69" width="5.7109375"/>
    <col bestFit="1" customWidth="1" max="61" min="61" style="69" width="4"/>
    <col bestFit="1" customWidth="1" max="63" min="62" style="69" width="5"/>
    <col bestFit="1" customWidth="1" max="67" min="64" style="69" width="6"/>
    <col bestFit="1" customWidth="1" max="68" min="68" style="69" width="3"/>
    <col bestFit="1" customWidth="1" max="73" min="69" style="69" width="6"/>
    <col bestFit="1" customWidth="1" max="74" min="74" style="69" width="3"/>
    <col bestFit="1" customWidth="1" max="75" min="75" style="69" width="6"/>
    <col bestFit="1" customWidth="1" max="77" min="76" style="69" width="3"/>
    <col bestFit="1" customWidth="1" max="82" min="78" style="69" width="6"/>
    <col bestFit="1" customWidth="1" max="84" min="83" style="69" width="3"/>
    <col bestFit="1" customWidth="1" max="86" min="85" style="69" width="6"/>
    <col bestFit="1" customWidth="1" max="87" min="87" style="69" width="3"/>
    <col bestFit="1" customWidth="1" max="93" min="88" style="69" width="6"/>
    <col bestFit="1" customWidth="1" max="95" min="94" style="69" width="5"/>
    <col bestFit="1" customWidth="1" max="99" min="96" style="69" width="6"/>
    <col bestFit="1" customWidth="1" max="100" min="100" style="69" width="3"/>
    <col bestFit="1" customWidth="1" max="101" min="101" style="69" width="6"/>
    <col bestFit="1" customWidth="1" max="102" min="102" style="69" width="3"/>
    <col bestFit="1" customWidth="1" max="103" min="103" style="69" width="5"/>
    <col bestFit="1" customWidth="1" max="107" min="104" style="69" width="6"/>
    <col bestFit="1" customWidth="1" max="108" min="108" style="69" width="3"/>
    <col bestFit="1" customWidth="1" max="109" min="109" style="69" width="6"/>
    <col bestFit="1" customWidth="1" max="110" min="110" style="69" width="3"/>
    <col bestFit="1" customWidth="1" max="119" min="111" style="69" width="6"/>
    <col bestFit="1" customWidth="1" max="120" min="120" style="69" width="3"/>
    <col bestFit="1" customWidth="1" max="122" min="121" style="69" width="6"/>
    <col bestFit="1" customWidth="1" max="124" min="123" style="69" width="3"/>
    <col bestFit="1" customWidth="1" max="133" min="125" style="69" width="6"/>
    <col bestFit="1" customWidth="1" max="138" min="134" style="69" width="7"/>
    <col bestFit="1" customWidth="1" max="139" min="139" style="69" width="4"/>
    <col bestFit="1" customWidth="1" max="167" min="140" style="69" width="7"/>
    <col bestFit="1" customWidth="1" max="168" min="168" style="69" width="6"/>
    <col bestFit="1" customWidth="1" max="174" min="169" style="69" width="7"/>
    <col bestFit="1" customWidth="1" max="175" min="175" style="69" width="4"/>
    <col bestFit="1" customWidth="1" max="183" min="176" style="69" width="7"/>
    <col bestFit="1" customWidth="1" max="184" min="184" style="69" width="6"/>
    <col bestFit="1" customWidth="1" max="185" min="185" style="69" width="7"/>
    <col bestFit="1" customWidth="1" max="186" min="186" style="69" width="6"/>
    <col bestFit="1" customWidth="1" max="190" min="187" style="69" width="7"/>
    <col bestFit="1" customWidth="1" max="191" min="191" style="69" width="6"/>
    <col bestFit="1" customWidth="1" max="212" min="192" style="69" width="7"/>
    <col bestFit="1" customWidth="1" max="213" min="213" style="69" width="6"/>
    <col bestFit="1" customWidth="1" max="230" min="214" style="69" width="7"/>
    <col bestFit="1" customWidth="1" max="240" min="231" style="69" width="8"/>
    <col bestFit="1" customWidth="1" max="241" min="241" style="69" width="10.42578125"/>
    <col bestFit="1" customWidth="1" max="242" min="242" style="69" width="11.28515625"/>
    <col bestFit="1" customWidth="1" max="243" min="243" style="69" width="10.42578125"/>
    <col bestFit="1" customWidth="1" max="244" min="244" style="69" width="7.85546875"/>
    <col bestFit="1" customWidth="1" max="245" min="245" style="69" width="10.42578125"/>
    <col bestFit="1" customWidth="1" max="246" min="246" style="69" width="7.85546875"/>
    <col bestFit="1" customWidth="1" max="247" min="247" style="69" width="10.42578125"/>
    <col bestFit="1" customWidth="1" max="248" min="248" style="69" width="7.85546875"/>
    <col bestFit="1" customWidth="1" max="249" min="249" style="69" width="10.42578125"/>
    <col bestFit="1" customWidth="1" max="250" min="250" style="69" width="7.85546875"/>
    <col bestFit="1" customWidth="1" max="251" min="251" style="69" width="10.42578125"/>
    <col bestFit="1" customWidth="1" max="252" min="252" style="69" width="7.85546875"/>
    <col bestFit="1" customWidth="1" max="253" min="253" style="69" width="10.42578125"/>
    <col bestFit="1" customWidth="1" max="254" min="254" style="69" width="7.85546875"/>
    <col bestFit="1" customWidth="1" max="255" min="255" style="69" width="10.42578125"/>
    <col bestFit="1" customWidth="1" max="256" min="256" style="69" width="4.85546875"/>
    <col bestFit="1" customWidth="1" max="258" min="257" style="69" width="7.85546875"/>
    <col bestFit="1" customWidth="1" max="259" min="259" style="69" width="10.42578125"/>
    <col bestFit="1" customWidth="1" max="260" min="260" style="69" width="7.85546875"/>
    <col bestFit="1" customWidth="1" max="261" min="261" style="69" width="10.42578125"/>
    <col bestFit="1" customWidth="1" max="262" min="262" style="69" width="7.85546875"/>
    <col bestFit="1" customWidth="1" max="263" min="263" style="69" width="10.42578125"/>
    <col bestFit="1" customWidth="1" max="264" min="264" style="69" width="4.85546875"/>
    <col bestFit="1" customWidth="1" max="265" min="265" style="69" width="7.85546875"/>
    <col bestFit="1" customWidth="1" max="266" min="266" style="69" width="4.85546875"/>
    <col bestFit="1" customWidth="1" max="268" min="267" style="69" width="7.85546875"/>
    <col bestFit="1" customWidth="1" max="269" min="269" style="69" width="10.42578125"/>
    <col bestFit="1" customWidth="1" max="270" min="270" style="69" width="7.85546875"/>
    <col bestFit="1" customWidth="1" max="271" min="271" style="69" width="10.42578125"/>
    <col bestFit="1" customWidth="1" max="272" min="272" style="69" width="7.85546875"/>
    <col bestFit="1" customWidth="1" max="273" min="273" style="69" width="10.42578125"/>
    <col bestFit="1" customWidth="1" max="274" min="274" style="69" width="7.85546875"/>
    <col bestFit="1" customWidth="1" max="275" min="275" style="69" width="10.42578125"/>
    <col bestFit="1" customWidth="1" max="276" min="276" style="69" width="7.85546875"/>
    <col bestFit="1" customWidth="1" max="277" min="277" style="69" width="10.42578125"/>
    <col bestFit="1" customWidth="1" max="278" min="278" style="69" width="7.85546875"/>
    <col bestFit="1" customWidth="1" max="279" min="279" style="69" width="10.42578125"/>
    <col bestFit="1" customWidth="1" max="280" min="280" style="69" width="7.85546875"/>
    <col bestFit="1" customWidth="1" max="281" min="281" style="69" width="10.42578125"/>
    <col bestFit="1" customWidth="1" max="282" min="282" style="69" width="7.85546875"/>
    <col bestFit="1" customWidth="1" max="283" min="283" style="69" width="10.42578125"/>
    <col bestFit="1" customWidth="1" max="284" min="284" style="69" width="7.85546875"/>
    <col bestFit="1" customWidth="1" max="285" min="285" style="69" width="10.42578125"/>
    <col bestFit="1" customWidth="1" max="286" min="286" style="69" width="8.85546875"/>
    <col bestFit="1" customWidth="1" max="287" min="287" style="69" width="11.42578125"/>
    <col bestFit="1" customWidth="1" max="288" min="288" style="69" width="8.85546875"/>
    <col bestFit="1" customWidth="1" max="289" min="289" style="69" width="11.42578125"/>
    <col bestFit="1" customWidth="1" max="290" min="290" style="69" width="8.85546875"/>
    <col bestFit="1" customWidth="1" max="291" min="291" style="69" width="11.42578125"/>
    <col bestFit="1" customWidth="1" max="292" min="292" style="69" width="8.85546875"/>
    <col bestFit="1" customWidth="1" max="293" min="293" style="69" width="11.42578125"/>
    <col bestFit="1" customWidth="1" max="294" min="294" style="69" width="8.85546875"/>
    <col bestFit="1" customWidth="1" max="295" min="295" style="69" width="11.42578125"/>
    <col bestFit="1" customWidth="1" max="296" min="296" style="69" width="8.85546875"/>
    <col bestFit="1" customWidth="1" max="297" min="297" style="69" width="11.42578125"/>
    <col bestFit="1" customWidth="1" max="298" min="298" style="69" width="5.85546875"/>
    <col bestFit="1" customWidth="1" max="300" min="299" style="69" width="8.85546875"/>
    <col bestFit="1" customWidth="1" max="301" min="301" style="69" width="11.42578125"/>
    <col bestFit="1" customWidth="1" max="302" min="302" style="69" width="8.85546875"/>
    <col bestFit="1" customWidth="1" max="303" min="303" style="69" width="11.42578125"/>
    <col bestFit="1" customWidth="1" max="304" min="304" style="69" width="8.85546875"/>
    <col bestFit="1" customWidth="1" max="305" min="305" style="69" width="11.42578125"/>
    <col bestFit="1" customWidth="1" max="306" min="306" style="69" width="8.85546875"/>
    <col bestFit="1" customWidth="1" max="307" min="307" style="69" width="11.42578125"/>
    <col bestFit="1" customWidth="1" max="308" min="308" style="69" width="8.85546875"/>
    <col bestFit="1" customWidth="1" max="309" min="309" style="69" width="11.42578125"/>
    <col bestFit="1" customWidth="1" max="310" min="310" style="69" width="8.85546875"/>
    <col bestFit="1" customWidth="1" max="311" min="311" style="69" width="11.42578125"/>
    <col bestFit="1" customWidth="1" max="312" min="312" style="69" width="8.85546875"/>
    <col bestFit="1" customWidth="1" max="313" min="313" style="69" width="11.42578125"/>
    <col bestFit="1" customWidth="1" max="314" min="314" style="69" width="8.85546875"/>
    <col bestFit="1" customWidth="1" max="315" min="315" style="69" width="11.42578125"/>
    <col bestFit="1" customWidth="1" max="316" min="316" style="69" width="8.85546875"/>
    <col bestFit="1" customWidth="1" max="317" min="317" style="69" width="11.42578125"/>
    <col bestFit="1" customWidth="1" max="318" min="318" style="69" width="8.85546875"/>
    <col bestFit="1" customWidth="1" max="319" min="319" style="69" width="11.42578125"/>
    <col bestFit="1" customWidth="1" max="320" min="320" style="69" width="8.85546875"/>
    <col bestFit="1" customWidth="1" max="321" min="321" style="69" width="11.42578125"/>
    <col bestFit="1" customWidth="1" max="322" min="322" style="69" width="8.85546875"/>
    <col bestFit="1" customWidth="1" max="323" min="323" style="69" width="11.42578125"/>
    <col bestFit="1" customWidth="1" max="324" min="324" style="69" width="8.85546875"/>
    <col bestFit="1" customWidth="1" max="325" min="325" style="69" width="11.42578125"/>
    <col bestFit="1" customWidth="1" max="326" min="326" style="69" width="8.85546875"/>
    <col bestFit="1" customWidth="1" max="327" min="327" style="69" width="11.42578125"/>
    <col bestFit="1" customWidth="1" max="328" min="328" style="69" width="8.85546875"/>
    <col bestFit="1" customWidth="1" max="329" min="329" style="69" width="11.42578125"/>
    <col bestFit="1" customWidth="1" max="330" min="330" style="69" width="8.85546875"/>
    <col bestFit="1" customWidth="1" max="331" min="331" style="69" width="11.42578125"/>
    <col bestFit="1" customWidth="1" max="332" min="332" style="69" width="8.85546875"/>
    <col bestFit="1" customWidth="1" max="333" min="333" style="69" width="11.42578125"/>
    <col bestFit="1" customWidth="1" max="334" min="334" style="69" width="8.85546875"/>
    <col bestFit="1" customWidth="1" max="335" min="335" style="69" width="11.42578125"/>
    <col bestFit="1" customWidth="1" max="336" min="336" style="69" width="8.85546875"/>
    <col bestFit="1" customWidth="1" max="337" min="337" style="69" width="11.42578125"/>
    <col bestFit="1" customWidth="1" max="338" min="338" style="69" width="8.85546875"/>
    <col bestFit="1" customWidth="1" max="339" min="339" style="69" width="11.42578125"/>
    <col bestFit="1" customWidth="1" max="340" min="340" style="69" width="8.85546875"/>
    <col bestFit="1" customWidth="1" max="341" min="341" style="69" width="11.42578125"/>
    <col bestFit="1" customWidth="1" max="342" min="342" style="69" width="8.85546875"/>
    <col bestFit="1" customWidth="1" max="343" min="343" style="69" width="11.42578125"/>
    <col bestFit="1" customWidth="1" max="344" min="344" style="69" width="8.85546875"/>
    <col bestFit="1" customWidth="1" max="345" min="345" style="69" width="11.42578125"/>
    <col bestFit="1" customWidth="1" max="346" min="346" style="69" width="8.85546875"/>
    <col bestFit="1" customWidth="1" max="348" min="348" style="69" width="11.42578125"/>
    <col bestFit="1" customWidth="1" max="349" min="349" style="69" width="8.85546875"/>
    <col bestFit="1" customWidth="1" max="350" min="350" style="69" width="11.42578125"/>
    <col bestFit="1" customWidth="1" max="351" min="351" style="69" width="8.85546875"/>
    <col bestFit="1" customWidth="1" max="352" min="352" style="69" width="11.42578125"/>
    <col bestFit="1" customWidth="1" max="353" min="353" style="69" width="8.85546875"/>
    <col bestFit="1" customWidth="1" max="354" min="354" style="69" width="11.42578125"/>
    <col bestFit="1" customWidth="1" max="355" min="355" style="69" width="8.85546875"/>
    <col bestFit="1" customWidth="1" max="356" min="356" style="69" width="11.42578125"/>
    <col bestFit="1" customWidth="1" max="357" min="357" style="69" width="8.85546875"/>
    <col bestFit="1" customWidth="1" max="358" min="358" style="69" width="11.42578125"/>
    <col bestFit="1" customWidth="1" max="359" min="359" style="69" width="8.85546875"/>
    <col bestFit="1" customWidth="1" max="360" min="360" style="69" width="11.42578125"/>
    <col bestFit="1" customWidth="1" max="361" min="361" style="69" width="7.85546875"/>
    <col bestFit="1" customWidth="1" max="362" min="362" style="69" width="10.42578125"/>
    <col bestFit="1" customWidth="1" max="363" min="363" style="69" width="8.85546875"/>
    <col bestFit="1" customWidth="1" max="364" min="364" style="69" width="11.42578125"/>
    <col bestFit="1" customWidth="1" max="365" min="365" style="69" width="8.85546875"/>
    <col bestFit="1" customWidth="1" max="366" min="366" style="69" width="11.42578125"/>
    <col bestFit="1" customWidth="1" max="367" min="367" style="69" width="8.85546875"/>
    <col bestFit="1" customWidth="1" max="368" min="368" style="69" width="11.42578125"/>
    <col bestFit="1" customWidth="1" max="369" min="369" style="69" width="8.85546875"/>
    <col bestFit="1" customWidth="1" max="370" min="370" style="69" width="11.42578125"/>
    <col bestFit="1" customWidth="1" max="371" min="371" style="69" width="8.85546875"/>
    <col bestFit="1" customWidth="1" max="372" min="372" style="69" width="11.42578125"/>
    <col bestFit="1" customWidth="1" max="373" min="373" style="69" width="8.85546875"/>
    <col bestFit="1" customWidth="1" max="374" min="374" style="69" width="11.42578125"/>
    <col bestFit="1" customWidth="1" max="375" min="375" style="69" width="8.85546875"/>
    <col bestFit="1" customWidth="1" max="376" min="376" style="69" width="11.42578125"/>
    <col bestFit="1" customWidth="1" max="377" min="377" style="69" width="5.85546875"/>
    <col bestFit="1" customWidth="1" max="379" min="378" style="69" width="8.85546875"/>
    <col bestFit="1" customWidth="1" max="380" min="380" style="69" width="11.42578125"/>
    <col bestFit="1" customWidth="1" max="381" min="381" style="69" width="8.85546875"/>
    <col bestFit="1" customWidth="1" max="382" min="382" style="69" width="11.42578125"/>
    <col bestFit="1" customWidth="1" max="383" min="383" style="69" width="8.85546875"/>
    <col bestFit="1" customWidth="1" max="384" min="384" style="69" width="11.42578125"/>
    <col bestFit="1" customWidth="1" max="385" min="385" style="69" width="8.85546875"/>
    <col bestFit="1" customWidth="1" max="386" min="386" style="69" width="11.42578125"/>
    <col bestFit="1" customWidth="1" max="387" min="387" style="69" width="8.85546875"/>
    <col bestFit="1" customWidth="1" max="388" min="388" style="69" width="11.42578125"/>
    <col bestFit="1" customWidth="1" max="389" min="389" style="69" width="8.85546875"/>
    <col bestFit="1" customWidth="1" max="390" min="390" style="69" width="11.42578125"/>
    <col bestFit="1" customWidth="1" max="391" min="391" style="69" width="8.85546875"/>
    <col bestFit="1" customWidth="1" max="392" min="392" style="69" width="11.42578125"/>
    <col bestFit="1" customWidth="1" max="393" min="393" style="69" width="8.85546875"/>
    <col bestFit="1" customWidth="1" max="394" min="394" style="69" width="11.42578125"/>
    <col bestFit="1" customWidth="1" max="395" min="395" style="69" width="8.85546875"/>
    <col bestFit="1" customWidth="1" max="396" min="396" style="69" width="11.42578125"/>
    <col bestFit="1" customWidth="1" max="397" min="397" style="69" width="7.85546875"/>
    <col bestFit="1" customWidth="1" max="398" min="398" style="69" width="10.42578125"/>
    <col bestFit="1" customWidth="1" max="399" min="399" style="69" width="8.85546875"/>
    <col bestFit="1" customWidth="1" max="400" min="400" style="69" width="11.42578125"/>
    <col bestFit="1" customWidth="1" max="401" min="401" style="69" width="7.85546875"/>
    <col bestFit="1" customWidth="1" max="402" min="402" style="69" width="10.42578125"/>
    <col bestFit="1" customWidth="1" max="403" min="403" style="69" width="8.85546875"/>
    <col bestFit="1" customWidth="1" max="404" min="404" style="69" width="11.42578125"/>
    <col bestFit="1" customWidth="1" max="405" min="405" style="69" width="8.85546875"/>
    <col bestFit="1" customWidth="1" max="406" min="406" style="69" width="11.42578125"/>
    <col bestFit="1" customWidth="1" max="407" min="407" style="69" width="8.85546875"/>
    <col bestFit="1" customWidth="1" max="408" min="408" style="69" width="11.42578125"/>
    <col bestFit="1" customWidth="1" max="409" min="409" style="69" width="8.85546875"/>
    <col bestFit="1" customWidth="1" max="410" min="410" style="69" width="11.42578125"/>
    <col bestFit="1" customWidth="1" max="411" min="411" style="69" width="7.85546875"/>
    <col bestFit="1" customWidth="1" max="412" min="412" style="69" width="10.42578125"/>
    <col bestFit="1" customWidth="1" max="413" min="413" style="69" width="8.85546875"/>
    <col bestFit="1" customWidth="1" max="414" min="414" style="69" width="11.42578125"/>
    <col bestFit="1" customWidth="1" max="415" min="415" style="69" width="8.85546875"/>
    <col bestFit="1" customWidth="1" max="416" min="416" style="69" width="11.42578125"/>
    <col bestFit="1" customWidth="1" max="417" min="417" style="69" width="8.85546875"/>
    <col bestFit="1" customWidth="1" max="418" min="418" style="69" width="11.42578125"/>
    <col bestFit="1" customWidth="1" max="419" min="419" style="69" width="8.85546875"/>
    <col bestFit="1" customWidth="1" max="420" min="420" style="69" width="11.42578125"/>
    <col bestFit="1" customWidth="1" max="421" min="421" style="69" width="8.85546875"/>
    <col bestFit="1" customWidth="1" max="422" min="422" style="69" width="11.42578125"/>
    <col bestFit="1" customWidth="1" max="423" min="423" style="69" width="8.85546875"/>
    <col bestFit="1" customWidth="1" max="424" min="424" style="69" width="11.42578125"/>
    <col bestFit="1" customWidth="1" max="425" min="425" style="69" width="8.85546875"/>
    <col bestFit="1" customWidth="1" max="426" min="426" style="69" width="11.42578125"/>
    <col bestFit="1" customWidth="1" max="427" min="427" style="69" width="8.85546875"/>
    <col bestFit="1" customWidth="1" max="428" min="428" style="69" width="11.42578125"/>
    <col bestFit="1" customWidth="1" max="429" min="429" style="69" width="8.85546875"/>
    <col bestFit="1" customWidth="1" max="430" min="430" style="69" width="11.42578125"/>
    <col bestFit="1" customWidth="1" max="431" min="431" style="69" width="8.85546875"/>
    <col bestFit="1" customWidth="1" max="432" min="432" style="69" width="11.42578125"/>
    <col bestFit="1" customWidth="1" max="433" min="433" style="69" width="8.85546875"/>
    <col bestFit="1" customWidth="1" max="434" min="434" style="69" width="11.42578125"/>
    <col bestFit="1" customWidth="1" max="435" min="435" style="69" width="8.85546875"/>
    <col bestFit="1" customWidth="1" max="436" min="436" style="69" width="11.42578125"/>
    <col bestFit="1" customWidth="1" max="437" min="437" style="69" width="8.85546875"/>
    <col bestFit="1" customWidth="1" max="438" min="438" style="69" width="11.42578125"/>
    <col bestFit="1" customWidth="1" max="439" min="439" style="69" width="8.85546875"/>
    <col bestFit="1" customWidth="1" max="440" min="440" style="69" width="11.42578125"/>
    <col bestFit="1" customWidth="1" max="441" min="441" style="69" width="8.85546875"/>
    <col bestFit="1" customWidth="1" max="442" min="442" style="69" width="11.42578125"/>
    <col bestFit="1" customWidth="1" max="443" min="443" style="69" width="8.85546875"/>
    <col bestFit="1" customWidth="1" max="444" min="444" style="69" width="11.42578125"/>
    <col bestFit="1" customWidth="1" max="445" min="445" style="69" width="8.85546875"/>
    <col bestFit="1" customWidth="1" max="446" min="446" style="69" width="11.42578125"/>
    <col bestFit="1" customWidth="1" max="447" min="447" style="69" width="8.85546875"/>
    <col bestFit="1" customWidth="1" max="448" min="448" style="69" width="11.42578125"/>
    <col bestFit="1" customWidth="1" max="449" min="449" style="69" width="8.85546875"/>
    <col bestFit="1" customWidth="1" max="450" min="450" style="69" width="11.42578125"/>
    <col bestFit="1" customWidth="1" max="451" min="451" style="69" width="8.85546875"/>
    <col bestFit="1" customWidth="1" max="452" min="452" style="69" width="11.42578125"/>
    <col bestFit="1" customWidth="1" max="453" min="453" style="69" width="8.85546875"/>
    <col bestFit="1" customWidth="1" max="454" min="454" style="69" width="11.42578125"/>
    <col bestFit="1" customWidth="1" max="455" min="455" style="69" width="8.85546875"/>
    <col bestFit="1" customWidth="1" max="456" min="456" style="69" width="11.42578125"/>
    <col bestFit="1" customWidth="1" max="457" min="457" style="69" width="8.85546875"/>
    <col bestFit="1" customWidth="1" max="458" min="458" style="69" width="11.42578125"/>
    <col bestFit="1" customWidth="1" max="459" min="459" style="69" width="8.85546875"/>
    <col bestFit="1" customWidth="1" max="460" min="460" style="69" width="11.42578125"/>
    <col bestFit="1" customWidth="1" max="461" min="461" style="69" width="8.85546875"/>
    <col bestFit="1" customWidth="1" max="462" min="462" style="69" width="11.42578125"/>
    <col bestFit="1" customWidth="1" max="463" min="463" style="69" width="7.85546875"/>
    <col bestFit="1" customWidth="1" max="464" min="464" style="69" width="10.42578125"/>
    <col bestFit="1" customWidth="1" max="465" min="465" style="69" width="8.85546875"/>
    <col bestFit="1" customWidth="1" max="466" min="466" style="69" width="11.42578125"/>
    <col bestFit="1" customWidth="1" max="467" min="467" style="69" width="8.85546875"/>
    <col bestFit="1" customWidth="1" max="468" min="468" style="69" width="11.42578125"/>
    <col bestFit="1" customWidth="1" max="469" min="469" style="69" width="8.85546875"/>
    <col bestFit="1" customWidth="1" max="470" min="470" style="69" width="11.42578125"/>
    <col bestFit="1" customWidth="1" max="471" min="471" style="69" width="8.85546875"/>
    <col bestFit="1" customWidth="1" max="472" min="472" style="69" width="11.42578125"/>
    <col bestFit="1" customWidth="1" max="473" min="473" style="69" width="8.85546875"/>
    <col bestFit="1" customWidth="1" max="474" min="474" style="69" width="11.42578125"/>
    <col bestFit="1" customWidth="1" max="475" min="475" style="69" width="8.85546875"/>
    <col bestFit="1" customWidth="1" max="476" min="476" style="69" width="11.42578125"/>
    <col bestFit="1" customWidth="1" max="477" min="477" style="69" width="8.85546875"/>
    <col bestFit="1" customWidth="1" max="478" min="478" style="69" width="11.42578125"/>
    <col bestFit="1" customWidth="1" max="479" min="479" style="69" width="8.85546875"/>
    <col bestFit="1" customWidth="1" max="480" min="480" style="69" width="11.42578125"/>
    <col bestFit="1" customWidth="1" max="481" min="481" style="69" width="8.85546875"/>
    <col bestFit="1" customWidth="1" max="482" min="482" style="69" width="11.42578125"/>
    <col bestFit="1" customWidth="1" max="483" min="483" style="69" width="8.85546875"/>
    <col bestFit="1" customWidth="1" max="484" min="484" style="69" width="11.42578125"/>
    <col bestFit="1" customWidth="1" max="485" min="485" style="69" width="8.85546875"/>
    <col bestFit="1" customWidth="1" max="486" min="486" style="69" width="11.42578125"/>
    <col bestFit="1" customWidth="1" max="487" min="487" style="69" width="8.85546875"/>
    <col bestFit="1" customWidth="1" max="488" min="488" style="69" width="11.42578125"/>
    <col bestFit="1" customWidth="1" max="489" min="489" style="69" width="8.85546875"/>
    <col bestFit="1" customWidth="1" max="490" min="490" style="69" width="11.42578125"/>
    <col bestFit="1" customWidth="1" max="491" min="491" style="69" width="8.85546875"/>
    <col bestFit="1" customWidth="1" max="492" min="492" style="69" width="11.42578125"/>
    <col bestFit="1" customWidth="1" max="493" min="493" style="69" width="8.85546875"/>
    <col bestFit="1" customWidth="1" max="494" min="494" style="69" width="11.42578125"/>
    <col bestFit="1" customWidth="1" max="495" min="495" style="69" width="8.85546875"/>
    <col bestFit="1" customWidth="1" max="496" min="496" style="69" width="11.42578125"/>
    <col bestFit="1" customWidth="1" max="497" min="497" style="69" width="8.85546875"/>
    <col bestFit="1" customWidth="1" max="498" min="498" style="69" width="11.42578125"/>
    <col bestFit="1" customWidth="1" max="499" min="499" style="69" width="8.85546875"/>
    <col bestFit="1" customWidth="1" max="500" min="500" style="69" width="11.42578125"/>
    <col bestFit="1" customWidth="1" max="501" min="501" style="69" width="8.85546875"/>
    <col bestFit="1" customWidth="1" max="502" min="502" style="69" width="11.42578125"/>
    <col bestFit="1" customWidth="1" max="503" min="503" style="69" width="9.85546875"/>
    <col bestFit="1" customWidth="1" max="504" min="504" style="69" width="12.42578125"/>
    <col bestFit="1" customWidth="1" max="505" min="505" style="69" width="9.85546875"/>
    <col bestFit="1" customWidth="1" max="506" min="506" style="69" width="12.42578125"/>
    <col bestFit="1" customWidth="1" max="507" min="507" style="69" width="9.85546875"/>
    <col bestFit="1" customWidth="1" max="508" min="508" style="69" width="12.42578125"/>
    <col bestFit="1" customWidth="1" max="509" min="509" style="69" width="9.85546875"/>
    <col bestFit="1" customWidth="1" max="510" min="510" style="69" width="12.42578125"/>
    <col bestFit="1" customWidth="1" max="511" min="511" style="69" width="9.85546875"/>
    <col bestFit="1" customWidth="1" max="512" min="512" style="69" width="12.42578125"/>
    <col bestFit="1" customWidth="1" max="513" min="513" style="69" width="9.85546875"/>
    <col bestFit="1" customWidth="1" max="514" min="514" style="69" width="12.42578125"/>
    <col bestFit="1" customWidth="1" max="515" min="515" style="69" width="9.85546875"/>
    <col bestFit="1" customWidth="1" max="516" min="516" style="69" width="12.42578125"/>
    <col bestFit="1" customWidth="1" max="517" min="517" style="69" width="9.85546875"/>
    <col bestFit="1" customWidth="1" max="518" min="518" style="69" width="12.42578125"/>
    <col bestFit="1" customWidth="1" max="519" min="519" style="69" width="9.85546875"/>
    <col bestFit="1" customWidth="1" max="520" min="520" style="69" width="12.42578125"/>
    <col bestFit="1" customWidth="1" max="521" min="521" style="69" width="9.85546875"/>
    <col bestFit="1" customWidth="1" max="522" min="522" style="69" width="12.42578125"/>
    <col bestFit="1" customWidth="1" max="523" min="523" style="69" width="9.85546875"/>
    <col bestFit="1" customWidth="1" max="524" min="524" style="69" width="12.42578125"/>
    <col bestFit="1" customWidth="1" max="526" min="526" style="69" width="5.85546875"/>
    <col bestFit="1" customWidth="1" max="527" min="527" style="69" width="11.28515625"/>
  </cols>
  <sheetData>
    <row r="1">
      <c r="A1" t="inlineStr">
        <is>
          <t>NOTE - YTD, 1YR, Inception, and Not Booked values are based on the date selected.  If the yellow box is blank, the current date is used. If a date is</t>
        </is>
      </c>
    </row>
    <row r="2">
      <c r="A2" t="inlineStr">
        <is>
          <t>entered in the yellow box, that date will be used.</t>
        </is>
      </c>
    </row>
    <row customFormat="1" r="3" s="8">
      <c r="R3" s="9" t="n"/>
    </row>
    <row r="4">
      <c r="A4" t="inlineStr">
        <is>
          <t>If a change is made in the yellow box, a new date is entered or the date is cleared, then the pivot tables MUST be refreshed. Right click on any cell</t>
        </is>
      </c>
    </row>
    <row r="5">
      <c r="A5" t="inlineStr">
        <is>
          <t>in either pivot table and select "Refresh" from the menu.</t>
        </is>
      </c>
    </row>
    <row r="7">
      <c r="A7" s="38" t="inlineStr">
        <is>
          <t>TODAY'S DATE</t>
        </is>
      </c>
      <c r="D7" t="inlineStr">
        <is>
          <t>PERFORMANCE DATE</t>
        </is>
      </c>
    </row>
    <row r="8">
      <c r="A8" s="38">
        <f>TODAY()</f>
        <v/>
      </c>
      <c r="D8" s="39" t="n"/>
      <c r="E8" t="inlineStr">
        <is>
          <t>(mm/dd/yy)</t>
        </is>
      </c>
    </row>
    <row r="9">
      <c r="A9" s="38" t="n"/>
      <c r="D9" s="38" t="n"/>
    </row>
    <row customHeight="1" ht="29.1" r="11" s="69">
      <c r="A11" s="28" t="inlineStr">
        <is>
          <t>ActDate</t>
        </is>
      </c>
    </row>
    <row customHeight="1" ht="29.1" r="12" s="69">
      <c r="A12" s="42" t="n">
        <v>44287</v>
      </c>
      <c r="B12" s="42" t="n">
        <v>44291</v>
      </c>
      <c r="C12" s="42" t="n">
        <v>44292</v>
      </c>
      <c r="D12" s="42" t="n">
        <v>44295</v>
      </c>
      <c r="E12" s="42" t="n">
        <v>44301</v>
      </c>
      <c r="F12" s="42" t="n">
        <v>44302</v>
      </c>
      <c r="G12" s="42" t="n">
        <v>44308</v>
      </c>
      <c r="H12" s="42" t="n">
        <v>44313</v>
      </c>
      <c r="I12" s="42" t="n">
        <v>44316</v>
      </c>
      <c r="J12" s="42" t="n">
        <v>44322</v>
      </c>
      <c r="K12" s="42" t="n">
        <v>44323</v>
      </c>
      <c r="L12" s="42" t="n">
        <v>44326</v>
      </c>
      <c r="M12" s="42" t="n">
        <v>44328</v>
      </c>
      <c r="N12" s="42" t="n">
        <v>44329</v>
      </c>
      <c r="O12" s="42" t="n">
        <v>44330</v>
      </c>
      <c r="P12" s="42" t="n">
        <v>44335</v>
      </c>
      <c r="Q12" s="42" t="n">
        <v>44340</v>
      </c>
      <c r="R12" s="42" t="n">
        <v>44342</v>
      </c>
      <c r="S12" s="42" t="n">
        <v>44345</v>
      </c>
      <c r="T12" s="42" t="n">
        <v>44348</v>
      </c>
      <c r="U12" s="42" t="n">
        <v>44351</v>
      </c>
      <c r="V12" s="42" t="n">
        <v>44355</v>
      </c>
      <c r="W12" s="42" t="n">
        <v>44356</v>
      </c>
      <c r="X12" s="42" t="n">
        <v>44358</v>
      </c>
      <c r="Y12" s="42" t="n">
        <v>44362</v>
      </c>
      <c r="Z12" s="42" t="n">
        <v>44365</v>
      </c>
      <c r="AA12" s="42" t="n">
        <v>44368</v>
      </c>
      <c r="AB12" s="42" t="n">
        <v>44370</v>
      </c>
      <c r="AC12" s="42" t="n">
        <v>44372</v>
      </c>
      <c r="AD12" s="42" t="n">
        <v>44379</v>
      </c>
      <c r="AE12" s="42" t="n">
        <v>44386</v>
      </c>
      <c r="AF12" s="42" t="n">
        <v>44393</v>
      </c>
      <c r="AG12" s="42" t="n">
        <v>44428</v>
      </c>
      <c r="AH12" s="42" t="inlineStr">
        <is>
          <t>Grand Total</t>
        </is>
      </c>
    </row>
    <row r="13">
      <c r="I13" t="inlineStr">
        <is>
          <t>Booked</t>
        </is>
      </c>
    </row>
    <row r="14">
      <c r="I14" s="52">
        <f>G17-G13</f>
        <v/>
      </c>
    </row>
    <row customHeight="1" ht="21.75" r="16" s="69">
      <c r="B16" s="42" t="n">
        <v>44287</v>
      </c>
      <c r="C16" s="42" t="n">
        <v>44291</v>
      </c>
      <c r="D16" s="42" t="n">
        <v>44292</v>
      </c>
      <c r="E16" s="42" t="n">
        <v>44295</v>
      </c>
      <c r="F16" s="42" t="n">
        <v>44301</v>
      </c>
      <c r="G16" s="42" t="n">
        <v>44302</v>
      </c>
      <c r="H16" s="42" t="n">
        <v>44308</v>
      </c>
      <c r="I16" s="42" t="n">
        <v>44313</v>
      </c>
      <c r="J16" s="42" t="n">
        <v>44316</v>
      </c>
      <c r="K16" s="42" t="n">
        <v>44322</v>
      </c>
      <c r="L16" s="42" t="n">
        <v>44323</v>
      </c>
      <c r="M16" s="42" t="n">
        <v>44326</v>
      </c>
      <c r="N16" s="42" t="n">
        <v>44328</v>
      </c>
      <c r="O16" s="42" t="n">
        <v>44329</v>
      </c>
      <c r="P16" s="42" t="n">
        <v>44330</v>
      </c>
      <c r="Q16" s="42" t="n">
        <v>44335</v>
      </c>
      <c r="R16" s="42" t="n">
        <v>44340</v>
      </c>
      <c r="S16" s="42" t="n">
        <v>44342</v>
      </c>
      <c r="T16" s="42" t="n">
        <v>44345</v>
      </c>
      <c r="U16" s="42" t="n">
        <v>44348</v>
      </c>
      <c r="V16" s="42" t="n">
        <v>44351</v>
      </c>
      <c r="W16" s="42" t="n">
        <v>44355</v>
      </c>
      <c r="X16" s="42" t="n">
        <v>44356</v>
      </c>
      <c r="Y16" s="42" t="n">
        <v>44358</v>
      </c>
      <c r="Z16" s="42" t="n">
        <v>44362</v>
      </c>
      <c r="AA16" s="42" t="n">
        <v>44365</v>
      </c>
      <c r="AB16" s="42" t="n">
        <v>44368</v>
      </c>
      <c r="AC16" s="42" t="n">
        <v>44370</v>
      </c>
      <c r="AD16" s="42" t="n">
        <v>44372</v>
      </c>
      <c r="AE16" s="42" t="n">
        <v>44379</v>
      </c>
      <c r="AF16" s="42" t="n">
        <v>44386</v>
      </c>
      <c r="AG16" s="42" t="n">
        <v>44393</v>
      </c>
      <c r="AH16" s="42" t="n">
        <v>44428</v>
      </c>
      <c r="AI16" s="42" t="inlineStr">
        <is>
          <t>Grand Total</t>
        </is>
      </c>
    </row>
    <row r="17">
      <c r="A17" t="inlineStr">
        <is>
          <t>Sum of NetPrem</t>
        </is>
      </c>
      <c r="B17" t="n">
        <v>302.04</v>
      </c>
      <c r="C17" t="n">
        <v>91.34</v>
      </c>
      <c r="D17" t="n">
        <v>-84.66000000000001</v>
      </c>
      <c r="E17" t="n">
        <v>-81.33000000000004</v>
      </c>
      <c r="F17" t="n">
        <v>125.34</v>
      </c>
      <c r="G17" t="n">
        <v>15.34999999999997</v>
      </c>
      <c r="H17" t="n">
        <v>406.0099999999999</v>
      </c>
      <c r="I17" t="n">
        <v>244.02</v>
      </c>
      <c r="J17" t="n">
        <v>155.34</v>
      </c>
      <c r="K17" t="n">
        <v>-368.4499999999999</v>
      </c>
      <c r="L17" t="n">
        <v>463.4</v>
      </c>
      <c r="M17" t="n">
        <v>325.34</v>
      </c>
      <c r="N17" t="n">
        <v>-233.6500000000001</v>
      </c>
      <c r="O17" t="n">
        <v>74.69999999999996</v>
      </c>
      <c r="P17" t="n">
        <v>1158.07</v>
      </c>
      <c r="Q17" t="n">
        <v>-1855.98</v>
      </c>
      <c r="R17" t="n">
        <v>296.64</v>
      </c>
      <c r="S17" t="n">
        <v>1592.16</v>
      </c>
      <c r="T17" t="n">
        <v>153.34</v>
      </c>
      <c r="U17" t="n">
        <v>1470.66</v>
      </c>
      <c r="V17" t="n">
        <v>175.34</v>
      </c>
      <c r="W17" t="n">
        <v>-539.3199999999999</v>
      </c>
      <c r="X17" t="n">
        <v>2467.01</v>
      </c>
      <c r="Y17" t="n">
        <v>755.3499999999999</v>
      </c>
      <c r="Z17" t="n">
        <v>-426.3299999999997</v>
      </c>
      <c r="AA17" t="n">
        <v>888.6899999999997</v>
      </c>
      <c r="AB17" t="n">
        <v>-24.99000000000001</v>
      </c>
      <c r="AC17" t="n">
        <v>274.67</v>
      </c>
      <c r="AD17" t="n">
        <v>307</v>
      </c>
      <c r="AE17" t="n">
        <v>1175.99</v>
      </c>
      <c r="AF17" t="n">
        <v>187.34</v>
      </c>
      <c r="AG17" t="n">
        <v>5247.67</v>
      </c>
      <c r="AH17" t="n">
        <v>851.34</v>
      </c>
      <c r="AI17" t="n">
        <v>15589.44</v>
      </c>
    </row>
    <row r="30">
      <c r="A30" s="38" t="n"/>
      <c r="D30" s="38" t="n"/>
    </row>
    <row r="34">
      <c r="S34" s="1" t="n"/>
    </row>
    <row r="35">
      <c r="S35" s="1" t="n"/>
    </row>
    <row r="36">
      <c r="S36" s="1" t="n"/>
    </row>
    <row r="37">
      <c r="H37" s="28" t="n"/>
      <c r="I37" s="28" t="n"/>
      <c r="J37" s="28" t="n"/>
      <c r="K37" s="28" t="n"/>
      <c r="L37" s="28" t="n"/>
      <c r="M37" s="28" t="n"/>
      <c r="N37" s="28" t="n"/>
      <c r="O37" s="28" t="n"/>
      <c r="P37" s="29" t="n"/>
      <c r="Q37" s="28" t="n"/>
      <c r="R37" s="30" t="n"/>
      <c r="S37" s="31" t="n"/>
    </row>
    <row r="38">
      <c r="H38" s="28" t="n"/>
      <c r="I38" s="28" t="n"/>
      <c r="J38" s="28" t="n"/>
      <c r="K38" s="28" t="n"/>
      <c r="L38" s="28" t="n"/>
      <c r="M38" s="28" t="n"/>
      <c r="N38" s="28" t="n"/>
      <c r="O38" s="28" t="n"/>
      <c r="P38" s="29" t="n"/>
      <c r="Q38" s="28" t="n"/>
      <c r="R38" s="30" t="n"/>
      <c r="S38" s="31" t="n"/>
    </row>
    <row r="39">
      <c r="S39" s="1" t="n"/>
    </row>
  </sheetData>
  <pageMargins bottom="0.75" footer="0.3" header="0.3" left="0.1" right="0" top="0.75"/>
  <pageSetup horizontalDpi="0" orientation="landscape" verticalDpi="0"/>
</worksheet>
</file>

<file path=xl/worksheets/sheet7.xml><?xml version="1.0" encoding="utf-8"?>
<worksheet xmlns="http://schemas.openxmlformats.org/spreadsheetml/2006/main">
  <sheetPr>
    <outlinePr summaryBelow="1" summaryRight="1"/>
    <pageSetUpPr/>
  </sheetPr>
  <dimension ref="A1:N12"/>
  <sheetViews>
    <sheetView workbookViewId="0">
      <selection activeCell="A12" sqref="A12"/>
    </sheetView>
  </sheetViews>
  <sheetFormatPr baseColWidth="8" defaultRowHeight="15"/>
  <sheetData>
    <row r="1">
      <c r="A1" t="inlineStr">
        <is>
          <t xml:space="preserve"> - need to put a Zero in the date for the ASK price if date is something like 07-02-2021</t>
        </is>
      </c>
      <c r="N1" t="inlineStr">
        <is>
          <t>DONE</t>
        </is>
      </c>
    </row>
    <row r="2">
      <c r="A2" s="57" t="inlineStr">
        <is>
          <t>- keeps closing VIAC trade 28 -Seems to have gone away</t>
        </is>
      </c>
    </row>
    <row r="3">
      <c r="A3" s="57" t="inlineStr">
        <is>
          <t>- act date in the open positions keeps changing formats just shows month</t>
        </is>
      </c>
      <c r="N3" t="inlineStr">
        <is>
          <t>This is not my program, it's your pivot table. Right click on one of the months and then click ungroup at the bottom. - https://techcommunity.microsoft.com/t5/excel/pivot-table-displays-only-month-of-full-date-can-t-display-year/m-p/207857</t>
        </is>
      </c>
    </row>
    <row r="4">
      <c r="A4" s="57" t="inlineStr">
        <is>
          <t>- leg 5 appears twice on EAT trade 18</t>
        </is>
      </c>
    </row>
    <row r="5">
      <c r="A5" s="57" t="inlineStr">
        <is>
          <t>- put a closed date on EAT Trade 18 of 05/10/21, when it was just opened on 06-15-21</t>
        </is>
      </c>
    </row>
    <row r="6">
      <c r="A6" t="inlineStr">
        <is>
          <t xml:space="preserve"> - Showing the order sequence wrong - eg look at trade 33 HPQ</t>
        </is>
      </c>
    </row>
    <row r="7">
      <c r="A7" t="inlineStr">
        <is>
          <t xml:space="preserve"> - Can we just lose the do all work in this sheet? And the data to transfer sheet? Just to clean up</t>
        </is>
      </c>
      <c r="N7" t="inlineStr">
        <is>
          <t>DONE</t>
        </is>
      </c>
    </row>
    <row r="8">
      <c r="A8" t="inlineStr">
        <is>
          <t xml:space="preserve"> - When thetrade splits it into 2 lines it adds the text but not the total premium  Look at CWH  in trasaction file 06-23-21 315PM</t>
        </is>
      </c>
    </row>
    <row r="9">
      <c r="A9" s="57" t="inlineStr">
        <is>
          <t>- Trade 32 TJX has three legs that say 3</t>
        </is>
      </c>
    </row>
    <row r="10">
      <c r="A10" t="inlineStr">
        <is>
          <t>Duplicate transactions need to add together open premiums</t>
        </is>
      </c>
      <c r="N10" t="inlineStr">
        <is>
          <t>DONE</t>
        </is>
      </c>
    </row>
    <row r="11">
      <c r="A11" t="inlineStr">
        <is>
          <t>In Data, row 79 open premium can't be a formula. No open premiums can be formula. Make them numbers. Same with row 81</t>
        </is>
      </c>
      <c r="N11" t="inlineStr">
        <is>
          <t>DONE</t>
        </is>
      </c>
    </row>
    <row r="12">
      <c r="A12" t="inlineStr">
        <is>
          <t>We should try running with every transactions in history if possible.</t>
        </is>
      </c>
    </row>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Chris</dc:creator>
  <dcterms:created xsi:type="dcterms:W3CDTF">2018-09-25T21:57:31Z</dcterms:created>
  <dcterms:modified xsi:type="dcterms:W3CDTF">2021-06-27T00:23:28Z</dcterms:modified>
  <cp:lastModifiedBy>Justin Kramer</cp:lastModifiedBy>
  <cp:lastPrinted>2018-12-26T20:29:26Z</cp:lastPrinted>
</cp:coreProperties>
</file>