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worksheet+xml" PartName="/xl/worksheets/sheet6.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OPEN POSITIONS" sheetId="4" state="visible" r:id="rId4"/>
    <sheet name="CAMPAIGN" sheetId="5" state="visible" r:id="rId5"/>
    <sheet name="PERFORMANCE" sheetId="6" state="visible" r:id="rId6"/>
  </sheets>
  <definedNames/>
  <calcPr calcId="191029" fullCalcOnLoad="1" refMode="R1C1"/>
  <pivotCaches>
    <pivotCache cacheId="39" r:id="rId7"/>
  </pivotCaches>
</workbook>
</file>

<file path=xl/styles.xml><?xml version="1.0" encoding="utf-8"?>
<styleSheet xmlns="http://schemas.openxmlformats.org/spreadsheetml/2006/main">
  <numFmts count="8">
    <numFmt formatCode="mm/dd/yy;@" numFmtId="164"/>
    <numFmt formatCode="#,##0.0" numFmtId="165"/>
    <numFmt formatCode="0.0%" numFmtId="166"/>
    <numFmt formatCode="0.0" numFmtId="167"/>
    <numFmt formatCode="&quot;$&quot;#,##0.00" numFmtId="168"/>
    <numFmt formatCode="mm/dd/yyyy" numFmtId="169"/>
    <numFmt formatCode="&quot;$&quot;#,##0.00_-" numFmtId="170"/>
    <numFmt formatCode="yyyy-mm-dd" numFmtId="171"/>
  </numFmts>
  <fonts count="5">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s>
  <fills count="7">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69">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2"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borderId="0" fillId="2" fontId="0" numFmtId="10" pivotButton="0" quotePrefix="0" xfId="0"/>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164" pivotButton="0" quotePrefix="0" xfId="0">
      <alignment horizontal="center"/>
    </xf>
    <xf applyAlignment="1" borderId="0" fillId="0" fontId="3" numFmtId="164" pivotButton="0" quotePrefix="0" xfId="0">
      <alignment horizontal="center"/>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applyProtection="1" borderId="0" fillId="0" fontId="0" numFmtId="167" pivotButton="0" quotePrefix="0" xfId="0">
      <protection hidden="0" locked="0"/>
    </xf>
    <xf borderId="0" fillId="0" fontId="0" numFmtId="168" pivotButton="0" quotePrefix="0" xfId="0"/>
    <xf borderId="0" fillId="3" fontId="0" numFmtId="168" pivotButton="0" quotePrefix="0" xfId="0"/>
    <xf applyAlignment="1" borderId="0" fillId="2" fontId="0" numFmtId="0" pivotButton="0" quotePrefix="0" xfId="0">
      <alignment horizontal="center"/>
    </xf>
    <xf borderId="0" fillId="0" fontId="0" numFmtId="0" pivotButton="0" quotePrefix="0" xfId="0"/>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0" fontId="0" numFmtId="0"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169" pivotButton="0" quotePrefix="0" xfId="0"/>
    <xf borderId="0" fillId="0" fontId="0" numFmtId="170" pivotButton="0" quotePrefix="0" xfId="0"/>
    <xf borderId="0" fillId="6" fontId="0" numFmtId="10" pivotButton="0" quotePrefix="0" xfId="0"/>
    <xf applyProtection="1" borderId="0" fillId="0" fontId="0" numFmtId="169" pivotButton="0" quotePrefix="0" xfId="0">
      <protection hidden="0" locked="0"/>
    </xf>
  </cellXfs>
  <cellStyles count="2">
    <cellStyle builtinId="0" name="Normal" xfId="0"/>
    <cellStyle builtinId="5" name="Percent" xfId="1"/>
  </cellStyles>
  <dxfs count="139">
    <dxf>
      <alignment wrapText="1"/>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numFmt formatCode="m/d/yyyy" numFmtId="19"/>
    </dxf>
    <dxf>
      <fill>
        <patternFill>
          <bgColor rgb="FFFFFF00"/>
        </patternFill>
      </fill>
    </dxf>
    <dxf>
      <numFmt formatCode=";;;" numFmtId="169"/>
    </dxf>
    <dxf>
      <numFmt formatCode="General" numFmtId="0"/>
    </dxf>
    <dxf>
      <numFmt formatCode=";;;" numFmtId="169"/>
    </dxf>
    <dxf>
      <numFmt formatCode="0.00" numFmtId="2"/>
      <protection hidden="0" locked="1"/>
    </dxf>
    <dxf>
      <numFmt formatCode="0.00" numFmtId="2"/>
      <protection hidden="0" locked="1"/>
    </dxf>
    <dxf>
      <numFmt formatCode="0.00" numFmtId="2"/>
      <protection hidden="0" locked="1"/>
    </dxf>
    <dxf>
      <numFmt formatCode="0.00" numFmtId="2"/>
      <protection hidden="0" locked="1"/>
    </dxf>
    <dxf>
      <numFmt formatCode="mm/dd/yy;@" numFmtId="164"/>
      <protection hidden="0" locked="1"/>
    </dxf>
    <dxf>
      <numFmt formatCode="0" numFmtId="1"/>
      <protection hidden="0" locked="1"/>
    </dxf>
    <dxf>
      <numFmt formatCode="0.00" numFmtId="2"/>
      <protection hidden="0" locked="1"/>
    </dxf>
    <dxf>
      <numFmt formatCode="0.00%" numFmtId="14"/>
      <fill>
        <patternFill>
          <fgColor indexed="64"/>
          <bgColor rgb="FFFFFF00"/>
        </patternFill>
      </fill>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quot;$&quot;#,##0.00" numFmtId="168"/>
      <protection hidden="0" locked="1"/>
    </dxf>
    <dxf>
      <numFmt formatCode="0.00" numFmtId="2"/>
      <protection hidden="0" locked="1"/>
    </dxf>
    <dxf>
      <numFmt formatCode="General" numFmtId="0"/>
      <protection hidden="0" locked="0"/>
    </dxf>
    <dxf>
      <numFmt formatCode="General" numFmtId="0"/>
      <protection hidden="0" locked="0"/>
    </dxf>
    <dxf>
      <numFmt formatCode="0.00" numFmtId="2"/>
      <protection hidden="0" locked="0"/>
    </dxf>
    <dxf>
      <numFmt formatCode="0.00" numFmtId="2"/>
      <fill>
        <patternFill>
          <fgColor indexed="64"/>
          <bgColor rgb="FFFFFF00"/>
        </patternFill>
      </fill>
      <protection hidden="0" locked="0"/>
    </dxf>
    <dxf>
      <numFmt formatCode="0.00" numFmtId="2"/>
      <protection hidden="0" locked="0"/>
    </dxf>
    <dxf>
      <numFmt formatCode="0" numFmtId="1"/>
      <protection hidden="0" locked="0"/>
    </dxf>
    <dxf>
      <numFmt formatCode="General" numFmtId="0"/>
      <protection hidden="0" locked="0"/>
    </dxf>
    <dxf>
      <numFmt formatCode="General" numFmtId="0"/>
      <protection hidden="0" locked="0"/>
    </dxf>
    <dxf>
      <numFmt formatCode="m/d/yyyy" numFmtId="19"/>
      <protection hidden="0" locked="0"/>
    </dxf>
    <dxf>
      <numFmt formatCode="m/d/yyyy" numFmtId="19"/>
      <protection hidden="0" locked="0"/>
    </dxf>
    <dxf>
      <numFmt formatCode="m/d/yyyy" numFmtId="19"/>
      <protection hidden="0" locked="0"/>
    </dxf>
    <dxf>
      <numFmt formatCode="m/d/yyyy" numFmtId="19"/>
      <protection hidden="0" locked="0"/>
    </dxf>
    <dxf>
      <protection hidden="0" locked="0"/>
    </dxf>
    <dxf>
      <protection hidden="0" locked="0"/>
    </dxf>
    <dxf>
      <numFmt formatCode="m/d/yyyy" numFmtId="19"/>
      <protection hidden="0" locked="0"/>
    </dxf>
    <dxf>
      <numFmt formatCode="0.00" numFmtId="2"/>
      <protection hidden="0" locked="0"/>
    </dxf>
    <dxf>
      <numFmt formatCode="0.00" numFmtId="2"/>
      <protection hidden="0" locked="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pivotCache/pivotCacheDefinition1.xml" Type="http://schemas.openxmlformats.org/officeDocument/2006/relationships/pivotCacheDefinition"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67" refreshedBy="Justin Kramer" refreshedDate="44342.78397222222" refreshedVersion="7" r:id="rId1">
  <cacheSource type="worksheet">
    <worksheetSource name="Table1"/>
  </cacheSource>
  <cacheFields count="31">
    <cacheField databaseField="1" hierarchy="0" level="0" name="SYM" numFmtId="14" sqlType="0" uniqueList="1">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u="1" v="FB"/>
        <m u="1"/>
        <s u="1" v="NKE"/>
        <s u="1" v="Z"/>
        <s u="1" v="JNJ"/>
        <s u="1" v="KORS"/>
        <s u="1" v="PEP"/>
        <s u="1" v="AAL May 7 2021 22.0 Put"/>
        <s u="1" v="JD Apr 16 2021 65.0 Put"/>
        <s u="1" v="DISH"/>
        <s u="1" v="SFIX Apr 16 2021 45.0 Put"/>
        <s u="1" v="SFIX Apr 30 2021 45.0 Put"/>
        <s u="1" v="HPE"/>
        <s u="1" v="WDC"/>
        <s u="1" v="AN"/>
        <s u="1" v="SIG"/>
        <s u="1" v="AAPL"/>
        <s u="1" v="TWTR"/>
        <s u="1" v="X"/>
        <s u="1" v="AMAT"/>
        <s u="1" v="HCA"/>
        <s u="1" v="ALK"/>
        <s u="1" v="WSM"/>
        <s u="1" v="CCL May 7 2021 25.0 Put"/>
        <s u="1" v="CRM"/>
        <s u="1" v="SO"/>
        <s u="1" v="AMRN"/>
        <s u="1" v="WMT"/>
        <s u="1" v="CMA"/>
        <s u="1" v="EXP"/>
        <s u="1" v="LVS"/>
        <s u="1" v="INTC"/>
        <s u="1" v="NVDA"/>
        <s u="1" v="DHI"/>
        <s u="1" v="XLNX"/>
        <s u="1" v="SAFM"/>
        <s u="1" v="CCL"/>
        <s u="1" v="GIS"/>
        <s u="1" v="MRK"/>
        <s u="1" v="STZ"/>
        <s u="1" v="BBBY"/>
        <s u="1" v="EAT"/>
        <s u="1" v="KR"/>
        <s u="1" v="IBM"/>
        <s u="1" v="CMG"/>
        <s u="1" v="NWL"/>
        <s u="1" v="Cash"/>
        <s u="1" v="SCHW"/>
        <s u="1" v="T"/>
        <s u="1" v="CVS"/>
        <s u="1" v="VIAC Apr 9 2021 42.0 Put"/>
        <s u="1" v="VIAC Apr 23 2021 40.0 Put"/>
        <s u="1" v="ATVI"/>
        <s u="1" v="PLAY"/>
        <s u="1" v="APA Apr 23 2021 17.0 Put"/>
        <s u="1" v="GILD"/>
        <s u="1" v="TSLA"/>
        <s u="1" v="APA Apr 16 2021 18.0 Put"/>
        <s u="1" v="AMD"/>
        <s u="1" v="DRI"/>
        <s u="1" v="FAST"/>
        <s u="1" v="ORCL"/>
        <s u="1" v="PAYX"/>
        <s u="1" v="F"/>
        <s u="1" v="CAT"/>
        <s u="1" v="DFS"/>
        <s u="1" v="GBX May 21 2021 40.0 Put"/>
        <s u="1" v="Sold 1 SNAP May 28 2021 50.0 Put @ 1.53"/>
        <s u="1" v="CCL Apr 16 2021 24.0 Put"/>
        <s u="1" v="GERN"/>
        <s u="1" v="DVI"/>
        <s u="1" v="WPM Apr 16 2021 36.0 Put"/>
        <s u="1" v="HAS"/>
        <s u="1" v="DLTR"/>
        <s u="1" v="JD Apr 16 2021 80.0 Put"/>
        <s u="1" v="AVT"/>
        <s u="1" v="JACK"/>
        <s u="1" v="CPB May 21 2021 48.0 Put"/>
        <s u="1" v="CWH"/>
        <s u="1" v="GE Apr 30 2021 13.0 Put"/>
        <s u="1" v="MGM"/>
        <s u="1" v="SBGI Apr 16 2021 28.0 Put"/>
        <s u="1" v="BX"/>
        <s u="1" v="ABC"/>
        <s u="1" v="DAL"/>
        <s u="1" v="QCOM"/>
        <s u="1" v="MU"/>
        <s u="1" v="AMCX"/>
        <s u="1" v="JD May 21 2021 77.5 Put"/>
        <s u="1" v="PZZA"/>
        <s u="1" v="CPB"/>
        <s u="1" v="MET"/>
        <s u="1" v="BG"/>
        <s u="1" v="HBI"/>
        <s u="1" v="TIS"/>
        <s u="1" v="NFLX"/>
        <s u="1" v="UAL"/>
        <s u="1" v="TSN"/>
        <s u="1" v="Bought 1 PCAR Jun 18 2021 90.0 Put @ 0.86"/>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u="1" v="0"/>
        <n u="1" v="1.18"/>
        <n u="1" v="96"/>
        <n u="1" v="135"/>
        <n u="1" v="1.23"/>
        <n u="1" v="57"/>
        <n u="1" v="121"/>
        <n u="1" v="1.28"/>
        <n u="1" v="34"/>
        <n u="1" v="75"/>
        <n u="1" v="164"/>
        <n u="1" v="100"/>
        <n u="1" v="143"/>
        <n u="1" v="59"/>
        <n u="1" v="125"/>
        <n u="1" v="36"/>
        <n u="1" v="79"/>
        <n u="1" v="172"/>
        <n u="1" v="104"/>
        <n u="1" v="151"/>
        <n u="1" v="61"/>
        <n u="1" v="130"/>
        <n u="1" v="1.06"/>
        <n u="1" v="38"/>
        <n u="1" v="83"/>
        <n u="1" v="1.11"/>
        <n u="1" v="1.16"/>
        <n u="1" v="1.21"/>
        <n u="1" v="108"/>
        <n u="1" v="159"/>
        <n u="1" v="1.26"/>
        <n u="1" v="63"/>
        <n u="1" v="138"/>
        <n u="1" v="40"/>
        <n u="1" v="87"/>
        <n u="1" v="112"/>
        <n u="1" v="167"/>
        <n u="1" v="66"/>
        <n u="1" v="146"/>
        <n u="1" v="42"/>
        <n u="1" v="91"/>
        <n u="1" v="116"/>
        <n u="1" v="70"/>
        <n u="1" v="154"/>
        <n u="1" v="1.04"/>
        <n u="1" v="1.09"/>
        <n u="1" v="44"/>
        <n u="1" v="95"/>
        <n u="1" v="133"/>
        <n u="1" v="120"/>
        <n u="1" v="74"/>
        <n u="1" v="162"/>
        <n u="1" v="46"/>
        <n u="1" v="99"/>
        <n u="1" v="141"/>
        <n u="1" v="124"/>
        <n u="1" v="78"/>
        <n u="1" v="170"/>
        <n u="1" v="48"/>
        <n u="1" v="103"/>
        <n u="1" v="149"/>
        <n u="1" v="128"/>
        <n u="1" v="82"/>
        <n u="1" v="1.14"/>
        <n u="1" v="50"/>
        <n u="1" v="107"/>
        <n u="1" v="157"/>
        <n u="1" v="1.19"/>
        <n u="1" v="136"/>
        <n u="1" v="1.24"/>
        <n u="1" v="86"/>
        <n u="1" v="1.29"/>
        <n u="1" v="52"/>
        <n u="1" v="111"/>
        <n u="1" v="165"/>
        <n u="1" v="65"/>
        <n u="1" v="144"/>
        <n u="1" v="90"/>
        <n u="1" v="54"/>
        <n u="1" v="115"/>
        <n u="1" v="173"/>
        <n u="1" v="69"/>
        <n u="1" v="152"/>
        <n u="1" v="1.02"/>
        <n u="1" v="94"/>
        <n u="1" v="131"/>
        <n u="1" v="1.07"/>
        <n u="1" v="1.17"/>
        <n u="1" v="56"/>
        <n u="1" v="119"/>
        <n u="1" v="1.12"/>
        <n u="1" v="33"/>
        <n u="1" v="73"/>
        <n u="1" v="160"/>
        <n u="1" v="98"/>
        <n u="1" v="139"/>
        <n u="1" v="58"/>
        <n u="1" v="123"/>
        <n u="1" v="35"/>
        <n u="1" v="77"/>
        <n u="1" v="168"/>
        <n u="1" v="102"/>
        <n u="1" v="147"/>
        <n u="1" v="60"/>
        <n u="1" v="127"/>
        <n u="1" v="37"/>
        <n u="1" v="81"/>
        <n u="1" v="1.05"/>
        <n u="1" v="106"/>
        <n u="1" v="155"/>
        <n u="1" v="62"/>
        <n u="1" v="134"/>
        <n u="1" v="1.22"/>
        <n u="1" v="39"/>
        <n u="1" v="85"/>
        <n u="1" v="1.27"/>
        <n u="1" v="110"/>
        <n u="1" v="163"/>
        <n u="1" v="64"/>
        <n u="1" v="142"/>
        <n u="1" v="41"/>
        <n u="1" v="89"/>
        <n u="1" v="114"/>
        <n u="1" v="171"/>
        <n u="1" v="68"/>
        <n u="1" v="150"/>
        <n u="1" v="43"/>
        <n u="1" v="93"/>
        <n u="1" v="129"/>
        <n u="1" v="26"/>
        <n u="1" v="118"/>
        <n u="1" v="1.1"/>
        <n u="1" v="1.15"/>
        <n u="1" v="72"/>
        <n u="1" v="158"/>
        <n u="1" v="1.2"/>
        <n u="1" v="45"/>
        <n u="1" v="97"/>
        <n u="1" v="137"/>
        <n u="1" v="1.25"/>
        <n u="1" v="1.3"/>
        <n u="1" v="27"/>
        <n u="1" v="122"/>
        <n u="1" v="76"/>
        <n u="1" v="166"/>
        <n u="1" v="47"/>
        <n u="1" v="101"/>
        <n u="1" v="145"/>
        <n u="1" v="28"/>
        <n u="1" v="126"/>
        <n u="1" v="80"/>
        <n u="1" v="174"/>
        <n u="1" v="49"/>
        <n u="1" v="105"/>
        <n u="1" v="153"/>
        <n u="1" v="1.03"/>
        <n u="1" v="1.13"/>
        <n u="1" v="29"/>
        <n u="1" v="132"/>
        <n u="1" v="1.08"/>
        <n u="1" v="84"/>
        <n u="1" v="51"/>
        <n u="1" v="109"/>
        <n u="1" v="161"/>
        <n u="1" v="30"/>
        <n u="1" v="140"/>
        <n u="1" v="88"/>
        <n u="1" v="53"/>
        <n u="1" v="113"/>
        <n u="1" v="169"/>
        <n u="1" v="31"/>
        <n u="1" v="67"/>
        <n u="1" v="148"/>
        <n u="1" v="92"/>
        <n u="1" v="1.01"/>
        <n u="1" v="55"/>
        <n u="1" v="117"/>
        <n u="1" v="32"/>
        <n u="1" v="71"/>
        <n u="1" v="156"/>
      </sharedItems>
    </cacheField>
    <cacheField databaseField="1" hierarchy="0" level="0" name="Leg" numFmtId="0" sqlType="0" uniqueList="1">
      <sharedItems containsInteger="1" containsNumber="1" containsSemiMixedTypes="0" containsString="0" count="18" maxValue="18" minValue="1">
        <n v="1"/>
        <n v="2"/>
        <n v="3"/>
        <n v="4"/>
        <n v="5"/>
        <n v="6"/>
        <n v="7"/>
        <n v="8"/>
        <n v="9"/>
        <n u="1" v="13"/>
        <n u="1" v="14"/>
        <n u="1" v="15"/>
        <n u="1" v="16"/>
        <n u="1" v="17"/>
        <n u="1" v="18"/>
        <n u="1" v="10"/>
        <n u="1" v="11"/>
        <n u="1" v="12"/>
      </sharedItems>
    </cacheField>
    <cacheField databaseField="1" hierarchy="0" level="0" name="TransType" numFmtId="14"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4" sqlType="0" uniqueList="1">
      <sharedItems containsDate="1" containsNonDate="0" containsSemiMixedTypes="0" containsString="0" count="250" maxDate="2021-05-18T00:00:00" minDate="2017-05-30T00:00:0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u="1" v="2017-08-08T00:00:00"/>
        <d u="1" v="2018-07-03T00:00:00"/>
        <d u="1" v="2017-09-13T00:00:00"/>
        <d u="1" v="2018-04-26T00:00:00"/>
        <d u="1" v="2018-08-08T00:00:00"/>
        <d u="1" v="2018-02-09T00:00:00"/>
        <d u="1" v="2018-09-13T00:00:00"/>
        <d u="1" v="2018-03-14T00:00:00"/>
        <d u="1" v="2018-08-27T00:00:00"/>
        <d u="1" v="2018-10-18T00:00:00"/>
        <d u="1" v="2017-09-06T00:00:00"/>
        <d u="1" v="2018-02-28T00:00:00"/>
        <d u="1" v="2018-04-19T00:00:00"/>
        <d u="1" v="2018-08-01T00:00:00"/>
        <d u="1" v="2018-02-02T00:00:00"/>
        <d u="1" v="2018-05-24T00:00:00"/>
        <d u="1" v="2018-09-06T00:00:00"/>
        <d u="1" v="2017-09-25T00:00:00"/>
        <d u="1" v="2018-01-16T00:00:00"/>
        <d u="1" v="2018-06-29T00:00:00"/>
        <d u="1" v="2018-08-20T00:00:00"/>
        <d u="1" v="2018-10-11T00:00:00"/>
        <d u="1" v="2021-05-05T00:00:00"/>
        <d u="1" v="2017-10-30T00:00:00"/>
        <d u="1" v="2017-12-21T00:00:00"/>
        <d u="1" v="2018-04-12T00:00:00"/>
        <d u="1" v="2018-06-03T00:00:00"/>
        <d u="1" v="2018-09-25T00:00:00"/>
        <d u="1" v="2018-11-16T00:00:00"/>
        <d u="1" v="2018-03-26T00:00:00"/>
        <d u="1" v="2018-10-30T00:00:00"/>
        <d u="1" v="2018-12-21T00:00:00"/>
        <d u="1" v="2017-09-18T00:00:00"/>
        <d u="1" v="2017-11-09T00:00:00"/>
        <d u="1" v="2018-06-22T00:00:00"/>
        <d u="1" v="2018-08-13T00:00:00"/>
        <d u="1" v="2017-12-14T00:00:00"/>
        <d u="1" v="2018-02-14T00:00:00"/>
        <d u="1" v="2018-04-05T00:00:00"/>
        <d u="1" v="2018-07-27T00:00:00"/>
        <d u="1" v="2018-09-18T00:00:00"/>
        <d u="1" v="2017-11-28T00:00:00"/>
        <d u="1" v="2018-03-19T00:00:00"/>
        <d u="1" v="2018-05-10T00:00:00"/>
        <d u="1" v="2019-04-05T00:00:00"/>
        <d u="1" v="2017-07-20T00:00:00"/>
        <d u="1" v="2017-09-11T00:00:00"/>
        <d u="1" v="2018-01-02T00:00:00"/>
        <d u="1" v="2018-06-15T00:00:00"/>
        <d u="1" v="2018-08-06T00:00:00"/>
        <d u="1" v="2017-10-16T00:00:00"/>
        <d u="1" v="2018-05-29T00:00:00"/>
        <d u="1" v="2018-07-20T00:00:00"/>
        <d u="1" v="2018-09-11T00:00:00"/>
        <d u="1" v="2017-11-21T00:00:00"/>
        <d u="1" v="2018-03-12T00:00:00"/>
        <d u="1" v="2017-12-26T00:00:00"/>
        <d u="1" v="2018-06-08T00:00:00"/>
        <d u="1" v="2018-07-13T00:00:00"/>
        <d u="1" v="2018-09-04T00:00:00"/>
        <d u="1" v="2019-04-17T00:00:00"/>
        <d u="1" v="2017-11-14T00:00:00"/>
        <d u="1" v="2018-03-05T00:00:00"/>
        <d u="1" v="2018-06-27T00:00:00"/>
        <d u="1" v="2018-10-09T00:00:00"/>
        <d u="1" v="2018-04-10T00:00:00"/>
        <d u="1" v="2018-06-01T00:00:00"/>
        <d u="1" v="2017-08-11T00:00:00"/>
        <d u="1" v="2017-10-02T00:00:00"/>
        <d u="1" v="2018-05-15T00:00:00"/>
        <d u="1" v="2018-07-06T00:00:00"/>
        <d u="1" v="2017-07-25T00:00:00"/>
        <d u="1" v="2018-06-20T00:00:00"/>
        <d u="1" v="2018-02-12T00:00:00"/>
        <d u="1" v="2018-04-03T00:00:00"/>
        <d u="1" v="2018-07-25T00:00:00"/>
        <d u="1" v="2018-08-30T00:00:00"/>
        <d u="1" v="2017-07-18T00:00:00"/>
        <d u="1" v="2018-06-13T00:00:00"/>
        <d u="1" v="2018-11-26T00:00:00"/>
        <d u="1" v="2017-08-23T00:00:00"/>
        <d u="1" v="2017-12-05T00:00:00"/>
        <d u="1" v="2018-07-18T00:00:00"/>
        <d u="1" v="2018-12-31T00:00:00"/>
        <d u="1" v="2017-09-28T00:00:00"/>
        <d u="1" v="2018-01-19T00:00:00"/>
        <d u="1" v="2018-08-23T00:00:00"/>
        <d u="1" v="2017-07-11T00:00:00"/>
        <d u="1" v="2018-06-06T00:00:00"/>
        <d u="1" v="2018-09-28T00:00:00"/>
        <d u="1" v="2018-03-29T00:00:00"/>
        <d u="1" v="2017-09-21T00:00:00"/>
        <d u="1" v="2018-01-12T00:00:00"/>
        <d u="1" v="2018-06-25T00:00:00"/>
        <d u="1" v="2018-08-16T00:00:00"/>
        <d u="1" v="2018-07-30T00:00:00"/>
        <d u="1" v="2018-09-21T00:00:00"/>
        <d u="1" v="2018-11-12T00:00:00"/>
        <d u="1" v="2018-01-31T00:00:00"/>
        <d u="1" v="2018-03-22T00:00:00"/>
        <d u="1" v="2018-12-17T00:00:00"/>
        <d u="1" v="2018-04-27T00:00:00"/>
        <d u="1" v="2018-06-18T00:00:00"/>
        <d u="1" v="2018-08-09T00:00:00"/>
        <d u="1" v="2017-10-19T00:00:00"/>
        <d u="1" v="2018-07-23T00:00:00"/>
        <d u="1" v="2018-09-14T00:00:00"/>
        <d u="1" v="2018-11-05T00:00:00"/>
        <d u="1" v="2018-10-19T00:00:00"/>
        <d u="1" v="2018-12-10T00:00:00"/>
        <d u="1" v="2019-04-01T00:00:00"/>
        <d u="1" v="2017-09-07T00:00:00"/>
        <d u="1" v="2017-12-29T00:00:00"/>
        <d u="1" v="2018-04-20T00:00:00"/>
        <d u="1" v="2018-06-11T00:00:00"/>
        <d u="1" v="2018-08-02T00:00:00"/>
        <d u="1" v="2017-10-12T00:00:00"/>
        <d u="1" v="2018-05-25T00:00:00"/>
        <d u="1" v="2018-07-16T00:00:00"/>
        <d u="1" v="2018-09-07T00:00:00"/>
        <d u="1" v="2017-11-17T00:00:00"/>
        <d u="1" v="2018-03-08T00:00:00"/>
        <d u="1" v="2018-08-21T00:00:00"/>
        <d u="1" v="2018-10-12T00:00:00"/>
        <d u="1" v="2018-12-03T00:00:00"/>
        <d u="1" v="2018-02-22T00:00:00"/>
        <d u="1" v="2018-04-13T00:00:00"/>
        <d u="1" v="2018-06-04T00:00:00"/>
        <d u="1" v="2018-03-27T00:00:00"/>
        <d u="1" v="2018-05-18T00:00:00"/>
        <d u="1" v="2018-07-09T00:00:00"/>
        <d u="1" v="2017-11-10T00:00:00"/>
        <d u="1" v="2018-03-01T00:00:00"/>
        <d u="1" v="2018-10-05T00:00:00"/>
        <d u="1" v="2017-10-24T00:00:00"/>
        <d u="1" v="2017-12-15T00:00:00"/>
        <d u="1" v="2018-04-06T00:00:00"/>
        <d u="1" v="2018-09-19T00:00:00"/>
        <d u="1" v="2017-08-07T00:00:00"/>
        <d u="1" v="2017-11-29T00:00:00"/>
        <d u="1" v="2018-01-29T00:00:00"/>
        <d u="1" v="2018-03-20T00:00:00"/>
        <d u="1" v="2018-05-11T00:00:00"/>
        <d u="1" v="2018-07-02T00:00:00"/>
        <d u="1" v="2019-04-06T00:00:00"/>
        <d u="1" v="2017-05-30T00:00:00"/>
        <d u="1" v="2017-11-03T00:00:00"/>
        <d u="1" v="2018-04-25T00:00:00"/>
        <d u="1" v="2017-10-17T00:00:00"/>
        <d u="1" v="2018-05-30T00:00:00"/>
        <d u="1" v="2018-09-12T00:00:00"/>
        <d u="1" v="2017-06-09T00:00:00"/>
        <d u="1" v="2018-01-22T00:00:00"/>
        <d u="1" v="2018-03-13T00:00:00"/>
        <d u="1" v="2018-05-04T00:00:00"/>
        <d u="1" v="2018-10-17T00:00:00"/>
        <d u="1" v="2018-02-27T00:00:00"/>
        <d u="1" v="2017-10-10T00:00:00"/>
        <d u="1" v="2018-02-01T00:00:00"/>
        <d u="1" v="2018-05-23T00:00:00"/>
        <d u="1" v="2018-09-05T00:00:00"/>
        <d u="1" v="2019-04-18T00:00:00"/>
        <d u="1" v="2018-03-06T00:00:00"/>
        <d u="1" v="2018-06-28T00:00:00"/>
        <d u="1" v="2018-10-10T00:00:00"/>
        <d u="1" v="2018-02-20T00:00:00"/>
        <d u="1" v="2018-04-11T00:00:00"/>
        <d u="1" v="2018-09-24T00:00:00"/>
        <d u="1" v="2017-10-03T00:00:00"/>
        <d u="1" v="2018-05-16T00:00:00"/>
        <d u="1" v="2018-12-20T00:00:00"/>
        <d u="1" v="2017-11-08T00:00:00"/>
        <d u="1" v="2018-01-08T00:00:00"/>
        <d u="1" v="2018-06-21T00:00:00"/>
        <d u="1" v="2018-10-03T00:00:00"/>
        <d u="1" v="2017-08-31T00:00:00"/>
        <d u="1" v="2018-07-26T00:00:00"/>
        <d u="1" v="2018-09-17T00:00:00"/>
        <d u="1" v="2018-05-09T00:00:00"/>
        <d u="1" v="2018-10-22T00:00:00"/>
        <d u="1" v="2018-04-23T00:00:00"/>
        <d u="1" v="2018-02-06T00:00:00"/>
        <d u="1" v="2018-07-19T00:00:00"/>
        <d u="1" v="2018-09-10T00:00:00"/>
        <d u="1" v="2019-01-01T00:00:00"/>
        <d u="1" v="2017-09-29T00:00:00"/>
        <d u="1" v="2018-10-15T00:00:00"/>
        <d u="1" v="2018-06-07T00:00:00"/>
        <d u="1" v="2018-07-12T00:00:00"/>
        <d u="1" v="2017-09-22T00:00:00"/>
        <d u="1" v="2018-08-17T00:00:00"/>
        <d u="1" v="2018-10-08T00:00:00"/>
        <d u="1" v="2017-10-27T00:00:00"/>
        <d u="1" v="2018-04-09T00:00:00"/>
        <d u="1" v="2018-07-31T00:00:00"/>
        <d u="1" v="2018-11-13T00:00:00"/>
        <d u="1" v="2017-06-19T00:00:00"/>
        <d u="1" v="2018-05-14T00:00:00"/>
        <d u="1" v="2018-07-05T00:00:00"/>
        <d u="1" v="2018-12-18T00:00:00"/>
        <d u="1" v="2017-09-15T00:00:00"/>
        <d u="1" v="2017-11-06T00:00:00"/>
        <d u="1" v="2018-08-10T00:00:00"/>
        <d u="1" v="2018-10-01T00:00:00"/>
        <d u="1" v="2017-12-11T00:00:00"/>
        <d u="1" v="2018-04-02T00:00:00"/>
        <d u="1" v="2018-11-06T00:00:00"/>
        <d u="1" v="2018-03-16T00:00:00"/>
        <d u="1" v="2018-05-07T00:00:00"/>
        <d u="1" v="2018-08-29T00:00:00"/>
        <d u="1" v="2018-06-12T00:00:00"/>
        <d u="1" v="2018-08-03T00:00:00"/>
        <d u="1" v="2017-12-04T00:00:00"/>
        <d u="1" v="2018-07-17T00:00:00"/>
        <d u="1" v="2017-09-27T00:00:00"/>
        <d u="1" v="2018-03-09T00:00:00"/>
        <d u="1" v="2018-09-27T00:00:00"/>
        <d u="1" v="2018-07-10T00:00:00"/>
        <d u="1" v="2018-01-11T00:00:00"/>
        <d u="1" v="2018-08-15T00:00:00"/>
        <d u="1" v="2017-07-03T00:00:00"/>
        <d u="1" v="2018-02-16T00:00:00"/>
      </sharedItems>
    </cacheField>
    <cacheField databaseField="1" hierarchy="0" level="0" name="CloseDate" numFmtId="14" sqlType="0" uniqueList="1">
      <sharedItems containsBlank="1" containsDate="1" containsNonDate="0" containsString="0" count="219" maxDate="2021-05-15T00:00:00" minDate="1899-12-30T00:00:00">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u="1" v="2017-11-30T00:00:00"/>
        <d u="1" v="2017-05-31T00:00:00"/>
        <d u="1" v="2018-08-08T00:00:00"/>
        <d u="1" v="2018-02-09T00:00:00"/>
        <d u="1" v="2018-05-31T00:00:00"/>
        <d u="1" v="2018-09-13T00:00:00"/>
        <d u="1" v="2017-02-28T00:00:00"/>
        <d u="1" v="2018-01-23T00:00:00"/>
        <d u="1" v="2018-03-14T00:00:00"/>
        <d u="1" v="2018-10-18T00:00:00"/>
        <d u="1" v="2018-02-28T00:00:00"/>
        <d u="1" v="2018-04-19T00:00:00"/>
        <d u="1" v="2018-11-23T00:00:00"/>
        <d u="1" v="2018-02-02T00:00:00"/>
        <d u="1" v="2018-09-06T00:00:00"/>
        <d u="1" v="2017-09-25T00:00:00"/>
        <d u="1" v="2018-06-29T00:00:00"/>
        <d u="1" v="2018-08-20T00:00:00"/>
        <d u="1" v="2018-10-11T00:00:00"/>
        <d u="1" v="2017-12-21T00:00:00"/>
        <d u="1" v="2018-04-12T00:00:00"/>
        <d u="1" v="2018-06-03T00:00:00"/>
        <d u="1" v="2018-11-16T00:00:00"/>
        <d u="1" v="2017-08-13T00:00:00"/>
        <d u="1" v="2018-12-21T00:00:00"/>
        <d u="1" v="2016-07-01T00:00:00"/>
        <d u="1" v="2017-07-27T00:00:00"/>
        <d u="1" v="2018-01-09T00:00:00"/>
        <d u="1" v="2018-06-22T00:00:00"/>
        <d u="1" v="2017-10-23T00:00:00"/>
        <d u="1" v="2018-02-14T00:00:00"/>
        <d u="1" v="2018-04-05T00:00:00"/>
        <d u="1" v="2018-07-27T00:00:00"/>
        <d u="1" v="2018-09-18T00:00:00"/>
        <d u="1" v="2017-11-28T00:00:00"/>
        <d u="1" v="2018-05-10T00:00:00"/>
        <d u="1" v="2017-11-02T00:00:00"/>
        <d u="1" v="2018-01-02T00:00:00"/>
        <d u="1" v="2018-06-15T00:00:00"/>
        <d u="1" v="2018-11-28T00:00:00"/>
        <d u="1" v="2016-09-30T00:00:00"/>
        <d u="1" v="2017-08-25T00:00:00"/>
        <d u="1" v="2017-10-16T00:00:00"/>
        <d u="1" v="2018-02-07T00:00:00"/>
        <d u="1" v="2018-05-29T00:00:00"/>
        <d u="1" v="2018-07-20T00:00:00"/>
        <d u="1" v="2018-09-11T00:00:00"/>
        <d u="1" v="2018-03-12T00:00:00"/>
        <d u="1" v="2018-12-07T00:00:00"/>
        <d u="1" v="2017-03-31T00:00:00"/>
        <d u="1" v="2018-02-26T00:00:00"/>
        <d u="1" v="2018-04-17T00:00:00"/>
        <d u="1" v="2018-06-08T00:00:00"/>
        <d u="1" v="2017-08-18T00:00:00"/>
        <d u="1" v="2018-07-13T00:00:00"/>
        <d u="1" v="2018-09-04T00:00:00"/>
        <d u="1" v="2019-04-17T00:00:00"/>
        <d u="1" v="2018-06-27T00:00:00"/>
        <d u="1" v="2018-10-09T00:00:00"/>
        <d u="1" v="2021-05-03T00:00:00"/>
        <d u="1" v="2018-04-10T00:00:00"/>
        <d u="1" v="2018-06-01T00:00:00"/>
        <d u="1" v="2017-08-11T00:00:00"/>
        <d u="1" v="2017-10-02T00:00:00"/>
        <d u="1" v="2018-05-15T00:00:00"/>
        <d u="1" v="2018-07-06T00:00:00"/>
        <d u="1" v="2017-12-12T00:00:00"/>
        <d u="1" v="2018-02-12T00:00:00"/>
        <d u="1" v="2018-04-03T00:00:00"/>
        <d u="1" v="2018-07-25T00:00:00"/>
        <d u="1" v="2018-01-26T00:00:00"/>
        <d u="1" v="2018-08-30T00:00:00"/>
        <d u="1" v="2018-06-13T00:00:00"/>
        <d u="1" v="2017-08-23T00:00:00"/>
        <d u="1" v="2018-07-18T00:00:00"/>
        <d u="1" v="2017-09-28T00:00:00"/>
        <d u="1" v="2018-01-19T00:00:00"/>
        <d u="1" v="2018-08-23T00:00:00"/>
        <d u="1" v="2018-06-06T00:00:00"/>
        <d u="1" v="2018-09-28T00:00:00"/>
        <d u="1" v="2018-03-29T00:00:00"/>
        <d u="1" v="2017-09-21T00:00:00"/>
        <d u="1" v="2018-01-12T00:00:00"/>
        <d u="1" v="2018-08-16T00:00:00"/>
        <d u="1" v="2017-01-31T00:00:00"/>
        <d u="1" v="2018-07-30T00:00:00"/>
        <d u="1" v="2018-09-21T00:00:00"/>
        <d u="1" v="2018-01-31T00:00:00"/>
        <d u="1" v="2018-03-22T00:00:00"/>
        <d u="1" v="2018-01-05T00:00:00"/>
        <d u="1" v="2018-04-27T00:00:00"/>
        <d u="1" v="2018-08-09T00:00:00"/>
        <d u="1" v="2017-10-19T00:00:00"/>
        <d u="1" v="2018-09-14T00:00:00"/>
        <d u="1" v="2018-03-15T00:00:00"/>
        <d u="1" v="2018-10-19T00:00:00"/>
        <d u="1" v="2017-09-07T00:00:00"/>
        <d u="1" v="2017-12-29T00:00:00"/>
        <d u="1" v="2018-04-20T00:00:00"/>
        <d u="1" v="2018-06-11T00:00:00"/>
        <d u="1" v="2018-08-02T00:00:00"/>
        <d u="1" v="2017-06-30T00:00:00"/>
        <d u="1" v="2017-10-12T00:00:00"/>
        <d u="1" v="2018-05-25T00:00:00"/>
        <d u="1" v="2018-07-16T00:00:00"/>
        <d u="1" v="2018-09-07T00:00:00"/>
        <d u="1" v="2016-10-31T00:00:00"/>
        <d u="1" v="2017-11-17T00:00:00"/>
        <d u="1" v="2018-01-17T00:00:00"/>
        <d u="1" v="2018-03-08T00:00:00"/>
        <d u="1" v="2018-10-12T00:00:00"/>
        <d u="1" v="2017-10-31T00:00:00"/>
        <d u="1" v="2018-04-13T00:00:00"/>
        <d u="1" v="2018-09-26T00:00:00"/>
        <d u="1" v="2018-05-18T00:00:00"/>
        <d u="1" v="2018-10-31T00:00:00"/>
        <d u="1" v="2017-07-28T00:00:00"/>
        <d u="1" v="2017-11-10T00:00:00"/>
        <d u="1" v="2018-03-01T00:00:00"/>
        <d u="1" v="2018-10-05T00:00:00"/>
        <d u="1" v="2017-12-15T00:00:00"/>
        <d u="1" v="2018-04-06T00:00:00"/>
        <d u="1" v="2017-06-16T00:00:00"/>
        <d u="1" v="2018-05-11T00:00:00"/>
        <d u="1" v="2019-04-06T00:00:00"/>
        <d u="1" v="2017-07-21T00:00:00"/>
        <d u="1" v="2017-11-03T00:00:00"/>
        <d u="1" v="2018-04-25T00:00:00"/>
        <d u="1" v="2018-06-16T00:00:00"/>
        <d u="1" v="2017-12-08T00:00:00"/>
        <d u="1" v="2018-09-12T00:00:00"/>
        <d u="1" v="2017-06-09T00:00:00"/>
        <d u="1" v="2018-05-04T00:00:00"/>
        <d u="1" v="2018-10-17T00:00:00"/>
        <d u="1" v="2018-02-27T00:00:00"/>
        <d u="1" v="2018-04-18T00:00:00"/>
        <d u="1" v="2017-12-01T00:00:00"/>
        <d u="1" v="2018-05-23T00:00:00"/>
        <d u="1" v="2018-09-05T00:00:00"/>
        <d u="1" v="1899-12-30T00:00:00"/>
        <d u="1" v="2018-06-28T00:00:00"/>
        <d u="1" v="2018-10-10T00:00:00"/>
        <d u="1" v="2017-07-07T00:00:00"/>
        <d u="1" v="2018-04-11T00:00:00"/>
        <d u="1" v="2016-07-26T00:00:00"/>
        <d u="1" v="2017-10-03T00:00:00"/>
        <d u="1" v="2018-05-16T00:00:00"/>
        <d u="1" v="2018-10-29T00:00:00"/>
        <d u="1" v="2018-12-20T00:00:00"/>
        <d u="1" v="2016-08-31T00:00:00"/>
        <d u="1" v="2017-11-08T00:00:00"/>
        <d u="1" v="2018-04-30T00:00:00"/>
        <d u="1" v="2018-10-03T00:00:00"/>
        <d u="1" v="2017-08-31T00:00:00"/>
        <d u="1" v="2017-12-13T00:00:00"/>
        <d u="1" v="2018-09-17T00:00:00"/>
        <d u="1" v="2018-05-09T00:00:00"/>
        <d u="1" v="2018-08-31T00:00:00"/>
        <d u="1" v="2018-06-14T00:00:00"/>
        <d u="1" v="2018-02-06T00:00:00"/>
        <d u="1" v="2018-07-19T00:00:00"/>
        <d u="1" v="2018-09-10T00:00:00"/>
        <d u="1" v="2017-09-29T00:00:00"/>
        <d u="1" v="2018-08-24T00:00:00"/>
        <d u="1" v="2018-10-15T00:00:00"/>
        <d u="1" v="2018-06-07T00:00:00"/>
        <d u="1" v="2017-07-31T00:00:00"/>
        <d u="1" v="2018-08-17T00:00:00"/>
        <d u="1" v="2018-10-08T00:00:00"/>
        <d u="1" v="2018-07-31T00:00:00"/>
        <d u="1" v="2018-11-13T00:00:00"/>
        <d u="1" v="2017-04-28T00:00:00"/>
        <d u="1" v="2018-03-23T00:00:00"/>
        <d u="1" v="2018-05-14T00:00:00"/>
        <d u="1" v="2018-07-05T00:00:00"/>
        <d u="1" v="2018-12-18T00:00:00"/>
        <d u="1" v="2021-03-30T00:00:00"/>
        <d u="1" v="2017-09-15T00:00:00"/>
        <d u="1" v="2017-11-06T00:00:00"/>
        <d u="1" v="2018-08-10T00:00:00"/>
        <d u="1" v="2017-10-20T00:00:00"/>
        <d u="1" v="2018-04-02T00:00:00"/>
        <d u="1" v="2018-11-06T00:00:00"/>
        <d u="1" v="2016-12-30T00:00:00"/>
        <d u="1" v="2018-03-16T00:00:00"/>
        <d u="1" v="2018-05-07T00:00:00"/>
        <d u="1" v="2018-08-29T00:00:00"/>
        <d u="1" v="2017-09-08T00:00:00"/>
        <d u="1" v="2018-06-12T00:00:00"/>
        <d u="1" v="2018-08-03T00:00:00"/>
        <d u="1" v="2017-10-13T00:00:00"/>
        <d u="1" v="2018-07-17T00:00:00"/>
        <d u="1" v="2017-09-27T00:00:00"/>
        <d u="1" v="2018-09-27T00:00:00"/>
        <d u="1" v="2017-10-06T00:00:00"/>
        <d u="1" v="2018-07-10T00:00:00"/>
        <d u="1" v="2017-09-20T00:00:00"/>
        <d u="1" v="2018-01-11T00:00:00"/>
        <d u="1" v="2018-03-02T00:00:00"/>
        <d u="1" v="2018-08-15T00:00:00"/>
        <d u="1" v="2016-11-30T00:00:00"/>
        <d u="1" v="2018-02-16T00:00:00"/>
      </sharedItems>
    </cacheField>
    <cacheField databaseField="1" hierarchy="0" level="0" name="ExpDate" numFmtId="14" sqlType="0" uniqueList="1">
      <sharedItems containsDate="1" containsNonDate="0" containsSemiMixedTypes="0" containsString="0" count="92" maxDate="2021-06-19T00:00:00" minDate="2017-06-09T00:00:00">
        <d v="2021-04-16T00:00:00"/>
        <d v="2021-05-21T00:00:00"/>
        <d v="2021-04-09T00:00:00"/>
        <d v="2021-04-23T00:00:00"/>
        <d v="2021-04-30T00:00:00"/>
        <d v="2021-06-11T00:00:00"/>
        <d v="2021-05-07T00:00:00"/>
        <d v="2021-05-28T00:00:00"/>
        <d v="2021-05-14T00:00:00"/>
        <d v="2021-06-18T00:00:00"/>
        <d v="2021-06-04T00:00:00"/>
        <d u="1" v="2018-11-30T00:00:00"/>
        <d u="1" v="2019-06-17T00:00:00"/>
        <d u="1" v="2018-02-02T00:00:00"/>
        <d u="1" v="2018-06-29T00:00:00"/>
        <d u="1" v="2018-11-16T00:00:00"/>
        <d u="1" v="2018-12-21T00:00:00"/>
        <d u="1" v="2018-06-22T00:00:00"/>
        <d u="1" v="2018-07-27T00:00:00"/>
        <d u="1" v="2018-11-09T00:00:00"/>
        <d u="1" v="2018-06-15T00:00:00"/>
        <d u="1" v="2017-08-25T00:00:00"/>
        <d u="1" v="2018-07-20T00:00:00"/>
        <d u="1" v="2018-11-02T00:00:00"/>
        <d u="1" v="2018-06-08T00:00:00"/>
        <d u="1" v="2017-08-18T00:00:00"/>
        <d u="1" v="2018-07-13T00:00:00"/>
        <d u="1" v="2018-10-09T00:00:00"/>
        <d u="1" v="2018-06-01T00:00:00"/>
        <d u="1" v="2017-08-11T00:00:00"/>
        <d u="1" v="2018-07-06T00:00:00"/>
        <d u="1" v="2018-01-26T00:00:00"/>
        <d u="1" v="2018-01-19T00:00:00"/>
        <d u="1" v="2018-09-28T00:00:00"/>
        <d u="1" v="2018-03-29T00:00:00"/>
        <d u="1" v="2018-09-21T00:00:00"/>
        <d u="1" v="2018-10-26T00:00:00"/>
        <d u="1" v="2018-01-05T00:00:00"/>
        <d u="1" v="2018-04-27T00:00:00"/>
        <d u="1" v="2018-09-14T00:00:00"/>
        <d u="1" v="2018-03-15T00:00:00"/>
        <d u="1" v="2018-10-19T00:00:00"/>
        <d u="1" v="2017-12-29T00:00:00"/>
        <d u="1" v="2018-04-20T00:00:00"/>
        <d u="1" v="2019-03-15T00:00:00"/>
        <d u="1" v="2017-06-30T00:00:00"/>
        <d u="1" v="2018-05-25T00:00:00"/>
        <d u="1" v="2018-09-07T00:00:00"/>
        <d u="1" v="2017-11-17T00:00:00"/>
        <d u="1" v="2018-10-12T00:00:00"/>
        <d u="1" v="2018-04-13T00:00:00"/>
        <d u="1" v="2018-05-18T00:00:00"/>
        <d u="1" v="2017-07-28T00:00:00"/>
        <d u="1" v="2017-11-10T00:00:00"/>
        <d u="1" v="2018-10-05T00:00:00"/>
        <d u="1" v="2019-05-18T00:00:00"/>
        <d u="1" v="2017-12-15T00:00:00"/>
        <d u="1" v="2018-02-15T00:00:00"/>
        <d u="1" v="2018-04-06T00:00:00"/>
        <d u="1" v="2017-06-16T00:00:00"/>
        <d u="1" v="2018-05-11T00:00:00"/>
        <d u="1" v="2019-02-15T00:00:00"/>
        <d u="1" v="2017-07-21T00:00:00"/>
        <d u="1" v="2017-11-03T00:00:00"/>
        <d u="1" v="2017-12-08T00:00:00"/>
        <d u="1" v="2017-06-09T00:00:00"/>
        <d u="1" v="2018-05-04T00:00:00"/>
        <d u="1" v="2018-04-18T00:00:00"/>
        <d u="1" v="2017-12-01T00:00:00"/>
        <d u="1" v="2019-04-18T00:00:00"/>
        <d u="1" v="2017-07-07T00:00:00"/>
        <d u="1" v="2018-09-17T00:00:00"/>
        <d u="1" v="2018-08-31T00:00:00"/>
        <d u="1" v="2017-09-29T00:00:00"/>
        <d u="1" v="2018-08-24T00:00:00"/>
        <d u="1" v="2017-09-22T00:00:00"/>
        <d u="1" v="2018-08-17T00:00:00"/>
        <d u="1" v="2017-10-27T00:00:00"/>
        <d u="1" v="2018-03-23T00:00:00"/>
        <d u="1" v="2018-07-05T00:00:00"/>
        <d u="1" v="2017-09-15T00:00:00"/>
        <d u="1" v="2018-08-10T00:00:00"/>
        <d u="1" v="2017-10-20T00:00:00"/>
        <d u="1" v="2018-03-16T00:00:00"/>
        <d u="1" v="2017-09-08T00:00:00"/>
        <d u="1" v="2018-08-03T00:00:00"/>
        <d u="1" v="2017-10-13T00:00:00"/>
        <d u="1" v="2018-03-09T00:00:00"/>
        <d u="1" v="2019-01-18T00:00:00"/>
        <d u="1" v="2017-10-06T00:00:00"/>
        <d u="1" v="2018-03-02T00:00:00"/>
        <d u="1" v="2018-02-16T00:00:00"/>
      </sharedItems>
    </cacheField>
    <cacheField databaseField="1" hierarchy="0" level="0" name="Strike" numFmtId="0" sqlType="0" uniqueList="1">
      <sharedItems containsNumber="1" containsSemiMixedTypes="0" containsString="0" count="168" maxValue="467.5" minValue="1">
        <n v="80"/>
        <n v="65"/>
        <n v="77.5"/>
        <n v="36"/>
        <n v="24"/>
        <n v="42"/>
        <n v="40"/>
        <n v="18"/>
        <n v="17"/>
        <n v="45"/>
        <n v="44.5"/>
        <n v="28"/>
        <n v="22"/>
        <n v="21.5"/>
        <n v="25"/>
        <n v="13"/>
        <n v="48"/>
        <n v="24.5"/>
        <n v="62.5"/>
        <n v="23.5"/>
        <n v="23"/>
        <n v="51"/>
        <n v="50"/>
        <n v="43"/>
        <n v="90"/>
        <n v="21"/>
        <n v="70"/>
        <n v="33"/>
        <n v="91"/>
        <n u="1" v="96"/>
        <n u="1" v="135"/>
        <n u="1" v="12.5"/>
        <n u="1" v="57"/>
        <n u="1" v="85.5"/>
        <n u="1" v="185"/>
        <n u="1" v="34"/>
        <n u="1" v="285"/>
        <n u="1" v="22.3"/>
        <n u="1" v="100"/>
        <n u="1" v="59"/>
        <n u="1" v="125"/>
        <n u="1" v="22.5"/>
        <n u="1" v="330"/>
        <n u="1" v="13.5"/>
        <n u="1" v="61"/>
        <n u="1" v="38"/>
        <n u="1" v="180"/>
        <n u="1" v="50.5"/>
        <n u="1" v="72.5"/>
        <n u="1" v="14"/>
        <n u="1" v="63"/>
        <n u="1" v="97.5"/>
        <n u="1" v="87"/>
        <n u="1" v="152.5"/>
        <n u="1" v="297.5"/>
        <n u="1" v="52.5"/>
        <n u="1" v="146"/>
        <n u="1" v="320"/>
        <n u="1" v="175"/>
        <n u="1" v="15"/>
        <n u="1" v="265"/>
        <n u="1" v="44"/>
        <n u="1" v="95"/>
        <n u="1" v="56.5"/>
        <n u="1" v="120"/>
        <n u="1" v="15.5"/>
        <n u="1" v="197.5"/>
        <n u="1" v="2"/>
        <n u="1" v="46"/>
        <n u="1" v="141"/>
        <n u="1" v="310"/>
        <n u="1" v="6"/>
        <n u="1" v="16"/>
        <n u="1" v="170"/>
        <n u="1" v="332.5"/>
        <n u="1" v="67.5"/>
        <n u="1" v="149"/>
        <n u="1" v="28.5"/>
        <n u="1" v="128"/>
        <n u="1" v="37.5"/>
        <n u="1" v="29.5"/>
        <n u="1" v="136"/>
        <n u="1" v="300"/>
        <n u="1" v="86"/>
        <n u="1" v="52"/>
        <n u="1" v="322.5"/>
        <n u="1" v="19"/>
        <n u="1" v="41.5"/>
        <n u="1" v="2.5"/>
        <n u="1" v="54"/>
        <n u="1" v="115"/>
        <n u="1" v="31.5"/>
        <n u="1" v="20"/>
        <n u="1" v="94"/>
        <n u="1" v="290"/>
        <n u="1" v="467.5"/>
        <n u="1" v="56"/>
        <n u="1" v="312.5"/>
        <n u="1" v="139"/>
        <n u="1" v="87.5"/>
        <n u="1" v="35"/>
        <n u="1" v="47.5"/>
        <n u="1" v="147"/>
        <n u="1" v="60"/>
        <n u="1" v="91.5"/>
        <n u="1" v="280"/>
        <n u="1" v="37"/>
        <n u="1" v="1"/>
        <n u="1" v="155"/>
        <n u="1" v="3"/>
        <n u="1" v="62"/>
        <n u="1" v="95.5"/>
        <n u="1" v="134"/>
        <n u="1" v="205"/>
        <n u="1" v="39"/>
        <n u="1" v="85"/>
        <n u="1" v="110"/>
        <n u="1" v="64"/>
        <n u="1" v="142"/>
        <n u="1" v="177.5"/>
        <n u="1" v="41"/>
        <n u="1" v="270"/>
        <n u="1" v="447.5"/>
        <n u="1" v="53.5"/>
        <n u="1" v="150"/>
        <n u="1" v="292.5"/>
        <n u="1" v="129"/>
        <n u="1" v="26"/>
        <n u="1" v="82.5"/>
        <n u="1" v="32.5"/>
        <n u="1" v="337.5"/>
        <n u="1" v="27"/>
        <n u="1" v="57.5"/>
        <n u="1" v="260"/>
        <n u="1" v="3.5"/>
        <n u="1" v="34.5"/>
        <n u="1" v="76"/>
        <n u="1" v="10"/>
        <n u="1" v="47"/>
        <n u="1" v="145"/>
        <n u="1" v="282.5"/>
        <n u="1" v="59.5"/>
        <n u="1" v="195"/>
        <n u="1" v="16.5"/>
        <n u="1" v="36.5"/>
        <n u="1" v="245"/>
        <n u="1" v="305"/>
        <n u="1" v="10.5"/>
        <n u="1" v="29"/>
        <n u="1" v="61.5"/>
        <n u="1" v="167.5"/>
        <n u="1" v="327.5"/>
        <n u="1" v="17.5"/>
        <n u="1" v="11"/>
        <n u="1" v="109"/>
        <n u="1" v="30"/>
        <n u="1" v="140"/>
        <n u="1" v="272.5"/>
        <n u="1" v="18.5"/>
        <n u="1" v="11.5"/>
        <n u="1" v="113"/>
        <n u="1" v="295"/>
        <n u="1" v="31"/>
        <n u="1" v="148"/>
        <n u="1" v="162.5"/>
        <n u="1" v="55"/>
        <n u="1" v="32"/>
        <n u="1" v="340"/>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0"/>
        <n v="12"/>
        <n v="4"/>
        <n v="1"/>
        <n v="3"/>
        <n v="6"/>
        <n u="1" v="100"/>
        <n u="1" v="13"/>
        <n u="1" v="36"/>
        <n u="1" v="5"/>
        <n u="1" v="40"/>
        <n u="1" v="42"/>
        <n u="1" v="48"/>
        <n u="1" v="17"/>
        <n u="1" v="18"/>
        <n u="1" v="65"/>
        <n u="1" v="7"/>
        <n u="1" v="22"/>
        <n u="1" v="24"/>
        <n u="1" v="25"/>
        <n u="1" v="45"/>
        <n u="1" v="28"/>
        <n u="1" v="80"/>
        <n u="1" v="77.5"/>
      </sharedItems>
    </cacheField>
    <cacheField databaseField="1" hierarchy="0" level="0" name="OpnPrem" numFmtId="0" sqlType="0" uniqueList="1">
      <sharedItems containsNumber="1" containsSemiMixedTypes="0" containsString="0" count="0" maxValue="1298.66" minValue="-1241.33"/>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227" maxValue="96.78" minValue="0">
        <e v="#N/A"/>
        <n v="0"/>
        <n u="1" v="25.88"/>
        <n u="1" v="25.95"/>
        <n u="1" v="32.47"/>
        <n u="1" v="46.1"/>
        <n u="1" v="65.68000000000001"/>
        <n u="1" v="13.13"/>
        <n u="1" v="26.645"/>
        <n u="1" v="26.68"/>
        <n u="1" v="39.25"/>
        <n u="1" v="43.865"/>
        <n u="1" v="50.15"/>
        <n u="1" v="52.74"/>
        <n u="1" v="65.63"/>
        <n u="1" v="75.98999999999999"/>
        <n u="1" v="26.6464"/>
        <n u="1" v="52.785"/>
        <n u="1" v="20.97"/>
        <n u="1" v="21.43"/>
        <n u="1" v="41.32"/>
        <n u="1" v="20.9"/>
        <n u="1" v="25.16"/>
        <n u="1" v="42.285"/>
        <n u="1" v="42.64"/>
        <n u="1" v="31.34"/>
        <n u="1" v="43.32"/>
        <n u="1" v="50.03"/>
        <n u="1" v="13.2"/>
        <n u="1" v="48.9"/>
        <n u="1" v="32.61"/>
        <n u="1" v="49.44"/>
        <n u="1" v="68.17"/>
        <n u="1" v="21.57"/>
        <n u="1" v="24.96"/>
        <n u="1" v="24.995"/>
        <n u="1" v="33.15"/>
        <n u="1" v="39.93"/>
        <n u="1" v="42.59"/>
        <n u="1" v="67.13"/>
        <n u="1" v="68.83"/>
        <n u="1" v="21.04"/>
        <n u="1" v="76.08"/>
        <n u="1" v="48.85"/>
        <n u="1" v="54.03"/>
        <n u="1" v="13.135"/>
        <n u="1" v="44.59"/>
        <n u="1" v="77.02"/>
        <n u="1" v="39.27"/>
        <n u="1" v="48.215"/>
        <n u="1" v="76.03"/>
        <n u="1" v="48.19"/>
        <n u="1" v="65.67"/>
        <n u="1" v="20.18"/>
        <n u="1" v="32.96"/>
        <n u="1" v="53.91"/>
        <n u="1" v="56.57"/>
        <n u="1" v="68.73"/>
        <n u="1" v="72.78"/>
        <n u="1" v="70.66"/>
        <n u="1" v="93.73"/>
        <n u="1" v="25.17"/>
        <n u="1" v="65.62"/>
        <n u="1" v="76.06999999999999"/>
        <n u="1" v="13.14"/>
        <n u="1" v="26.63"/>
        <n u="1" v="27.96"/>
        <n u="1" v="47.6"/>
        <n u="1" v="52.78"/>
        <n u="1" v="63.75"/>
        <n u="1" v="21.4136"/>
        <n u="1" v="24.91"/>
        <n u="1" v="53.32"/>
        <n u="1" v="20.19"/>
        <n u="1" v="21.415"/>
        <n u="1" v="26.1"/>
        <n u="1" v="39.48"/>
        <n u="1" v="42.28"/>
        <n u="1" v="46.33"/>
        <n u="1" v="68.20999999999999"/>
        <n u="1" v="94.76000000000001"/>
        <n u="1" v="21.72"/>
        <n u="1" v="24.275"/>
        <n u="1" v="32.77"/>
        <n u="1" v="49.46"/>
        <n u="1" v="21.4201"/>
        <n u="1" v="31.29"/>
        <n u="1" v="33.31"/>
        <n u="1" v="39.1"/>
        <n u="1" v="39.95"/>
        <n u="1" v="48.4"/>
        <n u="1" v="68.3"/>
        <n u="1" v="68.795"/>
        <n u="1" v="26.64"/>
        <n u="1" v="21.425"/>
        <n u="1" v="39.995"/>
        <n u="1" v="13.21"/>
        <n u="1" v="21.5863"/>
        <n u="1" v="48.197"/>
        <n u="1" v="25.05"/>
        <n u="1" v="42.63"/>
        <n u="1" v="68.77"/>
        <n u="1" v="43.1"/>
        <n u="1" v="48.21"/>
        <n u="1" v="63.865"/>
        <n u="1" v="76.02"/>
        <n u="1" v="65.66"/>
        <n u="1" v="20.46"/>
        <n u="1" v="52.8"/>
        <n u="1" v="76.39"/>
        <n u="1" v="20"/>
        <n u="1" v="24.955"/>
        <n u="1" v="43.5"/>
        <n u="1" v="48.185"/>
        <n u="1" v="49.22"/>
        <n u="1" v="54.4"/>
        <n u="1" v="65.61"/>
        <n u="1" v="96.78"/>
        <n u="1" v="20.2"/>
        <n u="1" v="26.485"/>
        <n u="1" v="53.27"/>
        <n u="1" v="68.67"/>
        <n u="1" v="24.39"/>
        <n u="1" v="49.55"/>
        <n u="1" v="52.14"/>
        <n u="1" v="13.15"/>
        <n u="1" v="21.4299"/>
        <n u="1" v="74.65000000000001"/>
        <n u="1" v="47.57"/>
        <n u="1" v="76.01000000000001"/>
        <n u="1" v="22"/>
        <n u="1" v="25.32"/>
        <n u="1" v="39.66"/>
        <n u="1" v="71.40000000000001"/>
        <n u="1" v="21.435"/>
        <n u="1" v="42.25"/>
        <n u="1" v="68.785"/>
        <n u="1" v="43.64"/>
        <n u="1" v="76.035"/>
        <n u="1" v="13.35"/>
        <n u="1" v="24.99"/>
        <n u="1" v="42.58"/>
        <n u="1" v="42.65"/>
        <n u="1" v="49.36"/>
        <n u="1" v="75.54000000000001"/>
        <n u="1" v="31.31"/>
        <n u="1" v="48.3"/>
        <n u="1" v="63.6"/>
        <n u="1" v="65.18000000000001"/>
        <n u="1" v="13.45"/>
        <n u="1" v="26.52"/>
        <n u="1" v="26.625"/>
        <n u="1" v="39.9599"/>
        <n u="1" v="63.46"/>
        <n u="1" v="32.69"/>
        <n u="1" v="47.24"/>
        <n u="1" v="38.41"/>
        <n u="1" v="39.965"/>
        <n u="1" v="48.205"/>
        <n u="1" v="68.685"/>
        <n u="1" v="27.52"/>
        <n u="1" v="39.94"/>
        <n u="1" v="42.6"/>
        <n u="1" v="43.52"/>
        <n u="1" v="62.87"/>
        <n u="1" v="24.965"/>
        <n u="1" v="49.31"/>
        <n u="1" v="53.29"/>
        <n u="1" v="68.70999999999999"/>
        <n u="1" v="69.84"/>
        <n u="1" v="48.25"/>
        <n u="1" v="25.2"/>
        <n u="1" v="68.94"/>
        <n u="1" v="13.12"/>
        <n u="1" v="42.295"/>
        <n u="1" v="66.81999999999999"/>
        <n u="1" v="68.8"/>
        <n u="1" v="42.41"/>
        <n u="1" v="52.7"/>
        <n u="1" v="52.77"/>
        <n u="1" v="93.8"/>
        <n u="1" v="38.15"/>
        <n u="1" v="39.68"/>
        <n u="1" v="42.27"/>
        <n u="1" v="42.34"/>
        <n u="1" v="95.73"/>
        <n u="1" v="49.45"/>
        <n u="1" v="13.09"/>
        <n u="1" v="27.93"/>
        <n u="1" v="31.32"/>
        <n u="1" v="31.39"/>
        <n u="1" v="21.95"/>
        <n u="1" v="26.635"/>
        <n u="1" v="76.02500000000001"/>
        <n u="1" v="53.05"/>
        <n u="1" v="21.42"/>
        <n u="1" v="49.47"/>
        <n u="1" v="26.27"/>
        <n u="1" v="34.17"/>
        <n u="1" v="41.02"/>
        <n u="1" v="42.62"/>
        <n u="1" v="49.4"/>
        <n u="1" v="13.1301"/>
        <n u="1" v="25.01"/>
        <n u="1" v="39.96"/>
        <n u="1" v="48.2"/>
        <n u="1" v="21.89"/>
        <n u="1" v="22.16"/>
        <n u="1" v="25.55"/>
        <n u="1" v="52.79"/>
        <n u="1" v="76.015"/>
        <n u="1" v="77.36"/>
        <n u="1" v="23.35"/>
        <n u="1" v="39.91"/>
        <n u="1" v="42.57"/>
        <n u="1" v="47.75"/>
        <n u="1" v="54.46"/>
        <n u="1" v="21.49"/>
        <n u="1" v="24.95"/>
        <n u="1" v="42.29"/>
        <n u="1" v="42.36"/>
        <n u="1" v="48.22"/>
        <n u="1" v="62.77"/>
        <n u="1" v="20.195"/>
        <n u="1" v="49.82"/>
        <n u="1" v="68.79000000000001"/>
        <n u="1" v="32"/>
      </sharedItems>
    </cacheField>
    <cacheField databaseField="1" hierarchy="0" level="0" name="ask" numFmtId="0" sqlType="0" uniqueList="1">
      <sharedItems containsMixedTypes="1" containsNumber="1" count="79" maxValue="9.699999999999999" minValue="0">
        <n v="0"/>
        <e v="#N/A"/>
        <n u="1" v="3.95"/>
        <n u="1" v="0.82"/>
        <n u="1" v="0.2"/>
        <n u="1" v="2.97"/>
        <n u="1" v="0.55"/>
        <n u="1" v="0.6"/>
        <n u="1" v="0.39"/>
        <n u="1" v="0.65"/>
        <n u="1" v="1.7"/>
        <n u="1" v="4.4"/>
        <n u="1" v="0.44"/>
        <n u="1" v="5.2"/>
        <n u="1" v="5.25"/>
        <n u="1" v="5.45"/>
        <n u="1" v="0.54"/>
        <n u="1" v="5.3"/>
        <n u="1" v="0.13"/>
        <n u="1" v="2.78"/>
        <n u="1" v="5.7"/>
        <n u="1" v="8.050000000000001"/>
        <n u="1" v="5.35"/>
        <n u="1" v="0.7"/>
        <n u="1" v="1.9"/>
        <n u="1" v="0.75"/>
        <n u="1" v="0.01"/>
        <n u="1" v="0.86"/>
        <n u="1" v="1.46"/>
        <n u="1" v="6.2"/>
        <n u="1" v="5.9"/>
        <n u="1" v="2.25"/>
        <n u="1" v="0.3"/>
        <n u="1" v="0.8"/>
        <n u="1" v="0.53"/>
        <n u="1" v="2.4"/>
        <n u="1" v="2.5"/>
        <n u="1" v="0.38"/>
        <n u="1" v="0.18"/>
        <n u="1" v="6.9"/>
        <n u="1" v="0.79"/>
        <n u="1" v="2.85"/>
        <n u="1" v="0.95"/>
        <n u="1" v="1"/>
        <n u="1" v="0.43"/>
        <n u="1" v="0.04"/>
        <n u="1" v="0.84"/>
        <n u="1" v="3.05"/>
        <n u="1" v="8.5"/>
        <n u="1" v="0.57"/>
        <n u="1" v="3.15"/>
        <n u="1" v="0.05"/>
        <n u="1" v="0.15"/>
        <n u="1" v="0.4"/>
        <n u="1" v="0.45"/>
        <n u="1" v="3.2"/>
        <n u="1" v="3.3"/>
        <n u="1" v="0.29"/>
        <n u="1" v="0.78"/>
        <n u="1" v="3.4"/>
        <n u="1" v="0.19"/>
        <n u="1" v="0.83"/>
        <n u="1" v="2.81"/>
        <n u="1" v="3.5"/>
        <n u="1" v="9.699999999999999"/>
        <n u="1" v="0.37"/>
        <n u="1" v="3.55"/>
        <n u="1" v="0.77"/>
        <n u="1" v="1.35"/>
        <n u="1" v="1.4"/>
        <n u="1" v="0.5"/>
        <n u="1" v="1.45"/>
        <n u="1" v="3.7"/>
        <n u="1" v="3.9"/>
        <n u="1" v="0.61"/>
        <n u="1" v="0.02"/>
        <n u="1" v="2.13"/>
        <n u="1" v="2.92"/>
        <n u="1" v="0.42"/>
      </sharedItems>
    </cacheField>
    <cacheField databaseField="1" hierarchy="0" level="0" name="NetPrem" numFmtId="2" sqlType="0" uniqueList="1">
      <sharedItems containsNumber="1" containsSemiMixedTypes="0" containsString="0" count="0" maxValue="1298.66" minValue="-1241.33"/>
    </cacheField>
    <cacheField databaseField="1" hierarchy="0" level="0" name="TotPrem" numFmtId="168" sqlType="0" uniqueList="1">
      <sharedItems containsNumber="1" containsSemiMixedTypes="0" containsString="0" count="0" maxValue="1210.04" minValue="-1048.66"/>
    </cacheField>
    <cacheField databaseField="1" hierarchy="0" level="0" name="Days" numFmtId="1" sqlType="0" uniqueList="1">
      <sharedItems containsInteger="1" containsNumber="1" containsSemiMixedTypes="0" containsString="0" count="64" maxValue="129" minValue="0">
        <n v="3"/>
        <n v="1"/>
        <n v="35"/>
        <n v="12"/>
        <n v="2"/>
        <n v="5"/>
        <n v="16"/>
        <n v="4"/>
        <n v="13"/>
        <n v="10"/>
        <n v="15"/>
        <n v="30"/>
        <n v="29"/>
        <n v="28"/>
        <n v="18"/>
        <n v="25"/>
        <n v="8"/>
        <n v="22"/>
        <n v="17"/>
        <n v="36"/>
        <n v="21"/>
        <n v="24"/>
        <n v="32"/>
        <n u="1" v="0"/>
        <n u="1" v="57"/>
        <n u="1" v="34"/>
        <n u="1" v="100"/>
        <n u="1" v="38"/>
        <n u="1" v="14"/>
        <n u="1" v="87"/>
        <n u="1" v="66"/>
        <n u="1" v="42"/>
        <n u="1" v="91"/>
        <n u="1" v="44"/>
        <n u="1" v="95"/>
        <n u="1" v="46"/>
        <n u="1" v="65"/>
        <n u="1" v="19"/>
        <n u="1" v="54"/>
        <n u="1" v="7"/>
        <n u="1" v="20"/>
        <n u="1" v="94"/>
        <n u="1" v="56"/>
        <n u="1" v="119"/>
        <n u="1" v="33"/>
        <n u="1" v="73"/>
        <n u="1" v="98"/>
        <n u="1" v="60"/>
        <n u="1" v="37"/>
        <n u="1" v="23"/>
        <n u="1" v="106"/>
        <n u="1" v="39"/>
        <n u="1" v="68"/>
        <n u="1" v="9"/>
        <n u="1" v="43"/>
        <n u="1" v="93"/>
        <n u="1" v="129"/>
        <n u="1" v="45"/>
        <n u="1" v="27"/>
        <n u="1" v="11"/>
        <n u="1" v="53"/>
        <n u="1" v="31"/>
        <n u="1" v="92"/>
        <n u="1" v="71"/>
      </sharedItems>
    </cacheField>
    <cacheField databaseField="1" hierarchy="0" level="0" name="Cap" numFmtId="1" sqlType="0" uniqueList="1">
      <sharedItems containsInteger="1" containsNumber="1" containsSemiMixedTypes="0" containsString="0" count="0" maxValue="28800" minValue="1300"/>
    </cacheField>
    <cacheField databaseField="1" hierarchy="0" level="0" name="OpenCap" numFmtId="1" sqlType="0" uniqueList="1">
      <sharedItems containsInteger="1" containsMixedTypes="1" containsNumber="1" count="0" maxValue="21000" minValue="3300"/>
    </cacheField>
    <cacheField databaseField="1" hierarchy="0" level="0" name="BEcap" numFmtId="1" sqlType="0" uniqueList="1">
      <sharedItems containsInteger="1" containsMixedTypes="1" containsNumber="1" count="0" maxValue="21000" minValue="3300"/>
    </cacheField>
    <cacheField databaseField="1" hierarchy="0" level="0" name="CapDays" numFmtId="1" sqlType="0" uniqueList="1">
      <sharedItems containsInteger="1" containsNumber="1" containsSemiMixedTypes="0" containsString="0" count="0" maxValue="700000" minValue="1300"/>
    </cacheField>
    <cacheField databaseField="1" hierarchy="0" level="0" name="TotCapDays" numFmtId="1" sqlType="0" uniqueList="1">
      <sharedItems containsInteger="1" containsNumber="1" containsSemiMixedTypes="0" containsString="0" count="0" maxValue="775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88.3733" minValue="12.2599"/>
    </cacheField>
    <cacheField databaseField="1" hierarchy="0" level="0" name="ActShares" numFmtId="1" sqlType="0" uniqueList="1">
      <sharedItems containsInteger="1" containsMixedTypes="1" containsNumber="1" count="0" maxValue="1000" minValue="100"/>
    </cacheField>
    <cacheField databaseField="1" hierarchy="0" level="0" name="ActDate" numFmtId="166" sqlType="0" uniqueList="1">
      <sharedItems containsDate="1" containsNonDate="0" containsSemiMixedTypes="0" containsString="0" count="21" maxDate="2021-06-19T00:00:00" minDate="2021-03-25T00:00:00">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autoEnd="1" autoStart="1" endDate="2021-06-19T00:00:00" groupBy="months" groupInterval="1" startDate="2021-03-25T00:00:00"/>
        <groupItems count="14">
          <s v="&lt;3/25/2021"/>
          <s v="Jan"/>
          <s v="Feb"/>
          <s v="Mar"/>
          <s v="Apr"/>
          <s v="May"/>
          <s v="Jun"/>
          <s v="Jul"/>
          <s v="Aug"/>
          <s v="Sep"/>
          <s v="Oct"/>
          <s v="Nov"/>
          <s v="Dec"/>
          <s v="&gt;6/19/2021"/>
        </groupItems>
      </fieldGroup>
    </cacheField>
    <cacheField databaseField="1" hierarchy="0" level="0" name="Inception" numFmtId="2" sqlType="0" uniqueList="1">
      <sharedItems containsMixedTypes="1" containsNumber="1" count="0" maxValue="973.34" minValue="-1241.33"/>
    </cacheField>
    <cacheField databaseField="1" hierarchy="0" level="0" name="1YR" numFmtId="2" sqlType="0" uniqueList="1">
      <sharedItems containsMixedTypes="1" containsNumber="1" count="0" maxValue="973.34" minValue="-1241.33"/>
    </cacheField>
    <cacheField databaseField="1" hierarchy="0" level="0" name="YTD" numFmtId="2" sqlType="0" uniqueList="1">
      <sharedItems containsMixedTypes="1" containsNumber="1" count="0" maxValue="973.34" minValue="-1241.33"/>
    </cacheField>
    <cacheField databaseField="1" hierarchy="0" level="0" name="UnBooked" numFmtId="2" sqlType="0" uniqueList="1">
      <sharedItems containsMixedTypes="1" containsNumber="1" count="0" maxValue="1298.66" minValue="93.34"/>
    </cacheField>
  </cacheFields>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0" firstDataRow="1" firstHeaderRow="1" ref="A6:K2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113"/>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m="1" sd="1" t="data" x="25"/>
        <item m="1" sd="1" t="data" x="105"/>
        <item m="1" sd="1" t="data" x="176"/>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9"/>
        <item m="1" sd="1" t="data" x="17"/>
        <item m="1" sd="1" t="data" x="16"/>
        <item m="1" sd="1" t="data" x="15"/>
        <item sd="1" t="data" x="8"/>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Page" compact="0" defaultSubtotal="0" dragOff="1" dragToCol="1" dragToData="1" dragToPage="1" dragToRow="1" itemPageCount="10" multipleItemSelectionAllowed="1" outline="0" showAll="0" showDropDowns="1" sortType="manual" subtotalTop="1" topAutoShow="1">
      <items count="219">
        <item m="1" sd="1" t="data" x="42"/>
        <item h="1" m="1" sd="1" t="data" x="161"/>
        <item h="1" m="1" sd="1" t="data" x="166"/>
        <item h="1" m="1" sd="1" t="data" x="57"/>
        <item h="1" m="1" sd="1" t="data" x="123"/>
        <item h="1" m="1" sd="1" t="data" x="217"/>
        <item h="1" m="1" sd="1" t="data" x="200"/>
        <item h="1" m="1" sd="1" t="data" x="101"/>
        <item h="1" m="1" sd="1" t="data" x="23"/>
        <item h="1" m="1" sd="1" t="data" x="66"/>
        <item h="1" m="1" sd="1" t="data" x="188"/>
        <item h="1" m="1" sd="1" t="data" x="18"/>
        <item h="1" m="1" sd="1" t="data" x="148"/>
        <item h="1" m="1" sd="1" t="data" x="139"/>
        <item h="1" m="1" sd="1" t="data" x="118"/>
        <item h="1" m="1" sd="1" t="data" x="159"/>
        <item h="1" m="1" sd="1" t="data" x="142"/>
        <item h="1" m="1" sd="1" t="data" x="43"/>
        <item h="1" m="1" sd="1" t="data" x="133"/>
        <item h="1" m="1" sd="1" t="data" x="183"/>
        <item h="1" m="1" sd="1" t="data" x="79"/>
        <item h="1" m="1" sd="1" t="data" x="40"/>
        <item h="1" m="1" sd="1" t="data" x="70"/>
        <item h="1" m="1" sd="1" t="data" x="90"/>
        <item h="1" m="1" sd="1" t="data" x="58"/>
        <item h="1" m="1" sd="1" t="data" x="170"/>
        <item h="1" m="1" sd="1" t="data" x="113"/>
        <item h="1" m="1" sd="1" t="data" x="204"/>
        <item h="1" m="1" sd="1" t="data" x="194"/>
        <item h="1" m="1" sd="1" t="data" x="213"/>
        <item h="1" m="1" sd="1" t="data" x="98"/>
        <item h="1" m="1" sd="1" t="data" x="32"/>
        <item h="1" m="1" sd="1" t="data" x="209"/>
        <item h="1" m="1" sd="1" t="data" x="92"/>
        <item h="1" m="1" sd="1" t="data" x="179"/>
        <item h="1" m="1" sd="1" t="data" x="162"/>
        <item h="1" m="1" sd="1" t="data" x="211"/>
        <item h="1" m="1" sd="1" t="data" x="207"/>
        <item h="1" m="1" sd="1" t="data" x="59"/>
        <item h="1" m="1" sd="1" t="data" x="109"/>
        <item h="1" m="1" sd="1" t="data" x="197"/>
        <item h="1" m="1" sd="1" t="data" x="46"/>
        <item h="1" m="1" sd="1" t="data" x="128"/>
        <item h="1" m="1" sd="1" t="data" x="53"/>
        <item h="1" m="1" sd="1" t="data" x="143"/>
        <item h="1" m="1" sd="1" t="data" x="167"/>
        <item h="1" m="1" sd="1" t="data" x="134"/>
        <item h="1" m="1" sd="1" t="data" x="124"/>
        <item h="1" m="1" sd="1" t="data" x="17"/>
        <item h="1" m="1" sd="1" t="data" x="153"/>
        <item h="1" m="1" sd="1" t="data" x="146"/>
        <item h="1" m="1" sd="1" t="data" x="83"/>
        <item h="1" m="1" sd="1" t="data" x="171"/>
        <item h="1" m="1" sd="1" t="data" x="137"/>
        <item h="1" m="1" sd="1" t="data" x="114"/>
        <item h="1" m="1" sd="1" t="data" x="106"/>
        <item h="1" m="1" sd="1" t="data" x="93"/>
        <item h="1" m="1" sd="1" t="data" x="87"/>
        <item h="1" m="1" sd="1" t="data" x="104"/>
        <item h="1" m="1" sd="1" t="data" x="30"/>
        <item h="1" m="1" sd="1" t="data" x="84"/>
        <item h="1" m="1" sd="1" t="data" x="47"/>
        <item h="1" m="1" sd="1" t="data" x="218"/>
        <item h="1" m="1" sd="1" t="data" x="67"/>
        <item h="1" m="1" sd="1" t="data" x="27"/>
        <item h="1" m="1" sd="1" t="data" x="135"/>
        <item h="1" m="1" sd="1" t="data" x="215"/>
        <item h="1" m="1" sd="1" t="data" x="126"/>
        <item h="1" m="1" sd="1" t="data" x="64"/>
        <item h="1" m="1" sd="1" t="data" x="25"/>
        <item h="1" m="1" sd="1" t="data" x="111"/>
        <item h="1" m="1" sd="1" t="data" x="201"/>
        <item h="1" m="1" sd="1" t="data" x="105"/>
        <item h="1" m="1" sd="1" t="data" x="189"/>
        <item h="1" m="1" sd="1" t="data" x="97"/>
        <item h="1" m="1" sd="1" t="data" x="198"/>
        <item h="1" m="1" sd="1" t="data" x="85"/>
        <item h="1" m="1" sd="1" t="data" x="48"/>
        <item h="1" m="1" sd="1" t="data" x="138"/>
        <item h="1" m="1" sd="1" t="data" x="77"/>
        <item h="1" m="1" sd="1" t="data" x="37"/>
        <item h="1" m="1" sd="1" t="data" x="129"/>
        <item h="1" m="1" sd="1" t="data" x="152"/>
        <item h="1" m="1" sd="1" t="data" x="28"/>
        <item h="1" m="1" sd="1" t="data" x="115"/>
        <item h="1" m="1" sd="1" t="data" x="144"/>
        <item h="1" m="1" sd="1" t="data" x="107"/>
        <item h="1" m="1" sd="1" t="data" x="168"/>
        <item h="1" m="1" sd="1" t="data" x="149"/>
        <item h="1" m="1" sd="1" t="data" x="202"/>
        <item h="1" m="1" sd="1" t="data" x="140"/>
        <item h="1" m="1" sd="1" t="data" x="131"/>
        <item h="1" m="1" sd="1" t="data" x="154"/>
        <item h="1" m="1" sd="1" t="data" x="120"/>
        <item h="1" m="1" sd="1" t="data" x="21"/>
        <item h="1" m="1" sd="1" t="data" x="78"/>
        <item h="1" m="1" sd="1" t="data" x="38"/>
        <item h="1" m="1" sd="1" t="data" x="182"/>
        <item h="1" m="1" sd="1" t="data" x="69"/>
        <item h="1" m="1" sd="1" t="data" x="55"/>
        <item h="1" m="1" sd="1" t="data" x="145"/>
        <item h="1" m="1" sd="1" t="data" x="45"/>
        <item h="1" m="1" sd="1" t="data" x="74"/>
        <item h="1" m="1" sd="1" t="data" x="157"/>
        <item h="1" m="1" sd="1" t="data" x="33"/>
        <item h="1" m="1" sd="1" t="data" x="191"/>
        <item h="1" m="1" sd="1" t="data" x="82"/>
        <item h="1" m="1" sd="1" t="data" x="71"/>
        <item h="1" m="1" sd="1" t="data" x="208"/>
        <item h="1" m="1" sd="1" t="data" x="177"/>
        <item h="1" m="1" sd="1" t="data" x="62"/>
        <item h="1" m="1" sd="1" t="data" x="86"/>
        <item h="1" m="1" sd="1" t="data" x="49"/>
        <item h="1" m="1" sd="1" t="data" x="102"/>
        <item h="1" m="1" sd="1" t="data" x="186"/>
        <item h="1" m="1" sd="1" t="data" x="117"/>
        <item h="1" m="1" sd="1" t="data" x="206"/>
        <item h="1" m="1" sd="1" t="data" x="19"/>
        <item h="1" m="1" sd="1" t="data" x="108"/>
        <item h="1" m="1" sd="1" t="data" x="196"/>
        <item h="1" m="1" sd="1" t="data" x="216"/>
        <item h="1" m="1" sd="1" t="data" x="100"/>
        <item h="1" m="1" sd="1" t="data" x="184"/>
        <item h="1" m="1" sd="1" t="data" x="34"/>
        <item h="1" m="1" sd="1" t="data" x="94"/>
        <item h="1" m="1" sd="1" t="data" x="180"/>
        <item h="1" m="1" sd="1" t="data" x="203"/>
        <item h="1" m="1" sd="1" t="data" x="88"/>
        <item h="1" m="1" sd="1" t="data" x="174"/>
        <item h="1" m="1" sd="1" t="data" x="72"/>
        <item h="1" m="1" sd="1" t="data" x="155"/>
        <item h="1" m="1" sd="1" t="data" x="31"/>
        <item h="1" m="1" sd="1" t="data" x="122"/>
        <item h="1" m="1" sd="1" t="data" x="63"/>
        <item h="1" m="1" sd="1" t="data" x="147"/>
        <item h="1" m="1" sd="1" t="data" x="22"/>
        <item h="1" m="1" sd="1" t="data" x="110"/>
        <item h="1" m="1" sd="1" t="data" x="50"/>
        <item h="1" m="1" sd="1" t="data" x="103"/>
        <item h="1" m="1" sd="1" t="data" x="210"/>
        <item h="1" m="1" sd="1" t="data" x="96"/>
        <item h="1" m="1" sd="1" t="data" x="169"/>
        <item h="1" m="1" sd="1" t="data" x="136"/>
        <item h="1" m="1" sd="1" t="data" x="185"/>
        <item h="1" m="1" sd="1" t="data" x="75"/>
        <item h="1" m="1" sd="1" t="data" x="158"/>
        <item h="1" m="1" sd="1" t="data" x="127"/>
        <item h="1" m="1" sd="1" t="data" x="181"/>
        <item h="1" m="1" sd="1" t="data" x="150"/>
        <item h="1" m="1" sd="1" t="data" x="112"/>
        <item h="1" m="1" sd="1" t="data" x="51"/>
        <item h="1" m="1" sd="1" t="data" x="195"/>
        <item h="1" m="1" sd="1" t="data" x="119"/>
        <item h="1" m="1" sd="1" t="data" x="35"/>
        <item h="1" m="1" sd="1" t="data" x="130"/>
        <item h="1" m="1" sd="1" t="data" x="178"/>
        <item h="1" m="1" sd="1" t="data" x="91"/>
        <item h="1" m="1" sd="1" t="data" x="121"/>
        <item h="1" m="1" sd="1" t="data" x="172"/>
        <item h="1" m="1" sd="1" t="data" x="175"/>
        <item h="1" m="1" sd="1" t="data" x="116"/>
        <item h="1" m="1" sd="1" t="data" x="95"/>
        <item h="1" m="1" sd="1" t="data" x="163"/>
        <item h="1" m="1" sd="1" t="data" x="61"/>
        <item h="1" m="1" sd="1" t="data" x="173"/>
        <item h="1" m="1" sd="1" t="data" x="52"/>
        <item h="1" m="1" sd="1" t="data" x="212"/>
        <item h="1" m="1" sd="1" t="data" x="190"/>
        <item h="1" m="1" sd="1" t="data" x="68"/>
        <item h="1" m="1" sd="1" t="data" x="160"/>
        <item h="1" m="1" sd="1" t="data" x="89"/>
        <item h="1" m="1" sd="1" t="data" x="151"/>
        <item h="1" m="1" sd="1" t="data" x="60"/>
        <item h="1" m="1" sd="1" t="data" x="176"/>
        <item h="1" m="1" sd="1" t="data" x="24"/>
        <item h="1" m="1" sd="1" t="data" x="125"/>
        <item h="1" m="1" sd="1" t="data" x="99"/>
        <item h="1" m="1" sd="1" t="data" x="205"/>
        <item h="1" m="1" sd="1" t="data" x="81"/>
        <item h="1" m="1" sd="1" t="data" x="20"/>
        <item h="1" m="1" sd="1" t="data" x="214"/>
        <item h="1" m="1" sd="1" t="data" x="44"/>
        <item h="1" m="1" sd="1" t="data" x="54"/>
        <item h="1" m="1" sd="1" t="data" x="36"/>
        <item h="1" m="1" sd="1" t="data" x="80"/>
        <item h="1" m="1" sd="1" t="data" x="26"/>
        <item h="1" m="1" sd="1" t="data" x="132"/>
        <item h="1" m="1" sd="1" t="data" x="199"/>
        <item h="1" m="1" sd="1" t="data" x="164"/>
        <item h="1" m="1" sd="1" t="data" x="187"/>
        <item h="1" m="1" sd="1" t="data" x="39"/>
        <item h="1" m="1" sd="1" t="data" x="29"/>
        <item h="1" m="1" sd="1" t="data" x="56"/>
        <item h="1" m="1" sd="1" t="data" x="65"/>
        <item h="1" m="1" sd="1" t="data" x="192"/>
        <item h="1" m="1" sd="1" t="data" x="41"/>
        <item h="1" m="1" sd="1" t="data" x="165"/>
        <item sd="1" t="data" x="2"/>
        <item h="1" m="1" sd="1" t="data" x="73"/>
        <item h="1" m="1" sd="1" t="data" x="141"/>
        <item h="1" sd="1" t="data" x="1"/>
        <item h="1" sd="1" t="data" x="0"/>
        <item h="1" sd="1" t="data" x="3"/>
        <item h="1" m="1" sd="1" t="data" x="193"/>
        <item h="1" sd="1" t="data" x="4"/>
        <item h="1" sd="1" t="data" x="5"/>
        <item h="1" sd="1" t="data" x="7"/>
        <item h="1" sd="1" t="data" x="8"/>
        <item h="1" sd="1" t="data" x="6"/>
        <item h="1" m="1" sd="1" t="data" x="156"/>
        <item h="1" sd="1" t="data" x="13"/>
        <item h="1" sd="1" t="data" x="9"/>
        <item h="1" m="1" sd="1" t="data" x="76"/>
        <item h="1" sd="1" t="data" x="11"/>
        <item h="1" sd="1" t="data" x="12"/>
        <item h="1" sd="1" t="data" x="16"/>
        <item h="1" sd="1" t="data" x="10"/>
        <item h="1" sd="1" t="data" x="14"/>
        <item h="1" sd="1" t="data" x="15"/>
      </items>
    </pivotField>
    <pivotField axis="axisRow" compact="0" defaultSubtotal="0" dragOff="1" dragToCol="1" dragToData="1" dragToPage="1" dragToRow="1" itemPageCount="10" outline="0" showAll="0" showDropDowns="1" sortType="ascending"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42"/>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67"/>
        <item m="1" sd="1" t="data" x="43"/>
        <item m="1" sd="1" t="data" x="38"/>
        <item m="1" sd="1" t="data" x="66"/>
        <item m="1" sd="1" t="data" x="60"/>
        <item m="1" sd="1" t="data" x="51"/>
        <item m="1" sd="1" t="data" x="46"/>
        <item m="1" sd="1" t="data" x="28"/>
        <item m="1" sd="1" t="data" x="24"/>
        <item m="1" sd="1" t="data" x="20"/>
        <item m="1" sd="1" t="data" x="17"/>
        <item m="1" sd="1" t="data" x="14"/>
        <item m="1" sd="1" t="data" x="79"/>
        <item m="1" sd="1" t="data" x="30"/>
        <item m="1" sd="1" t="data" x="26"/>
        <item m="1" sd="1" t="data" x="22"/>
        <item m="1" sd="1" t="data" x="18"/>
        <item m="1" sd="1" t="data" x="85"/>
        <item m="1" sd="1" t="data" x="81"/>
        <item m="1" sd="1" t="data" x="76"/>
        <item m="1" sd="1" t="data" x="74"/>
        <item m="1" sd="1" t="data" x="72"/>
        <item m="1" sd="1" t="data" x="47"/>
        <item m="1" sd="1" t="data" x="39"/>
        <item m="1" sd="1" t="data" x="71"/>
        <item m="1" sd="1" t="data" x="35"/>
        <item m="1" sd="1" t="data" x="33"/>
        <item m="1" sd="1" t="data" x="54"/>
        <item m="1" sd="1" t="data" x="27"/>
        <item m="1" sd="1" t="data" x="49"/>
        <item m="1" sd="1" t="data" x="41"/>
        <item m="1" sd="1" t="data" x="36"/>
        <item m="1" sd="1" t="data" x="23"/>
        <item m="1" sd="1" t="data" x="19"/>
        <item m="1" sd="1" t="data" x="15"/>
        <item m="1" sd="1" t="data" x="11"/>
        <item m="1" sd="1" t="data" x="16"/>
        <item m="1" sd="1" t="data" x="88"/>
        <item m="1" sd="1" t="data" x="61"/>
        <item m="1" sd="1" t="data" x="44"/>
        <item m="1" sd="1" t="data" x="69"/>
        <item m="1" sd="1" t="data" x="55"/>
        <item m="1" sd="1" t="data" x="12"/>
        <item sd="1" t="data" x="2"/>
        <item sd="1" t="data" x="0"/>
        <item sd="1" t="data" x="3"/>
        <item sd="1" t="data" x="4"/>
        <item sd="1" t="data" x="6"/>
        <item sd="1" t="data" x="8"/>
        <item sd="1" t="data" x="1"/>
        <item sd="1" t="data" x="7"/>
        <item sd="1" t="data" x="10"/>
        <item sd="1" t="data" x="5"/>
        <item sd="1" t="data" x="9"/>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sd="1" t="data" x="11"/>
        <item m="1" sd="1" t="data" x="148"/>
        <item m="1" sd="1" t="data" x="155"/>
        <item m="1" sd="1" t="data" x="91"/>
        <item m="1" sd="1" t="data" x="166"/>
        <item m="1" sd="1" t="data" x="129"/>
        <item sd="1" t="data" x="27"/>
        <item m="1" sd="1" t="data" x="35"/>
        <item m="1" sd="1" t="data" x="135"/>
        <item m="1" sd="1" t="data" x="100"/>
        <item sd="1" t="data" x="3"/>
        <item m="1" sd="1" t="data" x="106"/>
        <item m="1" sd="1" t="data" x="114"/>
        <item sd="1" t="data" x="6"/>
        <item m="1" sd="1" t="data" x="120"/>
        <item m="1" sd="1" t="data" x="87"/>
        <item sd="1" t="data" x="5"/>
        <item sd="1" t="data" x="23"/>
        <item m="1" sd="1" t="data" x="61"/>
        <item sd="1" t="data" x="10"/>
        <item sd="1" t="data" x="9"/>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127"/>
        <item m="1" sd="1" t="data" x="131"/>
        <item m="1" sd="1" t="data" x="144"/>
        <item m="1" sd="1" t="data" x="77"/>
        <item m="1" sd="1" t="data" x="80"/>
        <item m="1" sd="1" t="data" x="141"/>
        <item m="1" sd="1" t="data" x="162"/>
        <item m="1" sd="1" t="data" x="68"/>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227">
        <item m="1" sd="1" t="data" x="173"/>
        <item m="1" sd="1" t="data" x="110"/>
        <item m="1" sd="0" t="data" x="81"/>
        <item m="1" sd="1" t="data" x="131"/>
        <item m="1" sd="1" t="data" x="66"/>
        <item m="1" sd="1" t="data" x="4"/>
        <item m="1" sd="1" t="data" x="199"/>
        <item m="1" sd="1" t="data" x="20"/>
        <item m="1" sd="1" t="data" x="26"/>
        <item m="1" sd="1" t="data" x="155"/>
        <item m="1" sd="1" t="data" x="215"/>
        <item m="1" sd="1" t="data" x="115"/>
        <item m="1" sd="1" t="data" x="39"/>
        <item m="1" sd="1" t="data" x="172"/>
        <item m="1" sd="1" t="data" x="211"/>
        <item m="1" sd="1" t="data" x="47"/>
        <item m="1" sd="1" t="data" x="102"/>
        <item m="1" sd="1" t="data" x="188"/>
        <item m="1" sd="1" t="data" x="132"/>
        <item m="1" sd="1" t="data" x="107"/>
        <item m="1" sd="1" t="data" x="112"/>
        <item m="1" sd="1" t="data" x="226"/>
        <item m="1" sd="1" t="data" x="191"/>
        <item m="1" sd="1" t="data" x="149"/>
        <item m="1" sd="1" t="data" x="90"/>
        <item m="1" sd="1" t="data" x="123"/>
        <item m="1" sd="1" t="data" x="59"/>
        <item m="1" sd="1" t="data" x="61"/>
        <item m="1" sd="1" t="data" x="216"/>
        <item m="1" sd="1" t="data" x="148"/>
        <item m="1" sd="1" t="data" x="15"/>
        <item m="1" sd="1" t="data" x="174"/>
        <item m="1" sd="1" t="data" x="65"/>
        <item m="1" sd="1" t="data" x="213"/>
        <item m="1" sd="1" t="data" x="118"/>
        <item m="1" sd="1" t="data" x="100"/>
        <item m="1" sd="1" t="data" x="190"/>
        <item m="1" sd="1" t="data" x="70"/>
        <item m="1" sd="1" t="data" x="7"/>
        <item m="1" sd="1" t="data" x="98"/>
        <item m="1" sd="1" t="data" x="201"/>
        <item m="1" sd="1" t="data" x="40"/>
        <item m="1" sd="1" t="data" x="218"/>
        <item m="1" sd="1" t="data" x="13"/>
        <item m="1" sd="1" t="data" x="116"/>
        <item m="1" sd="1" t="data" x="105"/>
        <item m="1" sd="1" t="data" x="219"/>
        <item m="1" sd="1" t="data" x="151"/>
        <item m="1" sd="1" t="data" x="223"/>
        <item m="1" sd="1" t="data" x="38"/>
        <item m="1" sd="1" t="data" x="189"/>
        <item m="1" sd="1" t="data" x="74"/>
        <item m="1" sd="1" t="data" x="113"/>
        <item m="1" sd="1" t="data" x="31"/>
        <item m="1" sd="1" t="data" x="136"/>
        <item m="1" sd="1" t="data" x="111"/>
        <item m="1" sd="1" t="data" x="179"/>
        <item m="1" sd="1" t="data" x="52"/>
        <item m="1" sd="1" t="data" x="210"/>
        <item m="1" sd="1" t="data" x="183"/>
        <item m="1" sd="1" t="data" x="37"/>
        <item m="1" sd="1" t="data" x="141"/>
        <item m="1" sd="1" t="data" x="145"/>
        <item m="1" sd="1" t="data" x="202"/>
        <item m="1" sd="1" t="data" x="51"/>
        <item m="1" sd="1" t="data" x="101"/>
        <item m="1" sd="1" t="data" x="8"/>
        <item m="1" sd="1" t="data" x="161"/>
        <item m="1" sd="1" t="data" x="214"/>
        <item m="1" sd="1" t="data" x="94"/>
        <item m="1" sd="1" t="data" x="196"/>
        <item m="1" sd="1" t="data" x="92"/>
        <item m="1" sd="1" t="data" x="34"/>
        <item m="1" sd="1" t="data" x="17"/>
        <item m="1" sd="1" t="data" x="193"/>
        <item m="1" sd="1" t="data" x="73"/>
        <item m="1" sd="1" t="data" x="86"/>
        <item m="1" sd="1" t="data" x="195"/>
        <item m="1" sd="1" t="data" x="45"/>
        <item m="1" sd="1" t="data" x="205"/>
        <item m="1" sd="1" t="data" x="84"/>
        <item m="1" sd="1" t="data" x="225"/>
        <item m="1" sd="1" t="data" x="209"/>
        <item m="1" sd="1" t="data" x="6"/>
        <item m="1" sd="1" t="data" x="138"/>
        <item m="1" sd="1" t="data" x="162"/>
        <item m="1" sd="1" t="data" x="85"/>
        <item m="1" sd="1" t="data" x="221"/>
        <item m="1" sd="1" t="data" x="176"/>
        <item m="1" sd="1" t="data" x="50"/>
        <item m="1" sd="1" t="data" x="77"/>
        <item m="1" sd="1" t="data" x="192"/>
        <item m="1" sd="1" t="data" x="126"/>
        <item m="1" sd="1" t="data" x="64"/>
        <item m="1" sd="1" t="data" x="165"/>
        <item m="1" sd="1" t="data" x="129"/>
        <item m="1" sd="1" t="data" x="135"/>
        <item m="1" sd="1" t="data" x="16"/>
        <item m="1" sd="1" t="data" x="200"/>
        <item m="1" sd="1" t="data" x="134"/>
        <item m="1" sd="1" t="data" x="49"/>
        <item m="1" sd="1" t="data" x="57"/>
        <item m="1" sd="1" t="data" x="35"/>
        <item m="1" sd="1" t="data" x="62"/>
        <item m="1" sd="1" t="data" x="63"/>
        <item m="1" sd="1" t="data" x="93"/>
        <item m="1" sd="1" t="data" x="204"/>
        <item m="1" sd="1" t="data" x="25"/>
        <item m="1" sd="1" t="data" x="19"/>
        <item m="1" sd="1" t="data" x="158"/>
        <item m="1" sd="1" t="data" x="121"/>
        <item m="1" sd="1" t="data" x="14"/>
        <item m="1" sd="1" t="data" x="152"/>
        <item m="1" sd="1" t="data" x="103"/>
        <item m="1" sd="1" t="data" x="186"/>
        <item m="1" sd="1" t="data" x="168"/>
        <item m="1" sd="1" t="data" x="68"/>
        <item m="1" sd="1" t="data" x="23"/>
        <item m="1" sd="1" t="data" x="89"/>
        <item m="1" sd="1" t="data" x="53"/>
        <item m="1" sd="1" t="data" x="24"/>
        <item m="1" sd="1" t="data" x="159"/>
        <item m="1" sd="1" t="data" x="140"/>
        <item m="1" sd="1" t="data" x="42"/>
        <item m="1" sd="1" t="data" x="184"/>
        <item m="1" sd="1" t="data" x="9"/>
        <item m="1" sd="1" t="data" x="157"/>
        <item m="1" sd="1" t="data" x="142"/>
        <item m="1" sd="1" t="data" x="170"/>
        <item m="1" sd="1" t="data" x="99"/>
        <item m="1" sd="1" t="data" x="108"/>
        <item m="1" sd="1" t="data" x="106"/>
        <item m="1" sd="1" t="data" x="144"/>
        <item m="1" sd="1" t="data" x="119"/>
        <item m="1" sd="1" t="data" x="88"/>
        <item m="1" sd="1" t="data" x="21"/>
        <item m="1" sd="1" t="data" x="95"/>
        <item m="1" sd="1" t="data" x="154"/>
        <item m="1" sd="1" t="data" x="97"/>
        <item m="1" sd="1" t="data" x="28"/>
        <item m="1" sd="1" t="data" x="29"/>
        <item m="1" sd="1" t="data" x="166"/>
        <item m="1" sd="1" t="data" x="82"/>
        <item m="1" sd="1" t="data" x="72"/>
        <item m="1" sd="1" t="data" x="104"/>
        <item m="1" sd="1" t="data" x="220"/>
        <item m="1" sd="1" t="data" x="150"/>
        <item m="1" sd="1" t="data" x="18"/>
        <item m="1" sd="1" t="data" x="30"/>
        <item m="1" sd="1" t="data" x="33"/>
        <item m="1" sd="1" t="data" x="96"/>
        <item m="1" sd="1" t="data" x="43"/>
        <item m="1" sd="1" t="data" x="114"/>
        <item m="1" sd="1" t="data" x="122"/>
        <item m="1" sd="1" t="data" x="120"/>
        <item m="1" sd="1" t="data" x="69"/>
        <item m="1" sd="1" t="data" x="109"/>
        <item m="1" sd="1" t="data" x="163"/>
        <item m="1" sd="1" t="data" x="3"/>
        <item m="1" sd="1" t="data" x="181"/>
        <item m="1" sd="1" t="data" x="10"/>
        <item m="1" sd="1" t="data" x="54"/>
        <item m="1" sd="1" t="data" x="217"/>
        <item m="1" sd="1" t="data" x="224"/>
        <item m="1" sd="1" t="data" x="146"/>
        <item m="1" sd="1" t="data" x="169"/>
        <item m="1" sd="1" t="data" x="71"/>
        <item m="1" sd="1" t="data" x="194"/>
        <item m="1" sd="1" t="data" x="153"/>
        <item m="1" sd="1" t="data" x="60"/>
        <item m="1" sd="1" t="data" x="133"/>
        <item m="1" sd="1" t="data" x="137"/>
        <item m="1" sd="1" t="data" x="197"/>
        <item m="1" sd="1" t="data" x="48"/>
        <item m="1" sd="1" t="data" x="206"/>
        <item m="1" sd="1" t="data" x="182"/>
        <item m="1" sd="1" t="data" x="87"/>
        <item m="1" sd="1" t="data" x="130"/>
        <item m="1" sd="1" t="data" x="139"/>
        <item m="1" sd="1" t="data" x="12"/>
        <item m="1" sd="1" t="data" x="67"/>
        <item m="1" sd="1" t="data" x="91"/>
        <item m="1" sd="1" t="data" x="22"/>
        <item m="1" sd="1" t="data" x="44"/>
        <item m="1" sd="1" t="data" x="164"/>
        <item m="1" sd="1" t="data" x="185"/>
        <item sd="1" t="data" x="1"/>
        <item m="1" sd="1" t="data" x="124"/>
        <item m="1" sd="1" t="data" x="58"/>
        <item m="1" sd="1" t="data" x="46"/>
        <item m="1" sd="1" t="data" x="2"/>
        <item m="1" sd="1" t="data" x="76"/>
        <item m="1" sd="1" t="data" x="41"/>
        <item m="1" sd="1" t="data" x="177"/>
        <item m="1" sd="1" t="data" x="36"/>
        <item m="1" sd="1" t="data" x="187"/>
        <item m="1" sd="1" t="data" x="27"/>
        <item m="1" sd="1" t="data" x="78"/>
        <item m="1" sd="1" t="data" x="175"/>
        <item m="1" sd="1" t="data" x="203"/>
        <item m="1" sd="1" t="data" x="178"/>
        <item m="1" sd="1" t="data" x="147"/>
        <item m="1" sd="1" t="data" x="80"/>
        <item m="1" sd="1" t="data" x="167"/>
        <item m="1" sd="1" t="data" x="208"/>
        <item m="1" sd="1" t="data" x="79"/>
        <item m="1" sd="1" t="data" x="128"/>
        <item m="1" sd="1" t="data" x="160"/>
        <item m="1" sd="1" t="data" x="156"/>
        <item m="1" sd="1" t="data" x="207"/>
        <item m="1" sd="1" t="data" x="11"/>
        <item m="1" sd="1" t="data" x="83"/>
        <item m="1" sd="1" t="data" x="212"/>
        <item m="1" sd="1" t="data" x="125"/>
        <item m="1" sd="1" t="data" x="143"/>
        <item m="1" sd="1" t="data" x="5"/>
        <item m="1" sd="1" t="data" x="32"/>
        <item m="1" sd="1" t="data" x="171"/>
        <item m="1" sd="1" t="data" x="56"/>
        <item m="1" sd="1" t="data" x="222"/>
        <item m="1" sd="1" t="data" x="180"/>
        <item m="1" sd="1" t="data" x="55"/>
        <item m="1" sd="1" t="data" x="75"/>
        <item m="1" sd="1" t="data" x="127"/>
        <item m="1" sd="1" t="data" x="198"/>
        <item m="1" sd="1" t="data" x="117"/>
        <item sd="1" t="data" x="0"/>
      </items>
    </pivotField>
    <pivotField axis="axisRow" compact="0" defaultSubtotal="0" dragOff="1" dragToCol="1" dragToData="1" dragToPage="1" dragToRow="1" itemPageCount="10" outline="0" showAll="0" showDropDowns="1" sortType="manual" subtotalTop="0" topAutoShow="1">
      <items count="79">
        <item sd="1" t="data" x="0"/>
        <item m="1" sd="1" t="data" x="38"/>
        <item m="1" sd="1" t="data" x="57"/>
        <item m="1" sd="1" t="data" x="65"/>
        <item m="1" sd="1" t="data" x="44"/>
        <item m="1" sd="1" t="data" x="54"/>
        <item m="1" sd="1" t="data" x="25"/>
        <item m="1" sd="1" t="data" x="76"/>
        <item m="1" sd="1" t="data" x="36"/>
        <item m="1" sd="1" t="data" x="47"/>
        <item m="1" sd="1" t="data" x="50"/>
        <item m="1" sd="1" t="data" x="72"/>
        <item m="1" sd="1" t="data" x="66"/>
        <item m="1" sd="1" t="data" x="40"/>
        <item m="1" sd="1" t="data" x="33"/>
        <item m="1" sd="1" t="data" x="78"/>
        <item m="1" sd="1" t="data" x="23"/>
        <item m="1" sd="1" t="data" x="53"/>
        <item m="1" sd="1" t="data" x="46"/>
        <item m="1" sd="1" t="data" x="5"/>
        <item m="1" sd="1" t="data" x="35"/>
        <item m="1" sd="1" t="data" x="58"/>
        <item m="1" sd="1" t="data" x="8"/>
        <item m="1" sd="1" t="data" x="61"/>
        <item m="1" sd="1" t="data" x="62"/>
        <item m="1" sd="1" t="data" x="3"/>
        <item m="1" sd="1" t="data" x="63"/>
        <item m="1" sd="1" t="data" x="67"/>
        <item m="1" sd="1" t="data" x="19"/>
        <item m="1" sd="1" t="data" x="37"/>
        <item m="1" sd="1" t="data" x="77"/>
        <item m="1" sd="1" t="data" x="73"/>
        <item m="1" sd="1" t="data" x="17"/>
        <item m="1" sd="1" t="data" x="49"/>
        <item m="1" sd="1" t="data" x="70"/>
        <item m="1" sd="1" t="data" x="7"/>
        <item m="1" sd="1" t="data" x="14"/>
        <item m="1" sd="1" t="data" x="55"/>
        <item m="1" sd="1" t="data" x="2"/>
        <item m="1" sd="1" t="data" x="15"/>
        <item m="1" sd="1" t="data" x="34"/>
        <item m="1" sd="1" t="data" x="6"/>
        <item m="1" sd="1" t="data" x="22"/>
        <item m="1" sd="1" t="data" x="56"/>
        <item m="1" sd="1" t="data" x="59"/>
        <item m="1" sd="1" t="data" x="30"/>
        <item m="1" sd="1" t="data" x="74"/>
        <item m="1" sd="1" t="data" x="32"/>
        <item m="1" sd="1" t="data" x="16"/>
        <item m="1" sd="1" t="data" x="29"/>
        <item m="1" sd="1" t="data" x="21"/>
        <item m="1" sd="1" t="data" x="10"/>
        <item m="1" sd="1" t="data" x="39"/>
        <item m="1" sd="1" t="data" x="45"/>
        <item m="1" sd="1" t="data" x="43"/>
        <item m="1" sd="1" t="data" x="52"/>
        <item m="1" sd="1" t="data" x="18"/>
        <item m="1" sd="1" t="data" x="60"/>
        <item m="1" sd="1" t="data" x="48"/>
        <item m="1" sd="1" t="data" x="24"/>
        <item m="1" sd="1" t="data" x="20"/>
        <item m="1" sd="1" t="data" x="4"/>
        <item m="1" sd="1" t="data" x="12"/>
        <item m="1" sd="1" t="data" x="13"/>
        <item m="1" sd="1" t="data" x="41"/>
        <item m="1" sd="1" t="data" x="68"/>
        <item m="1" sd="1" t="data" x="28"/>
        <item m="1" sd="1" t="data" x="9"/>
        <item m="1" sd="1" t="data" x="64"/>
        <item m="1" sd="1" t="data" x="51"/>
        <item m="1" sd="1" t="data" x="75"/>
        <item m="1" sd="1" t="data" x="26"/>
        <item m="1" sd="1" t="data" x="11"/>
        <item m="1" sd="1" t="data" x="71"/>
        <item m="1" sd="1" t="data" x="27"/>
        <item m="1" sd="1" t="data" x="69"/>
        <item m="1" sd="1" t="data" x="42"/>
        <item m="1" sd="1" t="data" x="31"/>
        <item sd="1" t="data" x="1"/>
      </items>
    </pivotField>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10">
    <field x="6"/>
    <field x="1"/>
    <field x="0"/>
    <field x="2"/>
    <field x="3"/>
    <field x="4"/>
    <field x="7"/>
    <field x="13"/>
    <field x="14"/>
    <field x="9"/>
  </rowFields>
  <rowItems count="14">
    <i i="0" r="0" t="data">
      <x v="87"/>
      <x v="0"/>
      <x v="100"/>
      <x v="3"/>
      <x v="10"/>
      <x v="223"/>
      <x v="161"/>
      <x v="226"/>
      <x v="78"/>
      <x v="1"/>
    </i>
    <i i="0" r="1" t="data">
      <x v="17"/>
      <x v="133"/>
      <x v="0"/>
      <x v="10"/>
      <x v="238"/>
      <x v="67"/>
      <x v="226"/>
      <x v="78"/>
      <x v="1"/>
    </i>
    <i i="0" r="2" t="data">
      <x v="135"/>
      <x v="2"/>
      <x v="10"/>
      <x v="240"/>
      <x v="67"/>
      <x v="226"/>
      <x v="78"/>
      <x v="1"/>
    </i>
    <i i="0" r="0" t="data">
      <x v="88"/>
      <x v="20"/>
      <x v="148"/>
      <x v="0"/>
      <x v="10"/>
      <x v="244"/>
      <x v="50"/>
      <x v="226"/>
      <x v="78"/>
      <x v="1"/>
    </i>
    <i i="0" r="0" t="data">
      <x v="89"/>
      <x v="19"/>
      <x v="144"/>
      <x v="0"/>
      <x v="10"/>
      <x v="243"/>
      <x v="21"/>
      <x v="226"/>
      <x v="78"/>
      <x v="7"/>
    </i>
    <i i="0" r="1" t="data">
      <x v="21"/>
      <x v="149"/>
      <x v="0"/>
      <x v="10"/>
      <x v="245"/>
      <x v="163"/>
      <x v="226"/>
      <x v="78"/>
      <x v="3"/>
    </i>
    <i i="0" r="0" t="data">
      <x v="90"/>
      <x v="5"/>
      <x v="151"/>
      <x v="4"/>
      <x v="10"/>
      <x v="246"/>
      <x v="42"/>
      <x v="186"/>
      <x v="0"/>
      <x v="0"/>
    </i>
    <i i="0" r="2" t="data">
      <x v="153"/>
      <x v="12"/>
      <x v="10"/>
      <x v="246"/>
      <x v="42"/>
      <x v="186"/>
      <x v="0"/>
      <x v="0"/>
    </i>
    <i i="0" r="1" t="data">
      <x v="16"/>
      <x v="138"/>
      <x v="1"/>
      <x v="10"/>
      <x v="241"/>
      <x v="43"/>
      <x v="226"/>
      <x v="78"/>
      <x v="1"/>
    </i>
    <i i="0" r="1" t="data">
      <x v="24"/>
      <x v="165"/>
      <x v="0"/>
      <x v="10"/>
      <x v="249"/>
      <x v="167"/>
      <x v="226"/>
      <x v="78"/>
      <x v="1"/>
    </i>
    <i i="0" r="0" t="data">
      <x v="91"/>
      <x v="22"/>
      <x v="162"/>
      <x v="0"/>
      <x v="10"/>
      <x v="249"/>
      <x v="146"/>
      <x v="226"/>
      <x v="78"/>
      <x v="1"/>
    </i>
    <i i="0" r="1" t="data">
      <x v="23"/>
      <x v="163"/>
      <x v="0"/>
      <x v="10"/>
      <x v="249"/>
      <x v="32"/>
      <x v="226"/>
      <x v="78"/>
      <x v="0"/>
    </i>
    <i i="0" r="2" t="data">
      <x v="164"/>
      <x v="2"/>
      <x v="10"/>
      <x v="249"/>
      <x v="32"/>
      <x v="226"/>
      <x v="78"/>
      <x v="1"/>
    </i>
    <i i="0" r="0" t="grand">
      <x v="0"/>
    </i>
  </rowItems>
  <colItems count="1">
    <i i="0" r="0" t="data"/>
  </colItems>
  <pageFields count="1">
    <pageField fld="5" hier="-1"/>
  </pageFields>
  <dataFields count="1">
    <dataField baseField="6" baseItem="67" fld="19" name="Req uired Cap" showDataAs="normal" subtotal="sum"/>
  </dataFields>
  <formats count="1">
    <format action="formatting" dxfId="94">
      <pivotArea axis="axisRow" dataOnly="0" field="6" fieldPosition="0" labelOnly="1" outline="0" type="button"/>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41:N14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
      <pivotArea dataOnly="1" fieldPosition="0" outline="0" type="normal">
        <references count="1">
          <reference field="4294967294" selected="0">
            <x v="0"/>
          </reference>
        </references>
      </pivotArea>
    </format>
    <format action="formatting" dxfId="8">
      <pivotArea dataOnly="0" fieldPosition="0" labelOnly="1" outline="0" type="normal">
        <references count="1">
          <reference field="4294967294">
            <x v="0"/>
          </reference>
        </references>
      </pivotArea>
    </format>
    <format action="formatting" dxfId="7">
      <pivotArea axis="axisPage" dataOnly="0" field="1" fieldPosition="0" labelOnly="1" outline="0" type="button"/>
    </format>
    <format action="formatting" dxfId="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36:N238"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8"/>
      <x v="0"/>
      <x v="10"/>
      <x v="57"/>
      <x v="1"/>
      <x v="244"/>
      <x v="197"/>
      <x v="90"/>
      <x v="15"/>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5">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3">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01:N20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33"/>
      <x v="0"/>
      <x v="10"/>
      <x v="75"/>
      <x v="1"/>
      <x v="238"/>
      <x v="197"/>
      <x v="82"/>
      <x v="18"/>
    </i>
    <i i="0" r="0" t="data">
      <x v="135"/>
      <x v="1"/>
      <x v="10"/>
      <x v="75"/>
      <x v="1"/>
      <x v="240"/>
      <x v="197"/>
      <x v="82"/>
      <x v="14"/>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1">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79">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51:N5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
      <pivotArea dataOnly="1" fieldPosition="0" outline="0" type="normal">
        <references count="1">
          <reference field="4294967294" selected="0">
            <x v="0"/>
          </reference>
        </references>
      </pivotArea>
    </format>
    <format action="formatting" dxfId="4">
      <pivotArea dataOnly="0" fieldPosition="0" labelOnly="1" outline="0" type="normal">
        <references count="1">
          <reference field="4294967294">
            <x v="0"/>
          </reference>
        </references>
      </pivotArea>
    </format>
    <format action="formatting" dxfId="3">
      <pivotArea axis="axisPage" dataOnly="0" field="1" fieldPosition="0" labelOnly="1" outline="0" type="button"/>
    </format>
    <format action="formatting" dxfId="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77:N18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5">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3">
      <pivotArea axis="axisPage" dataOnly="0" field="1" fieldPosition="0" labelOnly="1" outline="0" type="button"/>
    </format>
    <format action="formatting" dxfId="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65:N17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5">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3">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N2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1">
      <pivotArea dataOnly="1" fieldPosition="0" outline="0" type="normal">
        <references count="1">
          <reference field="4294967294" selected="0">
            <x v="0"/>
          </reference>
        </references>
      </pivotArea>
    </format>
    <format action="formatting" dxfId="20">
      <pivotArea dataOnly="0" fieldPosition="0" labelOnly="1" outline="0" type="normal">
        <references count="1">
          <reference field="4294967294">
            <x v="0"/>
          </reference>
        </references>
      </pivotArea>
    </format>
    <format action="formatting" dxfId="19">
      <pivotArea axis="axisPage" dataOnly="0" field="1" fieldPosition="0" labelOnly="1" outline="0" type="button"/>
    </format>
    <format action="formatting" dxfId="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98:N10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1">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59">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2:N7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10">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197"/>
      <x v="88"/>
      <x v="63"/>
    </i>
    <i i="0" r="0" t="data">
      <x v="152"/>
      <x v="7"/>
      <x v="10"/>
      <x v="51"/>
      <x v="0"/>
      <x v="246"/>
      <x v="216"/>
      <x v="82"/>
      <x v="61"/>
    </i>
    <i i="0" r="0" t="data">
      <x v="153"/>
      <x v="8"/>
      <x v="10"/>
      <x v="48"/>
      <x v="0"/>
      <x v="246"/>
      <x v="197"/>
      <x v="88"/>
      <x v="63"/>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3">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1">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N1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97"/>
      <x v="0"/>
      <x v="10"/>
      <x v="78"/>
      <x v="1"/>
      <x v="221"/>
      <x v="201"/>
      <x v="81"/>
      <x v="2"/>
    </i>
    <i i="0" r="0" t="data">
      <x v="98"/>
      <x v="1"/>
      <x v="10"/>
      <x v="75"/>
      <x v="1"/>
      <x v="222"/>
      <x v="201"/>
      <x v="81"/>
      <x v="61"/>
    </i>
    <i i="0" r="0" t="data">
      <x v="99"/>
      <x v="2"/>
      <x v="10"/>
      <x v="78"/>
      <x v="1"/>
      <x v="223"/>
      <x v="200"/>
      <x v="81"/>
      <x v="61"/>
    </i>
    <i i="0" r="0" t="data">
      <x v="100"/>
      <x v="3"/>
      <x v="10"/>
      <x v="161"/>
      <x v="1"/>
      <x v="223"/>
      <x v="197"/>
      <x v="82"/>
      <x v="30"/>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1">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39">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40:N4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3">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1">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24:N22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4"/>
      <x v="0"/>
      <x v="10"/>
      <x v="21"/>
      <x v="7"/>
      <x v="243"/>
      <x v="197"/>
      <x v="91"/>
      <x v="24"/>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7">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5">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10:N11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
      <pivotArea dataOnly="1" fieldPosition="0" outline="0" type="normal">
        <references count="1">
          <reference field="4294967294" selected="0">
            <x v="0"/>
          </reference>
        </references>
      </pivotArea>
    </format>
    <format action="formatting" dxfId="16">
      <pivotArea dataOnly="0" fieldPosition="0" labelOnly="1" outline="0" type="normal">
        <references count="1">
          <reference field="4294967294">
            <x v="0"/>
          </reference>
        </references>
      </pivotArea>
    </format>
    <format action="formatting" dxfId="15">
      <pivotArea axis="axisPage" dataOnly="0" field="1" fieldPosition="0" labelOnly="1" outline="0" type="button"/>
    </format>
    <format action="formatting" dxfId="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32:N13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7">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5">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20:N123"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7">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5">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48:N25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9"/>
      <x v="0"/>
      <x v="10"/>
      <x v="163"/>
      <x v="3"/>
      <x v="245"/>
      <x v="197"/>
      <x v="91"/>
      <x v="2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9">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7">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1" firstHeaderRow="0" ref="A11:D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66"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s>
  <rowItems count="1">
    <i i="0" r="0" t="data"/>
  </rowItems>
  <colFields count="1">
    <field x="-2"/>
  </colFields>
  <colItems count="4">
    <i i="0" r="0" t="data">
      <x v="0"/>
    </i>
    <i i="1" r="0" t="data">
      <x v="1"/>
    </i>
    <i i="2" r="0" t="data">
      <x v="2"/>
    </i>
    <i i="3" r="0" t="data">
      <x v="3"/>
    </i>
  </colItems>
  <dataFields count="4">
    <dataField baseField="0" baseItem="1" fld="29" name=" YTD" showDataAs="normal" subtotal="sum"/>
    <dataField baseField="0" baseItem="0" fld="28" name=" 1YR" showDataAs="normal" subtotal="sum"/>
    <dataField baseField="0" baseItem="1" fld="27" name=" Inception" showDataAs="normal" subtotal="sum"/>
    <dataField baseField="0" baseItem="1" fld="30" name="Not_x000a_Booked" showDataAs="normal" subtotal="sum"/>
  </dataFields>
  <formats count="2">
    <format action="formatting" dxfId="1">
      <pivotArea collapsedLevelsAreSubtotals="1" dataOnly="1" fieldPosition="0" outline="0" type="normal"/>
    </format>
    <format action="formatting" dxfId="0">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F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15">
        <item sd="1" t="data" x="0"/>
        <item sd="1" t="data" x="1"/>
        <item sd="1" t="data" x="2"/>
        <item sd="1" t="data" x="3"/>
        <item sd="1" t="data" x="4"/>
        <item sd="1" t="data" x="5"/>
        <item sd="1" t="data" x="6"/>
        <item sd="1" t="data" x="7"/>
        <item sd="1" t="data" x="8"/>
        <item sd="1" t="data" x="9"/>
        <item sd="1" t="data" x="10"/>
        <item sd="1" t="data" x="11"/>
        <item sd="1" t="data" x="12"/>
        <item sd="1" t="data" x="13"/>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5">
    <i i="0" r="0" t="data">
      <x v="3"/>
    </i>
    <i i="0" r="0" t="data">
      <x v="4"/>
    </i>
    <i i="0" r="0" t="data">
      <x v="5"/>
    </i>
    <i i="0" r="0" t="data">
      <x v="6"/>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53:N157"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3">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1">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2:N21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3">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1">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86:N9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
      <pivotArea dataOnly="1" fieldPosition="0" outline="0" type="normal">
        <references count="1">
          <reference field="4294967294" selected="0">
            <x v="0"/>
          </reference>
        </references>
      </pivotArea>
    </format>
    <format action="formatting" dxfId="12">
      <pivotArea dataOnly="0" fieldPosition="0" labelOnly="1" outline="0" type="normal">
        <references count="1">
          <reference field="4294967294">
            <x v="0"/>
          </reference>
        </references>
      </pivotArea>
    </format>
    <format action="formatting" dxfId="11">
      <pivotArea axis="axisPage" dataOnly="0" field="1" fieldPosition="0" labelOnly="1" outline="0" type="button"/>
    </format>
    <format action="formatting" dxfId="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78:N8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5">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3">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89:N193" rowPageCount="1"/>
  <pivotFields count="31">
    <pivotField axis="axisRow" compact="0" defaultSubtotal="0" dragOff="1" dragToCol="1" dragToData="1" dragToPage="1" dragToRow="1" itemPageCount="10" name="`"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3"/>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30"/>
      <x v="0"/>
      <x v="10"/>
      <x v="52"/>
      <x v="1"/>
      <x v="237"/>
      <x v="214"/>
      <x v="86"/>
      <x v="5"/>
    </i>
    <i i="0" r="0" t="data">
      <x v="138"/>
      <x v="2"/>
      <x v="10"/>
      <x v="49"/>
      <x v="1"/>
      <x v="241"/>
      <x v="197"/>
      <x v="88"/>
      <x v="31"/>
    </i>
    <i i="0" r="0" t="data">
      <x v="139"/>
      <x v="1"/>
      <x v="10"/>
      <x v="52"/>
      <x v="1"/>
      <x v="241"/>
      <x v="214"/>
      <x v="86"/>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9">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7">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30:N3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9">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7">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60:N26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62"/>
      <x v="0"/>
      <x v="10"/>
      <x v="146"/>
      <x v="1"/>
      <x v="249"/>
      <x v="197"/>
      <x v="89"/>
      <x v="27"/>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9">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7">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116">
  <autoFilter ref="A8:AE116"/>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s>
</file>

<file path=xl/worksheets/_rels/sheet5.xml.rels><Relationships xmlns="http://schemas.openxmlformats.org/package/2006/relationships"><Relationship Id="rId1" Target="/xl/pivotTables/pivotTable2.xml" Type="http://schemas.openxmlformats.org/officeDocument/2006/relationships/pivotTable" /><Relationship Id="rId2" Target="/xl/pivotTables/pivotTable3.xml" Type="http://schemas.openxmlformats.org/officeDocument/2006/relationships/pivotTable" /><Relationship Id="rId3" Target="/xl/pivotTables/pivotTable4.xml" Type="http://schemas.openxmlformats.org/officeDocument/2006/relationships/pivotTable" /><Relationship Id="rId4" Target="/xl/pivotTables/pivotTable5.xml" Type="http://schemas.openxmlformats.org/officeDocument/2006/relationships/pivotTable" /><Relationship Id="rId5" Target="/xl/pivotTables/pivotTable6.xml" Type="http://schemas.openxmlformats.org/officeDocument/2006/relationships/pivotTable" /><Relationship Id="rId6" Target="/xl/pivotTables/pivotTable7.xml" Type="http://schemas.openxmlformats.org/officeDocument/2006/relationships/pivotTable" /><Relationship Id="rId7" Target="/xl/pivotTables/pivotTable8.xml" Type="http://schemas.openxmlformats.org/officeDocument/2006/relationships/pivotTable" /><Relationship Id="rId8" Target="/xl/pivotTables/pivotTable9.xml" Type="http://schemas.openxmlformats.org/officeDocument/2006/relationships/pivotTable" /><Relationship Id="rId9" Target="/xl/pivotTables/pivotTable10.xml" Type="http://schemas.openxmlformats.org/officeDocument/2006/relationships/pivotTable" /><Relationship Id="rId10" Target="/xl/pivotTables/pivotTable11.xml" Type="http://schemas.openxmlformats.org/officeDocument/2006/relationships/pivotTable" /><Relationship Id="rId11" Target="/xl/pivotTables/pivotTable12.xml" Type="http://schemas.openxmlformats.org/officeDocument/2006/relationships/pivotTable" /><Relationship Id="rId12" Target="/xl/pivotTables/pivotTable13.xml" Type="http://schemas.openxmlformats.org/officeDocument/2006/relationships/pivotTable" /><Relationship Id="rId13" Target="/xl/pivotTables/pivotTable14.xml" Type="http://schemas.openxmlformats.org/officeDocument/2006/relationships/pivotTable" /><Relationship Id="rId14" Target="/xl/pivotTables/pivotTable15.xml" Type="http://schemas.openxmlformats.org/officeDocument/2006/relationships/pivotTable" /><Relationship Id="rId15" Target="/xl/pivotTables/pivotTable16.xml" Type="http://schemas.openxmlformats.org/officeDocument/2006/relationships/pivotTable" /><Relationship Id="rId16" Target="/xl/pivotTables/pivotTable17.xml" Type="http://schemas.openxmlformats.org/officeDocument/2006/relationships/pivotTable" /><Relationship Id="rId17" Target="/xl/pivotTables/pivotTable18.xml" Type="http://schemas.openxmlformats.org/officeDocument/2006/relationships/pivotTable" /><Relationship Id="rId18" Target="/xl/pivotTables/pivotTable19.xml" Type="http://schemas.openxmlformats.org/officeDocument/2006/relationships/pivotTable" /><Relationship Id="rId19" Target="/xl/pivotTables/pivotTable20.xml" Type="http://schemas.openxmlformats.org/officeDocument/2006/relationships/pivotTable" /><Relationship Id="rId20" Target="/xl/pivotTables/pivotTable21.xml" Type="http://schemas.openxmlformats.org/officeDocument/2006/relationships/pivotTable" /><Relationship Id="rId21" Target="/xl/pivotTables/pivotTable22.xml" Type="http://schemas.openxmlformats.org/officeDocument/2006/relationships/pivotTable" /><Relationship Id="rId22" Target="/xl/pivotTables/pivotTable23.xml" Type="http://schemas.openxmlformats.org/officeDocument/2006/relationships/pivotTable" /><Relationship Id="rId23" Target="/xl/pivotTables/pivotTable24.xml" Type="http://schemas.openxmlformats.org/officeDocument/2006/relationships/pivotTable" /></Relationships>
</file>

<file path=xl/worksheets/_rels/sheet6.xml.rels><Relationships xmlns="http://schemas.openxmlformats.org/package/2006/relationships"><Relationship Id="rId1" Target="/xl/pivotTables/pivotTable25.xml" Type="http://schemas.openxmlformats.org/officeDocument/2006/relationships/pivotTable" /><Relationship Id="rId2" Target="/xl/pivotTables/pivotTable2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52" width="18"/>
    <col customWidth="1" max="2" min="2" style="52"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64"/>
  <sheetViews>
    <sheetView topLeftCell="C1" workbookViewId="0" zoomScaleNormal="100">
      <pane activePane="bottomLeft" state="frozen" topLeftCell="A11" ySplit="2"/>
      <selection activeCell="B1" sqref="B1"/>
      <selection activeCell="J24" pane="bottomLeft" sqref="J24"/>
    </sheetView>
  </sheetViews>
  <sheetFormatPr baseColWidth="8" defaultRowHeight="15"/>
  <cols>
    <col customWidth="1" max="1" min="1" style="52" width="12.5703125"/>
    <col customWidth="1" hidden="1" max="2" min="2" style="52"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39" width="6.42578125"/>
    <col customWidth="1" max="9" min="9" style="19" width="8.140625"/>
    <col customWidth="1" max="10" min="10" style="12" width="5.8554687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52" width="11.28515625"/>
    <col customWidth="1" max="22" min="22" style="52"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0"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52">
      <c r="A2" t="inlineStr">
        <is>
          <t>SYMBOL</t>
        </is>
      </c>
      <c r="B2" t="inlineStr">
        <is>
          <t>Transaction</t>
        </is>
      </c>
      <c r="C2" s="34" t="inlineStr">
        <is>
          <t>Initial Date</t>
        </is>
      </c>
      <c r="D2" s="34" t="inlineStr">
        <is>
          <t>End Date</t>
        </is>
      </c>
      <c r="E2" s="34" t="inlineStr">
        <is>
          <t>End Date</t>
        </is>
      </c>
      <c r="F2" s="34" t="inlineStr">
        <is>
          <t>MARKET</t>
        </is>
      </c>
      <c r="H2" s="40"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1"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0" t="n"/>
      <c r="I3" s="16" t="n"/>
      <c r="AB3" s="41" t="n"/>
    </row>
    <row r="4">
      <c r="H4" s="40" t="n"/>
      <c r="I4" s="16" t="n"/>
      <c r="P4" s="42" t="n"/>
      <c r="U4" s="43" t="n"/>
      <c r="W4" s="44" t="n"/>
      <c r="X4" s="44" t="n"/>
      <c r="AA4" s="41" t="n"/>
    </row>
    <row r="5">
      <c r="A5" t="e">
        <v>#VALUE!</v>
      </c>
      <c r="B5" t="inlineStr">
        <is>
          <t>JD</t>
        </is>
      </c>
      <c r="C5" s="34" t="n">
        <v>44277</v>
      </c>
      <c r="D5" s="34" t="n">
        <v>44302</v>
      </c>
      <c r="E5" s="34">
        <f>TODAY()</f>
        <v/>
      </c>
      <c r="F5">
        <f>RTD("tos.rtd",,"MARK",A5)</f>
        <v/>
      </c>
      <c r="G5">
        <f>IF(F5&lt;H5,"ITM", "OTM")</f>
        <v/>
      </c>
      <c r="H5" s="40" t="n">
        <v>80</v>
      </c>
      <c r="I5" s="16">
        <f>(H5*K5)*100</f>
        <v/>
      </c>
      <c r="J5" s="12" t="n">
        <v>80</v>
      </c>
      <c r="K5" s="12" t="n">
        <v>2</v>
      </c>
      <c r="L5" s="12">
        <f>(J5*K5)*100</f>
        <v/>
      </c>
      <c r="M5" s="12">
        <f>1.54-0.37</f>
        <v/>
      </c>
      <c r="N5" s="12">
        <f>((K5*M5)*100)-1.33-1.33</f>
        <v/>
      </c>
      <c r="O5" s="12">
        <f>D5-C5</f>
        <v/>
      </c>
      <c r="P5" s="42">
        <f>(N5/L5)*(365/O5)</f>
        <v/>
      </c>
      <c r="Q5" s="18">
        <f>RTD("tos.rtd",,"ASK",".JD210416P80")</f>
        <v/>
      </c>
      <c r="R5">
        <f>(Q5*K5)*100</f>
        <v/>
      </c>
      <c r="S5">
        <f>N5-R5</f>
        <v/>
      </c>
      <c r="T5">
        <f>E5-C5</f>
        <v/>
      </c>
      <c r="U5" s="43">
        <f>(S5/L5)*(365/T5)</f>
        <v/>
      </c>
      <c r="W5" s="44">
        <f>S5/N5</f>
        <v/>
      </c>
      <c r="X5" s="44">
        <f>T5/O5</f>
        <v/>
      </c>
      <c r="Y5" s="12">
        <f>N5-S5</f>
        <v/>
      </c>
      <c r="Z5" s="12">
        <f>D5-E5</f>
        <v/>
      </c>
      <c r="AA5" s="41">
        <f>(Y5/L5)*(365/Z5)</f>
        <v/>
      </c>
    </row>
    <row r="6">
      <c r="A6" t="inlineStr">
        <is>
          <t>SFIX</t>
        </is>
      </c>
      <c r="B6" t="inlineStr">
        <is>
          <t>2 SFIX</t>
        </is>
      </c>
      <c r="C6" s="34" t="n">
        <v>44291</v>
      </c>
      <c r="D6" s="34" t="n">
        <v>44302</v>
      </c>
      <c r="E6" s="34">
        <f>TODAY()</f>
        <v/>
      </c>
      <c r="F6">
        <f>RTD("tos.rtd",,"MARK",A6)</f>
        <v/>
      </c>
      <c r="G6">
        <f>IF(F6&lt;H6,"ITM", "OTM")</f>
        <v/>
      </c>
      <c r="H6" s="39" t="n">
        <v>45</v>
      </c>
      <c r="I6" s="16">
        <f>(H6*K6)*100</f>
        <v/>
      </c>
      <c r="J6" s="12" t="n">
        <v>45</v>
      </c>
      <c r="K6" s="12" t="n">
        <v>2</v>
      </c>
      <c r="L6" s="12">
        <f>(J6*K6)*100</f>
        <v/>
      </c>
      <c r="M6" s="12" t="n">
        <v>1.13</v>
      </c>
      <c r="N6" s="12">
        <f>(K6*M6)*100-1.33</f>
        <v/>
      </c>
      <c r="O6" s="12">
        <f>D6-C6</f>
        <v/>
      </c>
      <c r="P6" s="42">
        <f>(N6/L6)*(365/O6)</f>
        <v/>
      </c>
      <c r="Q6" s="18">
        <f>RTD("tos.rtd", , "ASK", ".SFIX210416P45")</f>
        <v/>
      </c>
      <c r="R6">
        <f>(Q6*K6)*100</f>
        <v/>
      </c>
      <c r="S6">
        <f>N6-R6</f>
        <v/>
      </c>
      <c r="T6">
        <f>E6-C6</f>
        <v/>
      </c>
      <c r="U6" s="43">
        <f>(S6/L6)*(365/T6)</f>
        <v/>
      </c>
      <c r="W6" s="44">
        <f>S6/N6</f>
        <v/>
      </c>
      <c r="X6" s="44">
        <f>T6/O6</f>
        <v/>
      </c>
      <c r="Y6" s="12">
        <f>N6-S6</f>
        <v/>
      </c>
      <c r="Z6" s="12">
        <f>D6-E6</f>
        <v/>
      </c>
      <c r="AA6" s="41">
        <f>(Y6/L6)*(365/Z6)</f>
        <v/>
      </c>
    </row>
    <row r="7">
      <c r="A7" t="inlineStr">
        <is>
          <t>SBGI</t>
        </is>
      </c>
      <c r="B7" t="inlineStr">
        <is>
          <t>SBGI</t>
        </is>
      </c>
      <c r="C7" s="34" t="n">
        <v>44292</v>
      </c>
      <c r="D7" s="34" t="n">
        <v>44302</v>
      </c>
      <c r="E7" s="34">
        <f>TODAY()</f>
        <v/>
      </c>
      <c r="F7">
        <f>RTD("tos.rtd",,"MARK",A7)</f>
        <v/>
      </c>
      <c r="G7">
        <f>IF(F7&lt;H7,"ITM", "OTM")</f>
        <v/>
      </c>
      <c r="H7" s="39" t="n">
        <v>28</v>
      </c>
      <c r="I7" s="16">
        <f>(H7*K7)*100</f>
        <v/>
      </c>
      <c r="J7" s="12" t="n">
        <v>28</v>
      </c>
      <c r="K7" s="12" t="n">
        <v>10</v>
      </c>
      <c r="L7" s="12">
        <f>(J7*K7)*100</f>
        <v/>
      </c>
      <c r="M7" s="12" t="n">
        <v>0.37</v>
      </c>
      <c r="N7" s="12">
        <f>(K7*M7)*100-5.6-0.06</f>
        <v/>
      </c>
      <c r="O7" s="12">
        <f>D7-C7</f>
        <v/>
      </c>
      <c r="P7" s="42">
        <f>(N7/L7)*(365/O7)</f>
        <v/>
      </c>
      <c r="Q7" s="18">
        <f>RTD("tos.rtd", , "ASK", ".SBGI210416P28")</f>
        <v/>
      </c>
      <c r="R7">
        <f>(Q7*K7)*100</f>
        <v/>
      </c>
      <c r="S7">
        <f>N7-R7</f>
        <v/>
      </c>
      <c r="T7">
        <f>E7-C7</f>
        <v/>
      </c>
      <c r="U7" s="43">
        <f>(S7/L7)*(365/T7)</f>
        <v/>
      </c>
      <c r="W7" s="44">
        <f>S7/N7</f>
        <v/>
      </c>
      <c r="X7" s="44">
        <f>T7/O7</f>
        <v/>
      </c>
      <c r="Y7" s="12">
        <f>N7-S7</f>
        <v/>
      </c>
      <c r="Z7" s="12">
        <f>D7-E7</f>
        <v/>
      </c>
      <c r="AA7" s="41">
        <f>(Y7/L7)*(365/Z7)</f>
        <v/>
      </c>
    </row>
    <row r="8">
      <c r="A8" t="inlineStr">
        <is>
          <t>VIAC</t>
        </is>
      </c>
      <c r="B8" t="inlineStr">
        <is>
          <t>VIAC</t>
        </is>
      </c>
      <c r="C8" s="34" t="n">
        <v>44295</v>
      </c>
      <c r="D8" s="34" t="n">
        <v>44309</v>
      </c>
      <c r="E8" s="34">
        <f>TODAY()</f>
        <v/>
      </c>
      <c r="F8">
        <f>RTD("tos.rtd",,"MARK",A8)</f>
        <v/>
      </c>
      <c r="G8">
        <f>IF(F8&lt;H8,"ITM", "OTM")</f>
        <v/>
      </c>
      <c r="H8" s="40" t="n">
        <v>40</v>
      </c>
      <c r="I8" s="16">
        <f>(H8*K8)*100</f>
        <v/>
      </c>
      <c r="J8" s="12" t="n">
        <v>40</v>
      </c>
      <c r="K8" s="12" t="n">
        <v>2</v>
      </c>
      <c r="L8" s="12">
        <f>(J8*K8)*100</f>
        <v/>
      </c>
      <c r="M8" s="12" t="n">
        <v>1.21</v>
      </c>
      <c r="N8" s="12">
        <f>((K8*M8)*100)-1.33</f>
        <v/>
      </c>
      <c r="O8" s="12">
        <f>D8-C8</f>
        <v/>
      </c>
      <c r="P8" s="42">
        <f>(N8/L8)*(365/O8)</f>
        <v/>
      </c>
      <c r="Q8" s="18">
        <f>RTD("tos.rtd", , "ASK", ".VIAC210423P40")</f>
        <v/>
      </c>
      <c r="R8">
        <f>(Q8*K8)*100</f>
        <v/>
      </c>
      <c r="S8">
        <f>N8-R8</f>
        <v/>
      </c>
      <c r="T8">
        <f>E8-C8</f>
        <v/>
      </c>
      <c r="U8" s="43">
        <f>(S8/L8)*(365/T8)</f>
        <v/>
      </c>
      <c r="W8" s="44">
        <f>S8/N8</f>
        <v/>
      </c>
      <c r="X8" s="44">
        <f>T8/O8</f>
        <v/>
      </c>
      <c r="Y8" s="12">
        <f>N8-S8</f>
        <v/>
      </c>
      <c r="Z8" s="12">
        <f>D8-E8</f>
        <v/>
      </c>
      <c r="AA8" s="41">
        <f>(Y8/L8)*(365/Z8)</f>
        <v/>
      </c>
      <c r="AB8" s="41" t="n"/>
    </row>
    <row r="9">
      <c r="A9" t="inlineStr">
        <is>
          <t>BIG</t>
        </is>
      </c>
      <c r="B9" t="inlineStr">
        <is>
          <t xml:space="preserve">4 APA 16 APRIL PUT 17  SOLD TO OPEN for.57 </t>
        </is>
      </c>
      <c r="C9" s="34" t="n">
        <v>44312</v>
      </c>
      <c r="D9" s="34" t="n">
        <v>44337</v>
      </c>
      <c r="E9" s="34">
        <f>TODAY()</f>
        <v/>
      </c>
      <c r="F9">
        <f>RTD("tos.rtd",,"MARK",A9)</f>
        <v/>
      </c>
      <c r="G9">
        <f>IF(F9&lt;H9,"ITM", "OTM")</f>
        <v/>
      </c>
      <c r="H9" s="40" t="n">
        <v>62.5</v>
      </c>
      <c r="I9" s="16">
        <f>(H9*K9)*100</f>
        <v/>
      </c>
      <c r="J9" s="12" t="n">
        <v>62.5</v>
      </c>
      <c r="K9" s="12" t="n">
        <v>3</v>
      </c>
      <c r="L9" s="12">
        <f>(J9*K9)*100</f>
        <v/>
      </c>
      <c r="M9" s="12" t="n">
        <v>1.29</v>
      </c>
      <c r="N9" s="12">
        <f>((K9*M9)*100)-1.33</f>
        <v/>
      </c>
      <c r="O9" s="12">
        <f>D9-C9</f>
        <v/>
      </c>
      <c r="P9" s="42">
        <f>(N9/L9)*(365/O9)</f>
        <v/>
      </c>
      <c r="Q9" s="18" t="n">
        <v>0.35</v>
      </c>
      <c r="R9">
        <f>(Q9*K9)*100</f>
        <v/>
      </c>
      <c r="S9">
        <f>N9-R9</f>
        <v/>
      </c>
      <c r="T9">
        <f>E9-C9</f>
        <v/>
      </c>
      <c r="U9" s="43">
        <f>(S9/L9)*(365/T9)</f>
        <v/>
      </c>
      <c r="W9" s="44">
        <f>S9/N9</f>
        <v/>
      </c>
      <c r="X9" s="44">
        <f>T9/O9</f>
        <v/>
      </c>
      <c r="Y9" s="12">
        <f>N9-S9</f>
        <v/>
      </c>
      <c r="Z9" s="12">
        <f>D9-E9</f>
        <v/>
      </c>
      <c r="AA9" s="41">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39" t="n">
        <v>13</v>
      </c>
      <c r="I10" s="16">
        <f>(H10*K10)*100</f>
        <v/>
      </c>
      <c r="J10" s="12" t="n">
        <v>13</v>
      </c>
      <c r="K10" s="12" t="n">
        <v>3</v>
      </c>
      <c r="L10" s="12">
        <f>(J10*K10)*100</f>
        <v/>
      </c>
      <c r="M10" s="12" t="n">
        <v>0.35</v>
      </c>
      <c r="N10" s="12">
        <f>(K10*M10)*100-6.5-0.16</f>
        <v/>
      </c>
      <c r="O10" s="12">
        <f>D10-C10</f>
        <v/>
      </c>
      <c r="P10" s="42">
        <f>(N10/L10)*(365/O10)</f>
        <v/>
      </c>
      <c r="Q10" s="18">
        <f>RTD("tos.rtd", ,"ASK", ".CCL210507P25")</f>
        <v/>
      </c>
      <c r="R10">
        <f>(Q10*K10)*100</f>
        <v/>
      </c>
      <c r="S10">
        <f>N10-R10</f>
        <v/>
      </c>
      <c r="T10">
        <f>E10-C10</f>
        <v/>
      </c>
      <c r="U10" s="43">
        <f>(S10/L10)*(365/T10)</f>
        <v/>
      </c>
      <c r="W10" s="44">
        <f>S10/N10</f>
        <v/>
      </c>
      <c r="X10" s="44">
        <f>T10/O10</f>
        <v/>
      </c>
      <c r="Y10" s="12">
        <f>N10-S10</f>
        <v/>
      </c>
      <c r="Z10" s="12">
        <f>D10-E10</f>
        <v/>
      </c>
      <c r="AA10" s="41">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39" t="n">
        <v>22</v>
      </c>
      <c r="I11" s="16">
        <f>(H11*K11)*100</f>
        <v/>
      </c>
      <c r="J11" s="12" t="n">
        <v>22</v>
      </c>
      <c r="K11" s="12" t="n">
        <v>10</v>
      </c>
      <c r="L11" s="12">
        <f>(J11*K11)*100</f>
        <v/>
      </c>
      <c r="M11" s="12" t="n">
        <v>0.86</v>
      </c>
      <c r="N11" s="12">
        <f>(K11*M11)*100-6.5-0.16</f>
        <v/>
      </c>
      <c r="O11" s="12">
        <f>D11-C11</f>
        <v/>
      </c>
      <c r="P11" s="42">
        <f>(N11/L11)*(365/O11)</f>
        <v/>
      </c>
      <c r="Q11" s="18">
        <f>RTD("tos.rtd", , "ASK", ".AAL210507P22")</f>
        <v/>
      </c>
      <c r="R11">
        <f>(Q11*K11)*100</f>
        <v/>
      </c>
      <c r="S11">
        <f>N11-R11</f>
        <v/>
      </c>
      <c r="T11">
        <f>E11-C11</f>
        <v/>
      </c>
      <c r="U11" s="43">
        <f>(S11/L11)*(365/T11)</f>
        <v/>
      </c>
      <c r="W11" s="44">
        <f>S11/N11</f>
        <v/>
      </c>
      <c r="X11" s="44">
        <f>T11/O11</f>
        <v/>
      </c>
      <c r="Y11" s="12">
        <f>N11-S11</f>
        <v/>
      </c>
      <c r="Z11" s="12">
        <f>D11-E11</f>
        <v/>
      </c>
      <c r="AA11" s="41">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39" t="n">
        <v>25</v>
      </c>
      <c r="I12" s="16">
        <f>(H12*K12)*100</f>
        <v/>
      </c>
      <c r="J12" s="12" t="n">
        <v>25</v>
      </c>
      <c r="K12" s="12" t="n">
        <v>10</v>
      </c>
      <c r="L12" s="12">
        <f>(J12*K12)*100</f>
        <v/>
      </c>
      <c r="M12" s="12" t="n">
        <v>0.44</v>
      </c>
      <c r="N12" s="12">
        <f>(K12*M12)*100-6.5-0.16</f>
        <v/>
      </c>
      <c r="O12" s="12">
        <f>D12-C12</f>
        <v/>
      </c>
      <c r="P12" s="42">
        <f>(N12/L12)*(365/O12)</f>
        <v/>
      </c>
      <c r="Q12" s="18">
        <f>RTD("tos.rtd", ,"ASK", ".CCL210507P25")</f>
        <v/>
      </c>
      <c r="R12">
        <f>(Q12*K12)*100</f>
        <v/>
      </c>
      <c r="S12">
        <f>N12-R12</f>
        <v/>
      </c>
      <c r="T12">
        <f>E12-C12</f>
        <v/>
      </c>
      <c r="U12" s="43">
        <f>(S12/L12)*(365/T12)</f>
        <v/>
      </c>
      <c r="W12" s="44">
        <f>S12/N12</f>
        <v/>
      </c>
      <c r="X12" s="44">
        <f>T12/O12</f>
        <v/>
      </c>
      <c r="Y12" s="12">
        <f>N12-S12</f>
        <v/>
      </c>
      <c r="Z12" s="12">
        <f>D12-E12</f>
        <v/>
      </c>
      <c r="AA12" s="41">
        <f>(Y12/L12)*(365/Z12)</f>
        <v/>
      </c>
    </row>
    <row r="13">
      <c r="F13" s="12" t="n"/>
      <c r="G13" s="12" t="n"/>
      <c r="H13" s="40" t="n"/>
      <c r="I13" s="16" t="n"/>
      <c r="P13" s="42" t="n"/>
      <c r="U13" s="43" t="n"/>
      <c r="W13" s="44" t="n"/>
      <c r="X13" s="44" t="n"/>
      <c r="AA13" s="41" t="n"/>
    </row>
    <row r="14">
      <c r="F14" s="12" t="n"/>
      <c r="G14" s="12" t="n"/>
      <c r="H14" s="40" t="n"/>
      <c r="I14" s="16" t="n"/>
      <c r="P14" s="42" t="n"/>
      <c r="U14" s="43" t="n"/>
      <c r="W14" s="44" t="n"/>
      <c r="X14" s="44" t="n"/>
      <c r="AA14" s="41" t="n"/>
    </row>
    <row r="15">
      <c r="F15" s="12" t="n"/>
      <c r="G15" s="12" t="n"/>
      <c r="H15" s="40" t="n"/>
      <c r="I15" s="16" t="n"/>
      <c r="P15" s="42" t="n"/>
      <c r="U15" s="43" t="n"/>
      <c r="W15" s="44" t="n"/>
      <c r="X15" s="44" t="n"/>
      <c r="AA15" s="41" t="n"/>
    </row>
    <row r="16">
      <c r="F16" s="12" t="n"/>
      <c r="G16" s="12" t="n"/>
      <c r="H16" s="40" t="n"/>
      <c r="I16" s="16" t="n"/>
      <c r="P16" s="42" t="n"/>
      <c r="U16" s="43" t="n"/>
      <c r="W16" s="44" t="n"/>
      <c r="X16" s="44" t="n"/>
      <c r="AA16" s="41" t="n"/>
    </row>
    <row r="17">
      <c r="E17" s="12" t="n"/>
      <c r="F17" s="12" t="n"/>
      <c r="G17" s="12" t="n"/>
      <c r="H17" s="40" t="n"/>
      <c r="I17" s="16" t="n"/>
      <c r="P17" s="42" t="n"/>
      <c r="U17" s="43" t="n"/>
      <c r="W17" s="44" t="n"/>
      <c r="X17" s="44" t="n"/>
      <c r="AA17" s="41" t="n"/>
    </row>
    <row r="18">
      <c r="H18" s="40" t="n"/>
      <c r="I18" s="16" t="n"/>
      <c r="W18" s="12" t="inlineStr">
        <is>
          <t xml:space="preserve">Assests </t>
        </is>
      </c>
      <c r="Z18" s="12" t="inlineStr">
        <is>
          <t>Assest (un Lev)</t>
        </is>
      </c>
    </row>
    <row r="19">
      <c r="I19" s="19" t="inlineStr">
        <is>
          <t>No Spreads Actual Lev</t>
        </is>
      </c>
      <c r="L19" s="12" t="inlineStr">
        <is>
          <t>Actual Lev</t>
        </is>
      </c>
      <c r="N19" s="12">
        <f>SUM(N5:N18)</f>
        <v/>
      </c>
      <c r="O19" s="12" t="inlineStr">
        <is>
          <t>Potential Premium</t>
        </is>
      </c>
      <c r="S19" s="12" t="inlineStr">
        <is>
          <t>Cash</t>
        </is>
      </c>
      <c r="T19" t="inlineStr">
        <is>
          <t>Long Stock</t>
        </is>
      </c>
      <c r="W19" s="12" t="inlineStr">
        <is>
          <t>Long Stock+Cash</t>
        </is>
      </c>
      <c r="Z19" s="12" t="inlineStr">
        <is>
          <t>(Long Stock+Cash) - Actual Lev</t>
        </is>
      </c>
    </row>
    <row r="20">
      <c r="I20" s="16">
        <f>SUM(I4:I18)</f>
        <v/>
      </c>
      <c r="L20" s="16">
        <f>SUM(L4:L17)</f>
        <v/>
      </c>
      <c r="S20" s="20" t="n">
        <v>150443.13</v>
      </c>
      <c r="T20" s="20" t="n">
        <v>0</v>
      </c>
      <c r="W20" s="19" t="n">
        <v>150000</v>
      </c>
      <c r="Z20" s="19">
        <f>$W$20-$L$20</f>
        <v/>
      </c>
      <c r="AA20" s="41" t="n"/>
    </row>
    <row r="21">
      <c r="S21" s="12" t="n"/>
    </row>
    <row r="22">
      <c r="O22" s="19" t="n"/>
      <c r="P22" s="42" t="n"/>
      <c r="Q22" s="42" t="n"/>
      <c r="S22" s="12" t="inlineStr">
        <is>
          <t>Actual Lev % of Cash</t>
        </is>
      </c>
      <c r="W22" s="12" t="inlineStr">
        <is>
          <t>Actual Lev % of Total Assest</t>
        </is>
      </c>
      <c r="Z22" s="12" t="inlineStr">
        <is>
          <t>Buying Power % of Un Leveraged Assest</t>
        </is>
      </c>
    </row>
    <row r="23">
      <c r="F23" s="35" t="n"/>
      <c r="G23" s="35" t="n"/>
      <c r="H23" s="45" t="n"/>
      <c r="I23" s="21" t="n"/>
      <c r="S23" s="42">
        <f>$L$20/$S$20</f>
        <v/>
      </c>
      <c r="W23" s="42">
        <f>$L$20/$W$20</f>
        <v/>
      </c>
      <c r="Z23" s="22">
        <f>$O$22/$Z$20</f>
        <v/>
      </c>
    </row>
    <row r="24">
      <c r="E24" s="12" t="n"/>
      <c r="F24" s="12" t="n"/>
      <c r="G24" s="12" t="n"/>
      <c r="L24" s="19" t="n"/>
      <c r="O24" s="19" t="n"/>
      <c r="P24" s="42" t="n"/>
      <c r="U24" s="43" t="n"/>
      <c r="W24" s="44" t="n"/>
      <c r="X24" s="44" t="n"/>
      <c r="AA24" s="41" t="n"/>
      <c r="AB24" s="41" t="n"/>
    </row>
    <row r="25">
      <c r="E25" s="12" t="n"/>
      <c r="F25" s="12" t="n"/>
      <c r="G25" s="12" t="n"/>
      <c r="L25" s="19" t="n"/>
      <c r="O25" s="19" t="n"/>
      <c r="P25" s="42" t="n"/>
      <c r="U25" s="43" t="n"/>
      <c r="W25" s="44" t="n"/>
      <c r="X25" s="44" t="n"/>
      <c r="AA25" s="41" t="n"/>
      <c r="AB25" s="41" t="n"/>
    </row>
    <row r="26">
      <c r="E26" s="12" t="n"/>
      <c r="F26" s="12" t="n"/>
      <c r="G26" s="12" t="n"/>
      <c r="L26" s="19" t="n"/>
      <c r="O26" s="19" t="n"/>
      <c r="P26" s="42" t="n"/>
      <c r="U26" s="43" t="n"/>
      <c r="W26" s="44" t="n"/>
      <c r="X26" s="44" t="n"/>
      <c r="AA26" s="41" t="n"/>
      <c r="AB26" s="41" t="n"/>
    </row>
    <row r="27">
      <c r="E27" s="12" t="n"/>
      <c r="F27" s="12" t="n"/>
      <c r="G27" s="12" t="n"/>
      <c r="L27" s="19" t="n"/>
      <c r="O27" s="19" t="n"/>
      <c r="P27" s="42" t="n"/>
      <c r="S27" s="42" t="n"/>
      <c r="U27" s="43" t="n"/>
      <c r="W27" s="44" t="n"/>
      <c r="X27" s="44" t="n"/>
      <c r="AA27" s="41" t="n"/>
      <c r="AB27" s="41" t="n"/>
    </row>
    <row r="28">
      <c r="E28" s="12" t="n"/>
      <c r="F28" s="12" t="n"/>
      <c r="G28" s="12" t="n"/>
      <c r="L28" s="19" t="n"/>
      <c r="O28" s="19" t="n"/>
      <c r="P28" s="42" t="n"/>
      <c r="S28" s="42" t="n"/>
      <c r="U28" s="43" t="n"/>
      <c r="W28" s="44" t="n"/>
      <c r="X28" s="44" t="n"/>
      <c r="AA28" s="41" t="n"/>
      <c r="AB28" s="41" t="n"/>
    </row>
    <row r="29">
      <c r="E29" s="12" t="n"/>
      <c r="F29" s="12" t="n"/>
      <c r="G29" s="12" t="n"/>
      <c r="L29" s="19" t="n"/>
      <c r="O29" s="19" t="n"/>
      <c r="P29" s="42" t="n"/>
      <c r="Q29" s="12" t="inlineStr">
        <is>
          <t>No Spread</t>
        </is>
      </c>
      <c r="S29" s="12" t="inlineStr">
        <is>
          <t>Actual Lev % of Cash</t>
        </is>
      </c>
      <c r="U29" s="43" t="n"/>
      <c r="W29" s="12" t="inlineStr">
        <is>
          <t>Actual Lev % of Total Assest</t>
        </is>
      </c>
      <c r="X29" s="44" t="n"/>
      <c r="AA29" s="41" t="n"/>
      <c r="AB29" s="41" t="n"/>
    </row>
    <row r="30">
      <c r="E30" s="12" t="n"/>
      <c r="F30" s="12" t="n"/>
      <c r="G30" s="12" t="n"/>
      <c r="L30" s="19" t="n"/>
      <c r="O30" s="19" t="n"/>
      <c r="P30" s="42" t="n"/>
      <c r="S30" s="42">
        <f>$I$20/$S$20</f>
        <v/>
      </c>
      <c r="U30" s="43" t="n"/>
      <c r="W30" s="42">
        <f>$I$20/$W$20</f>
        <v/>
      </c>
      <c r="X30" s="44" t="n"/>
      <c r="AA30" s="41" t="n"/>
      <c r="AB30" s="41" t="n"/>
    </row>
    <row r="31">
      <c r="E31" s="12" t="n"/>
      <c r="F31" s="12" t="n"/>
      <c r="G31" s="12" t="n"/>
      <c r="L31" s="19" t="n"/>
      <c r="O31" s="19" t="n"/>
      <c r="P31" s="42" t="n"/>
      <c r="S31" s="42" t="n"/>
      <c r="U31" s="43" t="n"/>
      <c r="W31" s="44" t="n"/>
      <c r="X31" s="44" t="n"/>
      <c r="AA31" s="41" t="n"/>
      <c r="AB31" s="41" t="n"/>
    </row>
    <row r="32">
      <c r="E32" s="12" t="n"/>
      <c r="F32" s="12" t="n"/>
      <c r="G32" s="12" t="n"/>
      <c r="L32" s="19" t="n"/>
      <c r="O32" s="19" t="n"/>
      <c r="P32" s="42" t="n"/>
      <c r="S32" s="42" t="n"/>
      <c r="U32" s="43" t="n"/>
      <c r="W32" s="44" t="n"/>
      <c r="X32" s="44" t="n"/>
      <c r="AA32" s="41" t="n"/>
      <c r="AB32" s="41" t="n"/>
    </row>
    <row r="33">
      <c r="E33" s="12" t="n"/>
      <c r="F33" s="12" t="n"/>
      <c r="G33" s="12" t="n"/>
      <c r="L33" s="19" t="n"/>
      <c r="O33" s="19" t="n"/>
      <c r="P33" s="42" t="n"/>
      <c r="S33" s="42" t="n"/>
      <c r="U33" s="43" t="n"/>
      <c r="W33" s="44" t="n"/>
      <c r="X33" s="44" t="n"/>
      <c r="AA33" s="41" t="n"/>
      <c r="AB33" s="41" t="n"/>
    </row>
    <row r="34">
      <c r="E34" s="12" t="n"/>
      <c r="F34" s="12" t="n"/>
      <c r="G34" s="12" t="n"/>
      <c r="L34" s="19" t="n"/>
      <c r="O34" s="19" t="n"/>
      <c r="P34" s="42" t="n"/>
      <c r="S34" s="42" t="n"/>
      <c r="U34" s="43" t="n"/>
      <c r="W34" s="44" t="n"/>
      <c r="X34" s="44" t="n"/>
      <c r="AA34" s="41" t="n"/>
      <c r="AB34" s="41" t="n"/>
    </row>
    <row r="35">
      <c r="E35" s="12" t="n"/>
      <c r="F35" s="12" t="n"/>
      <c r="G35" s="12" t="n"/>
      <c r="L35" s="19" t="n"/>
      <c r="O35" s="19" t="n"/>
      <c r="P35" s="42" t="n"/>
      <c r="S35" s="42" t="n"/>
      <c r="U35" s="43" t="n"/>
      <c r="W35" s="44" t="n"/>
      <c r="X35" s="44" t="n"/>
      <c r="AA35" s="41" t="n"/>
      <c r="AB35" s="41" t="n"/>
    </row>
    <row r="36">
      <c r="E36" s="12" t="n"/>
      <c r="F36" s="12" t="n"/>
      <c r="G36" s="12" t="n"/>
      <c r="L36" s="19" t="n"/>
      <c r="O36" s="19" t="n"/>
      <c r="P36" s="42" t="n"/>
      <c r="U36" s="43" t="n"/>
      <c r="W36" s="44" t="n"/>
      <c r="X36" s="44" t="n"/>
      <c r="AA36" s="41" t="n"/>
      <c r="AB36" s="41" t="n"/>
    </row>
    <row customHeight="1" ht="30" r="37" s="52">
      <c r="A37" s="13" t="inlineStr">
        <is>
          <t>Potential Adds</t>
        </is>
      </c>
      <c r="B37" s="13" t="n"/>
      <c r="E37" s="35" t="inlineStr">
        <is>
          <t>Price Target</t>
        </is>
      </c>
      <c r="F37" s="17" t="inlineStr">
        <is>
          <t>earnings date</t>
        </is>
      </c>
      <c r="G37" s="17" t="inlineStr">
        <is>
          <t>ex div date</t>
        </is>
      </c>
      <c r="H37" s="46" t="inlineStr">
        <is>
          <t>RSI</t>
        </is>
      </c>
      <c r="I37" s="27" t="inlineStr">
        <is>
          <t>MACD</t>
        </is>
      </c>
      <c r="L37" s="19" t="n"/>
      <c r="O37" s="19" t="n"/>
      <c r="P37" s="42" t="n"/>
      <c r="U37" s="43" t="n"/>
      <c r="W37" s="44" t="n"/>
      <c r="X37" s="44" t="n"/>
      <c r="AA37" s="41" t="n"/>
      <c r="AB37" s="41" t="n"/>
    </row>
    <row r="38">
      <c r="P38" s="42" t="n"/>
      <c r="U38" s="43" t="n"/>
      <c r="W38" s="44" t="n"/>
      <c r="X38" s="44" t="n"/>
      <c r="AA38" s="41" t="n"/>
      <c r="AB38" s="41" t="n"/>
    </row>
    <row customHeight="1" ht="30" r="39" s="52">
      <c r="A39" t="inlineStr">
        <is>
          <t>dbx</t>
        </is>
      </c>
      <c r="C39" s="34" t="n">
        <v>44326</v>
      </c>
      <c r="D39" s="34" t="n">
        <v>44351</v>
      </c>
      <c r="F39" s="34" t="inlineStr">
        <is>
          <t>8/5 unconf</t>
        </is>
      </c>
      <c r="G39" s="34" t="inlineStr">
        <is>
          <t>no div</t>
        </is>
      </c>
      <c r="H39" s="39" t="n">
        <v>46.03</v>
      </c>
      <c r="I39" s="17" t="inlineStr">
        <is>
          <t>2 bars rising</t>
        </is>
      </c>
      <c r="J39" s="12" t="n">
        <v>24.5</v>
      </c>
      <c r="K39" s="12" t="n">
        <v>4</v>
      </c>
      <c r="L39" s="12">
        <f>(J39*K39)*100</f>
        <v/>
      </c>
      <c r="M39" s="12" t="n">
        <v>0.61</v>
      </c>
      <c r="N39" s="12">
        <f>(K39*M39)*100</f>
        <v/>
      </c>
      <c r="O39" s="12">
        <f>D39-C39</f>
        <v/>
      </c>
      <c r="P39" s="42">
        <f>(N39/L39)*(365/O39)</f>
        <v/>
      </c>
      <c r="Q39" s="12" t="n">
        <v>0.41</v>
      </c>
      <c r="R39">
        <f>(Q39*K39)*100</f>
        <v/>
      </c>
      <c r="S39">
        <f>N39-R39</f>
        <v/>
      </c>
      <c r="T39">
        <f>E39-C39</f>
        <v/>
      </c>
      <c r="U39" s="43">
        <f>(S39/L39)*(365/T39)</f>
        <v/>
      </c>
      <c r="W39" s="44">
        <f>S39/N39</f>
        <v/>
      </c>
      <c r="X39" s="44">
        <f>T39/O39</f>
        <v/>
      </c>
      <c r="Y39" s="12">
        <f>N39-S39</f>
        <v/>
      </c>
      <c r="Z39" s="12">
        <f>D39-E39</f>
        <v/>
      </c>
      <c r="AA39" s="41">
        <f>(Y39/L39)*(365/Z39)</f>
        <v/>
      </c>
      <c r="AB39" s="41"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2">
        <f>(N40/L40)*(365/O40)</f>
        <v/>
      </c>
      <c r="Q40" s="12" t="n">
        <v>0.9</v>
      </c>
      <c r="R40">
        <f>(Q40*K40)*100</f>
        <v/>
      </c>
      <c r="S40">
        <f>N40-R40</f>
        <v/>
      </c>
      <c r="T40">
        <f>E40-C40</f>
        <v/>
      </c>
      <c r="U40" s="43">
        <f>(S40/L40)*(365/T40)</f>
        <v/>
      </c>
      <c r="W40" s="44">
        <f>S40/N40</f>
        <v/>
      </c>
      <c r="X40" s="44">
        <f>T40/O40</f>
        <v/>
      </c>
      <c r="Y40" s="12">
        <f>N40-S40</f>
        <v/>
      </c>
      <c r="Z40" s="12">
        <f>D40-E40</f>
        <v/>
      </c>
      <c r="AA40" s="41">
        <f>(Y40/L40)*(365/Z40)</f>
        <v/>
      </c>
      <c r="AB40" s="41" t="n"/>
    </row>
    <row customHeight="1" ht="30" r="41" s="52">
      <c r="A41" t="inlineStr">
        <is>
          <t>SNAP</t>
        </is>
      </c>
      <c r="C41" s="34" t="n">
        <v>44326</v>
      </c>
      <c r="D41" s="34" t="n">
        <v>44344</v>
      </c>
      <c r="E41" s="34" t="inlineStr">
        <is>
          <t>175 or 200</t>
        </is>
      </c>
      <c r="F41" s="34" t="inlineStr">
        <is>
          <t>7/20/21 unconf</t>
        </is>
      </c>
      <c r="G41" s="17" t="inlineStr">
        <is>
          <t>no div</t>
        </is>
      </c>
      <c r="H41" s="39" t="n">
        <v>41.78</v>
      </c>
      <c r="I41" s="17" t="inlineStr">
        <is>
          <t>1 bar rising</t>
        </is>
      </c>
      <c r="J41" s="51" t="n">
        <v>50</v>
      </c>
      <c r="K41" s="12" t="n">
        <v>2</v>
      </c>
      <c r="L41" s="12">
        <f>(J41*K41)*100</f>
        <v/>
      </c>
      <c r="M41" s="12" t="n">
        <v>1.09</v>
      </c>
      <c r="N41" s="12">
        <f>(K41*M41)*100</f>
        <v/>
      </c>
      <c r="O41" s="12">
        <f>D41-C41</f>
        <v/>
      </c>
      <c r="P41" s="42">
        <f>(N41/L41)*(365/O41)</f>
        <v/>
      </c>
      <c r="Q41" s="12" t="n">
        <v>1.75</v>
      </c>
      <c r="R41">
        <f>(Q41*K41)*100</f>
        <v/>
      </c>
      <c r="S41">
        <f>N41-R41</f>
        <v/>
      </c>
      <c r="T41">
        <f>E41-C41</f>
        <v/>
      </c>
      <c r="U41" s="43">
        <f>(S41/L41)*(365/T41)</f>
        <v/>
      </c>
      <c r="W41" s="44">
        <f>S41/N41</f>
        <v/>
      </c>
      <c r="X41" s="44">
        <f>T41/O41</f>
        <v/>
      </c>
      <c r="Y41" s="12">
        <f>N41-S41</f>
        <v/>
      </c>
      <c r="Z41" s="12">
        <f>D41-E41</f>
        <v/>
      </c>
      <c r="AA41" s="41">
        <f>(Y41/L41)*(365/Z41)</f>
        <v/>
      </c>
      <c r="AB41" s="41" t="n"/>
    </row>
    <row customHeight="1" ht="45" r="42" s="52">
      <c r="A42" t="inlineStr">
        <is>
          <t>WU</t>
        </is>
      </c>
      <c r="C42" s="34" t="n">
        <v>44326</v>
      </c>
      <c r="D42" s="34" t="n">
        <v>44323</v>
      </c>
      <c r="F42" s="34" t="inlineStr">
        <is>
          <t>8/3 unconf</t>
        </is>
      </c>
      <c r="G42" s="34" t="n">
        <v>44271</v>
      </c>
      <c r="H42" s="39" t="n">
        <v>44.27</v>
      </c>
      <c r="I42" s="17" t="inlineStr">
        <is>
          <t>no rising bars</t>
        </is>
      </c>
      <c r="J42" s="51" t="n">
        <v>25</v>
      </c>
      <c r="K42" s="12" t="n">
        <v>2</v>
      </c>
      <c r="L42" s="12">
        <f>(J42*K42)*100</f>
        <v/>
      </c>
      <c r="M42" s="12" t="n">
        <v>1.01</v>
      </c>
      <c r="N42" s="12">
        <f>(K42*M42)*100</f>
        <v/>
      </c>
      <c r="O42" s="12">
        <f>D42-C42</f>
        <v/>
      </c>
      <c r="P42" s="42">
        <f>(N42/L42)*(365/O42)</f>
        <v/>
      </c>
      <c r="Q42" s="12" t="n">
        <v>0.77</v>
      </c>
      <c r="R42">
        <f>(Q42*K42)*100</f>
        <v/>
      </c>
      <c r="S42">
        <f>N42-R42</f>
        <v/>
      </c>
      <c r="T42">
        <f>E42-C42</f>
        <v/>
      </c>
      <c r="U42" s="43">
        <f>(S42/L42)*(365/T42)</f>
        <v/>
      </c>
      <c r="W42" s="44">
        <f>S42/N42</f>
        <v/>
      </c>
      <c r="X42" s="44">
        <f>T42/O42</f>
        <v/>
      </c>
      <c r="Y42" s="12">
        <f>N42-S42</f>
        <v/>
      </c>
      <c r="Z42" s="12">
        <f>D42-E42</f>
        <v/>
      </c>
      <c r="AA42" s="41">
        <f>(Y42/L42)*(365/Z42)</f>
        <v/>
      </c>
      <c r="AB42" s="41" t="n"/>
    </row>
    <row customHeight="1" ht="30" r="43" s="52">
      <c r="A43" t="inlineStr">
        <is>
          <t>TGI</t>
        </is>
      </c>
      <c r="C43" s="34" t="n">
        <v>44326</v>
      </c>
      <c r="D43" s="34" t="n">
        <v>44365</v>
      </c>
      <c r="E43" s="34" t="n">
        <v>44313</v>
      </c>
      <c r="F43" s="34" t="n">
        <v>44336</v>
      </c>
      <c r="G43" s="34" t="inlineStr">
        <is>
          <t>no div</t>
        </is>
      </c>
      <c r="H43" s="39" t="n">
        <v>41.9</v>
      </c>
      <c r="I43" s="17" t="inlineStr">
        <is>
          <t>3 bars rising</t>
        </is>
      </c>
      <c r="J43" s="12" t="n">
        <v>15</v>
      </c>
      <c r="K43" s="12" t="n">
        <v>5</v>
      </c>
      <c r="L43" s="12">
        <f>(J43*K43)*100</f>
        <v/>
      </c>
      <c r="M43" s="12" t="n">
        <v>0.9</v>
      </c>
      <c r="N43" s="12">
        <f>(K43*M43)*100</f>
        <v/>
      </c>
      <c r="O43" s="12">
        <f>D43-C43</f>
        <v/>
      </c>
      <c r="P43" s="42">
        <f>(N43/L43)*(365/O43)</f>
        <v/>
      </c>
      <c r="Q43" s="12" t="n">
        <v>0.09</v>
      </c>
      <c r="R43" t="n">
        <v>28.99</v>
      </c>
      <c r="S43">
        <f>N43-R43</f>
        <v/>
      </c>
      <c r="T43">
        <f>E43-C43</f>
        <v/>
      </c>
      <c r="U43" s="43">
        <f>(S43/L43)*(365/T43)</f>
        <v/>
      </c>
      <c r="W43" s="44">
        <f>S43/N43</f>
        <v/>
      </c>
      <c r="X43" s="44">
        <f>T43/O43</f>
        <v/>
      </c>
      <c r="Y43" s="12">
        <f>N43-S43</f>
        <v/>
      </c>
      <c r="Z43" s="12">
        <f>D43-E43</f>
        <v/>
      </c>
      <c r="AA43" s="41">
        <f>(Y43/L43)*(365/Z43)</f>
        <v/>
      </c>
      <c r="AB43" s="41" t="n"/>
    </row>
    <row r="44">
      <c r="J44" s="34" t="n"/>
      <c r="K44" s="34" t="n"/>
      <c r="L44" s="34" t="n"/>
      <c r="M44" s="34" t="n"/>
      <c r="N44" s="34" t="n"/>
      <c r="P44" s="42" t="n"/>
      <c r="U44" s="43" t="n"/>
      <c r="W44" s="44" t="n"/>
      <c r="X44" s="44" t="n"/>
      <c r="AA44" s="41" t="n"/>
      <c r="AB44" s="41" t="n"/>
    </row>
    <row r="45">
      <c r="J45" s="34" t="n"/>
      <c r="K45" s="34" t="n"/>
      <c r="L45" s="34" t="n"/>
      <c r="M45" s="34" t="n"/>
      <c r="N45" s="34" t="n"/>
    </row>
    <row r="46">
      <c r="A46" s="13" t="n"/>
      <c r="B46" s="13" t="n"/>
    </row>
    <row r="48">
      <c r="A48" s="23" t="inlineStr">
        <is>
          <t>% of Max Profit</t>
        </is>
      </c>
      <c r="B48" s="23" t="n"/>
      <c r="C48" s="23" t="inlineStr">
        <is>
          <t>Days</t>
        </is>
      </c>
      <c r="D48" s="23" t="inlineStr">
        <is>
          <t>% of Time</t>
        </is>
      </c>
      <c r="E48" s="24" t="n"/>
      <c r="F48" s="24" t="n"/>
      <c r="G48" s="24" t="n"/>
      <c r="H48" s="47" t="n"/>
      <c r="I48" s="25" t="n"/>
      <c r="J48" s="24" t="n"/>
      <c r="K48" s="23" t="inlineStr">
        <is>
          <t>% of Max Profit</t>
        </is>
      </c>
      <c r="L48" s="23" t="inlineStr">
        <is>
          <t>Days</t>
        </is>
      </c>
      <c r="M48" s="23" t="inlineStr">
        <is>
          <t>% of Time</t>
        </is>
      </c>
    </row>
    <row r="49">
      <c r="A49" s="23" t="n">
        <v>10</v>
      </c>
      <c r="B49" s="23" t="n"/>
      <c r="C49" s="23" t="n">
        <v>3</v>
      </c>
      <c r="D49" s="26" t="n">
        <v>0.067</v>
      </c>
      <c r="E49" s="24" t="n"/>
      <c r="F49" s="24" t="n"/>
      <c r="G49" s="24" t="n"/>
      <c r="H49" s="47" t="n"/>
      <c r="I49" s="25" t="n"/>
      <c r="J49" s="24" t="n"/>
      <c r="K49" s="23" t="n">
        <v>10</v>
      </c>
      <c r="L49" s="23" t="n">
        <v>2</v>
      </c>
      <c r="M49" s="26" t="n">
        <v>0.057</v>
      </c>
    </row>
    <row r="50">
      <c r="A50" s="23" t="n">
        <v>20</v>
      </c>
      <c r="B50" s="23" t="n"/>
      <c r="C50" s="23" t="n">
        <v>6</v>
      </c>
      <c r="D50" s="26" t="n">
        <v>0.133</v>
      </c>
      <c r="E50" s="24" t="n"/>
      <c r="F50" s="24" t="n"/>
      <c r="G50" s="24" t="n"/>
      <c r="H50" s="47" t="n"/>
      <c r="I50" s="25" t="n"/>
      <c r="J50" s="24" t="n"/>
      <c r="K50" s="23" t="n">
        <v>20</v>
      </c>
      <c r="L50" s="23" t="n">
        <v>5</v>
      </c>
      <c r="M50" s="26" t="n">
        <v>0.143</v>
      </c>
    </row>
    <row r="51">
      <c r="A51" s="23" t="n">
        <v>30</v>
      </c>
      <c r="B51" s="23" t="n"/>
      <c r="C51" s="23" t="n">
        <v>10</v>
      </c>
      <c r="D51" s="26" t="n">
        <v>0.222</v>
      </c>
      <c r="E51" s="24" t="n"/>
      <c r="F51" s="24" t="n"/>
      <c r="G51" s="24" t="n"/>
      <c r="H51" s="47" t="n"/>
      <c r="I51" s="25" t="n"/>
      <c r="J51" s="24" t="n"/>
      <c r="K51" s="23" t="n">
        <v>30</v>
      </c>
      <c r="L51" s="23" t="n">
        <v>8</v>
      </c>
      <c r="M51" s="26" t="n">
        <v>0.229</v>
      </c>
    </row>
    <row r="52">
      <c r="A52" s="23" t="n">
        <v>40</v>
      </c>
      <c r="B52" s="23" t="n"/>
      <c r="C52" s="23" t="n">
        <v>15</v>
      </c>
      <c r="D52" s="26" t="n">
        <v>0.333</v>
      </c>
      <c r="E52" s="24" t="n"/>
      <c r="F52" s="24" t="n"/>
      <c r="G52" s="24" t="n"/>
      <c r="H52" s="47" t="n"/>
      <c r="I52" s="25" t="n"/>
      <c r="J52" s="24" t="n"/>
      <c r="K52" s="23" t="n">
        <v>40</v>
      </c>
      <c r="L52" s="23" t="n">
        <v>12</v>
      </c>
      <c r="M52" s="26" t="n">
        <v>0.343</v>
      </c>
    </row>
    <row r="53">
      <c r="A53" s="23" t="n">
        <v>50</v>
      </c>
      <c r="B53" s="23" t="n"/>
      <c r="C53" s="23" t="n">
        <v>19</v>
      </c>
      <c r="D53" s="26" t="n">
        <v>0.422</v>
      </c>
      <c r="E53" s="24" t="n"/>
      <c r="F53" s="24" t="n"/>
      <c r="G53" s="24" t="n"/>
      <c r="H53" s="47" t="n"/>
      <c r="I53" s="25" t="n"/>
      <c r="J53" s="24" t="n"/>
      <c r="K53" s="23" t="n">
        <v>50</v>
      </c>
      <c r="L53" s="23" t="n">
        <v>15</v>
      </c>
      <c r="M53" s="26" t="n">
        <v>0.429</v>
      </c>
    </row>
    <row r="54">
      <c r="A54" s="23" t="n">
        <v>60</v>
      </c>
      <c r="B54" s="23" t="n"/>
      <c r="C54" s="23" t="n">
        <v>24</v>
      </c>
      <c r="D54" s="26" t="n">
        <v>0.533</v>
      </c>
      <c r="E54" s="24" t="n"/>
      <c r="F54" s="24" t="n"/>
      <c r="G54" s="24" t="n"/>
      <c r="H54" s="47" t="n"/>
      <c r="I54" s="25" t="n"/>
      <c r="J54" s="24" t="n"/>
      <c r="K54" s="23" t="n">
        <v>60</v>
      </c>
      <c r="L54" s="23" t="n">
        <v>19</v>
      </c>
      <c r="M54" s="26" t="n">
        <v>0.543</v>
      </c>
    </row>
    <row r="55">
      <c r="A55" s="23" t="n">
        <v>70</v>
      </c>
      <c r="B55" s="23" t="n"/>
      <c r="C55" s="23" t="n">
        <v>28</v>
      </c>
      <c r="D55" s="26" t="n">
        <v>0.622</v>
      </c>
      <c r="E55" s="24" t="n"/>
      <c r="F55" s="24" t="n"/>
      <c r="G55" s="24" t="n"/>
      <c r="H55" s="47" t="n"/>
      <c r="I55" s="25" t="n"/>
      <c r="J55" s="24" t="n"/>
      <c r="K55" s="23" t="n">
        <v>70</v>
      </c>
      <c r="L55" s="23" t="n">
        <v>22</v>
      </c>
      <c r="M55" s="26" t="n">
        <v>0.629</v>
      </c>
    </row>
    <row r="56">
      <c r="A56" s="23" t="n">
        <v>80</v>
      </c>
      <c r="B56" s="23" t="n"/>
      <c r="C56" s="23" t="n">
        <v>32</v>
      </c>
      <c r="D56" s="26" t="n">
        <v>0.711</v>
      </c>
      <c r="E56" s="24" t="n"/>
      <c r="F56" s="24" t="n"/>
      <c r="G56" s="24" t="n"/>
      <c r="H56" s="47" t="n"/>
      <c r="I56" s="25" t="n"/>
      <c r="J56" s="24" t="n"/>
      <c r="K56" s="23" t="n">
        <v>80</v>
      </c>
      <c r="L56" s="23" t="n">
        <v>25</v>
      </c>
      <c r="M56" s="26" t="n">
        <v>0.714</v>
      </c>
    </row>
    <row r="57">
      <c r="A57" s="23" t="n">
        <v>90</v>
      </c>
      <c r="B57" s="23" t="n"/>
      <c r="C57" s="23" t="n">
        <v>35</v>
      </c>
      <c r="D57" s="26" t="n">
        <v>0.778</v>
      </c>
      <c r="E57" s="24" t="n"/>
      <c r="F57" s="24" t="n"/>
      <c r="G57" s="24" t="n"/>
      <c r="H57" s="47" t="n"/>
      <c r="I57" s="25" t="n"/>
      <c r="J57" s="24" t="n"/>
      <c r="K57" s="23" t="n">
        <v>90</v>
      </c>
      <c r="L57" s="23" t="n">
        <v>27</v>
      </c>
      <c r="M57" s="26" t="n">
        <v>0.771</v>
      </c>
    </row>
    <row r="58">
      <c r="A58" s="23" t="n">
        <v>100</v>
      </c>
      <c r="B58" s="23" t="n"/>
      <c r="C58" s="23" t="n">
        <v>45</v>
      </c>
      <c r="D58" s="26" t="n">
        <v>1</v>
      </c>
      <c r="E58" s="24" t="n"/>
      <c r="F58" s="24" t="n"/>
      <c r="G58" s="24" t="n"/>
      <c r="H58" s="47" t="n"/>
      <c r="I58" s="25" t="n"/>
      <c r="J58" s="24" t="n"/>
      <c r="K58" s="23" t="n">
        <v>100</v>
      </c>
      <c r="L58" s="23" t="n">
        <v>35</v>
      </c>
      <c r="M58" s="26" t="n">
        <v>1</v>
      </c>
    </row>
    <row r="61">
      <c r="A61" t="inlineStr">
        <is>
          <t>sfIX</t>
        </is>
      </c>
      <c r="C61" s="34" t="n">
        <v>44314</v>
      </c>
      <c r="D61" s="34" t="n">
        <v>44344</v>
      </c>
      <c r="E61" s="34" t="inlineStr">
        <is>
          <t>90 or 106</t>
        </is>
      </c>
      <c r="I61" s="17" t="n"/>
      <c r="J61" s="51" t="n">
        <v>45</v>
      </c>
      <c r="K61" s="12" t="n">
        <v>2</v>
      </c>
      <c r="L61" s="12">
        <f>(J61*K61)*100</f>
        <v/>
      </c>
      <c r="M61" s="12" t="n">
        <v>2.32</v>
      </c>
      <c r="N61" s="12">
        <f>(K61*M61)*100</f>
        <v/>
      </c>
      <c r="O61" s="12">
        <f>D61-C61</f>
        <v/>
      </c>
      <c r="P61" s="42">
        <f>(N61/L61)*(365/O61)</f>
        <v/>
      </c>
      <c r="Q61" s="12" t="n">
        <v>0.77</v>
      </c>
      <c r="R61">
        <f>(Q61*K61)*100</f>
        <v/>
      </c>
      <c r="S61">
        <f>N61-R61</f>
        <v/>
      </c>
      <c r="T61">
        <f>E61-C61</f>
        <v/>
      </c>
      <c r="U61" s="43">
        <f>(S61/L61)*(365/T61)</f>
        <v/>
      </c>
      <c r="W61" s="44">
        <f>S61/N61</f>
        <v/>
      </c>
      <c r="X61" s="44">
        <f>T61/O61</f>
        <v/>
      </c>
      <c r="Y61" s="12">
        <f>N61-S61</f>
        <v/>
      </c>
      <c r="Z61" s="12">
        <f>D61-E61</f>
        <v/>
      </c>
      <c r="AA61" s="41">
        <f>(Y61/L61)*(365/Z61)</f>
        <v/>
      </c>
      <c r="AB61" s="41" t="n"/>
    </row>
    <row r="62">
      <c r="A62" t="inlineStr">
        <is>
          <t>sfIX</t>
        </is>
      </c>
      <c r="C62" s="34" t="n">
        <v>44314</v>
      </c>
      <c r="D62" s="34" t="n">
        <v>44337</v>
      </c>
      <c r="E62" s="34" t="inlineStr">
        <is>
          <t>90 or 106</t>
        </is>
      </c>
      <c r="I62" s="17" t="n"/>
      <c r="J62" s="51" t="n">
        <v>45</v>
      </c>
      <c r="K62" s="12" t="n">
        <v>2</v>
      </c>
      <c r="L62" s="12">
        <f>(J62*K62)*100</f>
        <v/>
      </c>
      <c r="M62" s="12" t="n">
        <v>2.01</v>
      </c>
      <c r="N62" s="12">
        <f>(K62*M62)*100</f>
        <v/>
      </c>
      <c r="O62" s="12">
        <f>D62-C62</f>
        <v/>
      </c>
      <c r="P62" s="42">
        <f>(N62/L62)*(365/O62)</f>
        <v/>
      </c>
      <c r="Q62" s="12" t="n">
        <v>0.77</v>
      </c>
      <c r="R62">
        <f>(Q62*K62)*100</f>
        <v/>
      </c>
      <c r="S62">
        <f>N62-R62</f>
        <v/>
      </c>
      <c r="T62">
        <f>E62-C62</f>
        <v/>
      </c>
      <c r="U62" s="43">
        <f>(S62/L62)*(365/T62)</f>
        <v/>
      </c>
      <c r="W62" s="44">
        <f>S62/N62</f>
        <v/>
      </c>
      <c r="X62" s="44">
        <f>T62/O62</f>
        <v/>
      </c>
      <c r="Y62" s="12">
        <f>N62-S62</f>
        <v/>
      </c>
      <c r="Z62" s="12">
        <f>D62-E62</f>
        <v/>
      </c>
      <c r="AA62" s="41">
        <f>(Y62/L62)*(365/Z62)</f>
        <v/>
      </c>
      <c r="AB62" s="41" t="n"/>
    </row>
    <row r="63">
      <c r="A63" t="inlineStr">
        <is>
          <t>sfIX</t>
        </is>
      </c>
      <c r="C63" s="34" t="n">
        <v>44314</v>
      </c>
      <c r="D63" s="34" t="n">
        <v>44330</v>
      </c>
      <c r="E63" s="34" t="inlineStr">
        <is>
          <t>90 or 106</t>
        </is>
      </c>
      <c r="I63" s="17" t="n"/>
      <c r="J63" s="51" t="n">
        <v>45</v>
      </c>
      <c r="K63" s="12" t="n">
        <v>2</v>
      </c>
      <c r="L63" s="12">
        <f>(J63*K63)*100</f>
        <v/>
      </c>
      <c r="M63" s="12" t="n">
        <v>1.61</v>
      </c>
      <c r="N63" s="12">
        <f>(K63*M63)*100</f>
        <v/>
      </c>
      <c r="O63" s="12">
        <f>D63-C63</f>
        <v/>
      </c>
      <c r="P63" s="42">
        <f>(N63/L63)*(365/O63)</f>
        <v/>
      </c>
      <c r="Q63" s="12" t="n">
        <v>0.77</v>
      </c>
      <c r="R63">
        <f>(Q63*K63)*100</f>
        <v/>
      </c>
      <c r="S63">
        <f>N63-R63</f>
        <v/>
      </c>
      <c r="T63">
        <f>E63-C63</f>
        <v/>
      </c>
      <c r="U63" s="43">
        <f>(S63/L63)*(365/T63)</f>
        <v/>
      </c>
      <c r="W63" s="44">
        <f>S63/N63</f>
        <v/>
      </c>
      <c r="X63" s="44">
        <f>T63/O63</f>
        <v/>
      </c>
      <c r="Y63" s="12">
        <f>N63-S63</f>
        <v/>
      </c>
      <c r="Z63" s="12">
        <f>D63-E63</f>
        <v/>
      </c>
      <c r="AA63" s="41">
        <f>(Y63/L63)*(365/Z63)</f>
        <v/>
      </c>
      <c r="AB63" s="41" t="n"/>
    </row>
    <row r="64">
      <c r="A64" t="inlineStr">
        <is>
          <t>sfIX</t>
        </is>
      </c>
      <c r="C64" s="34" t="n">
        <v>44314</v>
      </c>
      <c r="D64" s="34" t="n">
        <v>44323</v>
      </c>
      <c r="E64" s="34" t="inlineStr">
        <is>
          <t>90 or 106</t>
        </is>
      </c>
      <c r="I64" s="17" t="n"/>
      <c r="J64" s="51" t="n">
        <v>45</v>
      </c>
      <c r="K64" s="12" t="n">
        <v>2</v>
      </c>
      <c r="L64" s="12">
        <f>(J64*K64)*100</f>
        <v/>
      </c>
      <c r="M64" s="12" t="n">
        <v>0.98</v>
      </c>
      <c r="N64" s="12">
        <f>(K64*M64)*100</f>
        <v/>
      </c>
      <c r="O64" s="12">
        <f>D64-C64</f>
        <v/>
      </c>
      <c r="P64" s="42">
        <f>(N64/L64)*(365/O64)</f>
        <v/>
      </c>
      <c r="Q64" s="12" t="n">
        <v>0.77</v>
      </c>
      <c r="R64">
        <f>(Q64*K64)*100</f>
        <v/>
      </c>
      <c r="S64">
        <f>N64-R64</f>
        <v/>
      </c>
      <c r="T64">
        <f>E64-C64</f>
        <v/>
      </c>
      <c r="U64" s="43">
        <f>(S64/L64)*(365/T64)</f>
        <v/>
      </c>
      <c r="W64" s="44">
        <f>S64/N64</f>
        <v/>
      </c>
      <c r="X64" s="44">
        <f>T64/O64</f>
        <v/>
      </c>
      <c r="Y64" s="12">
        <f>N64-S64</f>
        <v/>
      </c>
      <c r="Z64" s="12">
        <f>D64-E64</f>
        <v/>
      </c>
      <c r="AA64" s="41">
        <f>(Y64/L64)*(365/Z64)</f>
        <v/>
      </c>
      <c r="AB64" s="41" t="n"/>
    </row>
  </sheetData>
  <conditionalFormatting sqref="G5">
    <cfRule dxfId="132" operator="equal" priority="3" type="cellIs">
      <formula>"ITM"</formula>
    </cfRule>
  </conditionalFormatting>
  <conditionalFormatting sqref="G6:G11">
    <cfRule dxfId="132" operator="equal" priority="2" type="cellIs">
      <formula>"ITM"</formula>
    </cfRule>
  </conditionalFormatting>
  <conditionalFormatting sqref="G12">
    <cfRule dxfId="132"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M116"/>
  <sheetViews>
    <sheetView tabSelected="1" workbookViewId="0" zoomScale="80" zoomScaleNormal="80">
      <selection activeCell="F12" sqref="F12"/>
    </sheetView>
  </sheetViews>
  <sheetFormatPr baseColWidth="8" defaultColWidth="9.140625" defaultRowHeight="15"/>
  <cols>
    <col bestFit="1" customWidth="1" max="1" min="1" style="61" width="39.140625"/>
    <col customWidth="1" max="2" min="2" style="61" width="5.28515625"/>
    <col customWidth="1" max="3" min="3" style="61" width="4.7109375"/>
    <col customWidth="1" max="4" min="4" style="63" width="6.28515625"/>
    <col customWidth="1" max="5" min="5" style="63" width="12.28515625"/>
    <col customWidth="1" max="6" min="6" style="2" width="13.7109375"/>
    <col customWidth="1" max="7" min="7" style="48" width="10.42578125"/>
    <col customWidth="1" max="9" min="8" style="60" width="6.28515625"/>
    <col customWidth="1" max="10" min="10" style="60" width="6.5703125"/>
    <col customWidth="1" max="11" min="11" style="64" width="8.5703125"/>
    <col customWidth="1" max="12" min="12" style="29" width="7.85546875"/>
    <col customWidth="1" max="14" min="13" style="64" width="7.85546875"/>
    <col bestFit="1" customWidth="1" max="15" min="15" style="64" width="8.42578125"/>
    <col customWidth="1" max="16" min="16" style="64" width="9.140625"/>
    <col customWidth="1" max="17" min="17" style="60" width="10.42578125"/>
    <col customWidth="1" max="18" min="18" style="60" width="6.28515625"/>
    <col bestFit="1" customWidth="1" max="19" min="19" style="61" width="7.28515625"/>
    <col customWidth="1" max="21" min="20" style="61" width="9.42578125"/>
    <col customWidth="1" max="22" min="22" style="61" width="9.140625"/>
    <col customWidth="1" max="23" min="23" style="61" width="10.5703125"/>
    <col customWidth="1" max="24" min="24" style="62" width="9.7109375"/>
    <col customWidth="1" max="25" min="25" style="61" width="9.140625"/>
    <col customWidth="1" max="26" min="26" style="61" width="7.5703125"/>
    <col customWidth="1" max="27" min="27" style="63" width="9.140625"/>
    <col customWidth="1" max="28" min="28" style="64" width="9.140625"/>
    <col customWidth="1" max="29" min="29" style="64" width="8.7109375"/>
    <col bestFit="1" customWidth="1" max="30" min="30" style="64" width="8.42578125"/>
    <col customWidth="1" max="31" min="31" style="64" width="8.140625"/>
    <col customWidth="1" max="32" min="32" style="61" width="9.140625"/>
    <col customWidth="1" max="34" min="33" style="60" width="9.7109375"/>
    <col bestFit="1" customWidth="1" max="36" min="35" style="61" width="14.7109375"/>
    <col bestFit="1" customWidth="1" max="37" min="37" style="61" width="15.42578125"/>
    <col bestFit="1" customWidth="1" max="38" min="38" style="61" width="14.140625"/>
    <col bestFit="1" customWidth="1" max="39" min="39" style="61" width="13.140625"/>
    <col customWidth="1" max="68" min="40" style="61" width="9.140625"/>
    <col customWidth="1" max="16384" min="69" style="61" width="9.140625"/>
  </cols>
  <sheetData>
    <row r="1">
      <c r="L1" s="64" t="n"/>
      <c r="S1" s="60" t="n"/>
      <c r="X1" s="61" t="n"/>
    </row>
    <row r="2">
      <c r="L2" s="64" t="n"/>
      <c r="S2" s="60" t="n"/>
      <c r="X2" s="61" t="n"/>
    </row>
    <row r="3">
      <c r="L3" s="64" t="n"/>
      <c r="S3" s="60" t="n"/>
      <c r="X3" s="61" t="n"/>
    </row>
    <row r="4">
      <c r="L4" s="64" t="n"/>
      <c r="S4" s="60" t="n"/>
      <c r="X4" s="61" t="n"/>
    </row>
    <row r="5">
      <c r="E5" s="36" t="inlineStr">
        <is>
          <t>After paste in values from"data to transfer", do a find  / replace with blank on three date columns</t>
        </is>
      </c>
      <c r="L5" s="64" t="n"/>
      <c r="S5" s="60" t="n"/>
      <c r="X5" s="61" t="n"/>
    </row>
    <row r="6">
      <c r="L6" s="64" t="n"/>
      <c r="X6" s="61" t="n"/>
    </row>
    <row r="7">
      <c r="A7" s="53" t="inlineStr">
        <is>
          <t>INPUT</t>
        </is>
      </c>
      <c r="B7" s="51" t="n"/>
      <c r="C7" s="51" t="n"/>
      <c r="D7" s="51" t="n"/>
      <c r="E7" s="51" t="n"/>
      <c r="F7" s="51" t="n"/>
      <c r="G7" s="51" t="n"/>
      <c r="H7" s="51" t="n"/>
      <c r="I7" s="51" t="n"/>
      <c r="J7" s="51" t="n"/>
      <c r="K7" s="51" t="n"/>
      <c r="L7" s="51" t="n"/>
      <c r="M7" s="51" t="n"/>
      <c r="N7" s="51" t="n"/>
      <c r="O7" s="51" t="n"/>
      <c r="P7" s="59" t="inlineStr">
        <is>
          <t>CALCULATED</t>
        </is>
      </c>
      <c r="AG7" s="61" t="n"/>
      <c r="AH7" s="61" t="n"/>
      <c r="AI7" s="12" t="inlineStr">
        <is>
          <t>% of Max Profit</t>
        </is>
      </c>
      <c r="AJ7" s="12" t="inlineStr">
        <is>
          <t xml:space="preserve">% of Time </t>
        </is>
      </c>
      <c r="AK7" s="12" t="inlineStr">
        <is>
          <t>(Cost to Close)</t>
        </is>
      </c>
      <c r="AL7" s="12" t="n"/>
    </row>
    <row r="8">
      <c r="A8" s="61" t="inlineStr">
        <is>
          <t>SYM</t>
        </is>
      </c>
      <c r="B8" s="61" t="inlineStr">
        <is>
          <t>Trade#</t>
        </is>
      </c>
      <c r="C8" s="61" t="inlineStr">
        <is>
          <t>Leg</t>
        </is>
      </c>
      <c r="D8" s="61" t="inlineStr">
        <is>
          <t>TransType</t>
        </is>
      </c>
      <c r="E8" s="63" t="inlineStr">
        <is>
          <t>OpenDate</t>
        </is>
      </c>
      <c r="F8" s="2" t="inlineStr">
        <is>
          <t>CloseDate</t>
        </is>
      </c>
      <c r="G8" s="63" t="inlineStr">
        <is>
          <t>ExpDate</t>
        </is>
      </c>
      <c r="H8" s="48" t="inlineStr">
        <is>
          <t>Strike</t>
        </is>
      </c>
      <c r="I8" s="48" t="inlineStr">
        <is>
          <t>Strike2</t>
        </is>
      </c>
      <c r="J8" s="60" t="inlineStr">
        <is>
          <t>#Contracts</t>
        </is>
      </c>
      <c r="K8" s="64" t="inlineStr">
        <is>
          <t>OpnPrem</t>
        </is>
      </c>
      <c r="L8" s="64" t="inlineStr">
        <is>
          <t>ClsPrem</t>
        </is>
      </c>
      <c r="M8" s="64" t="inlineStr">
        <is>
          <t>Symbol</t>
        </is>
      </c>
      <c r="N8" s="64" t="inlineStr">
        <is>
          <t>Current value</t>
        </is>
      </c>
      <c r="O8" s="64" t="inlineStr">
        <is>
          <t>ask</t>
        </is>
      </c>
      <c r="P8" s="64"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7" t="inlineStr">
        <is>
          <t>ActDate</t>
        </is>
      </c>
      <c r="AB8" s="10" t="inlineStr">
        <is>
          <t>Inception</t>
        </is>
      </c>
      <c r="AC8" s="10" t="inlineStr">
        <is>
          <t>1YR</t>
        </is>
      </c>
      <c r="AD8" s="10" t="inlineStr">
        <is>
          <t>YTD</t>
        </is>
      </c>
      <c r="AE8" s="10" t="inlineStr">
        <is>
          <t>UnBooked</t>
        </is>
      </c>
      <c r="AF8" s="64" t="n"/>
      <c r="AG8" s="10" t="inlineStr">
        <is>
          <t>TotPrem</t>
        </is>
      </c>
      <c r="AH8" s="10" t="n"/>
      <c r="AI8" s="12" t="inlineStr">
        <is>
          <t>Actual/Expected</t>
        </is>
      </c>
      <c r="AJ8" s="12" t="inlineStr">
        <is>
          <t>Actual/Expected</t>
        </is>
      </c>
      <c r="AK8" s="12" t="inlineStr">
        <is>
          <t xml:space="preserve">Remaining Profit </t>
        </is>
      </c>
      <c r="AL8" s="12" t="inlineStr">
        <is>
          <t>Remaining Days</t>
        </is>
      </c>
      <c r="AM8" s="14" t="inlineStr">
        <is>
          <t>Remaining ROI</t>
        </is>
      </c>
    </row>
    <row r="9">
      <c r="A9" s="2" t="inlineStr">
        <is>
          <t>Sold 2 JD Apr 16 2021 80.0 Put @ 1.54</t>
        </is>
      </c>
      <c r="B9" t="n">
        <v>1</v>
      </c>
      <c r="C9" t="n">
        <v>1</v>
      </c>
      <c r="D9" s="2" t="inlineStr">
        <is>
          <t>SP</t>
        </is>
      </c>
      <c r="E9" s="65" t="n">
        <v>44277</v>
      </c>
      <c r="F9" s="65" t="n">
        <v>44280</v>
      </c>
      <c r="G9" s="65" t="n">
        <v>44302</v>
      </c>
      <c r="H9" t="n">
        <v>80</v>
      </c>
      <c r="J9" t="n">
        <v>2</v>
      </c>
      <c r="K9" t="n">
        <v>306.67</v>
      </c>
      <c r="M9" t="inlineStr">
        <is>
          <t>JD</t>
        </is>
      </c>
      <c r="N9">
        <f>RTD("tos.rtd",,"last", "JD")</f>
        <v/>
      </c>
      <c r="O9">
        <f>RTD("tos.rtd",,"ASK",".JD210416P80")</f>
        <v/>
      </c>
      <c r="P9" s="10">
        <f>IF([TransType]="LS", [OpnPrem]+[ClsPrem],
                                            IF([TransType]="AS", [OpnPrem]+[ClsPrem],
                                               [OpnPrem]-[ClsPrem]))</f>
        <v/>
      </c>
      <c r="Q9" s="66">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67">
        <f>IF([TotCapDays],365*[TotPrem]/[TotCapDays],"")</f>
        <v/>
      </c>
      <c r="Y9" s="10">
        <f>IF([SYM]="","",
IF([TransType]="LS",[Strike]-[TotPrem]/[['#Contracts]],
IF([['#Contracts]],[Strike]-[TotPrem]/[['#Contracts]]/100,"")))</f>
        <v/>
      </c>
      <c r="Z9" s="11">
        <f>IF([CloseDate]&gt;0,"",
IF([TransType]="LS",['#Contracts],
IF([TransType]="AS",100*[['#Contracts]],
IF([TransType]="SP",100*[['#Contracts]],
IF([TransType]="BP",100*[['#Contracts]],"")))))</f>
        <v/>
      </c>
      <c r="AA9" s="65">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64" t="n"/>
      <c r="AG9" s="49">
        <f>IF(Table1[SYM]="","",SUMIFS(Table1[NetPrem],Table1[Trade'#],Table1[[Trade'#]],Table1[Leg],"&lt;="&amp;Table1[Leg]))</f>
        <v/>
      </c>
      <c r="AH9" s="49" t="n"/>
    </row>
    <row r="10">
      <c r="A10" s="2" t="inlineStr">
        <is>
          <t>Bought 2 JD Apr 16 2021 65.0 Put @ 0.37</t>
        </is>
      </c>
      <c r="B10" t="n">
        <v>1</v>
      </c>
      <c r="C10" t="n">
        <v>2</v>
      </c>
      <c r="D10" s="2" t="inlineStr">
        <is>
          <t>SP</t>
        </is>
      </c>
      <c r="E10" s="65" t="n">
        <v>44280</v>
      </c>
      <c r="F10" s="65" t="n">
        <v>44280</v>
      </c>
      <c r="G10" s="65" t="n">
        <v>44302</v>
      </c>
      <c r="H10" t="n">
        <v>65</v>
      </c>
      <c r="J10" t="n">
        <v>2</v>
      </c>
      <c r="K10" t="n">
        <v>-75.33</v>
      </c>
      <c r="M10" t="inlineStr">
        <is>
          <t>JD</t>
        </is>
      </c>
      <c r="N10">
        <f>RTD("tos.rtd",,"last", "JD")</f>
        <v/>
      </c>
      <c r="O10">
        <f>RTD("tos.rtd",,"ASK",".JD210416P65")</f>
        <v/>
      </c>
      <c r="P10" s="10">
        <f>IF([TransType]="LS", [OpnPrem]+[ClsPrem],
                                            IF([TransType]="AS", [OpnPrem]+[ClsPrem],
                                               [OpnPrem]-[ClsPrem]))</f>
        <v/>
      </c>
      <c r="Q10" s="66">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67">
        <f>IF([TotCapDays],365*[TotPrem]/[TotCapDays],"")</f>
        <v/>
      </c>
      <c r="Y10" s="10">
        <f>IF([SYM]="","",
IF([TransType]="LS",[Strike]-[TotPrem]/[['#Contracts]],
IF([['#Contracts]],[Strike]-[TotPrem]/[['#Contracts]]/100,"")))</f>
        <v/>
      </c>
      <c r="Z10" s="11">
        <f>IF([CloseDate]&gt;0,"",
IF([TransType]="LS",['#Contracts],
IF([TransType]="AS",100*[['#Contracts]],
IF([TransType]="SP",100*[['#Contracts]],
IF([TransType]="BP",100*[['#Contracts]],"")))))</f>
        <v/>
      </c>
      <c r="AA10" s="65">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64" t="n"/>
      <c r="AG10" s="49">
        <f>IF(Table1[SYM]="","",SUMIFS(Table1[NetPrem],Table1[Trade'#],Table1[[Trade'#]],Table1[Leg],"&lt;="&amp;Table1[Leg]))</f>
        <v/>
      </c>
      <c r="AH10" s="49" t="n"/>
    </row>
    <row r="11">
      <c r="A11" s="2" t="inlineStr">
        <is>
          <t>Bought 2 JD Apr 16 2021 80.0 Put @ 2.89</t>
        </is>
      </c>
      <c r="B11" t="n">
        <v>1</v>
      </c>
      <c r="C11" t="n">
        <v>3</v>
      </c>
      <c r="D11" s="2" t="inlineStr">
        <is>
          <t>SP</t>
        </is>
      </c>
      <c r="E11" s="65" t="n">
        <v>44302</v>
      </c>
      <c r="F11" s="65" t="n">
        <v>44302</v>
      </c>
      <c r="G11" s="65" t="n">
        <v>44302</v>
      </c>
      <c r="H11" t="n">
        <v>80</v>
      </c>
      <c r="J11" t="n">
        <v>2</v>
      </c>
      <c r="K11" t="n">
        <v>-579.33</v>
      </c>
      <c r="M11" t="inlineStr">
        <is>
          <t>JD</t>
        </is>
      </c>
      <c r="N11">
        <f>RTD("tos.rtd",,"last", "JD")</f>
        <v/>
      </c>
      <c r="O11">
        <f>RTD("tos.rtd",,"ASK",".JD210416P80")</f>
        <v/>
      </c>
      <c r="P11" s="10">
        <f>IF([TransType]="LS", [OpnPrem]+[ClsPrem],
                                            IF([TransType]="AS", [OpnPrem]+[ClsPrem],
                                               [OpnPrem]-[ClsPrem]))</f>
        <v/>
      </c>
      <c r="Q11" s="66">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67">
        <f>IF([TotCapDays],365*[TotPrem]/[TotCapDays],"")</f>
        <v/>
      </c>
      <c r="Y11" s="10">
        <f>IF([SYM]="","",
IF([TransType]="LS",[Strike]-[TotPrem]/[['#Contracts]],
IF([['#Contracts]],[Strike]-[TotPrem]/[['#Contracts]]/100,"")))</f>
        <v/>
      </c>
      <c r="Z11" s="11">
        <f>IF([CloseDate]&gt;0,"",
IF([TransType]="LS",['#Contracts],
IF([TransType]="AS",100*[['#Contracts]],
IF([TransType]="SP",100*[['#Contracts]],
IF([TransType]="BP",100*[['#Contracts]],"")))))</f>
        <v/>
      </c>
      <c r="AA11" s="65">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64" t="n"/>
      <c r="AG11" s="49">
        <f>IF(Table1[SYM]="","",SUMIFS(Table1[NetPrem],Table1[Trade'#],Table1[[Trade'#]],Table1[Leg],"&lt;="&amp;Table1[Leg]))</f>
        <v/>
      </c>
      <c r="AH11" s="49" t="n"/>
    </row>
    <row r="12">
      <c r="A12" s="2" t="inlineStr">
        <is>
          <t>Sold 2 JD May 21 2021 77.5 Put @ 3.68</t>
        </is>
      </c>
      <c r="B12" t="n">
        <v>1</v>
      </c>
      <c r="C12" t="n">
        <v>4</v>
      </c>
      <c r="D12" s="2" t="inlineStr">
        <is>
          <t>SP</t>
        </is>
      </c>
      <c r="E12" s="65" t="n">
        <v>44302</v>
      </c>
      <c r="F12" s="65" t="n">
        <v>44337</v>
      </c>
      <c r="G12" s="65" t="n">
        <v>44337</v>
      </c>
      <c r="H12" t="n">
        <v>77.5</v>
      </c>
      <c r="J12" t="n">
        <v>2</v>
      </c>
      <c r="K12" t="n">
        <v>734.67</v>
      </c>
      <c r="M12" t="inlineStr">
        <is>
          <t>JD</t>
        </is>
      </c>
      <c r="N12">
        <f>RTD("tos.rtd",,"last", "JD")</f>
        <v/>
      </c>
      <c r="O12">
        <f>RTD("tos.rtd",,"ASK",".JD210521P77.5")</f>
        <v/>
      </c>
      <c r="P12" s="10">
        <f>IF([TransType]="LS", [OpnPrem]+[ClsPrem],
                                            IF([TransType]="AS", [OpnPrem]+[ClsPrem],
                                               [OpnPrem]-[ClsPrem]))</f>
        <v/>
      </c>
      <c r="Q12" s="66">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67">
        <f>IF([TotCapDays],365*[TotPrem]/[TotCapDays],"")</f>
        <v/>
      </c>
      <c r="Y12" s="10">
        <f>IF([SYM]="","",
IF([TransType]="LS",[Strike]-[TotPrem]/[['#Contracts]],
IF([['#Contracts]],[Strike]-[TotPrem]/[['#Contracts]]/100,"")))</f>
        <v/>
      </c>
      <c r="Z12" s="11">
        <f>IF([CloseDate]&gt;0,"",
IF([TransType]="LS",['#Contracts],
IF([TransType]="AS",100*[['#Contracts]],
IF([TransType]="SP",100*[['#Contracts]],
IF([TransType]="BP",100*[['#Contracts]],"")))))</f>
        <v/>
      </c>
      <c r="AA12" s="65">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64" t="n"/>
      <c r="AG12" s="49">
        <f>IF(Table1[SYM]="","",SUMIFS(Table1[NetPrem],Table1[Trade'#],Table1[[Trade'#]],Table1[Leg],"&lt;="&amp;Table1[Leg]))</f>
        <v/>
      </c>
      <c r="AH12" s="49" t="n"/>
    </row>
    <row r="13">
      <c r="A13" s="2" t="inlineStr">
        <is>
          <t>Sold 2 WPM Apr 16 2021 36.0 Put @ 0.56</t>
        </is>
      </c>
      <c r="B13" t="n">
        <v>2</v>
      </c>
      <c r="C13" t="n">
        <v>1</v>
      </c>
      <c r="D13" s="2" t="inlineStr">
        <is>
          <t>SP</t>
        </is>
      </c>
      <c r="E13" s="65" t="n">
        <v>44279</v>
      </c>
      <c r="F13" s="65" t="n">
        <v>44291</v>
      </c>
      <c r="G13" s="65" t="n">
        <v>44302</v>
      </c>
      <c r="H13" t="n">
        <v>36</v>
      </c>
      <c r="J13" t="n">
        <v>2</v>
      </c>
      <c r="K13" t="n">
        <v>110.67</v>
      </c>
      <c r="M13" t="inlineStr">
        <is>
          <t>WPM</t>
        </is>
      </c>
      <c r="N13">
        <f>RTD("tos.rtd",,"last", "WPM")</f>
        <v/>
      </c>
      <c r="O13">
        <f>RTD("tos.rtd",,"ASK",".WPM210416P36")</f>
        <v/>
      </c>
      <c r="P13" s="10">
        <f>IF([TransType]="LS", [OpnPrem]+[ClsPrem],
                                            IF([TransType]="AS", [OpnPrem]+[ClsPrem],
                                               [OpnPrem]-[ClsPrem]))</f>
        <v/>
      </c>
      <c r="Q13" s="66">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67">
        <f>IF([TotCapDays],365*[TotPrem]/[TotCapDays],"")</f>
        <v/>
      </c>
      <c r="Y13" s="10">
        <f>IF([SYM]="","",
IF([TransType]="LS",[Strike]-[TotPrem]/[['#Contracts]],
IF([['#Contracts]],[Strike]-[TotPrem]/[['#Contracts]]/100,"")))</f>
        <v/>
      </c>
      <c r="Z13" s="11">
        <f>IF([CloseDate]&gt;0,"",
IF([TransType]="LS",['#Contracts],
IF([TransType]="AS",100*[['#Contracts]],
IF([TransType]="SP",100*[['#Contracts]],
IF([TransType]="BP",100*[['#Contracts]],"")))))</f>
        <v/>
      </c>
      <c r="AA13" s="65">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64" t="n"/>
      <c r="AG13" s="49">
        <f>IF(Table1[SYM]="","",SUMIFS(Table1[NetPrem],Table1[Trade'#],Table1[[Trade'#]],Table1[Leg],"&lt;="&amp;Table1[Leg]))</f>
        <v/>
      </c>
      <c r="AH13" s="49" t="n"/>
    </row>
    <row r="14">
      <c r="A14" s="2" t="inlineStr">
        <is>
          <t>Bought 2 WPM Apr 16 2021 36.0 Put @ 0.09</t>
        </is>
      </c>
      <c r="B14" t="n">
        <v>2</v>
      </c>
      <c r="C14" t="n">
        <v>2</v>
      </c>
      <c r="D14" s="2" t="inlineStr">
        <is>
          <t>SP</t>
        </is>
      </c>
      <c r="E14" s="65" t="n">
        <v>44291</v>
      </c>
      <c r="F14" s="65" t="n">
        <v>44291</v>
      </c>
      <c r="G14" s="65" t="n">
        <v>44302</v>
      </c>
      <c r="H14" t="n">
        <v>36</v>
      </c>
      <c r="J14" t="n">
        <v>2</v>
      </c>
      <c r="K14" t="n">
        <v>-19.33</v>
      </c>
      <c r="M14" t="inlineStr">
        <is>
          <t>WPM</t>
        </is>
      </c>
      <c r="N14">
        <f>RTD("tos.rtd",,"last", "WPM")</f>
        <v/>
      </c>
      <c r="O14">
        <f>RTD("tos.rtd",,"ASK",".WPM210416P36")</f>
        <v/>
      </c>
      <c r="P14" s="10">
        <f>IF([TransType]="LS", [OpnPrem]+[ClsPrem],
                                            IF([TransType]="AS", [OpnPrem]+[ClsPrem],
                                               [OpnPrem]-[ClsPrem]))</f>
        <v/>
      </c>
      <c r="Q14" s="66">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67">
        <f>IF([TotCapDays],365*[TotPrem]/[TotCapDays],"")</f>
        <v/>
      </c>
      <c r="Y14" s="10">
        <f>IF([SYM]="","",
IF([TransType]="LS",[Strike]-[TotPrem]/[['#Contracts]],
IF([['#Contracts]],[Strike]-[TotPrem]/[['#Contracts]]/100,"")))</f>
        <v/>
      </c>
      <c r="Z14" s="11">
        <f>IF([CloseDate]&gt;0,"",
IF([TransType]="LS",['#Contracts],
IF([TransType]="AS",100*[['#Contracts]],
IF([TransType]="SP",100*[['#Contracts]],
IF([TransType]="BP",100*[['#Contracts]],"")))))</f>
        <v/>
      </c>
      <c r="AA14" s="65">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64" t="n"/>
      <c r="AG14" s="49">
        <f>IF(Table1[SYM]="","",SUMIFS(Table1[NetPrem],Table1[Trade'#],Table1[[Trade'#]],Table1[Leg],"&lt;="&amp;Table1[Leg]))</f>
        <v/>
      </c>
      <c r="AH14" s="49" t="n"/>
    </row>
    <row r="15">
      <c r="A15" s="2" t="inlineStr">
        <is>
          <t>Sold 2 CCL Apr 16 2021 24.0 Put @ 0.84</t>
        </is>
      </c>
      <c r="B15" t="n">
        <v>3</v>
      </c>
      <c r="C15" t="n">
        <v>1</v>
      </c>
      <c r="D15" s="2" t="inlineStr">
        <is>
          <t>SP</t>
        </is>
      </c>
      <c r="E15" s="65" t="n">
        <v>44284</v>
      </c>
      <c r="F15" s="65" t="n">
        <v>44287</v>
      </c>
      <c r="G15" s="65" t="n">
        <v>44302</v>
      </c>
      <c r="H15" t="n">
        <v>24</v>
      </c>
      <c r="J15" t="n">
        <v>2</v>
      </c>
      <c r="K15" t="n">
        <v>166.67</v>
      </c>
      <c r="M15" t="inlineStr">
        <is>
          <t>CCL</t>
        </is>
      </c>
      <c r="N15">
        <f>RTD("tos.rtd",,"last", "CCL")</f>
        <v/>
      </c>
      <c r="O15">
        <f>RTD("tos.rtd",,"ASK",".CCL210416P24")</f>
        <v/>
      </c>
      <c r="P15" s="10">
        <f>IF([TransType]="LS", [OpnPrem]+[ClsPrem],
                                            IF([TransType]="AS", [OpnPrem]+[ClsPrem],
                                               [OpnPrem]-[ClsPrem]))</f>
        <v/>
      </c>
      <c r="Q15" s="66">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67">
        <f>IF([TotCapDays],365*[TotPrem]/[TotCapDays],"")</f>
        <v/>
      </c>
      <c r="Y15" s="10">
        <f>IF([SYM]="","",
IF([TransType]="LS",[Strike]-[TotPrem]/[['#Contracts]],
IF([['#Contracts]],[Strike]-[TotPrem]/[['#Contracts]]/100,"")))</f>
        <v/>
      </c>
      <c r="Z15" s="11">
        <f>IF([CloseDate]&gt;0,"",
IF([TransType]="LS",['#Contracts],
IF([TransType]="AS",100*[['#Contracts]],
IF([TransType]="SP",100*[['#Contracts]],
IF([TransType]="BP",100*[['#Contracts]],"")))))</f>
        <v/>
      </c>
      <c r="AA15" s="65">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64" t="n"/>
      <c r="AG15" s="49">
        <f>IF(Table1[SYM]="","",SUMIFS(Table1[NetPrem],Table1[Trade'#],Table1[[Trade'#]],Table1[Leg],"&lt;="&amp;Table1[Leg]))</f>
        <v/>
      </c>
      <c r="AH15" s="49" t="n"/>
    </row>
    <row r="16">
      <c r="A16" s="2" t="inlineStr">
        <is>
          <t>Sold 10 CCL Apr 16 2021 24.0 Put @ 0.57</t>
        </is>
      </c>
      <c r="B16" t="n">
        <v>3</v>
      </c>
      <c r="C16" t="n">
        <v>2</v>
      </c>
      <c r="D16" s="2" t="inlineStr">
        <is>
          <t>SP</t>
        </is>
      </c>
      <c r="E16" s="65" t="n">
        <v>44285</v>
      </c>
      <c r="F16" s="65" t="n">
        <v>44287</v>
      </c>
      <c r="G16" s="65" t="n">
        <v>44302</v>
      </c>
      <c r="H16" t="n">
        <v>24</v>
      </c>
      <c r="J16" t="n">
        <v>10</v>
      </c>
      <c r="K16" t="n">
        <v>563.34</v>
      </c>
      <c r="M16" t="inlineStr">
        <is>
          <t>CCL</t>
        </is>
      </c>
      <c r="N16">
        <f>RTD("tos.rtd",,"last", "CCL")</f>
        <v/>
      </c>
      <c r="O16">
        <f>RTD("tos.rtd",,"ASK",".CCL210416P24")</f>
        <v/>
      </c>
      <c r="P16" s="10">
        <f>IF([TransType]="LS", [OpnPrem]+[ClsPrem],
                                            IF([TransType]="AS", [OpnPrem]+[ClsPrem],
                                               [OpnPrem]-[ClsPrem]))</f>
        <v/>
      </c>
      <c r="Q16" s="66">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67">
        <f>IF([TotCapDays],365*[TotPrem]/[TotCapDays],"")</f>
        <v/>
      </c>
      <c r="Y16" s="10">
        <f>IF([SYM]="","",
IF([TransType]="LS",[Strike]-[TotPrem]/[['#Contracts]],
IF([['#Contracts]],[Strike]-[TotPrem]/[['#Contracts]]/100,"")))</f>
        <v/>
      </c>
      <c r="Z16" s="11">
        <f>IF([CloseDate]&gt;0,"",
IF([TransType]="LS",['#Contracts],
IF([TransType]="AS",100*[['#Contracts]],
IF([TransType]="SP",100*[['#Contracts]],
IF([TransType]="BP",100*[['#Contracts]],"")))))</f>
        <v/>
      </c>
      <c r="AA16" s="65">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G16" s="49">
        <f>IF(Table1[SYM]="","",SUMIFS(Table1[NetPrem],Table1[Trade'#],Table1[[Trade'#]],Table1[Leg],"&lt;="&amp;Table1[Leg]))</f>
        <v/>
      </c>
      <c r="AH16" s="49" t="n"/>
    </row>
    <row r="17">
      <c r="A17" s="2" t="inlineStr">
        <is>
          <t>Bought 12 CCL Apr 16 2021 24.0 Put @ 0.35</t>
        </is>
      </c>
      <c r="B17" t="n">
        <v>3</v>
      </c>
      <c r="C17" t="n">
        <v>3</v>
      </c>
      <c r="D17" s="2" t="inlineStr">
        <is>
          <t>SP</t>
        </is>
      </c>
      <c r="E17" s="65" t="n">
        <v>44287</v>
      </c>
      <c r="F17" s="65" t="n">
        <v>44287</v>
      </c>
      <c r="G17" s="65" t="n">
        <v>44302</v>
      </c>
      <c r="H17" t="n">
        <v>24</v>
      </c>
      <c r="J17" t="n">
        <v>12</v>
      </c>
      <c r="K17" t="n">
        <v>-427.97</v>
      </c>
      <c r="M17" t="inlineStr">
        <is>
          <t>CCL</t>
        </is>
      </c>
      <c r="N17">
        <f>RTD("tos.rtd",,"last", "CCL")</f>
        <v/>
      </c>
      <c r="O17">
        <f>RTD("tos.rtd",,"ASK",".CCL210416P24")</f>
        <v/>
      </c>
      <c r="P17" s="10">
        <f>IF([TransType]="LS", [OpnPrem]+[ClsPrem],
                                            IF([TransType]="AS", [OpnPrem]+[ClsPrem],
                                               [OpnPrem]-[ClsPrem]))</f>
        <v/>
      </c>
      <c r="Q17" s="66">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67">
        <f>IF([TotCapDays],365*[TotPrem]/[TotCapDays],"")</f>
        <v/>
      </c>
      <c r="Y17" s="10">
        <f>IF([SYM]="","",
IF([TransType]="LS",[Strike]-[TotPrem]/[['#Contracts]],
IF([['#Contracts]],[Strike]-[TotPrem]/[['#Contracts]]/100,"")))</f>
        <v/>
      </c>
      <c r="Z17" s="11">
        <f>IF([CloseDate]&gt;0,"",
IF([TransType]="LS",['#Contracts],
IF([TransType]="AS",100*[['#Contracts]],
IF([TransType]="SP",100*[['#Contracts]],
IF([TransType]="BP",100*[['#Contracts]],"")))))</f>
        <v/>
      </c>
      <c r="AA17" s="65">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G17" s="49">
        <f>IF(Table1[SYM]="","",SUMIFS(Table1[NetPrem],Table1[Trade'#],Table1[[Trade'#]],Table1[Leg],"&lt;="&amp;Table1[Leg]))</f>
        <v/>
      </c>
      <c r="AH17" s="49" t="n"/>
    </row>
    <row r="18">
      <c r="A18" s="2" t="inlineStr">
        <is>
          <t>Sold 2 VIAC Apr 9 2021 42.0 Put @ 0.49</t>
        </is>
      </c>
      <c r="B18" t="n">
        <v>4</v>
      </c>
      <c r="C18" t="n">
        <v>1</v>
      </c>
      <c r="D18" s="2" t="inlineStr">
        <is>
          <t>SP</t>
        </is>
      </c>
      <c r="E18" s="65" t="n">
        <v>44287</v>
      </c>
      <c r="F18" s="65" t="n">
        <v>44292</v>
      </c>
      <c r="G18" s="65" t="n">
        <v>44295</v>
      </c>
      <c r="H18" t="n">
        <v>42</v>
      </c>
      <c r="J18" t="n">
        <v>2</v>
      </c>
      <c r="K18" t="n">
        <v>96.67</v>
      </c>
      <c r="M18" t="inlineStr">
        <is>
          <t>VIAC</t>
        </is>
      </c>
      <c r="N18">
        <f>RTD("tos.rtd",,"last", "VIAC")</f>
        <v/>
      </c>
      <c r="O18">
        <f>RTD("tos.rtd",,"ASK",".VIAC210409P42")</f>
        <v/>
      </c>
      <c r="P18" s="10">
        <f>IF([TransType]="LS", [OpnPrem]+[ClsPrem],
                                            IF([TransType]="AS", [OpnPrem]+[ClsPrem],
                                               [OpnPrem]-[ClsPrem]))</f>
        <v/>
      </c>
      <c r="Q18" s="66">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67">
        <f>IF([TotCapDays],365*[TotPrem]/[TotCapDays],"")</f>
        <v/>
      </c>
      <c r="Y18" s="10">
        <f>IF([SYM]="","",
IF([TransType]="LS",[Strike]-[TotPrem]/[['#Contracts]],
IF([['#Contracts]],[Strike]-[TotPrem]/[['#Contracts]]/100,"")))</f>
        <v/>
      </c>
      <c r="Z18" s="11">
        <f>IF([CloseDate]&gt;0,"",
IF([TransType]="LS",['#Contracts],
IF([TransType]="AS",100*[['#Contracts]],
IF([TransType]="SP",100*[['#Contracts]],
IF([TransType]="BP",100*[['#Contracts]],"")))))</f>
        <v/>
      </c>
      <c r="AA18" s="65">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G18" s="49">
        <f>IF(Table1[SYM]="","",SUMIFS(Table1[NetPrem],Table1[Trade'#],Table1[[Trade'#]],Table1[Leg],"&lt;="&amp;Table1[Leg]))</f>
        <v/>
      </c>
      <c r="AH18" s="49" t="n"/>
    </row>
    <row r="19">
      <c r="A19" s="2" t="inlineStr">
        <is>
          <t>Bought 2 VIAC Apr 9 2021 42.0 Put @ 0.9</t>
        </is>
      </c>
      <c r="B19" t="n">
        <v>4</v>
      </c>
      <c r="C19" t="n">
        <v>2</v>
      </c>
      <c r="D19" s="2" t="inlineStr">
        <is>
          <t>SP</t>
        </is>
      </c>
      <c r="E19" s="65" t="n">
        <v>44292</v>
      </c>
      <c r="F19" s="65" t="n">
        <v>44292</v>
      </c>
      <c r="G19" s="65" t="n">
        <v>44295</v>
      </c>
      <c r="H19" t="n">
        <v>42</v>
      </c>
      <c r="J19" t="n">
        <v>2</v>
      </c>
      <c r="K19" t="n">
        <v>-181.33</v>
      </c>
      <c r="M19" t="inlineStr">
        <is>
          <t>VIAC</t>
        </is>
      </c>
      <c r="N19">
        <f>RTD("tos.rtd",,"last", "VIAC")</f>
        <v/>
      </c>
      <c r="O19">
        <f>RTD("tos.rtd",,"ASK",".VIAC210409P42")</f>
        <v/>
      </c>
      <c r="P19" s="10">
        <f>IF([TransType]="LS", [OpnPrem]+[ClsPrem],
                                            IF([TransType]="AS", [OpnPrem]+[ClsPrem],
                                               [OpnPrem]-[ClsPrem]))</f>
        <v/>
      </c>
      <c r="Q19" s="66">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67">
        <f>IF([TotCapDays],365*[TotPrem]/[TotCapDays],"")</f>
        <v/>
      </c>
      <c r="Y19" s="10">
        <f>IF([SYM]="","",
IF([TransType]="LS",[Strike]-[TotPrem]/[['#Contracts]],
IF([['#Contracts]],[Strike]-[TotPrem]/[['#Contracts]]/100,"")))</f>
        <v/>
      </c>
      <c r="Z19" s="11">
        <f>IF([CloseDate]&gt;0,"",
IF([TransType]="LS",['#Contracts],
IF([TransType]="AS",100*[['#Contracts]],
IF([TransType]="SP",100*[['#Contracts]],
IF([TransType]="BP",100*[['#Contracts]],"")))))</f>
        <v/>
      </c>
      <c r="AA19" s="65">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G19" s="49">
        <f>IF(Table1[SYM]="","",SUMIFS(Table1[NetPrem],Table1[Trade'#],Table1[[Trade'#]],Table1[Leg],"&lt;="&amp;Table1[Leg]))</f>
        <v/>
      </c>
      <c r="AH19" s="49" t="n"/>
    </row>
    <row r="20">
      <c r="A20" s="2" t="inlineStr">
        <is>
          <t>Bought 2 VIAC Apr 23 2021 40.0 Put @ 0.14</t>
        </is>
      </c>
      <c r="B20" t="n">
        <v>4</v>
      </c>
      <c r="C20" t="n">
        <v>3</v>
      </c>
      <c r="D20" s="2" t="inlineStr">
        <is>
          <t>SP</t>
        </is>
      </c>
      <c r="E20" s="65" t="n">
        <v>44308</v>
      </c>
      <c r="F20" s="65" t="n">
        <v>44308</v>
      </c>
      <c r="G20" s="65" t="n">
        <v>44309</v>
      </c>
      <c r="H20" t="n">
        <v>40</v>
      </c>
      <c r="J20" t="n">
        <v>2</v>
      </c>
      <c r="K20" t="n">
        <v>-29.33</v>
      </c>
      <c r="M20" t="inlineStr">
        <is>
          <t>VIAC</t>
        </is>
      </c>
      <c r="N20">
        <f>RTD("tos.rtd",,"last", "VIAC")</f>
        <v/>
      </c>
      <c r="O20">
        <f>RTD("tos.rtd",,"ASK",".VIAC210423P40")</f>
        <v/>
      </c>
      <c r="P20" s="10">
        <f>IF([TransType]="LS", [OpnPrem]+[ClsPrem],
                                            IF([TransType]="AS", [OpnPrem]+[ClsPrem],
                                               [OpnPrem]-[ClsPrem]))</f>
        <v/>
      </c>
      <c r="Q20" s="66">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67">
        <f>IF([TotCapDays],365*[TotPrem]/[TotCapDays],"")</f>
        <v/>
      </c>
      <c r="Y20" s="10">
        <f>IF([SYM]="","",
IF([TransType]="LS",[Strike]-[TotPrem]/[['#Contracts]],
IF([['#Contracts]],[Strike]-[TotPrem]/[['#Contracts]]/100,"")))</f>
        <v/>
      </c>
      <c r="Z20" s="11">
        <f>IF([CloseDate]&gt;0,"",
IF([TransType]="LS",['#Contracts],
IF([TransType]="AS",100*[['#Contracts]],
IF([TransType]="SP",100*[['#Contracts]],
IF([TransType]="BP",100*[['#Contracts]],"")))))</f>
        <v/>
      </c>
      <c r="AA20" s="65">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G20" s="49">
        <f>IF(Table1[SYM]="","",SUMIFS(Table1[NetPrem],Table1[Trade'#],Table1[[Trade'#]],Table1[Leg],"&lt;="&amp;Table1[Leg]))</f>
        <v/>
      </c>
      <c r="AH20" s="49" t="n"/>
    </row>
    <row r="21">
      <c r="A21" s="2" t="inlineStr">
        <is>
          <t>Sold 2 VIAC Apr 23 2021 40.0 Put @ 1.21</t>
        </is>
      </c>
      <c r="B21" t="n">
        <v>4</v>
      </c>
      <c r="C21" t="n">
        <v>3</v>
      </c>
      <c r="D21" s="2" t="inlineStr">
        <is>
          <t>SP</t>
        </is>
      </c>
      <c r="E21" s="65" t="n">
        <v>44292</v>
      </c>
      <c r="F21" s="65" t="n">
        <v>44308</v>
      </c>
      <c r="G21" s="65" t="n">
        <v>44309</v>
      </c>
      <c r="H21" t="n">
        <v>40</v>
      </c>
      <c r="J21" t="n">
        <v>2</v>
      </c>
      <c r="K21" t="n">
        <v>240.67</v>
      </c>
      <c r="M21" t="inlineStr">
        <is>
          <t>VIAC</t>
        </is>
      </c>
      <c r="N21">
        <f>RTD("tos.rtd",,"last", "VIAC")</f>
        <v/>
      </c>
      <c r="O21">
        <f>RTD("tos.rtd",,"ASK",".VIAC210423P40")</f>
        <v/>
      </c>
      <c r="P21" s="10">
        <f>IF([TransType]="LS", [OpnPrem]+[ClsPrem],
                                            IF([TransType]="AS", [OpnPrem]+[ClsPrem],
                                               [OpnPrem]-[ClsPrem]))</f>
        <v/>
      </c>
      <c r="Q21" s="66">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67">
        <f>IF([TotCapDays],365*[TotPrem]/[TotCapDays],"")</f>
        <v/>
      </c>
      <c r="Y21" s="10">
        <f>IF([SYM]="","",
IF([TransType]="LS",[Strike]-[TotPrem]/[['#Contracts]],
IF([['#Contracts]],[Strike]-[TotPrem]/[['#Contracts]]/100,"")))</f>
        <v/>
      </c>
      <c r="Z21" s="11">
        <f>IF([CloseDate]&gt;0,"",
IF([TransType]="LS",['#Contracts],
IF([TransType]="AS",100*[['#Contracts]],
IF([TransType]="SP",100*[['#Contracts]],
IF([TransType]="BP",100*[['#Contracts]],"")))))</f>
        <v/>
      </c>
      <c r="AA21" s="65">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G21" s="49">
        <f>IF(Table1[SYM]="","",SUMIFS(Table1[NetPrem],Table1[Trade'#],Table1[[Trade'#]],Table1[Leg],"&lt;="&amp;Table1[Leg]))</f>
        <v/>
      </c>
      <c r="AH21" s="49" t="n"/>
    </row>
    <row r="22">
      <c r="A22" s="2" t="inlineStr">
        <is>
          <t>Sold 4 APA Apr 16 2021 18.0 Put @ 0.73</t>
        </is>
      </c>
      <c r="B22" t="n">
        <v>5</v>
      </c>
      <c r="C22" t="n">
        <v>1</v>
      </c>
      <c r="D22" s="2" t="inlineStr">
        <is>
          <t>SP</t>
        </is>
      </c>
      <c r="E22" s="65" t="n">
        <v>44291</v>
      </c>
      <c r="F22" s="65" t="n">
        <v>44295</v>
      </c>
      <c r="G22" s="65" t="n">
        <v>44302</v>
      </c>
      <c r="H22" t="n">
        <v>18</v>
      </c>
      <c r="J22" t="n">
        <v>4</v>
      </c>
      <c r="K22" t="n">
        <v>289.33</v>
      </c>
      <c r="M22" t="inlineStr">
        <is>
          <t>APA</t>
        </is>
      </c>
      <c r="N22">
        <f>RTD("tos.rtd",,"last", "APA")</f>
        <v/>
      </c>
      <c r="O22">
        <f>RTD("tos.rtd",,"ASK",".APA210416P18")</f>
        <v/>
      </c>
      <c r="P22" s="10">
        <f>IF([TransType]="LS", [OpnPrem]+[ClsPrem],
                                            IF([TransType]="AS", [OpnPrem]+[ClsPrem],
                                               [OpnPrem]-[ClsPrem]))</f>
        <v/>
      </c>
      <c r="Q22" s="66">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67">
        <f>IF([TotCapDays],365*[TotPrem]/[TotCapDays],"")</f>
        <v/>
      </c>
      <c r="Y22" s="10">
        <f>IF([SYM]="","",
IF([TransType]="LS",[Strike]-[TotPrem]/[['#Contracts]],
IF([['#Contracts]],[Strike]-[TotPrem]/[['#Contracts]]/100,"")))</f>
        <v/>
      </c>
      <c r="Z22" s="11">
        <f>IF([CloseDate]&gt;0,"",
IF([TransType]="LS",['#Contracts],
IF([TransType]="AS",100*[['#Contracts]],
IF([TransType]="SP",100*[['#Contracts]],
IF([TransType]="BP",100*[['#Contracts]],"")))))</f>
        <v/>
      </c>
      <c r="AA22" s="65">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G22" s="49">
        <f>IF(Table1[SYM]="","",SUMIFS(Table1[NetPrem],Table1[Trade'#],Table1[[Trade'#]],Table1[Leg],"&lt;="&amp;Table1[Leg]))</f>
        <v/>
      </c>
      <c r="AH22" s="49" t="n"/>
    </row>
    <row r="23">
      <c r="A23" s="2" t="inlineStr">
        <is>
          <t>Bought 4 APA Apr 16 2021 18.0 Put @ 0.92</t>
        </is>
      </c>
      <c r="B23" t="n">
        <v>5</v>
      </c>
      <c r="C23" t="n">
        <v>2</v>
      </c>
      <c r="D23" s="2" t="inlineStr">
        <is>
          <t>SP</t>
        </is>
      </c>
      <c r="E23" s="65" t="n">
        <v>44295</v>
      </c>
      <c r="F23" s="65" t="n">
        <v>44295</v>
      </c>
      <c r="G23" s="65" t="n">
        <v>44302</v>
      </c>
      <c r="H23" t="n">
        <v>18</v>
      </c>
      <c r="J23" t="n">
        <v>4</v>
      </c>
      <c r="K23" t="n">
        <v>-370.66</v>
      </c>
      <c r="M23" t="inlineStr">
        <is>
          <t>APA</t>
        </is>
      </c>
      <c r="N23">
        <f>RTD("tos.rtd",,"last", "APA")</f>
        <v/>
      </c>
      <c r="O23">
        <f>RTD("tos.rtd",,"ASK",".APA210416P18")</f>
        <v/>
      </c>
      <c r="P23" s="10">
        <f>IF([TransType]="LS", [OpnPrem]+[ClsPrem],
                                            IF([TransType]="AS", [OpnPrem]+[ClsPrem],
                                               [OpnPrem]-[ClsPrem]))</f>
        <v/>
      </c>
      <c r="Q23" s="66">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67">
        <f>IF([TotCapDays],365*[TotPrem]/[TotCapDays],"")</f>
        <v/>
      </c>
      <c r="Y23" s="10">
        <f>IF([SYM]="","",
IF([TransType]="LS",[Strike]-[TotPrem]/[['#Contracts]],
IF([['#Contracts]],[Strike]-[TotPrem]/[['#Contracts]]/100,"")))</f>
        <v/>
      </c>
      <c r="Z23" s="11">
        <f>IF([CloseDate]&gt;0,"",
IF([TransType]="LS",['#Contracts],
IF([TransType]="AS",100*[['#Contracts]],
IF([TransType]="SP",100*[['#Contracts]],
IF([TransType]="BP",100*[['#Contracts]],"")))))</f>
        <v/>
      </c>
      <c r="AA23" s="65">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G23" s="49">
        <f>IF(Table1[SYM]="","",SUMIFS(Table1[NetPrem],Table1[Trade'#],Table1[[Trade'#]],Table1[Leg],"&lt;="&amp;Table1[Leg]))</f>
        <v/>
      </c>
      <c r="AH23" s="49" t="n"/>
    </row>
    <row r="24">
      <c r="A24" s="2" t="inlineStr">
        <is>
          <t>Sold 4 APA Apr 23 2021 17.0 Put @ 0.57</t>
        </is>
      </c>
      <c r="B24" t="n">
        <v>5</v>
      </c>
      <c r="C24" t="n">
        <v>3</v>
      </c>
      <c r="D24" s="2" t="inlineStr">
        <is>
          <t>SP</t>
        </is>
      </c>
      <c r="E24" s="65" t="n">
        <v>44295</v>
      </c>
      <c r="F24" s="65" t="n">
        <v>44308</v>
      </c>
      <c r="G24" s="65" t="n">
        <v>44309</v>
      </c>
      <c r="H24" t="n">
        <v>17</v>
      </c>
      <c r="J24" t="n">
        <v>4</v>
      </c>
      <c r="K24" t="n">
        <v>225.33</v>
      </c>
      <c r="M24" t="inlineStr">
        <is>
          <t>APA</t>
        </is>
      </c>
      <c r="N24">
        <f>RTD("tos.rtd",,"last", "APA")</f>
        <v/>
      </c>
      <c r="O24">
        <f>RTD("tos.rtd",,"ASK",".APA210423P17")</f>
        <v/>
      </c>
      <c r="P24" s="10">
        <f>IF([TransType]="LS", [OpnPrem]+[ClsPrem],
                                            IF([TransType]="AS", [OpnPrem]+[ClsPrem],
                                               [OpnPrem]-[ClsPrem]))</f>
        <v/>
      </c>
      <c r="Q24" s="66">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67">
        <f>IF([TotCapDays],365*[TotPrem]/[TotCapDays],"")</f>
        <v/>
      </c>
      <c r="Y24" s="10">
        <f>IF([SYM]="","",
IF([TransType]="LS",[Strike]-[TotPrem]/[['#Contracts]],
IF([['#Contracts]],[Strike]-[TotPrem]/[['#Contracts]]/100,"")))</f>
        <v/>
      </c>
      <c r="Z24" s="11">
        <f>IF([CloseDate]&gt;0,"",
IF([TransType]="LS",['#Contracts],
IF([TransType]="AS",100*[['#Contracts]],
IF([TransType]="SP",100*[['#Contracts]],
IF([TransType]="BP",100*[['#Contracts]],"")))))</f>
        <v/>
      </c>
      <c r="AA24" s="65">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G24" s="49">
        <f>IF(Table1[SYM]="","",SUMIFS(Table1[NetPrem],Table1[Trade'#],Table1[[Trade'#]],Table1[Leg],"&lt;="&amp;Table1[Leg]))</f>
        <v/>
      </c>
      <c r="AH24" s="49" t="n"/>
    </row>
    <row r="25">
      <c r="A25" s="2" t="inlineStr">
        <is>
          <t>Bought 4 APA Apr 23 2021 17.0 Put @ 0.07</t>
        </is>
      </c>
      <c r="B25" t="n">
        <v>5</v>
      </c>
      <c r="C25" t="n">
        <v>4</v>
      </c>
      <c r="D25" s="2" t="inlineStr">
        <is>
          <t>SP</t>
        </is>
      </c>
      <c r="E25" s="65" t="n">
        <v>44308</v>
      </c>
      <c r="F25" s="65" t="n">
        <v>44308</v>
      </c>
      <c r="G25" s="65" t="n">
        <v>44309</v>
      </c>
      <c r="H25" t="n">
        <v>17</v>
      </c>
      <c r="J25" t="n">
        <v>4</v>
      </c>
      <c r="K25" t="n">
        <v>-30.66</v>
      </c>
      <c r="M25" t="inlineStr">
        <is>
          <t>APA</t>
        </is>
      </c>
      <c r="N25">
        <f>RTD("tos.rtd",,"last", "APA")</f>
        <v/>
      </c>
      <c r="O25">
        <f>RTD("tos.rtd",,"ASK",".APA210423P17")</f>
        <v/>
      </c>
      <c r="P25" s="10">
        <f>IF([TransType]="LS", [OpnPrem]+[ClsPrem],
                                            IF([TransType]="AS", [OpnPrem]+[ClsPrem],
                                               [OpnPrem]-[ClsPrem]))</f>
        <v/>
      </c>
      <c r="Q25" s="66">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67">
        <f>IF([TotCapDays],365*[TotPrem]/[TotCapDays],"")</f>
        <v/>
      </c>
      <c r="Y25" s="10">
        <f>IF([SYM]="","",
IF([TransType]="LS",[Strike]-[TotPrem]/[['#Contracts]],
IF([['#Contracts]],[Strike]-[TotPrem]/[['#Contracts]]/100,"")))</f>
        <v/>
      </c>
      <c r="Z25" s="11">
        <f>IF([CloseDate]&gt;0,"",
IF([TransType]="LS",['#Contracts],
IF([TransType]="AS",100*[['#Contracts]],
IF([TransType]="SP",100*[['#Contracts]],
IF([TransType]="BP",100*[['#Contracts]],"")))))</f>
        <v/>
      </c>
      <c r="AA25" s="65">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G25" s="49">
        <f>IF(Table1[SYM]="","",SUMIFS(Table1[NetPrem],Table1[Trade'#],Table1[[Trade'#]],Table1[Leg],"&lt;="&amp;Table1[Leg]))</f>
        <v/>
      </c>
      <c r="AH25" s="49" t="n"/>
    </row>
    <row r="26">
      <c r="A26" s="2" t="inlineStr">
        <is>
          <t>Sold 2 SFIX Apr 16 2021 45.0 Put @ 1.13</t>
        </is>
      </c>
      <c r="B26" t="n">
        <v>6</v>
      </c>
      <c r="C26" t="n">
        <v>1</v>
      </c>
      <c r="D26" s="2" t="inlineStr">
        <is>
          <t>SP</t>
        </is>
      </c>
      <c r="E26" s="65" t="n">
        <v>44291</v>
      </c>
      <c r="F26" s="65" t="n">
        <v>44301</v>
      </c>
      <c r="G26" s="65" t="n">
        <v>44302</v>
      </c>
      <c r="H26" t="n">
        <v>45</v>
      </c>
      <c r="J26" t="n">
        <v>2</v>
      </c>
      <c r="K26" t="n">
        <v>224.67</v>
      </c>
      <c r="M26" t="inlineStr">
        <is>
          <t>SFIX</t>
        </is>
      </c>
      <c r="N26">
        <f>RTD("tos.rtd",,"last", "SFIX")</f>
        <v/>
      </c>
      <c r="O26">
        <f>RTD("tos.rtd",,"ASK",".SFIX210416P45")</f>
        <v/>
      </c>
      <c r="P26" s="10">
        <f>IF([TransType]="LS", [OpnPrem]+[ClsPrem],
                                            IF([TransType]="AS", [OpnPrem]+[ClsPrem],
                                               [OpnPrem]-[ClsPrem]))</f>
        <v/>
      </c>
      <c r="Q26" s="66">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67">
        <f>IF([TotCapDays],365*[TotPrem]/[TotCapDays],"")</f>
        <v/>
      </c>
      <c r="Y26" s="10">
        <f>IF([SYM]="","",
IF([TransType]="LS",[Strike]-[TotPrem]/[['#Contracts]],
IF([['#Contracts]],[Strike]-[TotPrem]/[['#Contracts]]/100,"")))</f>
        <v/>
      </c>
      <c r="Z26" s="11">
        <f>IF([CloseDate]&gt;0,"",
IF([TransType]="LS",['#Contracts],
IF([TransType]="AS",100*[['#Contracts]],
IF([TransType]="SP",100*[['#Contracts]],
IF([TransType]="BP",100*[['#Contracts]],"")))))</f>
        <v/>
      </c>
      <c r="AA26" s="65">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G26" s="49">
        <f>IF(Table1[SYM]="","",SUMIFS(Table1[NetPrem],Table1[Trade'#],Table1[[Trade'#]],Table1[Leg],"&lt;="&amp;Table1[Leg]))</f>
        <v/>
      </c>
      <c r="AH26" s="49" t="n"/>
    </row>
    <row r="27">
      <c r="A27" s="2" t="inlineStr">
        <is>
          <t>Bought 2 SFIX Apr 16 2021 45.0 Put @ 0.49</t>
        </is>
      </c>
      <c r="B27" t="n">
        <v>6</v>
      </c>
      <c r="C27" t="n">
        <v>2</v>
      </c>
      <c r="D27" s="2" t="inlineStr">
        <is>
          <t>SP</t>
        </is>
      </c>
      <c r="E27" s="65" t="n">
        <v>44301</v>
      </c>
      <c r="F27" s="65" t="n">
        <v>44301</v>
      </c>
      <c r="G27" s="65" t="n">
        <v>44302</v>
      </c>
      <c r="H27" t="n">
        <v>45</v>
      </c>
      <c r="J27" t="n">
        <v>2</v>
      </c>
      <c r="K27" t="n">
        <v>-99.33</v>
      </c>
      <c r="M27" t="inlineStr">
        <is>
          <t>SFIX</t>
        </is>
      </c>
      <c r="N27">
        <f>RTD("tos.rtd",,"last", "SFIX")</f>
        <v/>
      </c>
      <c r="O27">
        <f>RTD("tos.rtd",,"ASK",".SFIX210416P45")</f>
        <v/>
      </c>
      <c r="P27" s="10">
        <f>IF([TransType]="LS", [OpnPrem]+[ClsPrem],
                                            IF([TransType]="AS", [OpnPrem]+[ClsPrem],
                                               [OpnPrem]-[ClsPrem]))</f>
        <v/>
      </c>
      <c r="Q27" s="66">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67">
        <f>IF([TotCapDays],365*[TotPrem]/[TotCapDays],"")</f>
        <v/>
      </c>
      <c r="Y27" s="10">
        <f>IF([SYM]="","",
IF([TransType]="LS",[Strike]-[TotPrem]/[['#Contracts]],
IF([['#Contracts]],[Strike]-[TotPrem]/[['#Contracts]]/100,"")))</f>
        <v/>
      </c>
      <c r="Z27" s="11">
        <f>IF([CloseDate]&gt;0,"",
IF([TransType]="LS",['#Contracts],
IF([TransType]="AS",100*[['#Contracts]],
IF([TransType]="SP",100*[['#Contracts]],
IF([TransType]="BP",100*[['#Contracts]],"")))))</f>
        <v/>
      </c>
      <c r="AA27" s="65">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G27" s="49">
        <f>IF(Table1[SYM]="","",SUMIFS(Table1[NetPrem],Table1[Trade'#],Table1[[Trade'#]],Table1[Leg],"&lt;="&amp;Table1[Leg]))</f>
        <v/>
      </c>
      <c r="AH27" s="49" t="n"/>
    </row>
    <row r="28">
      <c r="A28" s="2" t="inlineStr">
        <is>
          <t>Sold 2 SFIX Apr 30 2021 45.0 Put @ 1.93</t>
        </is>
      </c>
      <c r="B28" t="n">
        <v>6</v>
      </c>
      <c r="C28" t="n">
        <v>3</v>
      </c>
      <c r="D28" s="2" t="inlineStr">
        <is>
          <t>SP</t>
        </is>
      </c>
      <c r="E28" s="65" t="n">
        <v>44301</v>
      </c>
      <c r="F28" s="65" t="n">
        <v>44316</v>
      </c>
      <c r="G28" s="65" t="n">
        <v>44316</v>
      </c>
      <c r="H28" t="n">
        <v>45</v>
      </c>
      <c r="J28" t="n">
        <v>2</v>
      </c>
      <c r="K28" t="n">
        <v>384.67</v>
      </c>
      <c r="M28" t="inlineStr">
        <is>
          <t>SFIX</t>
        </is>
      </c>
      <c r="N28">
        <f>RTD("tos.rtd",,"last", "SFIX")</f>
        <v/>
      </c>
      <c r="O28">
        <f>RTD("tos.rtd",,"ASK",".SFIX210430P45")</f>
        <v/>
      </c>
      <c r="P28" s="10">
        <f>IF([TransType]="LS", [OpnPrem]+[ClsPrem],
                                            IF([TransType]="AS", [OpnPrem]+[ClsPrem],
                                               [OpnPrem]-[ClsPrem]))</f>
        <v/>
      </c>
      <c r="Q28" s="66">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67">
        <f>IF([TotCapDays],365*[TotPrem]/[TotCapDays],"")</f>
        <v/>
      </c>
      <c r="Y28" s="10">
        <f>IF([SYM]="","",
IF([TransType]="LS",[Strike]-[TotPrem]/[['#Contracts]],
IF([['#Contracts]],[Strike]-[TotPrem]/[['#Contracts]]/100,"")))</f>
        <v/>
      </c>
      <c r="Z28" s="11">
        <f>IF([CloseDate]&gt;0,"",
IF([TransType]="LS",['#Contracts],
IF([TransType]="AS",100*[['#Contracts]],
IF([TransType]="SP",100*[['#Contracts]],
IF([TransType]="BP",100*[['#Contracts]],"")))))</f>
        <v/>
      </c>
      <c r="AA28" s="65">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G28" s="49">
        <f>IF(Table1[SYM]="","",SUMIFS(Table1[NetPrem],Table1[Trade'#],Table1[[Trade'#]],Table1[Leg],"&lt;="&amp;Table1[Leg]))</f>
        <v/>
      </c>
      <c r="AH28" s="49" t="n"/>
    </row>
    <row r="29">
      <c r="A29" s="2" t="inlineStr">
        <is>
          <t>Bought 2 SFIX Apr 30 2021 45.0 Put @ 1.14</t>
        </is>
      </c>
      <c r="B29" t="n">
        <v>6</v>
      </c>
      <c r="C29" t="n">
        <v>4</v>
      </c>
      <c r="D29" s="2" t="inlineStr">
        <is>
          <t>SP</t>
        </is>
      </c>
      <c r="E29" s="65" t="n">
        <v>44316</v>
      </c>
      <c r="F29" s="65" t="n">
        <v>44316</v>
      </c>
      <c r="G29" s="65" t="n">
        <v>44316</v>
      </c>
      <c r="H29" t="n">
        <v>45</v>
      </c>
      <c r="J29" t="n">
        <v>2</v>
      </c>
      <c r="K29" t="n">
        <v>-229.33</v>
      </c>
      <c r="M29" t="inlineStr">
        <is>
          <t>SFIX</t>
        </is>
      </c>
      <c r="N29">
        <f>RTD("tos.rtd",,"last", "SFIX")</f>
        <v/>
      </c>
      <c r="O29">
        <f>RTD("tos.rtd",,"ASK",".SFIX210430P45")</f>
        <v/>
      </c>
      <c r="P29" s="10">
        <f>IF([TransType]="LS", [OpnPrem]+[ClsPrem],
                                            IF([TransType]="AS", [OpnPrem]+[ClsPrem],
                                               [OpnPrem]-[ClsPrem]))</f>
        <v/>
      </c>
      <c r="Q29" s="66">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67">
        <f>IF([TotCapDays],365*[TotPrem]/[TotCapDays],"")</f>
        <v/>
      </c>
      <c r="Y29" s="10">
        <f>IF([SYM]="","",
IF([TransType]="LS",[Strike]-[TotPrem]/[['#Contracts]],
IF([['#Contracts]],[Strike]-[TotPrem]/[['#Contracts]]/100,"")))</f>
        <v/>
      </c>
      <c r="Z29" s="11">
        <f>IF([CloseDate]&gt;0,"",
IF([TransType]="LS",['#Contracts],
IF([TransType]="AS",100*[['#Contracts]],
IF([TransType]="SP",100*[['#Contracts]],
IF([TransType]="BP",100*[['#Contracts]],"")))))</f>
        <v/>
      </c>
      <c r="AA29" s="65">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G29" s="49">
        <f>IF(Table1[SYM]="","",SUMIFS(Table1[NetPrem],Table1[Trade'#],Table1[[Trade'#]],Table1[Leg],"&lt;="&amp;Table1[Leg]))</f>
        <v/>
      </c>
      <c r="AH29" s="49" t="n"/>
    </row>
    <row r="30">
      <c r="A30" s="2" t="inlineStr">
        <is>
          <t>Sold 2 SFIX May 21 2021 44.5 Put @ 2.78</t>
        </is>
      </c>
      <c r="B30" t="n">
        <v>6</v>
      </c>
      <c r="C30" t="n">
        <v>5</v>
      </c>
      <c r="D30" s="2" t="inlineStr">
        <is>
          <t>SP</t>
        </is>
      </c>
      <c r="E30" s="65" t="n">
        <v>44316</v>
      </c>
      <c r="F30" s="65" t="n">
        <v>44328</v>
      </c>
      <c r="G30" s="65" t="n">
        <v>44337</v>
      </c>
      <c r="H30" t="n">
        <v>44.5</v>
      </c>
      <c r="J30" t="n">
        <v>2</v>
      </c>
      <c r="K30" t="n">
        <v>554.67</v>
      </c>
      <c r="M30" t="inlineStr">
        <is>
          <t>SFIX</t>
        </is>
      </c>
      <c r="N30">
        <f>RTD("tos.rtd",,"last", "SFIX")</f>
        <v/>
      </c>
      <c r="O30">
        <f>RTD("tos.rtd",,"ASK",".SFIX210521P44.5")</f>
        <v/>
      </c>
      <c r="P30" s="10">
        <f>IF([TransType]="LS", [OpnPrem]+[ClsPrem],
                                            IF([TransType]="AS", [OpnPrem]+[ClsPrem],
                                               [OpnPrem]-[ClsPrem]))</f>
        <v/>
      </c>
      <c r="Q30" s="66">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67">
        <f>IF([TotCapDays],365*[TotPrem]/[TotCapDays],"")</f>
        <v/>
      </c>
      <c r="Y30" s="10">
        <f>IF([SYM]="","",
IF([TransType]="LS",[Strike]-[TotPrem]/[['#Contracts]],
IF([['#Contracts]],[Strike]-[TotPrem]/[['#Contracts]]/100,"")))</f>
        <v/>
      </c>
      <c r="Z30" s="11">
        <f>IF([CloseDate]&gt;0,"",
IF([TransType]="LS",['#Contracts],
IF([TransType]="AS",100*[['#Contracts]],
IF([TransType]="SP",100*[['#Contracts]],
IF([TransType]="BP",100*[['#Contracts]],"")))))</f>
        <v/>
      </c>
      <c r="AA30" s="65">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G30" s="49">
        <f>IF(Table1[SYM]="","",SUMIFS(Table1[NetPrem],Table1[Trade'#],Table1[[Trade'#]],Table1[Leg],"&lt;="&amp;Table1[Leg]))</f>
        <v/>
      </c>
      <c r="AH30" s="49" t="n"/>
    </row>
    <row r="31">
      <c r="A31" s="2" t="inlineStr">
        <is>
          <t>Bought 1 SFIX May 21 2021 44.5 Put @ 3.47</t>
        </is>
      </c>
      <c r="B31" t="n">
        <v>6</v>
      </c>
      <c r="C31" t="n">
        <v>6</v>
      </c>
      <c r="D31" s="2" t="inlineStr">
        <is>
          <t>SP</t>
        </is>
      </c>
      <c r="E31" s="65" t="n">
        <v>44328</v>
      </c>
      <c r="F31" s="65" t="n">
        <v>44328</v>
      </c>
      <c r="G31" s="65" t="n">
        <v>44337</v>
      </c>
      <c r="H31" t="n">
        <v>44.5</v>
      </c>
      <c r="J31" t="n">
        <v>1</v>
      </c>
      <c r="K31" t="n">
        <v>-347.66</v>
      </c>
      <c r="M31" t="inlineStr">
        <is>
          <t>SFIX</t>
        </is>
      </c>
      <c r="N31">
        <f>RTD("tos.rtd",,"last", "SFIX")</f>
        <v/>
      </c>
      <c r="O31">
        <f>RTD("tos.rtd",,"ASK",".SFIX210521P44.5")</f>
        <v/>
      </c>
      <c r="P31" s="10">
        <f>IF([TransType]="LS", [OpnPrem]+[ClsPrem],
                                            IF([TransType]="AS", [OpnPrem]+[ClsPrem],
                                               [OpnPrem]-[ClsPrem]))</f>
        <v/>
      </c>
      <c r="Q31" s="66">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67">
        <f>IF([TotCapDays],365*[TotPrem]/[TotCapDays],"")</f>
        <v/>
      </c>
      <c r="Y31" s="10">
        <f>IF([SYM]="","",
IF([TransType]="LS",[Strike]-[TotPrem]/[['#Contracts]],
IF([['#Contracts]],[Strike]-[TotPrem]/[['#Contracts]]/100,"")))</f>
        <v/>
      </c>
      <c r="Z31" s="11">
        <f>IF([CloseDate]&gt;0,"",
IF([TransType]="LS",['#Contracts],
IF([TransType]="AS",100*[['#Contracts]],
IF([TransType]="SP",100*[['#Contracts]],
IF([TransType]="BP",100*[['#Contracts]],"")))))</f>
        <v/>
      </c>
      <c r="AA31" s="65">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G31" s="49">
        <f>IF(Table1[SYM]="","",SUMIFS(Table1[NetPrem],Table1[Trade'#],Table1[[Trade'#]],Table1[Leg],"&lt;="&amp;Table1[Leg]))</f>
        <v/>
      </c>
      <c r="AH31" s="49" t="n"/>
    </row>
    <row r="32">
      <c r="A32" s="2" t="inlineStr">
        <is>
          <t>Sold 1 SFIX Jun 11 2021 42.0 Put @ 4.87</t>
        </is>
      </c>
      <c r="B32" t="n">
        <v>6</v>
      </c>
      <c r="C32" t="n">
        <v>7</v>
      </c>
      <c r="D32" s="2" t="inlineStr">
        <is>
          <t>SP</t>
        </is>
      </c>
      <c r="E32" s="65" t="n">
        <v>44328</v>
      </c>
      <c r="F32" s="65" t="n">
        <v>44342</v>
      </c>
      <c r="G32" s="65" t="n">
        <v>44358</v>
      </c>
      <c r="H32" t="n">
        <v>42</v>
      </c>
      <c r="J32" t="n">
        <v>1</v>
      </c>
      <c r="K32" t="n">
        <v>486.34</v>
      </c>
      <c r="M32" t="inlineStr">
        <is>
          <t>SFIX</t>
        </is>
      </c>
      <c r="N32">
        <f>RTD("tos.rtd",,"last", "SFIX")</f>
        <v/>
      </c>
      <c r="O32">
        <f>RTD("tos.rtd",,"ASK",".SFIX210611P42")</f>
        <v/>
      </c>
      <c r="P32" s="10">
        <f>IF([TransType]="LS", [OpnPrem]+[ClsPrem],
                                            IF([TransType]="AS", [OpnPrem]+[ClsPrem],
                                               [OpnPrem]-[ClsPrem]))</f>
        <v/>
      </c>
      <c r="Q32" s="66">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67">
        <f>IF([TotCapDays],365*[TotPrem]/[TotCapDays],"")</f>
        <v/>
      </c>
      <c r="Y32" s="10">
        <f>IF([SYM]="","",
IF([TransType]="LS",[Strike]-[TotPrem]/[['#Contracts]],
IF([['#Contracts]],[Strike]-[TotPrem]/[['#Contracts]]/100,"")))</f>
        <v/>
      </c>
      <c r="Z32" s="11">
        <f>IF([CloseDate]&gt;0,"",
IF([TransType]="LS",['#Contracts],
IF([TransType]="AS",100*[['#Contracts]],
IF([TransType]="SP",100*[['#Contracts]],
IF([TransType]="BP",100*[['#Contracts]],"")))))</f>
        <v/>
      </c>
      <c r="AA32" s="65">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G32" s="49">
        <f>IF(Table1[SYM]="","",SUMIFS(Table1[NetPrem],Table1[Trade'#],Table1[[Trade'#]],Table1[Leg],"&lt;="&amp;Table1[Leg]))</f>
        <v/>
      </c>
      <c r="AH32" s="49" t="n"/>
    </row>
    <row r="33">
      <c r="A33" s="15" t="inlineStr">
        <is>
          <t>Bought 1 SFIX May 21 2021 44.5 Put @ 4.4</t>
        </is>
      </c>
      <c r="B33" s="61" t="n">
        <v>6</v>
      </c>
      <c r="C33" s="61" t="n">
        <v>8</v>
      </c>
      <c r="D33" s="15" t="inlineStr">
        <is>
          <t>SP</t>
        </is>
      </c>
      <c r="E33" s="68" t="n">
        <v>44328</v>
      </c>
      <c r="F33" s="68" t="n">
        <v>44328</v>
      </c>
      <c r="G33" s="68" t="n">
        <v>44337</v>
      </c>
      <c r="H33" s="61" t="n">
        <v>44.5</v>
      </c>
      <c r="I33" s="61" t="n"/>
      <c r="J33" s="60" t="n">
        <v>1</v>
      </c>
      <c r="K33" s="64" t="n">
        <v>-440.66</v>
      </c>
      <c r="M33" t="inlineStr">
        <is>
          <t>SFIX</t>
        </is>
      </c>
      <c r="N33">
        <f>RTD("tos.rtd",,"last", "SFIX")</f>
        <v/>
      </c>
      <c r="O33">
        <f>RTD("tos.rtd",,"ASK",".SFIX210521P44.5")</f>
        <v/>
      </c>
      <c r="P33" s="10">
        <f>IF([TransType]="LS", [OpnPrem]+[ClsPrem],
                                            IF([TransType]="AS", [OpnPrem]+[ClsPrem],
                                               [OpnPrem]-[ClsPrem]))</f>
        <v/>
      </c>
      <c r="Q33" s="66">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67">
        <f>IF([TotCapDays],365*[TotPrem]/[TotCapDays],"")</f>
        <v/>
      </c>
      <c r="Y33" s="10">
        <f>IF([SYM]="","",
IF([TransType]="LS",[Strike]-[TotPrem]/[['#Contracts]],
IF([['#Contracts]],[Strike]-[TotPrem]/[['#Contracts]]/100,"")))</f>
        <v/>
      </c>
      <c r="Z33" s="11">
        <f>IF([CloseDate]&gt;0,"",
IF([TransType]="LS",['#Contracts],
IF([TransType]="AS",100*[['#Contracts]],
IF([TransType]="SP",100*[['#Contracts]],
IF([TransType]="BP",100*[['#Contracts]],"")))))</f>
        <v/>
      </c>
      <c r="AA33" s="65">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G33" s="49">
        <f>IF(Table1[SYM]="","",SUMIFS(Table1[NetPrem],Table1[Trade'#],Table1[[Trade'#]],Table1[Leg],"&lt;="&amp;Table1[Leg]))</f>
        <v/>
      </c>
      <c r="AH33" s="49" t="n"/>
    </row>
    <row r="34">
      <c r="A34" s="15" t="inlineStr">
        <is>
          <t>Sold 1 SFIX Jun 11 2021 42.0 Put @ 4.66</t>
        </is>
      </c>
      <c r="B34" s="61" t="n">
        <v>6</v>
      </c>
      <c r="C34" s="61" t="n">
        <v>9</v>
      </c>
      <c r="D34" s="15" t="inlineStr">
        <is>
          <t>SP</t>
        </is>
      </c>
      <c r="E34" s="68" t="n">
        <v>44328</v>
      </c>
      <c r="F34" s="68" t="n">
        <v>44342</v>
      </c>
      <c r="G34" s="68" t="n">
        <v>44358</v>
      </c>
      <c r="H34" s="61" t="n">
        <v>42</v>
      </c>
      <c r="I34" s="61" t="n"/>
      <c r="J34" s="60" t="n">
        <v>1</v>
      </c>
      <c r="K34" s="64" t="n">
        <v>465.34</v>
      </c>
      <c r="M34" t="inlineStr">
        <is>
          <t>SFIX</t>
        </is>
      </c>
      <c r="N34">
        <f>RTD("tos.rtd",,"last", "SFIX")</f>
        <v/>
      </c>
      <c r="O34">
        <f>RTD("tos.rtd",,"ASK",".SFIX210611P42")</f>
        <v/>
      </c>
      <c r="P34" s="10">
        <f>IF([TransType]="LS", [OpnPrem]+[ClsPrem],
                                            IF([TransType]="AS", [OpnPrem]+[ClsPrem],
                                               [OpnPrem]-[ClsPrem]))</f>
        <v/>
      </c>
      <c r="Q34" s="66">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67">
        <f>IF([TotCapDays],365*[TotPrem]/[TotCapDays],"")</f>
        <v/>
      </c>
      <c r="Y34" s="10">
        <f>IF([SYM]="","",
IF([TransType]="LS",[Strike]-[TotPrem]/[['#Contracts]],
IF([['#Contracts]],[Strike]-[TotPrem]/[['#Contracts]]/100,"")))</f>
        <v/>
      </c>
      <c r="Z34" s="11">
        <f>IF([CloseDate]&gt;0,"",
IF([TransType]="LS",['#Contracts],
IF([TransType]="AS",100*[['#Contracts]],
IF([TransType]="SP",100*[['#Contracts]],
IF([TransType]="BP",100*[['#Contracts]],"")))))</f>
        <v/>
      </c>
      <c r="AA34" s="65">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G34" s="49">
        <f>IF(Table1[SYM]="","",SUMIFS(Table1[NetPrem],Table1[Trade'#],Table1[[Trade'#]],Table1[Leg],"&lt;="&amp;Table1[Leg]))</f>
        <v/>
      </c>
      <c r="AH34" s="49" t="n"/>
    </row>
    <row r="35">
      <c r="A35" s="15" t="inlineStr">
        <is>
          <t>Bought 2 SFIX Jun 11 2021 42.0 Put @ 1.55</t>
        </is>
      </c>
      <c r="B35" s="61" t="n">
        <v>6</v>
      </c>
      <c r="C35" s="61" t="n">
        <v>10</v>
      </c>
      <c r="D35" s="15" t="inlineStr">
        <is>
          <t>SP</t>
        </is>
      </c>
      <c r="E35" s="68" t="n">
        <v>44342</v>
      </c>
      <c r="F35" s="68" t="n">
        <v>44342</v>
      </c>
      <c r="G35" s="68" t="n">
        <v>44358</v>
      </c>
      <c r="H35" s="61" t="n">
        <v>42</v>
      </c>
      <c r="I35" s="61" t="n"/>
      <c r="J35" s="60" t="n">
        <v>2</v>
      </c>
      <c r="K35" s="64" t="n">
        <v>-311.33</v>
      </c>
      <c r="M35" t="inlineStr">
        <is>
          <t>SFIX</t>
        </is>
      </c>
      <c r="N35">
        <f>RTD("tos.rtd",,"last", "SFIX")</f>
        <v/>
      </c>
      <c r="O35">
        <f>RTD("tos.rtd",,"ASK",".SFIX210611P42")</f>
        <v/>
      </c>
      <c r="P35" s="10">
        <f>IF([TransType]="LS", [OpnPrem]+[ClsPrem],
                                            IF([TransType]="AS", [OpnPrem]+[ClsPrem],
                                               [OpnPrem]-[ClsPrem]))</f>
        <v/>
      </c>
      <c r="Q35" s="66">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67">
        <f>IF([TotCapDays],365*[TotPrem]/[TotCapDays],"")</f>
        <v/>
      </c>
      <c r="Y35" s="10">
        <f>IF([SYM]="","",
IF([TransType]="LS",[Strike]-[TotPrem]/[['#Contracts]],
IF([['#Contracts]],[Strike]-[TotPrem]/[['#Contracts]]/100,"")))</f>
        <v/>
      </c>
      <c r="Z35" s="11">
        <f>IF([CloseDate]&gt;0,"",
IF([TransType]="LS",['#Contracts],
IF([TransType]="AS",100*[['#Contracts]],
IF([TransType]="SP",100*[['#Contracts]],
IF([TransType]="BP",100*[['#Contracts]],"")))))</f>
        <v/>
      </c>
      <c r="AA35" s="65">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G35" s="49">
        <f>IF(Table1[SYM]="","",SUMIFS(Table1[NetPrem],Table1[Trade'#],Table1[[Trade'#]],Table1[Leg],"&lt;="&amp;Table1[Leg]))</f>
        <v/>
      </c>
      <c r="AH35" s="49" t="n"/>
    </row>
    <row r="36">
      <c r="A36" s="15" t="inlineStr">
        <is>
          <t>Sold 10 SBGI Apr 16 2021 28.0 Put @ 0.37</t>
        </is>
      </c>
      <c r="B36" s="61" t="n">
        <v>7</v>
      </c>
      <c r="C36" s="61" t="n">
        <v>1</v>
      </c>
      <c r="D36" s="15" t="inlineStr">
        <is>
          <t>SP</t>
        </is>
      </c>
      <c r="E36" s="68" t="n">
        <v>44292</v>
      </c>
      <c r="F36" s="68" t="n">
        <v>44302</v>
      </c>
      <c r="G36" s="68" t="n">
        <v>44302</v>
      </c>
      <c r="H36" s="61" t="n">
        <v>28</v>
      </c>
      <c r="I36" s="61" t="n"/>
      <c r="J36" s="60" t="n">
        <v>10</v>
      </c>
      <c r="K36" s="64" t="n">
        <v>363.34</v>
      </c>
      <c r="M36" t="inlineStr">
        <is>
          <t>SBGI</t>
        </is>
      </c>
      <c r="N36">
        <f>RTD("tos.rtd",,"last", "SBGI")</f>
        <v/>
      </c>
      <c r="O36">
        <f>RTD("tos.rtd",,"ASK",".SBGI210416P28")</f>
        <v/>
      </c>
      <c r="P36" s="10">
        <f>IF([TransType]="LS", [OpnPrem]+[ClsPrem],
                                            IF([TransType]="AS", [OpnPrem]+[ClsPrem],
                                               [OpnPrem]-[ClsPrem]))</f>
        <v/>
      </c>
      <c r="Q36" s="66">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67">
        <f>IF([TotCapDays],365*[TotPrem]/[TotCapDays],"")</f>
        <v/>
      </c>
      <c r="Y36" s="10">
        <f>IF([SYM]="","",
IF([TransType]="LS",[Strike]-[TotPrem]/[['#Contracts]],
IF([['#Contracts]],[Strike]-[TotPrem]/[['#Contracts]]/100,"")))</f>
        <v/>
      </c>
      <c r="Z36" s="11">
        <f>IF([CloseDate]&gt;0,"",
IF([TransType]="LS",['#Contracts],
IF([TransType]="AS",100*[['#Contracts]],
IF([TransType]="SP",100*[['#Contracts]],
IF([TransType]="BP",100*[['#Contracts]],"")))))</f>
        <v/>
      </c>
      <c r="AA36" s="65">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G36" s="49">
        <f>IF(Table1[SYM]="","",SUMIFS(Table1[NetPrem],Table1[Trade'#],Table1[[Trade'#]],Table1[Leg],"&lt;="&amp;Table1[Leg]))</f>
        <v/>
      </c>
      <c r="AH36" s="49" t="n"/>
    </row>
    <row r="37">
      <c r="A37" s="15" t="inlineStr">
        <is>
          <t>Sold 10 AAL May 7 2021 22.0 Put @ 0.86</t>
        </is>
      </c>
      <c r="B37" s="61" t="n">
        <v>8</v>
      </c>
      <c r="C37" s="61" t="n">
        <v>1</v>
      </c>
      <c r="D37" s="15" t="inlineStr">
        <is>
          <t>SP</t>
        </is>
      </c>
      <c r="E37" s="68" t="n">
        <v>44294</v>
      </c>
      <c r="F37" s="68" t="n">
        <v>44323</v>
      </c>
      <c r="G37" s="68" t="n">
        <v>44323</v>
      </c>
      <c r="H37" s="61" t="n">
        <v>22</v>
      </c>
      <c r="I37" s="61" t="n"/>
      <c r="J37" s="60" t="n">
        <v>10</v>
      </c>
      <c r="K37" s="64" t="n">
        <v>853.34</v>
      </c>
      <c r="M37" t="inlineStr">
        <is>
          <t>AAL</t>
        </is>
      </c>
      <c r="N37">
        <f>RTD("tos.rtd",,"last", "AAL")</f>
        <v/>
      </c>
      <c r="O37">
        <f>RTD("tos.rtd",,"ASK",".AAL210507P22")</f>
        <v/>
      </c>
      <c r="P37" s="10">
        <f>IF([TransType]="LS", [OpnPrem]+[ClsPrem],
                                            IF([TransType]="AS", [OpnPrem]+[ClsPrem],
                                               [OpnPrem]-[ClsPrem]))</f>
        <v/>
      </c>
      <c r="Q37" s="66">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67">
        <f>IF([TotCapDays],365*[TotPrem]/[TotCapDays],"")</f>
        <v/>
      </c>
      <c r="Y37" s="10">
        <f>IF([SYM]="","",
IF([TransType]="LS",[Strike]-[TotPrem]/[['#Contracts]],
IF([['#Contracts]],[Strike]-[TotPrem]/[['#Contracts]]/100,"")))</f>
        <v/>
      </c>
      <c r="Z37" s="11">
        <f>IF([CloseDate]&gt;0,"",
IF([TransType]="LS",['#Contracts],
IF([TransType]="AS",100*[['#Contracts]],
IF([TransType]="SP",100*[['#Contracts]],
IF([TransType]="BP",100*[['#Contracts]],"")))))</f>
        <v/>
      </c>
      <c r="AA37" s="65">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G37" s="49">
        <f>IF(Table1[SYM]="","",SUMIFS(Table1[NetPrem],Table1[Trade'#],Table1[[Trade'#]],Table1[Leg],"&lt;="&amp;Table1[Leg]))</f>
        <v/>
      </c>
      <c r="AH37" s="49" t="n"/>
    </row>
    <row r="38">
      <c r="A38" s="15" t="inlineStr">
        <is>
          <t>Bought 10 AAL May 7 2021 22.0 Put @ 0.61</t>
        </is>
      </c>
      <c r="B38" s="61" t="n">
        <v>8</v>
      </c>
      <c r="C38" s="61" t="n">
        <v>2</v>
      </c>
      <c r="D38" s="15" t="inlineStr">
        <is>
          <t>SP</t>
        </is>
      </c>
      <c r="E38" s="68" t="n">
        <v>44323</v>
      </c>
      <c r="F38" s="68" t="n">
        <v>44323</v>
      </c>
      <c r="G38" s="68" t="n">
        <v>44323</v>
      </c>
      <c r="H38" s="61" t="n">
        <v>22</v>
      </c>
      <c r="I38" s="61" t="n"/>
      <c r="J38" s="60" t="n">
        <v>10</v>
      </c>
      <c r="K38" s="64" t="n">
        <v>-616.64</v>
      </c>
      <c r="M38" t="inlineStr">
        <is>
          <t>AAL</t>
        </is>
      </c>
      <c r="N38">
        <f>RTD("tos.rtd",,"last", "AAL")</f>
        <v/>
      </c>
      <c r="O38">
        <f>RTD("tos.rtd",,"ASK",".AAL210507P22")</f>
        <v/>
      </c>
      <c r="P38" s="10">
        <f>IF([TransType]="LS", [OpnPrem]+[ClsPrem],
                                            IF([TransType]="AS", [OpnPrem]+[ClsPrem],
                                               [OpnPrem]-[ClsPrem]))</f>
        <v/>
      </c>
      <c r="Q38" s="66">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67">
        <f>IF([TotCapDays],365*[TotPrem]/[TotCapDays],"")</f>
        <v/>
      </c>
      <c r="Y38" s="10">
        <f>IF([SYM]="","",
IF([TransType]="LS",[Strike]-[TotPrem]/[['#Contracts]],
IF([['#Contracts]],[Strike]-[TotPrem]/[['#Contracts]]/100,"")))</f>
        <v/>
      </c>
      <c r="Z38" s="11">
        <f>IF([CloseDate]&gt;0,"",
IF([TransType]="LS",['#Contracts],
IF([TransType]="AS",100*[['#Contracts]],
IF([TransType]="SP",100*[['#Contracts]],
IF([TransType]="BP",100*[['#Contracts]],"")))))</f>
        <v/>
      </c>
      <c r="AA38" s="65">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G38" s="49">
        <f>IF(Table1[SYM]="","",SUMIFS(Table1[NetPrem],Table1[Trade'#],Table1[[Trade'#]],Table1[Leg],"&lt;="&amp;Table1[Leg]))</f>
        <v/>
      </c>
      <c r="AH38" s="49" t="n"/>
    </row>
    <row r="39">
      <c r="A39" s="15" t="inlineStr">
        <is>
          <t>Sold 10 AAL May 28 2021 21.5 Put @ 0.98</t>
        </is>
      </c>
      <c r="B39" s="61" t="n">
        <v>8</v>
      </c>
      <c r="C39" s="61" t="n">
        <v>3</v>
      </c>
      <c r="D39" s="15" t="inlineStr">
        <is>
          <t>SP</t>
        </is>
      </c>
      <c r="E39" s="68" t="n">
        <v>44323</v>
      </c>
      <c r="F39" s="68" t="n">
        <v>44323</v>
      </c>
      <c r="G39" s="68" t="n">
        <v>44344</v>
      </c>
      <c r="H39" s="61" t="n">
        <v>21.5</v>
      </c>
      <c r="I39" s="61" t="n"/>
      <c r="J39" s="60" t="n">
        <v>10</v>
      </c>
      <c r="K39" s="64" t="n">
        <v>973.34</v>
      </c>
      <c r="M39" t="inlineStr">
        <is>
          <t>AAL</t>
        </is>
      </c>
      <c r="N39">
        <f>RTD("tos.rtd",,"last", "AAL")</f>
        <v/>
      </c>
      <c r="O39">
        <f>RTD("tos.rtd",,"ASK",".AAL210528P21.5")</f>
        <v/>
      </c>
      <c r="P39" s="10">
        <f>IF([TransType]="LS", [OpnPrem]+[ClsPrem],
                                            IF([TransType]="AS", [OpnPrem]+[ClsPrem],
                                               [OpnPrem]-[ClsPrem]))</f>
        <v/>
      </c>
      <c r="Q39" s="66">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67">
        <f>IF([TotCapDays],365*[TotPrem]/[TotCapDays],"")</f>
        <v/>
      </c>
      <c r="Y39" s="10">
        <f>IF([SYM]="","",
IF([TransType]="LS",[Strike]-[TotPrem]/[['#Contracts]],
IF([['#Contracts]],[Strike]-[TotPrem]/[['#Contracts]]/100,"")))</f>
        <v/>
      </c>
      <c r="Z39" s="11">
        <f>IF([CloseDate]&gt;0,"",
IF([TransType]="LS",['#Contracts],
IF([TransType]="AS",100*[['#Contracts]],
IF([TransType]="SP",100*[['#Contracts]],
IF([TransType]="BP",100*[['#Contracts]],"")))))</f>
        <v/>
      </c>
      <c r="AA39" s="65">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G39" s="49">
        <f>IF(Table1[SYM]="","",SUMIFS(Table1[NetPrem],Table1[Trade'#],Table1[[Trade'#]],Table1[Leg],"&lt;="&amp;Table1[Leg]))</f>
        <v/>
      </c>
      <c r="AH39" s="49" t="n"/>
    </row>
    <row r="40">
      <c r="A40" s="15" t="inlineStr">
        <is>
          <t>Bought 10 AAL May 28 2021 21.5 Put @ 0.74</t>
        </is>
      </c>
      <c r="B40" s="61" t="n">
        <v>8</v>
      </c>
      <c r="C40" s="61" t="n">
        <v>4</v>
      </c>
      <c r="D40" s="15" t="inlineStr">
        <is>
          <t>SP</t>
        </is>
      </c>
      <c r="E40" s="68" t="n">
        <v>44323</v>
      </c>
      <c r="F40" s="68" t="n">
        <v>44323</v>
      </c>
      <c r="G40" s="68" t="n">
        <v>44344</v>
      </c>
      <c r="H40" s="61" t="n">
        <v>21.5</v>
      </c>
      <c r="I40" s="61" t="n"/>
      <c r="J40" s="60" t="n">
        <v>10</v>
      </c>
      <c r="K40" s="64" t="n">
        <v>-746.64</v>
      </c>
      <c r="M40" t="inlineStr">
        <is>
          <t>AAL</t>
        </is>
      </c>
      <c r="N40">
        <f>RTD("tos.rtd",,"last", "AAL")</f>
        <v/>
      </c>
      <c r="O40">
        <f>RTD("tos.rtd",,"ASK",".AAL210528P21.5")</f>
        <v/>
      </c>
      <c r="P40" s="10">
        <f>IF([TransType]="LS", [OpnPrem]+[ClsPrem],
                                            IF([TransType]="AS", [OpnPrem]+[ClsPrem],
                                               [OpnPrem]-[ClsPrem]))</f>
        <v/>
      </c>
      <c r="Q40" s="66">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67">
        <f>IF([TotCapDays],365*[TotPrem]/[TotCapDays],"")</f>
        <v/>
      </c>
      <c r="Y40" s="10">
        <f>IF([SYM]="","",
IF([TransType]="LS",[Strike]-[TotPrem]/[['#Contracts]],
IF([['#Contracts]],[Strike]-[TotPrem]/[['#Contracts]]/100,"")))</f>
        <v/>
      </c>
      <c r="Z40" s="11">
        <f>IF([CloseDate]&gt;0,"",
IF([TransType]="LS",['#Contracts],
IF([TransType]="AS",100*[['#Contracts]],
IF([TransType]="SP",100*[['#Contracts]],
IF([TransType]="BP",100*[['#Contracts]],"")))))</f>
        <v/>
      </c>
      <c r="AA40" s="65">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G40" s="49">
        <f>IF(Table1[SYM]="","",SUMIFS(Table1[NetPrem],Table1[Trade'#],Table1[[Trade'#]],Table1[Leg],"&lt;="&amp;Table1[Leg]))</f>
        <v/>
      </c>
      <c r="AH40" s="49" t="n"/>
    </row>
    <row r="41">
      <c r="A41" s="15" t="inlineStr">
        <is>
          <t>Sold 10 CCL May 7 2021 25.0 Put @ 0.44</t>
        </is>
      </c>
      <c r="B41" s="61" t="n">
        <v>9</v>
      </c>
      <c r="C41" s="61" t="n">
        <v>1</v>
      </c>
      <c r="D41" s="15" t="inlineStr">
        <is>
          <t>SP</t>
        </is>
      </c>
      <c r="E41" s="68" t="n">
        <v>44294</v>
      </c>
      <c r="F41" s="68" t="n">
        <v>44322</v>
      </c>
      <c r="G41" s="68" t="n">
        <v>44323</v>
      </c>
      <c r="H41" s="61" t="n">
        <v>25</v>
      </c>
      <c r="I41" s="61" t="n"/>
      <c r="J41" s="60" t="n">
        <v>10</v>
      </c>
      <c r="K41" s="64" t="n">
        <v>433.34</v>
      </c>
      <c r="M41" t="inlineStr">
        <is>
          <t>CCL</t>
        </is>
      </c>
      <c r="N41">
        <f>RTD("tos.rtd",,"last", "CCL")</f>
        <v/>
      </c>
      <c r="O41">
        <f>RTD("tos.rtd",,"ASK",".CCL210507P25")</f>
        <v/>
      </c>
      <c r="P41" s="10">
        <f>IF([TransType]="LS", [OpnPrem]+[ClsPrem],
                                            IF([TransType]="AS", [OpnPrem]+[ClsPrem],
                                               [OpnPrem]-[ClsPrem]))</f>
        <v/>
      </c>
      <c r="Q41" s="66">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67">
        <f>IF([TotCapDays],365*[TotPrem]/[TotCapDays],"")</f>
        <v/>
      </c>
      <c r="Y41" s="10">
        <f>IF([SYM]="","",
IF([TransType]="LS",[Strike]-[TotPrem]/[['#Contracts]],
IF([['#Contracts]],[Strike]-[TotPrem]/[['#Contracts]]/100,"")))</f>
        <v/>
      </c>
      <c r="Z41" s="11">
        <f>IF([CloseDate]&gt;0,"",
IF([TransType]="LS",['#Contracts],
IF([TransType]="AS",100*[['#Contracts]],
IF([TransType]="SP",100*[['#Contracts]],
IF([TransType]="BP",100*[['#Contracts]],"")))))</f>
        <v/>
      </c>
      <c r="AA41" s="65">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G41" s="49">
        <f>IF(Table1[SYM]="","",SUMIFS(Table1[NetPrem],Table1[Trade'#],Table1[[Trade'#]],Table1[Leg],"&lt;="&amp;Table1[Leg]))</f>
        <v/>
      </c>
      <c r="AH41" s="49" t="n"/>
    </row>
    <row r="42">
      <c r="A42" s="15" t="inlineStr">
        <is>
          <t>Bought 10 CCL May 07 2021 25.0 Put @ 0.04</t>
        </is>
      </c>
      <c r="B42" s="61" t="n">
        <v>9</v>
      </c>
      <c r="C42" s="61" t="n">
        <v>2</v>
      </c>
      <c r="D42" s="15" t="inlineStr">
        <is>
          <t>SP</t>
        </is>
      </c>
      <c r="E42" s="68" t="n">
        <v>44319</v>
      </c>
      <c r="F42" s="68" t="n">
        <v>44322</v>
      </c>
      <c r="G42" s="68" t="n">
        <v>44323</v>
      </c>
      <c r="H42" s="61" t="n">
        <v>25</v>
      </c>
      <c r="I42" s="61" t="n"/>
      <c r="J42" s="60" t="n">
        <v>10</v>
      </c>
      <c r="K42" s="64" t="n">
        <v>-40.14</v>
      </c>
      <c r="M42" t="inlineStr">
        <is>
          <t>CCL</t>
        </is>
      </c>
      <c r="N42">
        <f>RTD("tos.rtd",,"last", "CCL")</f>
        <v/>
      </c>
      <c r="O42">
        <f>RTD("tos.rtd",,"ASK",".CCL210507P25")</f>
        <v/>
      </c>
      <c r="P42" s="10">
        <f>IF([TransType]="LS", [OpnPrem]+[ClsPrem],
                                            IF([TransType]="AS", [OpnPrem]+[ClsPrem],
                                               [OpnPrem]-[ClsPrem]))</f>
        <v/>
      </c>
      <c r="Q42" s="66">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67">
        <f>IF([TotCapDays],365*[TotPrem]/[TotCapDays],"")</f>
        <v/>
      </c>
      <c r="Y42" s="10">
        <f>IF([SYM]="","",
IF([TransType]="LS",[Strike]-[TotPrem]/[['#Contracts]],
IF([['#Contracts]],[Strike]-[TotPrem]/[['#Contracts]]/100,"")))</f>
        <v/>
      </c>
      <c r="Z42" s="11">
        <f>IF([CloseDate]&gt;0,"",
IF([TransType]="LS",['#Contracts],
IF([TransType]="AS",100*[['#Contracts]],
IF([TransType]="SP",100*[['#Contracts]],
IF([TransType]="BP",100*[['#Contracts]],"")))))</f>
        <v/>
      </c>
      <c r="AA42" s="65">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G42" s="49">
        <f>IF(Table1[SYM]="","",SUMIFS(Table1[NetPrem],Table1[Trade'#],Table1[[Trade'#]],Table1[Leg],"&lt;="&amp;Table1[Leg]))</f>
        <v/>
      </c>
      <c r="AH42" s="49" t="n"/>
    </row>
    <row r="43">
      <c r="A43" s="15" t="inlineStr">
        <is>
          <t>Sold 3 GE Apr 30 2021 13.0 Put @ 0.35</t>
        </is>
      </c>
      <c r="B43" s="61" t="n">
        <v>10</v>
      </c>
      <c r="C43" s="61" t="n">
        <v>1</v>
      </c>
      <c r="D43" s="15" t="inlineStr">
        <is>
          <t>SP</t>
        </is>
      </c>
      <c r="E43" s="68" t="n">
        <v>44295</v>
      </c>
      <c r="F43" s="68" t="n">
        <v>44313</v>
      </c>
      <c r="G43" s="68" t="n">
        <v>44316</v>
      </c>
      <c r="H43" s="61" t="n">
        <v>13</v>
      </c>
      <c r="I43" s="61" t="n"/>
      <c r="J43" s="60" t="n">
        <v>3</v>
      </c>
      <c r="K43" s="64" t="n">
        <v>103</v>
      </c>
      <c r="M43" t="inlineStr">
        <is>
          <t>GE</t>
        </is>
      </c>
      <c r="N43">
        <f>RTD("tos.rtd",,"last", "GE")</f>
        <v/>
      </c>
      <c r="O43">
        <f>RTD("tos.rtd",,"ASK",".GE210430P13")</f>
        <v/>
      </c>
      <c r="P43" s="10">
        <f>IF([TransType]="LS", [OpnPrem]+[ClsPrem],
                                            IF([TransType]="AS", [OpnPrem]+[ClsPrem],
                                               [OpnPrem]-[ClsPrem]))</f>
        <v/>
      </c>
      <c r="Q43" s="66">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67">
        <f>IF([TotCapDays],365*[TotPrem]/[TotCapDays],"")</f>
        <v/>
      </c>
      <c r="Y43" s="10">
        <f>IF([SYM]="","",
IF([TransType]="LS",[Strike]-[TotPrem]/[['#Contracts]],
IF([['#Contracts]],[Strike]-[TotPrem]/[['#Contracts]]/100,"")))</f>
        <v/>
      </c>
      <c r="Z43" s="11">
        <f>IF([CloseDate]&gt;0,"",
IF([TransType]="LS",['#Contracts],
IF([TransType]="AS",100*[['#Contracts]],
IF([TransType]="SP",100*[['#Contracts]],
IF([TransType]="BP",100*[['#Contracts]],"")))))</f>
        <v/>
      </c>
      <c r="AA43" s="65">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G43" s="49">
        <f>IF(Table1[SYM]="","",SUMIFS(Table1[NetPrem],Table1[Trade'#],Table1[[Trade'#]],Table1[Leg],"&lt;="&amp;Table1[Leg]))</f>
        <v/>
      </c>
      <c r="AH43" s="49" t="n"/>
    </row>
    <row r="44">
      <c r="A44" s="15" t="inlineStr">
        <is>
          <t>Bought 2 GE Apr 30 2021 13.0 Put @ 0.09</t>
        </is>
      </c>
      <c r="B44" s="61" t="n">
        <v>10</v>
      </c>
      <c r="C44" s="61" t="n">
        <v>2</v>
      </c>
      <c r="D44" s="15" t="inlineStr">
        <is>
          <t>SP</t>
        </is>
      </c>
      <c r="E44" s="68" t="n">
        <v>44313</v>
      </c>
      <c r="F44" s="68" t="n">
        <v>44313</v>
      </c>
      <c r="G44" s="68" t="n">
        <v>44316</v>
      </c>
      <c r="H44" s="61" t="n">
        <v>13</v>
      </c>
      <c r="I44" s="61" t="n"/>
      <c r="J44" s="60" t="n">
        <v>2</v>
      </c>
      <c r="K44" s="64" t="n">
        <v>-19.33</v>
      </c>
      <c r="M44" t="inlineStr">
        <is>
          <t>GE</t>
        </is>
      </c>
      <c r="N44">
        <f>RTD("tos.rtd",,"last", "GE")</f>
        <v/>
      </c>
      <c r="O44">
        <f>RTD("tos.rtd",,"ASK",".GE210430P13")</f>
        <v/>
      </c>
      <c r="P44" s="10">
        <f>IF([TransType]="LS", [OpnPrem]+[ClsPrem],
                                            IF([TransType]="AS", [OpnPrem]+[ClsPrem],
                                               [OpnPrem]-[ClsPrem]))</f>
        <v/>
      </c>
      <c r="Q44" s="66">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67">
        <f>IF([TotCapDays],365*[TotPrem]/[TotCapDays],"")</f>
        <v/>
      </c>
      <c r="Y44" s="10">
        <f>IF([SYM]="","",
IF([TransType]="LS",[Strike]-[TotPrem]/[['#Contracts]],
IF([['#Contracts]],[Strike]-[TotPrem]/[['#Contracts]]/100,"")))</f>
        <v/>
      </c>
      <c r="Z44" s="11">
        <f>IF([CloseDate]&gt;0,"",
IF([TransType]="LS",['#Contracts],
IF([TransType]="AS",100*[['#Contracts]],
IF([TransType]="SP",100*[['#Contracts]],
IF([TransType]="BP",100*[['#Contracts]],"")))))</f>
        <v/>
      </c>
      <c r="AA44" s="65">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G44" s="49">
        <f>IF(Table1[SYM]="","",SUMIFS(Table1[NetPrem],Table1[Trade'#],Table1[[Trade'#]],Table1[Leg],"&lt;="&amp;Table1[Leg]))</f>
        <v/>
      </c>
      <c r="AH44" s="49" t="n"/>
    </row>
    <row r="45">
      <c r="A45" s="15" t="inlineStr">
        <is>
          <t>Bought 1 GE Apr 30 2021 13.0 Put @ 0.09</t>
        </is>
      </c>
      <c r="B45" s="61" t="n">
        <v>10</v>
      </c>
      <c r="C45" s="61" t="n">
        <v>3</v>
      </c>
      <c r="D45" s="15" t="inlineStr">
        <is>
          <t>SP</t>
        </is>
      </c>
      <c r="E45" s="68" t="n">
        <v>44313</v>
      </c>
      <c r="F45" s="68" t="n">
        <v>44313</v>
      </c>
      <c r="G45" s="68" t="n">
        <v>44316</v>
      </c>
      <c r="H45" s="61" t="n">
        <v>13</v>
      </c>
      <c r="I45" s="61" t="n"/>
      <c r="J45" s="60" t="n">
        <v>1</v>
      </c>
      <c r="K45" s="64" t="n">
        <v>-9.66</v>
      </c>
      <c r="M45" t="inlineStr">
        <is>
          <t>GE</t>
        </is>
      </c>
      <c r="N45">
        <f>RTD("tos.rtd",,"last", "GE")</f>
        <v/>
      </c>
      <c r="O45">
        <f>RTD("tos.rtd",,"ASK",".GE210430P13")</f>
        <v/>
      </c>
      <c r="P45" s="10">
        <f>IF([TransType]="LS", [OpnPrem]+[ClsPrem],
                                            IF([TransType]="AS", [OpnPrem]+[ClsPrem],
                                               [OpnPrem]-[ClsPrem]))</f>
        <v/>
      </c>
      <c r="Q45" s="66">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67">
        <f>IF([TotCapDays],365*[TotPrem]/[TotCapDays],"")</f>
        <v/>
      </c>
      <c r="Y45" s="10">
        <f>IF([SYM]="","",
IF([TransType]="LS",[Strike]-[TotPrem]/[['#Contracts]],
IF([['#Contracts]],[Strike]-[TotPrem]/[['#Contracts]]/100,"")))</f>
        <v/>
      </c>
      <c r="Z45" s="11">
        <f>IF([CloseDate]&gt;0,"",
IF([TransType]="LS",['#Contracts],
IF([TransType]="AS",100*[['#Contracts]],
IF([TransType]="SP",100*[['#Contracts]],
IF([TransType]="BP",100*[['#Contracts]],"")))))</f>
        <v/>
      </c>
      <c r="AA45" s="65">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G45" s="49">
        <f>IF(Table1[SYM]="","",SUMIFS(Table1[NetPrem],Table1[Trade'#],Table1[[Trade'#]],Table1[Leg],"&lt;="&amp;Table1[Leg]))</f>
        <v/>
      </c>
      <c r="AH45" s="49" t="n"/>
    </row>
    <row r="46">
      <c r="A46" s="15" t="inlineStr">
        <is>
          <t>Sold 4 CPB May 21 2021 48.0 Put @ 0.6</t>
        </is>
      </c>
      <c r="B46" s="61" t="n">
        <v>11</v>
      </c>
      <c r="C46" s="61" t="n">
        <v>1</v>
      </c>
      <c r="D46" s="15" t="inlineStr">
        <is>
          <t>SP</t>
        </is>
      </c>
      <c r="E46" s="68" t="n">
        <v>44305</v>
      </c>
      <c r="F46" s="68" t="n">
        <v>44330</v>
      </c>
      <c r="G46" s="68" t="n">
        <v>44337</v>
      </c>
      <c r="H46" s="61" t="n">
        <v>48</v>
      </c>
      <c r="I46" s="61" t="n"/>
      <c r="J46" s="60" t="n">
        <v>4</v>
      </c>
      <c r="K46" s="64" t="n">
        <v>237.33</v>
      </c>
      <c r="M46" s="64" t="inlineStr">
        <is>
          <t>CPB</t>
        </is>
      </c>
      <c r="N46">
        <f>RTD("tos.rtd",,"last", "CPB")</f>
        <v/>
      </c>
      <c r="O46">
        <f>RTD("tos.rtd",,"ASK",".CPB210521P48")</f>
        <v/>
      </c>
      <c r="P46" s="10">
        <f>IF([TransType]="LS", [OpnPrem]+[ClsPrem],
                                            IF([TransType]="AS", [OpnPrem]+[ClsPrem],
                                               [OpnPrem]-[ClsPrem]))</f>
        <v/>
      </c>
      <c r="Q46" s="66">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67">
        <f>IF([TotCapDays],365*[TotPrem]/[TotCapDays],"")</f>
        <v/>
      </c>
      <c r="Y46" s="10">
        <f>IF([SYM]="","",
IF([TransType]="LS",[Strike]-[TotPrem]/[['#Contracts]],
IF([['#Contracts]],[Strike]-[TotPrem]/[['#Contracts]]/100,"")))</f>
        <v/>
      </c>
      <c r="Z46" s="11">
        <f>IF([CloseDate]&gt;0,"",
IF([TransType]="LS",['#Contracts],
IF([TransType]="AS",100*[['#Contracts]],
IF([TransType]="SP",100*[['#Contracts]],
IF([TransType]="BP",100*[['#Contracts]],"")))))</f>
        <v/>
      </c>
      <c r="AA46" s="65">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G46" s="49">
        <f>IF(Table1[SYM]="","",SUMIFS(Table1[NetPrem],Table1[Trade'#],Table1[[Trade'#]],Table1[Leg],"&lt;="&amp;Table1[Leg]))</f>
        <v/>
      </c>
      <c r="AH46" s="49" t="n"/>
    </row>
    <row r="47">
      <c r="A47" s="15" t="inlineStr">
        <is>
          <t>Bought 4 CPB May 21 2021 48.0 Put @ 0.15</t>
        </is>
      </c>
      <c r="B47" s="61" t="n">
        <v>11</v>
      </c>
      <c r="C47" s="61" t="n">
        <v>2</v>
      </c>
      <c r="D47" s="15" t="inlineStr">
        <is>
          <t>SP</t>
        </is>
      </c>
      <c r="E47" s="68" t="n">
        <v>44330</v>
      </c>
      <c r="F47" s="68" t="n">
        <v>44330</v>
      </c>
      <c r="G47" s="68" t="n">
        <v>44337</v>
      </c>
      <c r="H47" s="61" t="n">
        <v>48</v>
      </c>
      <c r="I47" s="61" t="n"/>
      <c r="J47" s="60" t="n">
        <v>4</v>
      </c>
      <c r="K47" s="64" t="n">
        <v>-62.66</v>
      </c>
      <c r="M47" s="64" t="inlineStr">
        <is>
          <t>CPB</t>
        </is>
      </c>
      <c r="N47" s="61">
        <f>RTD("tos.rtd",,"last", "CPB")</f>
        <v/>
      </c>
      <c r="O47" s="61">
        <f>RTD("tos.rtd",,"ASK",".CPB210521P48")</f>
        <v/>
      </c>
      <c r="P47" s="10">
        <f>IF([TransType]="LS", [OpnPrem]+[ClsPrem],
                                            IF([TransType]="AS", [OpnPrem]+[ClsPrem],
                                               [OpnPrem]-[ClsPrem]))</f>
        <v/>
      </c>
      <c r="Q47" s="66">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67">
        <f>IF([TotCapDays],365*[TotPrem]/[TotCapDays],"")</f>
        <v/>
      </c>
      <c r="Y47" s="10">
        <f>IF([SYM]="","",
IF([TransType]="LS",[Strike]-[TotPrem]/[['#Contracts]],
IF([['#Contracts]],[Strike]-[TotPrem]/[['#Contracts]]/100,"")))</f>
        <v/>
      </c>
      <c r="Z47" s="11">
        <f>IF([CloseDate]&gt;0,"",
IF([TransType]="LS",['#Contracts],
IF([TransType]="AS",100*[['#Contracts]],
IF([TransType]="SP",100*[['#Contracts]],
IF([TransType]="BP",100*[['#Contracts]],"")))))</f>
        <v/>
      </c>
      <c r="AA47" s="65">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G47" s="49">
        <f>IF(Table1[SYM]="","",SUMIFS(Table1[NetPrem],Table1[Trade'#],Table1[[Trade'#]],Table1[Leg],"&lt;="&amp;Table1[Leg]))</f>
        <v/>
      </c>
      <c r="AH47" s="49" t="n"/>
    </row>
    <row r="48">
      <c r="A48" s="15" t="inlineStr">
        <is>
          <t>Sold 3 GBX May 21 2021 40.0 Put @ 0.8</t>
        </is>
      </c>
      <c r="B48" s="61" t="n">
        <v>12</v>
      </c>
      <c r="C48" s="61" t="n">
        <v>1</v>
      </c>
      <c r="D48" s="15" t="inlineStr">
        <is>
          <t>SP</t>
        </is>
      </c>
      <c r="E48" s="68" t="n">
        <v>44305</v>
      </c>
      <c r="F48" s="68" t="n">
        <v>44313</v>
      </c>
      <c r="G48" s="68" t="n">
        <v>44337</v>
      </c>
      <c r="H48" s="61" t="n">
        <v>40</v>
      </c>
      <c r="I48" s="61" t="n"/>
      <c r="J48" s="60" t="n">
        <v>3</v>
      </c>
      <c r="K48" s="64" t="n">
        <v>238</v>
      </c>
      <c r="M48" s="64" t="inlineStr">
        <is>
          <t>GBX</t>
        </is>
      </c>
      <c r="N48" s="61">
        <f>RTD("tos.rtd",,"last", "GBX")</f>
        <v/>
      </c>
      <c r="O48" s="61">
        <f>RTD("tos.rtd",,"ASK",".GBX210521P40")</f>
        <v/>
      </c>
      <c r="P48" s="10">
        <f>IF([TransType]="LS", [OpnPrem]+[ClsPrem],
                                            IF([TransType]="AS", [OpnPrem]+[ClsPrem],
                                               [OpnPrem]-[ClsPrem]))</f>
        <v/>
      </c>
      <c r="Q48" s="66">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67">
        <f>IF([TotCapDays],365*[TotPrem]/[TotCapDays],"")</f>
        <v/>
      </c>
      <c r="Y48" s="10">
        <f>IF([SYM]="","",
IF([TransType]="LS",[Strike]-[TotPrem]/[['#Contracts]],
IF([['#Contracts]],[Strike]-[TotPrem]/[['#Contracts]]/100,"")))</f>
        <v/>
      </c>
      <c r="Z48" s="11">
        <f>IF([CloseDate]&gt;0,"",
IF([TransType]="LS",['#Contracts],
IF([TransType]="AS",100*[['#Contracts]],
IF([TransType]="SP",100*[['#Contracts]],
IF([TransType]="BP",100*[['#Contracts]],"")))))</f>
        <v/>
      </c>
      <c r="AA48" s="65">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G48">
        <f>IF(Table1[SYM]="","",SUMIFS(Table1[NetPrem],Table1[Trade'#],Table1[[Trade'#]],Table1[Leg],"&lt;="&amp;Table1[Leg]))</f>
        <v/>
      </c>
    </row>
    <row r="49">
      <c r="A49" s="15" t="inlineStr">
        <is>
          <t>Bought 3 GBX May 21 2021 40.0 Put @ 0.22</t>
        </is>
      </c>
      <c r="B49" s="61" t="n">
        <v>12</v>
      </c>
      <c r="C49" s="61" t="n">
        <v>2</v>
      </c>
      <c r="D49" s="15" t="inlineStr">
        <is>
          <t>SP</t>
        </is>
      </c>
      <c r="E49" s="68" t="n">
        <v>44313</v>
      </c>
      <c r="F49" s="68" t="n">
        <v>44313</v>
      </c>
      <c r="G49" s="68" t="n">
        <v>44337</v>
      </c>
      <c r="H49" s="61" t="n">
        <v>40</v>
      </c>
      <c r="I49" s="61" t="n"/>
      <c r="J49" s="60" t="n">
        <v>3</v>
      </c>
      <c r="K49" s="64" t="n">
        <v>-67.98999999999999</v>
      </c>
      <c r="M49" s="64" t="inlineStr">
        <is>
          <t>GBX</t>
        </is>
      </c>
      <c r="N49" s="61">
        <f>RTD("tos.rtd",,"last", "GBX")</f>
        <v/>
      </c>
      <c r="O49" s="61">
        <f>RTD("tos.rtd",,"ASK",".GBX210521P40")</f>
        <v/>
      </c>
      <c r="P49" s="10">
        <f>IF([TransType]="LS", [OpnPrem]+[ClsPrem],
                                            IF([TransType]="AS", [OpnPrem]+[ClsPrem],
                                               [OpnPrem]-[ClsPrem]))</f>
        <v/>
      </c>
      <c r="Q49" s="66">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67">
        <f>IF([TotCapDays],365*[TotPrem]/[TotCapDays],"")</f>
        <v/>
      </c>
      <c r="Y49" s="10">
        <f>IF([SYM]="","",
IF([TransType]="LS",[Strike]-[TotPrem]/[['#Contracts]],
IF([['#Contracts]],[Strike]-[TotPrem]/[['#Contracts]]/100,"")))</f>
        <v/>
      </c>
      <c r="Z49" s="11">
        <f>IF([CloseDate]&gt;0,"",
IF([TransType]="LS",['#Contracts],
IF([TransType]="AS",100*[['#Contracts]],
IF([TransType]="SP",100*[['#Contracts]],
IF([TransType]="BP",100*[['#Contracts]],"")))))</f>
        <v/>
      </c>
      <c r="AA49" s="65">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G49">
        <f>IF(Table1[SYM]="","",SUMIFS(Table1[NetPrem],Table1[Trade'#],Table1[[Trade'#]],Table1[Leg],"&lt;="&amp;Table1[Leg]))</f>
        <v/>
      </c>
    </row>
    <row r="50">
      <c r="A50" s="15" t="inlineStr">
        <is>
          <t>Sold 10 CCL May 21 2021 24.5 Put @ 0.37</t>
        </is>
      </c>
      <c r="B50" s="61" t="n">
        <v>13</v>
      </c>
      <c r="C50" s="61" t="n">
        <v>1</v>
      </c>
      <c r="D50" s="15" t="inlineStr">
        <is>
          <t>SP</t>
        </is>
      </c>
      <c r="E50" s="68" t="n">
        <v>44308</v>
      </c>
      <c r="F50" s="68" t="n">
        <v>44330</v>
      </c>
      <c r="G50" s="68" t="n">
        <v>44337</v>
      </c>
      <c r="H50" s="61" t="n">
        <v>24.5</v>
      </c>
      <c r="I50" s="61" t="n"/>
      <c r="J50" s="60" t="n">
        <v>10</v>
      </c>
      <c r="K50" s="64" t="n">
        <v>363.34</v>
      </c>
      <c r="M50" s="64" t="inlineStr">
        <is>
          <t>CCL</t>
        </is>
      </c>
      <c r="N50" s="61">
        <f>RTD("tos.rtd",,"last", "CCL")</f>
        <v/>
      </c>
      <c r="O50" s="61">
        <f>RTD("tos.rtd",,"ASK",".CCL210521P24.5")</f>
        <v/>
      </c>
      <c r="P50" s="10">
        <f>IF([TransType]="LS", [OpnPrem]+[ClsPrem],
                                            IF([TransType]="AS", [OpnPrem]+[ClsPrem],
                                               [OpnPrem]-[ClsPrem]))</f>
        <v/>
      </c>
      <c r="Q50" s="66">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67">
        <f>IF([TotCapDays],365*[TotPrem]/[TotCapDays],"")</f>
        <v/>
      </c>
      <c r="Y50" s="10">
        <f>IF([SYM]="","",
IF([TransType]="LS",[Strike]-[TotPrem]/[['#Contracts]],
IF([['#Contracts]],[Strike]-[TotPrem]/[['#Contracts]]/100,"")))</f>
        <v/>
      </c>
      <c r="Z50" s="11">
        <f>IF([CloseDate]&gt;0,"",
IF([TransType]="LS",['#Contracts],
IF([TransType]="AS",100*[['#Contracts]],
IF([TransType]="SP",100*[['#Contracts]],
IF([TransType]="BP",100*[['#Contracts]],"")))))</f>
        <v/>
      </c>
      <c r="AA50" s="65">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G50">
        <f>IF(Table1[SYM]="","",SUMIFS(Table1[NetPrem],Table1[Trade'#],Table1[[Trade'#]],Table1[Leg],"&lt;="&amp;Table1[Leg]))</f>
        <v/>
      </c>
    </row>
    <row r="51">
      <c r="A51" s="15" t="inlineStr">
        <is>
          <t>Bought 10 CCL May 21 2021 24.5 Put @ 0.09</t>
        </is>
      </c>
      <c r="B51" s="61" t="n">
        <v>13</v>
      </c>
      <c r="C51" s="61" t="n">
        <v>2</v>
      </c>
      <c r="D51" s="15" t="inlineStr">
        <is>
          <t>SP</t>
        </is>
      </c>
      <c r="E51" s="68" t="n">
        <v>44330</v>
      </c>
      <c r="F51" s="68" t="n">
        <v>44330</v>
      </c>
      <c r="G51" s="68" t="n">
        <v>44337</v>
      </c>
      <c r="H51" s="61" t="n">
        <v>24.5</v>
      </c>
      <c r="I51" s="61" t="n"/>
      <c r="J51" s="60" t="n">
        <v>10</v>
      </c>
      <c r="K51" s="64" t="n">
        <v>-96.64</v>
      </c>
      <c r="M51" s="64" t="inlineStr">
        <is>
          <t>CCL</t>
        </is>
      </c>
      <c r="N51" s="61">
        <f>RTD("tos.rtd",,"last", "CCL")</f>
        <v/>
      </c>
      <c r="O51" s="61">
        <f>RTD("tos.rtd",,"ASK",".CCL210521P24.5")</f>
        <v/>
      </c>
      <c r="P51" s="10">
        <f>IF([TransType]="LS", [OpnPrem]+[ClsPrem],
                                            IF([TransType]="AS", [OpnPrem]+[ClsPrem],
                                               [OpnPrem]-[ClsPrem]))</f>
        <v/>
      </c>
      <c r="Q51" s="66">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67">
        <f>IF([TotCapDays],365*[TotPrem]/[TotCapDays],"")</f>
        <v/>
      </c>
      <c r="Y51" s="10">
        <f>IF([SYM]="","",
IF([TransType]="LS",[Strike]-[TotPrem]/[['#Contracts]],
IF([['#Contracts]],[Strike]-[TotPrem]/[['#Contracts]]/100,"")))</f>
        <v/>
      </c>
      <c r="Z51" s="11">
        <f>IF([CloseDate]&gt;0,"",
IF([TransType]="LS",['#Contracts],
IF([TransType]="AS",100*[['#Contracts]],
IF([TransType]="SP",100*[['#Contracts]],
IF([TransType]="BP",100*[['#Contracts]],"")))))</f>
        <v/>
      </c>
      <c r="AA51" s="65">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G51">
        <f>IF(Table1[SYM]="","",SUMIFS(Table1[NetPrem],Table1[Trade'#],Table1[[Trade'#]],Table1[Leg],"&lt;="&amp;Table1[Leg]))</f>
        <v/>
      </c>
    </row>
    <row r="52">
      <c r="A52" s="15" t="inlineStr">
        <is>
          <t>Sold 3 BIG May 21 2021 62.5 Put @ 1.29</t>
        </is>
      </c>
      <c r="B52" s="61" t="n">
        <v>14</v>
      </c>
      <c r="C52" s="61" t="n">
        <v>1</v>
      </c>
      <c r="D52" s="15" t="inlineStr">
        <is>
          <t>SP</t>
        </is>
      </c>
      <c r="E52" s="68" t="n">
        <v>44312</v>
      </c>
      <c r="F52" s="68" t="n">
        <v>44322</v>
      </c>
      <c r="G52" s="68" t="n">
        <v>44337</v>
      </c>
      <c r="H52" s="61" t="n">
        <v>62.5</v>
      </c>
      <c r="I52" s="61" t="n"/>
      <c r="J52" s="60" t="n">
        <v>3</v>
      </c>
      <c r="K52" s="64" t="n">
        <v>385</v>
      </c>
      <c r="M52" s="64" t="inlineStr">
        <is>
          <t>BIG</t>
        </is>
      </c>
      <c r="N52" s="61">
        <f>RTD("tos.rtd",,"last", "BIG")</f>
        <v/>
      </c>
      <c r="O52" s="61">
        <f>RTD("tos.rtd",,"ASK",".BIG210521P62.5")</f>
        <v/>
      </c>
      <c r="P52" s="10">
        <f>IF([TransType]="LS", [OpnPrem]+[ClsPrem],
                                            IF([TransType]="AS", [OpnPrem]+[ClsPrem],
                                               [OpnPrem]-[ClsPrem]))</f>
        <v/>
      </c>
      <c r="Q52" s="66">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67">
        <f>IF([TotCapDays],365*[TotPrem]/[TotCapDays],"")</f>
        <v/>
      </c>
      <c r="Y52" s="10">
        <f>IF([SYM]="","",
IF([TransType]="LS",[Strike]-[TotPrem]/[['#Contracts]],
IF([['#Contracts]],[Strike]-[TotPrem]/[['#Contracts]]/100,"")))</f>
        <v/>
      </c>
      <c r="Z52" s="11">
        <f>IF([CloseDate]&gt;0,"",
IF([TransType]="LS",['#Contracts],
IF([TransType]="AS",100*[['#Contracts]],
IF([TransType]="SP",100*[['#Contracts]],
IF([TransType]="BP",100*[['#Contracts]],"")))))</f>
        <v/>
      </c>
      <c r="AA52" s="65">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G52">
        <f>IF(Table1[SYM]="","",SUMIFS(Table1[NetPrem],Table1[Trade'#],Table1[[Trade'#]],Table1[Leg],"&lt;="&amp;Table1[Leg]))</f>
        <v/>
      </c>
    </row>
    <row r="53">
      <c r="A53" s="15" t="inlineStr">
        <is>
          <t>Bought 2 BIG May 21 2021 62.5 Put @ 0.32</t>
        </is>
      </c>
      <c r="B53" s="61" t="n">
        <v>14</v>
      </c>
      <c r="C53" s="61" t="n">
        <v>2</v>
      </c>
      <c r="D53" s="15" t="inlineStr">
        <is>
          <t>SP</t>
        </is>
      </c>
      <c r="E53" s="68" t="n">
        <v>44322</v>
      </c>
      <c r="F53" s="68" t="n">
        <v>44322</v>
      </c>
      <c r="G53" s="68" t="n">
        <v>44337</v>
      </c>
      <c r="H53" s="61" t="n">
        <v>62.5</v>
      </c>
      <c r="I53" s="61" t="n"/>
      <c r="J53" s="60" t="n">
        <v>2</v>
      </c>
      <c r="K53" s="64" t="n">
        <v>-65.33</v>
      </c>
      <c r="M53" s="64" t="inlineStr">
        <is>
          <t>BIG</t>
        </is>
      </c>
      <c r="N53" s="61">
        <f>RTD("tos.rtd",,"last", "BIG")</f>
        <v/>
      </c>
      <c r="O53" s="61">
        <f>RTD("tos.rtd",,"ASK",".BIG210521P62.5")</f>
        <v/>
      </c>
      <c r="P53" s="10">
        <f>IF([TransType]="LS", [OpnPrem]+[ClsPrem],
                                            IF([TransType]="AS", [OpnPrem]+[ClsPrem],
                                               [OpnPrem]-[ClsPrem]))</f>
        <v/>
      </c>
      <c r="Q53" s="66">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67">
        <f>IF([TotCapDays],365*[TotPrem]/[TotCapDays],"")</f>
        <v/>
      </c>
      <c r="Y53" s="10">
        <f>IF([SYM]="","",
IF([TransType]="LS",[Strike]-[TotPrem]/[['#Contracts]],
IF([['#Contracts]],[Strike]-[TotPrem]/[['#Contracts]]/100,"")))</f>
        <v/>
      </c>
      <c r="Z53" s="11">
        <f>IF([CloseDate]&gt;0,"",
IF([TransType]="LS",['#Contracts],
IF([TransType]="AS",100*[['#Contracts]],
IF([TransType]="SP",100*[['#Contracts]],
IF([TransType]="BP",100*[['#Contracts]],"")))))</f>
        <v/>
      </c>
      <c r="AA53" s="65">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G53">
        <f>IF(Table1[SYM]="","",SUMIFS(Table1[NetPrem],Table1[Trade'#],Table1[[Trade'#]],Table1[Leg],"&lt;="&amp;Table1[Leg]))</f>
        <v/>
      </c>
    </row>
    <row r="54">
      <c r="A54" s="15" t="inlineStr">
        <is>
          <t>Bought 1 BIG May 21 2021 62.5 Put @ 0.32</t>
        </is>
      </c>
      <c r="B54" s="61" t="n">
        <v>14</v>
      </c>
      <c r="C54" s="61" t="n">
        <v>3</v>
      </c>
      <c r="D54" s="15" t="inlineStr">
        <is>
          <t>SP</t>
        </is>
      </c>
      <c r="E54" s="68" t="n">
        <v>44322</v>
      </c>
      <c r="F54" s="68" t="n">
        <v>44322</v>
      </c>
      <c r="G54" s="68" t="n">
        <v>44337</v>
      </c>
      <c r="H54" s="61" t="n">
        <v>62.5</v>
      </c>
      <c r="I54" s="61" t="n"/>
      <c r="J54" s="60" t="n">
        <v>1</v>
      </c>
      <c r="K54" s="64" t="n">
        <v>-32.66</v>
      </c>
      <c r="M54" s="64" t="inlineStr">
        <is>
          <t>BIG</t>
        </is>
      </c>
      <c r="N54" s="61">
        <f>RTD("tos.rtd",,"last", "BIG")</f>
        <v/>
      </c>
      <c r="O54" s="61">
        <f>RTD("tos.rtd",,"ASK",".BIG210521P62.5")</f>
        <v/>
      </c>
      <c r="P54" s="10">
        <f>IF([TransType]="LS", [OpnPrem]+[ClsPrem],
                                            IF([TransType]="AS", [OpnPrem]+[ClsPrem],
                                               [OpnPrem]-[ClsPrem]))</f>
        <v/>
      </c>
      <c r="Q54" s="66">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67">
        <f>IF([TotCapDays],365*[TotPrem]/[TotCapDays],"")</f>
        <v/>
      </c>
      <c r="Y54" s="10">
        <f>IF([SYM]="","",
IF([TransType]="LS",[Strike]-[TotPrem]/[['#Contracts]],
IF([['#Contracts]],[Strike]-[TotPrem]/[['#Contracts]]/100,"")))</f>
        <v/>
      </c>
      <c r="Z54" s="11">
        <f>IF([CloseDate]&gt;0,"",
IF([TransType]="LS",['#Contracts],
IF([TransType]="AS",100*[['#Contracts]],
IF([TransType]="SP",100*[['#Contracts]],
IF([TransType]="BP",100*[['#Contracts]],"")))))</f>
        <v/>
      </c>
      <c r="AA54" s="65">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G54">
        <f>IF(Table1[SYM]="","",SUMIFS(Table1[NetPrem],Table1[Trade'#],Table1[[Trade'#]],Table1[Leg],"&lt;="&amp;Table1[Leg]))</f>
        <v/>
      </c>
    </row>
    <row r="55">
      <c r="A55" s="15" t="inlineStr">
        <is>
          <t>Sold 6 BBBY May 14 2021 23.5 Put @ 0.52</t>
        </is>
      </c>
      <c r="B55" s="61" t="n">
        <v>15</v>
      </c>
      <c r="C55" s="61" t="n">
        <v>1</v>
      </c>
      <c r="D55" s="15" t="inlineStr">
        <is>
          <t>SP</t>
        </is>
      </c>
      <c r="E55" s="68" t="n">
        <v>44312</v>
      </c>
      <c r="F55" s="68" t="n">
        <v>44329</v>
      </c>
      <c r="G55" s="68" t="n">
        <v>44330</v>
      </c>
      <c r="H55" s="61" t="n">
        <v>23.5</v>
      </c>
      <c r="I55" s="61" t="n"/>
      <c r="J55" s="60" t="n">
        <v>6</v>
      </c>
      <c r="K55" s="64" t="n">
        <v>308.01</v>
      </c>
      <c r="M55" s="64" t="inlineStr">
        <is>
          <t>BBBY</t>
        </is>
      </c>
      <c r="N55" s="61">
        <f>RTD("tos.rtd",,"last", "BBBY")</f>
        <v/>
      </c>
      <c r="O55" s="61">
        <f>RTD("tos.rtd",,"ASK",".BBBY210514P23.5")</f>
        <v/>
      </c>
      <c r="P55" s="10">
        <f>IF([TransType]="LS", [OpnPrem]+[ClsPrem],
                                            IF([TransType]="AS", [OpnPrem]+[ClsPrem],
                                               [OpnPrem]-[ClsPrem]))</f>
        <v/>
      </c>
      <c r="Q55" s="66">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67">
        <f>IF([TotCapDays],365*[TotPrem]/[TotCapDays],"")</f>
        <v/>
      </c>
      <c r="Y55" s="10">
        <f>IF([SYM]="","",
IF([TransType]="LS",[Strike]-[TotPrem]/[['#Contracts]],
IF([['#Contracts]],[Strike]-[TotPrem]/[['#Contracts]]/100,"")))</f>
        <v/>
      </c>
      <c r="Z55" s="11">
        <f>IF([CloseDate]&gt;0,"",
IF([TransType]="LS",['#Contracts],
IF([TransType]="AS",100*[['#Contracts]],
IF([TransType]="SP",100*[['#Contracts]],
IF([TransType]="BP",100*[['#Contracts]],"")))))</f>
        <v/>
      </c>
      <c r="AA55" s="65">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G55">
        <f>IF(Table1[SYM]="","",SUMIFS(Table1[NetPrem],Table1[Trade'#],Table1[[Trade'#]],Table1[Leg],"&lt;="&amp;Table1[Leg]))</f>
        <v/>
      </c>
    </row>
    <row r="56">
      <c r="A56" s="15" t="inlineStr">
        <is>
          <t>Bought 6 BBBY May 14 2021 23.5 Put @ 0.68</t>
        </is>
      </c>
      <c r="B56" s="61" t="n">
        <v>15</v>
      </c>
      <c r="C56" s="61" t="n">
        <v>2</v>
      </c>
      <c r="D56" s="15" t="inlineStr">
        <is>
          <t>SP</t>
        </is>
      </c>
      <c r="E56" s="68" t="n">
        <v>44329</v>
      </c>
      <c r="F56" s="68" t="n">
        <v>44329</v>
      </c>
      <c r="G56" s="68" t="n">
        <v>44330</v>
      </c>
      <c r="H56" s="61" t="n">
        <v>23.5</v>
      </c>
      <c r="I56" s="61" t="n"/>
      <c r="J56" s="60" t="n">
        <v>6</v>
      </c>
      <c r="K56" s="64" t="n">
        <v>-411.98</v>
      </c>
      <c r="M56" s="64" t="inlineStr">
        <is>
          <t>BBBY</t>
        </is>
      </c>
      <c r="N56" s="61">
        <f>RTD("tos.rtd",,"last", "BBBY")</f>
        <v/>
      </c>
      <c r="O56" s="61">
        <f>RTD("tos.rtd",,"ASK",".BBBY210514P23.5")</f>
        <v/>
      </c>
      <c r="P56" s="10">
        <f>IF([TransType]="LS", [OpnPrem]+[ClsPrem],
                                            IF([TransType]="AS", [OpnPrem]+[ClsPrem],
                                               [OpnPrem]-[ClsPrem]))</f>
        <v/>
      </c>
      <c r="Q56" s="66">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67">
        <f>IF([TotCapDays],365*[TotPrem]/[TotCapDays],"")</f>
        <v/>
      </c>
      <c r="Y56" s="10">
        <f>IF([SYM]="","",
IF([TransType]="LS",[Strike]-[TotPrem]/[['#Contracts]],
IF([['#Contracts]],[Strike]-[TotPrem]/[['#Contracts]]/100,"")))</f>
        <v/>
      </c>
      <c r="Z56" s="11">
        <f>IF([CloseDate]&gt;0,"",
IF([TransType]="LS",['#Contracts],
IF([TransType]="AS",100*[['#Contracts]],
IF([TransType]="SP",100*[['#Contracts]],
IF([TransType]="BP",100*[['#Contracts]],"")))))</f>
        <v/>
      </c>
      <c r="AA56" s="65">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G56">
        <f>IF(Table1[SYM]="","",SUMIFS(Table1[NetPrem],Table1[Trade'#],Table1[[Trade'#]],Table1[Leg],"&lt;="&amp;Table1[Leg]))</f>
        <v/>
      </c>
    </row>
    <row r="57">
      <c r="A57" s="15" t="inlineStr">
        <is>
          <t>Sold 6 BBBY May 21 2021 23.0 Put @ 0.94</t>
        </is>
      </c>
      <c r="B57" s="61" t="n">
        <v>15</v>
      </c>
      <c r="C57" s="61" t="n">
        <v>3</v>
      </c>
      <c r="D57" s="15" t="inlineStr">
        <is>
          <t>SP</t>
        </is>
      </c>
      <c r="E57" s="68" t="n">
        <v>44329</v>
      </c>
      <c r="F57" s="68" t="n">
        <v>44330</v>
      </c>
      <c r="G57" s="68" t="n">
        <v>44337</v>
      </c>
      <c r="H57" s="61" t="n">
        <v>23</v>
      </c>
      <c r="I57" s="61" t="n"/>
      <c r="J57" s="60" t="n">
        <v>6</v>
      </c>
      <c r="K57" s="64" t="n">
        <v>560.01</v>
      </c>
      <c r="M57" s="64" t="inlineStr">
        <is>
          <t>BBBY</t>
        </is>
      </c>
      <c r="N57" s="61">
        <f>RTD("tos.rtd",,"last", "BBBY")</f>
        <v/>
      </c>
      <c r="O57" s="61">
        <f>RTD("tos.rtd",,"ASK",".BBBY210521P23")</f>
        <v/>
      </c>
      <c r="P57" s="10">
        <f>IF([TransType]="LS", [OpnPrem]+[ClsPrem],
                                            IF([TransType]="AS", [OpnPrem]+[ClsPrem],
                                               [OpnPrem]-[ClsPrem]))</f>
        <v/>
      </c>
      <c r="Q57" s="66">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67">
        <f>IF([TotCapDays],365*[TotPrem]/[TotCapDays],"")</f>
        <v/>
      </c>
      <c r="Y57" s="10">
        <f>IF([SYM]="","",
IF([TransType]="LS",[Strike]-[TotPrem]/[['#Contracts]],
IF([['#Contracts]],[Strike]-[TotPrem]/[['#Contracts]]/100,"")))</f>
        <v/>
      </c>
      <c r="Z57" s="11">
        <f>IF([CloseDate]&gt;0,"",
IF([TransType]="LS",['#Contracts],
IF([TransType]="AS",100*[['#Contracts]],
IF([TransType]="SP",100*[['#Contracts]],
IF([TransType]="BP",100*[['#Contracts]],"")))))</f>
        <v/>
      </c>
      <c r="AA57" s="65">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G57">
        <f>IF(Table1[SYM]="","",SUMIFS(Table1[NetPrem],Table1[Trade'#],Table1[[Trade'#]],Table1[Leg],"&lt;="&amp;Table1[Leg]))</f>
        <v/>
      </c>
    </row>
    <row r="58">
      <c r="A58" s="15" t="inlineStr">
        <is>
          <t>Bought 6 BBBY May 21 2021 23.0 Put @ 0.19</t>
        </is>
      </c>
      <c r="B58" s="61" t="n">
        <v>15</v>
      </c>
      <c r="C58" s="61" t="n">
        <v>4</v>
      </c>
      <c r="D58" s="15" t="inlineStr">
        <is>
          <t>SP</t>
        </is>
      </c>
      <c r="E58" s="68" t="n">
        <v>44330</v>
      </c>
      <c r="F58" s="68" t="n">
        <v>44330</v>
      </c>
      <c r="G58" s="68" t="n">
        <v>44337</v>
      </c>
      <c r="H58" s="61" t="n">
        <v>23</v>
      </c>
      <c r="I58" s="61" t="n"/>
      <c r="J58" s="60" t="n">
        <v>6</v>
      </c>
      <c r="K58" s="64" t="n">
        <v>-117.98</v>
      </c>
      <c r="M58" s="64" t="inlineStr">
        <is>
          <t>BBBY</t>
        </is>
      </c>
      <c r="N58" s="61">
        <f>RTD("tos.rtd",,"last", "BBBY")</f>
        <v/>
      </c>
      <c r="O58" s="61">
        <f>RTD("tos.rtd",,"ASK",".BBBY210521P23")</f>
        <v/>
      </c>
      <c r="P58" s="10">
        <f>IF([TransType]="LS", [OpnPrem]+[ClsPrem],
                                            IF([TransType]="AS", [OpnPrem]+[ClsPrem],
                                               [OpnPrem]-[ClsPrem]))</f>
        <v/>
      </c>
      <c r="Q58" s="66">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67">
        <f>IF([TotCapDays],365*[TotPrem]/[TotCapDays],"")</f>
        <v/>
      </c>
      <c r="Y58" s="10">
        <f>IF([SYM]="","",
IF([TransType]="LS",[Strike]-[TotPrem]/[['#Contracts]],
IF([['#Contracts]],[Strike]-[TotPrem]/[['#Contracts]]/100,"")))</f>
        <v/>
      </c>
      <c r="Z58" s="11">
        <f>IF([CloseDate]&gt;0,"",
IF([TransType]="LS",['#Contracts],
IF([TransType]="AS",100*[['#Contracts]],
IF([TransType]="SP",100*[['#Contracts]],
IF([TransType]="BP",100*[['#Contracts]],"")))))</f>
        <v/>
      </c>
      <c r="AA58" s="65">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G58">
        <f>IF(Table1[SYM]="","",SUMIFS(Table1[NetPrem],Table1[Trade'#],Table1[[Trade'#]],Table1[Leg],"&lt;="&amp;Table1[Leg]))</f>
        <v/>
      </c>
    </row>
    <row r="59">
      <c r="A59" s="15" t="inlineStr">
        <is>
          <t>Sold 4 UAL May 14 2021 51.0 Put @ 0.83</t>
        </is>
      </c>
      <c r="B59" s="61" t="n">
        <v>16</v>
      </c>
      <c r="C59" s="61" t="n">
        <v>1</v>
      </c>
      <c r="D59" s="15" t="inlineStr">
        <is>
          <t>SP</t>
        </is>
      </c>
      <c r="E59" s="68" t="n">
        <v>44313</v>
      </c>
      <c r="F59" s="68" t="n">
        <v>44329</v>
      </c>
      <c r="G59" s="68" t="n">
        <v>44330</v>
      </c>
      <c r="H59" s="61" t="n">
        <v>51</v>
      </c>
      <c r="I59" s="61" t="n"/>
      <c r="J59" s="60" t="n">
        <v>4</v>
      </c>
      <c r="K59" s="64" t="n">
        <v>329.33</v>
      </c>
      <c r="M59" s="64" t="inlineStr">
        <is>
          <t>UAL</t>
        </is>
      </c>
      <c r="N59" s="61">
        <f>RTD("tos.rtd",,"last", "UAL")</f>
        <v/>
      </c>
      <c r="O59" s="61">
        <f>RTD("tos.rtd",,"ASK",".UAL210514P51")</f>
        <v/>
      </c>
      <c r="P59" s="10">
        <f>IF([TransType]="LS", [OpnPrem]+[ClsPrem],
                                            IF([TransType]="AS", [OpnPrem]+[ClsPrem],
                                               [OpnPrem]-[ClsPrem]))</f>
        <v/>
      </c>
      <c r="Q59" s="66">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67">
        <f>IF([TotCapDays],365*[TotPrem]/[TotCapDays],"")</f>
        <v/>
      </c>
      <c r="Y59" s="10">
        <f>IF([SYM]="","",
IF([TransType]="LS",[Strike]-[TotPrem]/[['#Contracts]],
IF([['#Contracts]],[Strike]-[TotPrem]/[['#Contracts]]/100,"")))</f>
        <v/>
      </c>
      <c r="Z59" s="11">
        <f>IF([CloseDate]&gt;0,"",
IF([TransType]="LS",['#Contracts],
IF([TransType]="AS",100*[['#Contracts]],
IF([TransType]="SP",100*[['#Contracts]],
IF([TransType]="BP",100*[['#Contracts]],"")))))</f>
        <v/>
      </c>
      <c r="AA59" s="65">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G59">
        <f>IF(Table1[SYM]="","",SUMIFS(Table1[NetPrem],Table1[Trade'#],Table1[[Trade'#]],Table1[Leg],"&lt;="&amp;Table1[Leg]))</f>
        <v/>
      </c>
    </row>
    <row r="60">
      <c r="A60" s="15" t="inlineStr">
        <is>
          <t>Bought 4 UAL May 14 2021 51.0 Put @ 0.37</t>
        </is>
      </c>
      <c r="B60" s="61" t="n">
        <v>16</v>
      </c>
      <c r="C60" s="61" t="n">
        <v>2</v>
      </c>
      <c r="D60" s="15" t="inlineStr">
        <is>
          <t>SP</t>
        </is>
      </c>
      <c r="E60" s="68" t="n">
        <v>44329</v>
      </c>
      <c r="F60" s="68" t="n">
        <v>44329</v>
      </c>
      <c r="G60" s="68" t="n">
        <v>44330</v>
      </c>
      <c r="H60" s="61" t="n">
        <v>51</v>
      </c>
      <c r="I60" s="61" t="n"/>
      <c r="J60" s="60" t="n">
        <v>4</v>
      </c>
      <c r="K60" s="64" t="n">
        <v>-150.66</v>
      </c>
      <c r="M60" s="64" t="inlineStr">
        <is>
          <t>UAL</t>
        </is>
      </c>
      <c r="N60" s="61">
        <f>RTD("tos.rtd",,"last", "UAL")</f>
        <v/>
      </c>
      <c r="O60" s="61">
        <f>RTD("tos.rtd",,"ASK",".UAL210514P51")</f>
        <v/>
      </c>
      <c r="P60" s="10">
        <f>IF([TransType]="LS", [OpnPrem]+[ClsPrem],
                                            IF([TransType]="AS", [OpnPrem]+[ClsPrem],
                                               [OpnPrem]-[ClsPrem]))</f>
        <v/>
      </c>
      <c r="Q60" s="66">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67">
        <f>IF([TotCapDays],365*[TotPrem]/[TotCapDays],"")</f>
        <v/>
      </c>
      <c r="Y60" s="10">
        <f>IF([SYM]="","",
IF([TransType]="LS",[Strike]-[TotPrem]/[['#Contracts]],
IF([['#Contracts]],[Strike]-[TotPrem]/[['#Contracts]]/100,"")))</f>
        <v/>
      </c>
      <c r="Z60" s="11">
        <f>IF([CloseDate]&gt;0,"",
IF([TransType]="LS",['#Contracts],
IF([TransType]="AS",100*[['#Contracts]],
IF([TransType]="SP",100*[['#Contracts]],
IF([TransType]="BP",100*[['#Contracts]],"")))))</f>
        <v/>
      </c>
      <c r="AA60" s="65">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G60">
        <f>IF(Table1[SYM]="","",SUMIFS(Table1[NetPrem],Table1[Trade'#],Table1[[Trade'#]],Table1[Leg],"&lt;="&amp;Table1[Leg]))</f>
        <v/>
      </c>
    </row>
    <row r="61">
      <c r="A61" s="15" t="inlineStr">
        <is>
          <t>Sold 4 UAL May 21 2021 50.0 Put @ 0.85</t>
        </is>
      </c>
      <c r="B61" s="61" t="n">
        <v>16</v>
      </c>
      <c r="C61" s="61" t="n">
        <v>3</v>
      </c>
      <c r="D61" s="15" t="inlineStr">
        <is>
          <t>SP</t>
        </is>
      </c>
      <c r="E61" s="68" t="n">
        <v>44329</v>
      </c>
      <c r="F61" s="68" t="n">
        <v>44330</v>
      </c>
      <c r="G61" s="68" t="n">
        <v>44337</v>
      </c>
      <c r="H61" s="61" t="n">
        <v>50</v>
      </c>
      <c r="I61" s="61" t="n"/>
      <c r="J61" s="60" t="n">
        <v>4</v>
      </c>
      <c r="K61" s="64" t="n">
        <v>337.33</v>
      </c>
      <c r="M61" s="64" t="inlineStr">
        <is>
          <t>UAL</t>
        </is>
      </c>
      <c r="N61" s="61">
        <f>RTD("tos.rtd",,"last", "UAL")</f>
        <v/>
      </c>
      <c r="O61" s="61">
        <f>RTD("tos.rtd",,"ASK",".UAL210521P50")</f>
        <v/>
      </c>
      <c r="P61" s="10">
        <f>IF([TransType]="LS", [OpnPrem]+[ClsPrem],
                                            IF([TransType]="AS", [OpnPrem]+[ClsPrem],
                                               [OpnPrem]-[ClsPrem]))</f>
        <v/>
      </c>
      <c r="Q61" s="66">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67">
        <f>IF([TotCapDays],365*[TotPrem]/[TotCapDays],"")</f>
        <v/>
      </c>
      <c r="Y61" s="10">
        <f>IF([SYM]="","",
IF([TransType]="LS",[Strike]-[TotPrem]/[['#Contracts]],
IF([['#Contracts]],[Strike]-[TotPrem]/[['#Contracts]]/100,"")))</f>
        <v/>
      </c>
      <c r="Z61" s="11">
        <f>IF([CloseDate]&gt;0,"",
IF([TransType]="LS",['#Contracts],
IF([TransType]="AS",100*[['#Contracts]],
IF([TransType]="SP",100*[['#Contracts]],
IF([TransType]="BP",100*[['#Contracts]],"")))))</f>
        <v/>
      </c>
      <c r="AA61" s="65">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G61">
        <f>IF(Table1[SYM]="","",SUMIFS(Table1[NetPrem],Table1[Trade'#],Table1[[Trade'#]],Table1[Leg],"&lt;="&amp;Table1[Leg]))</f>
        <v/>
      </c>
    </row>
    <row r="62">
      <c r="A62" s="15" t="inlineStr">
        <is>
          <t>Bought 4 UAL May 21 2021 50.0 Put @ 0.15</t>
        </is>
      </c>
      <c r="B62" s="61" t="n">
        <v>16</v>
      </c>
      <c r="C62" s="61" t="n">
        <v>4</v>
      </c>
      <c r="D62" s="15" t="inlineStr">
        <is>
          <t>SP</t>
        </is>
      </c>
      <c r="E62" s="68" t="n">
        <v>44330</v>
      </c>
      <c r="F62" s="68" t="n">
        <v>44330</v>
      </c>
      <c r="G62" s="68" t="n">
        <v>44337</v>
      </c>
      <c r="H62" s="61" t="n">
        <v>50</v>
      </c>
      <c r="I62" s="61" t="n"/>
      <c r="J62" s="60" t="n">
        <v>4</v>
      </c>
      <c r="K62" s="64" t="n">
        <v>-62.66</v>
      </c>
      <c r="M62" s="64" t="inlineStr">
        <is>
          <t>UAL</t>
        </is>
      </c>
      <c r="N62" s="61">
        <f>RTD("tos.rtd",,"last", "UAL")</f>
        <v/>
      </c>
      <c r="O62" s="61">
        <f>RTD("tos.rtd",,"ASK",".UAL210521P50")</f>
        <v/>
      </c>
      <c r="P62" s="10">
        <f>IF([TransType]="LS", [OpnPrem]+[ClsPrem],
                                            IF([TransType]="AS", [OpnPrem]+[ClsPrem],
                                               [OpnPrem]-[ClsPrem]))</f>
        <v/>
      </c>
      <c r="Q62" s="66">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67">
        <f>IF([TotCapDays],365*[TotPrem]/[TotCapDays],"")</f>
        <v/>
      </c>
      <c r="Y62" s="10">
        <f>IF([SYM]="","",
IF([TransType]="LS",[Strike]-[TotPrem]/[['#Contracts]],
IF([['#Contracts]],[Strike]-[TotPrem]/[['#Contracts]]/100,"")))</f>
        <v/>
      </c>
      <c r="Z62" s="11">
        <f>IF([CloseDate]&gt;0,"",
IF([TransType]="LS",['#Contracts],
IF([TransType]="AS",100*[['#Contracts]],
IF([TransType]="SP",100*[['#Contracts]],
IF([TransType]="BP",100*[['#Contracts]],"")))))</f>
        <v/>
      </c>
      <c r="AA62" s="65">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G62">
        <f>IF(Table1[SYM]="","",SUMIFS(Table1[NetPrem],Table1[Trade'#],Table1[[Trade'#]],Table1[Leg],"&lt;="&amp;Table1[Leg]))</f>
        <v/>
      </c>
    </row>
    <row r="63">
      <c r="A63" s="15" t="inlineStr">
        <is>
          <t>Sold 2 SFIX May 07 2021 45.0 Put @ 0.97</t>
        </is>
      </c>
      <c r="B63" s="61" t="n">
        <v>17</v>
      </c>
      <c r="C63" s="61" t="n">
        <v>1</v>
      </c>
      <c r="D63" s="15" t="inlineStr">
        <is>
          <t>SP</t>
        </is>
      </c>
      <c r="E63" s="68" t="n">
        <v>44314</v>
      </c>
      <c r="F63" s="68" t="n">
        <v>44322</v>
      </c>
      <c r="G63" s="68" t="n">
        <v>44323</v>
      </c>
      <c r="H63" s="61" t="n">
        <v>45</v>
      </c>
      <c r="I63" s="61" t="n"/>
      <c r="J63" s="60" t="n">
        <v>2</v>
      </c>
      <c r="K63" s="64" t="n">
        <v>192.67</v>
      </c>
      <c r="M63" s="64" t="inlineStr">
        <is>
          <t>SFIX</t>
        </is>
      </c>
      <c r="N63" s="61">
        <f>RTD("tos.rtd",,"last", "SFIX")</f>
        <v/>
      </c>
      <c r="O63" s="61">
        <f>RTD("tos.rtd",,"ASK",".SFIX210507P45")</f>
        <v/>
      </c>
      <c r="P63" s="10">
        <f>IF([TransType]="LS", [OpnPrem]+[ClsPrem],
                                            IF([TransType]="AS", [OpnPrem]+[ClsPrem],
                                               [OpnPrem]-[ClsPrem]))</f>
        <v/>
      </c>
      <c r="Q63" s="66">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67">
        <f>IF([TotCapDays],365*[TotPrem]/[TotCapDays],"")</f>
        <v/>
      </c>
      <c r="Y63" s="10">
        <f>IF([SYM]="","",
IF([TransType]="LS",[Strike]-[TotPrem]/[['#Contracts]],
IF([['#Contracts]],[Strike]-[TotPrem]/[['#Contracts]]/100,"")))</f>
        <v/>
      </c>
      <c r="Z63" s="11">
        <f>IF([CloseDate]&gt;0,"",
IF([TransType]="LS",['#Contracts],
IF([TransType]="AS",100*[['#Contracts]],
IF([TransType]="SP",100*[['#Contracts]],
IF([TransType]="BP",100*[['#Contracts]],"")))))</f>
        <v/>
      </c>
      <c r="AA63" s="65">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G63">
        <f>IF(Table1[SYM]="","",SUMIFS(Table1[NetPrem],Table1[Trade'#],Table1[[Trade'#]],Table1[Leg],"&lt;="&amp;Table1[Leg]))</f>
        <v/>
      </c>
    </row>
    <row r="64">
      <c r="A64" s="15" t="inlineStr">
        <is>
          <t>Bought 2 SFIX May 07 2021 45.0 Put @ 6.2</t>
        </is>
      </c>
      <c r="B64" s="61" t="n">
        <v>17</v>
      </c>
      <c r="C64" s="61" t="n">
        <v>2</v>
      </c>
      <c r="D64" s="15" t="inlineStr">
        <is>
          <t>SP</t>
        </is>
      </c>
      <c r="E64" s="68" t="n">
        <v>44322</v>
      </c>
      <c r="F64" s="68" t="n">
        <v>44322</v>
      </c>
      <c r="G64" s="68" t="n">
        <v>44323</v>
      </c>
      <c r="H64" s="61" t="n">
        <v>45</v>
      </c>
      <c r="I64" s="61" t="n"/>
      <c r="J64" s="60" t="n">
        <v>2</v>
      </c>
      <c r="K64" s="64" t="n">
        <v>-1241.33</v>
      </c>
      <c r="M64" s="64" t="inlineStr">
        <is>
          <t>SFIX</t>
        </is>
      </c>
      <c r="N64" s="61">
        <f>RTD("tos.rtd",,"last", "SFIX")</f>
        <v/>
      </c>
      <c r="O64" s="61">
        <f>RTD("tos.rtd",,"ASK",".SFIX210507P45")</f>
        <v/>
      </c>
      <c r="P64" s="10">
        <f>IF([TransType]="LS", [OpnPrem]+[ClsPrem],
                                            IF([TransType]="AS", [OpnPrem]+[ClsPrem],
                                               [OpnPrem]-[ClsPrem]))</f>
        <v/>
      </c>
      <c r="Q64" s="66">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67">
        <f>IF([TotCapDays],365*[TotPrem]/[TotCapDays],"")</f>
        <v/>
      </c>
      <c r="Y64" s="10">
        <f>IF([SYM]="","",
IF([TransType]="LS",[Strike]-[TotPrem]/[['#Contracts]],
IF([['#Contracts]],[Strike]-[TotPrem]/[['#Contracts]]/100,"")))</f>
        <v/>
      </c>
      <c r="Z64" s="11">
        <f>IF([CloseDate]&gt;0,"",
IF([TransType]="LS",['#Contracts],
IF([TransType]="AS",100*[['#Contracts]],
IF([TransType]="SP",100*[['#Contracts]],
IF([TransType]="BP",100*[['#Contracts]],"")))))</f>
        <v/>
      </c>
      <c r="AA64" s="65">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G64">
        <f>IF(Table1[SYM]="","",SUMIFS(Table1[NetPrem],Table1[Trade'#],Table1[[Trade'#]],Table1[Leg],"&lt;="&amp;Table1[Leg]))</f>
        <v/>
      </c>
    </row>
    <row r="65">
      <c r="A65" s="15" t="inlineStr">
        <is>
          <t>Sold 2 SFIX Jun 11 2021 43.0 Put @ 6.5</t>
        </is>
      </c>
      <c r="B65" s="61" t="n">
        <v>17</v>
      </c>
      <c r="C65" s="61" t="n">
        <v>3</v>
      </c>
      <c r="D65" s="15" t="inlineStr">
        <is>
          <t>SP</t>
        </is>
      </c>
      <c r="E65" s="68" t="n">
        <v>44322</v>
      </c>
      <c r="F65" s="68" t="n">
        <v>44356</v>
      </c>
      <c r="G65" s="68" t="n">
        <v>44358</v>
      </c>
      <c r="H65" s="61" t="n">
        <v>43</v>
      </c>
      <c r="I65" s="61" t="n"/>
      <c r="J65" s="60" t="n">
        <v>2</v>
      </c>
      <c r="K65" s="64" t="n">
        <v>1298.66</v>
      </c>
      <c r="M65" s="64" t="inlineStr">
        <is>
          <t>SFIX</t>
        </is>
      </c>
      <c r="N65" s="61">
        <f>RTD("tos.rtd",,"last", "SFIX")</f>
        <v/>
      </c>
      <c r="O65" s="61">
        <f>RTD("tos.rtd",,"ASK",".SFIX210611P43")</f>
        <v/>
      </c>
      <c r="P65" s="10">
        <f>IF([TransType]="LS", [OpnPrem]+[ClsPrem],
                                            IF([TransType]="AS", [OpnPrem]+[ClsPrem],
                                               [OpnPrem]-[ClsPrem]))</f>
        <v/>
      </c>
      <c r="Q65" s="66">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67">
        <f>IF([TotCapDays],365*[TotPrem]/[TotCapDays],"")</f>
        <v/>
      </c>
      <c r="Y65" s="10">
        <f>IF([SYM]="","",
IF([TransType]="LS",[Strike]-[TotPrem]/[['#Contracts]],
IF([['#Contracts]],[Strike]-[TotPrem]/[['#Contracts]]/100,"")))</f>
        <v/>
      </c>
      <c r="Z65" s="11">
        <f>IF([CloseDate]&gt;0,"",
IF([TransType]="LS",['#Contracts],
IF([TransType]="AS",100*[['#Contracts]],
IF([TransType]="SP",100*[['#Contracts]],
IF([TransType]="BP",100*[['#Contracts]],"")))))</f>
        <v/>
      </c>
      <c r="AA65" s="65">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G65">
        <f>IF(Table1[SYM]="","",SUMIFS(Table1[NetPrem],Table1[Trade'#],Table1[[Trade'#]],Table1[Leg],"&lt;="&amp;Table1[Leg]))</f>
        <v/>
      </c>
    </row>
    <row r="66">
      <c r="A66" s="15" t="inlineStr">
        <is>
          <t>Bought 2 SFIX Jun 11 2021 43.0 Put @ 0.03</t>
        </is>
      </c>
      <c r="B66" s="61" t="n">
        <v>17</v>
      </c>
      <c r="C66" s="61" t="n">
        <v>10</v>
      </c>
      <c r="D66" s="15" t="inlineStr">
        <is>
          <t>SP</t>
        </is>
      </c>
      <c r="E66" s="68" t="n">
        <v>44356</v>
      </c>
      <c r="F66" s="68" t="n">
        <v>44356</v>
      </c>
      <c r="G66" s="68" t="n">
        <v>44358</v>
      </c>
      <c r="H66" s="61" t="n">
        <v>43</v>
      </c>
      <c r="I66" s="61" t="n"/>
      <c r="J66" s="60" t="n">
        <v>2</v>
      </c>
      <c r="K66" s="64" t="n">
        <v>-6.03</v>
      </c>
      <c r="M66" s="64" t="inlineStr">
        <is>
          <t>SFIX</t>
        </is>
      </c>
      <c r="N66" s="61">
        <f>RTD("tos.rtd",,"last", "SFIX")</f>
        <v/>
      </c>
      <c r="O66" s="61">
        <f>RTD("tos.rtd",,"ASK",".SFIX210611P43")</f>
        <v/>
      </c>
      <c r="P66" s="10">
        <f>IF([TransType]="LS", [OpnPrem]+[ClsPrem],
                                            IF([TransType]="AS", [OpnPrem]+[ClsPrem],
                                               [OpnPrem]-[ClsPrem]))</f>
        <v/>
      </c>
      <c r="Q66" s="66">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67">
        <f>IF([TotCapDays],365*[TotPrem]/[TotCapDays],"")</f>
        <v/>
      </c>
      <c r="Y66" s="10">
        <f>IF([SYM]="","",
IF([TransType]="LS",[Strike]-[TotPrem]/[['#Contracts]],
IF([['#Contracts]],[Strike]-[TotPrem]/[['#Contracts]]/100,"")))</f>
        <v/>
      </c>
      <c r="Z66" s="11">
        <f>IF([CloseDate]&gt;0,"",
IF([TransType]="LS",['#Contracts],
IF([TransType]="AS",100*[['#Contracts]],
IF([TransType]="SP",100*[['#Contracts]],
IF([TransType]="BP",100*[['#Contracts]],"")))))</f>
        <v/>
      </c>
      <c r="AA66" s="65">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G66">
        <f>IF(Table1[SYM]="","",SUMIFS(Table1[NetPrem],Table1[Trade'#],Table1[[Trade'#]],Table1[Leg],"&lt;="&amp;Table1[Leg]))</f>
        <v/>
      </c>
    </row>
    <row r="67">
      <c r="A67" s="15" t="inlineStr">
        <is>
          <t>Sold 2 EAT May 21 2021 65.0 Put @ 1</t>
        </is>
      </c>
      <c r="B67" s="61" t="n">
        <v>18</v>
      </c>
      <c r="C67" s="61" t="n">
        <v>1</v>
      </c>
      <c r="D67" s="15" t="inlineStr">
        <is>
          <t>SP</t>
        </is>
      </c>
      <c r="E67" s="68" t="n">
        <v>44316</v>
      </c>
      <c r="F67" s="68" t="n">
        <v>44335</v>
      </c>
      <c r="G67" s="68" t="n">
        <v>44337</v>
      </c>
      <c r="H67" s="61" t="n">
        <v>65</v>
      </c>
      <c r="I67" s="61" t="n"/>
      <c r="J67" s="60" t="n">
        <v>2</v>
      </c>
      <c r="K67" s="64" t="n">
        <v>198.67</v>
      </c>
      <c r="M67" s="64" t="inlineStr">
        <is>
          <t>EAT</t>
        </is>
      </c>
      <c r="N67" s="61">
        <f>RTD("tos.rtd",,"last", "EAT")</f>
        <v/>
      </c>
      <c r="O67" s="61">
        <f>RTD("tos.rtd",,"ASK",".EAT210521P65")</f>
        <v/>
      </c>
      <c r="P67" s="10">
        <f>IF([TransType]="LS", [OpnPrem]+[ClsPrem],
                                            IF([TransType]="AS", [OpnPrem]+[ClsPrem],
                                               [OpnPrem]-[ClsPrem]))</f>
        <v/>
      </c>
      <c r="Q67" s="66">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67">
        <f>IF([TotCapDays],365*[TotPrem]/[TotCapDays],"")</f>
        <v/>
      </c>
      <c r="Y67" s="10">
        <f>IF([SYM]="","",
IF([TransType]="LS",[Strike]-[TotPrem]/[['#Contracts]],
IF([['#Contracts]],[Strike]-[TotPrem]/[['#Contracts]]/100,"")))</f>
        <v/>
      </c>
      <c r="Z67" s="11">
        <f>IF([CloseDate]&gt;0,"",
IF([TransType]="LS",['#Contracts],
IF([TransType]="AS",100*[['#Contracts]],
IF([TransType]="SP",100*[['#Contracts]],
IF([TransType]="BP",100*[['#Contracts]],"")))))</f>
        <v/>
      </c>
      <c r="AA67" s="65">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G67">
        <f>IF(Table1[SYM]="","",SUMIFS(Table1[NetPrem],Table1[Trade'#],Table1[[Trade'#]],Table1[Leg],"&lt;="&amp;Table1[Leg]))</f>
        <v/>
      </c>
    </row>
    <row r="68">
      <c r="A68" s="15" t="inlineStr">
        <is>
          <t>Sold 2 EAT May 21 2021 65.0 Put @ 2.3</t>
        </is>
      </c>
      <c r="B68" s="61" t="n">
        <v>18</v>
      </c>
      <c r="C68" s="61" t="n">
        <v>2</v>
      </c>
      <c r="D68" s="15" t="inlineStr">
        <is>
          <t>SP</t>
        </is>
      </c>
      <c r="E68" s="68" t="n">
        <v>44320</v>
      </c>
      <c r="F68" s="68" t="n">
        <v>44335</v>
      </c>
      <c r="G68" s="68" t="n">
        <v>44337</v>
      </c>
      <c r="H68" s="61" t="n">
        <v>65</v>
      </c>
      <c r="I68" s="61" t="n"/>
      <c r="J68" s="60" t="n">
        <v>2</v>
      </c>
      <c r="K68" s="64" t="n">
        <v>458.67</v>
      </c>
      <c r="M68" s="64" t="inlineStr">
        <is>
          <t>EAT</t>
        </is>
      </c>
      <c r="N68" s="61">
        <f>RTD("tos.rtd",,"last", "EAT")</f>
        <v/>
      </c>
      <c r="O68" s="61">
        <f>RTD("tos.rtd",,"ASK",".EAT210521P65")</f>
        <v/>
      </c>
      <c r="P68" s="10">
        <f>IF([TransType]="LS", [OpnPrem]+[ClsPrem],
                                            IF([TransType]="AS", [OpnPrem]+[ClsPrem],
                                               [OpnPrem]-[ClsPrem]))</f>
        <v/>
      </c>
      <c r="Q68" s="66">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67">
        <f>IF([TotCapDays],365*[TotPrem]/[TotCapDays],"")</f>
        <v/>
      </c>
      <c r="Y68" s="10">
        <f>IF([SYM]="","",
IF([TransType]="LS",[Strike]-[TotPrem]/[['#Contracts]],
IF([['#Contracts]],[Strike]-[TotPrem]/[['#Contracts]]/100,"")))</f>
        <v/>
      </c>
      <c r="Z68" s="11">
        <f>IF([CloseDate]&gt;0,"",
IF([TransType]="LS",['#Contracts],
IF([TransType]="AS",100*[['#Contracts]],
IF([TransType]="SP",100*[['#Contracts]],
IF([TransType]="BP",100*[['#Contracts]],"")))))</f>
        <v/>
      </c>
      <c r="AA68" s="65">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G68">
        <f>IF(Table1[SYM]="","",SUMIFS(Table1[NetPrem],Table1[Trade'#],Table1[[Trade'#]],Table1[Leg],"&lt;="&amp;Table1[Leg]))</f>
        <v/>
      </c>
    </row>
    <row r="69">
      <c r="A69" s="15" t="inlineStr">
        <is>
          <t>Bought 4 EAT May 21 2021 65.0 Put @ 4.5</t>
        </is>
      </c>
      <c r="B69" s="61" t="n">
        <v>18</v>
      </c>
      <c r="C69" s="61" t="n">
        <v>3</v>
      </c>
      <c r="D69" s="15" t="inlineStr">
        <is>
          <t>SP</t>
        </is>
      </c>
      <c r="E69" s="68" t="n">
        <v>44335</v>
      </c>
      <c r="F69" s="68" t="n">
        <v>44335</v>
      </c>
      <c r="G69" s="68" t="n">
        <v>44337</v>
      </c>
      <c r="H69" s="61" t="n">
        <v>65</v>
      </c>
      <c r="I69" s="61" t="n"/>
      <c r="J69" s="60" t="n">
        <v>4</v>
      </c>
      <c r="K69" s="64" t="n">
        <v>-1802.66</v>
      </c>
      <c r="M69" s="64" t="inlineStr">
        <is>
          <t>EAT</t>
        </is>
      </c>
      <c r="N69" s="61">
        <f>RTD("tos.rtd",,"last", "EAT")</f>
        <v/>
      </c>
      <c r="O69" s="61">
        <f>RTD("tos.rtd",,"ASK",".EAT210521P65")</f>
        <v/>
      </c>
      <c r="P69" s="10">
        <f>IF([TransType]="LS", [OpnPrem]+[ClsPrem],
                                            IF([TransType]="AS", [OpnPrem]+[ClsPrem],
                                               [OpnPrem]-[ClsPrem]))</f>
        <v/>
      </c>
      <c r="Q69" s="66">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67">
        <f>IF([TotCapDays],365*[TotPrem]/[TotCapDays],"")</f>
        <v/>
      </c>
      <c r="Y69" s="10">
        <f>IF([SYM]="","",
IF([TransType]="LS",[Strike]-[TotPrem]/[['#Contracts]],
IF([['#Contracts]],[Strike]-[TotPrem]/[['#Contracts]]/100,"")))</f>
        <v/>
      </c>
      <c r="Z69" s="11">
        <f>IF([CloseDate]&gt;0,"",
IF([TransType]="LS",['#Contracts],
IF([TransType]="AS",100*[['#Contracts]],
IF([TransType]="SP",100*[['#Contracts]],
IF([TransType]="BP",100*[['#Contracts]],"")))))</f>
        <v/>
      </c>
      <c r="AA69" s="65">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G69">
        <f>IF(Table1[SYM]="","",SUMIFS(Table1[NetPrem],Table1[Trade'#],Table1[[Trade'#]],Table1[Leg],"&lt;="&amp;Table1[Leg]))</f>
        <v/>
      </c>
    </row>
    <row r="70">
      <c r="A70" s="15" t="inlineStr">
        <is>
          <t>Sold 4 EAT Jun 18 2021 65.0 Put @ 5.91</t>
        </is>
      </c>
      <c r="B70" s="61" t="n">
        <v>18</v>
      </c>
      <c r="C70" s="61" t="n">
        <v>3</v>
      </c>
      <c r="D70" s="15" t="inlineStr">
        <is>
          <t>SP</t>
        </is>
      </c>
      <c r="E70" s="68" t="n">
        <v>44335</v>
      </c>
      <c r="F70" s="68" t="n">
        <v>44362</v>
      </c>
      <c r="G70" s="68" t="n">
        <v>44365</v>
      </c>
      <c r="H70" s="61" t="n">
        <v>65</v>
      </c>
      <c r="I70" s="61" t="n"/>
      <c r="J70" s="60" t="n">
        <v>4</v>
      </c>
      <c r="K70" s="64" t="n">
        <v>2361.32</v>
      </c>
      <c r="M70" s="64" t="inlineStr">
        <is>
          <t>EAT</t>
        </is>
      </c>
      <c r="N70" s="61">
        <f>RTD("tos.rtd",,"last", "EAT")</f>
        <v/>
      </c>
      <c r="O70" s="61">
        <f>RTD("tos.rtd",,"ASK",".EAT210618P65")</f>
        <v/>
      </c>
      <c r="P70" s="10">
        <f>IF([TransType]="LS", [OpnPrem]+[ClsPrem],
                                            IF([TransType]="AS", [OpnPrem]+[ClsPrem],
                                               [OpnPrem]-[ClsPrem]))</f>
        <v/>
      </c>
      <c r="Q70" s="66">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67">
        <f>IF([TotCapDays],365*[TotPrem]/[TotCapDays],"")</f>
        <v/>
      </c>
      <c r="Y70" s="10">
        <f>IF([SYM]="","",
IF([TransType]="LS",[Strike]-[TotPrem]/[['#Contracts]],
IF([['#Contracts]],[Strike]-[TotPrem]/[['#Contracts]]/100,"")))</f>
        <v/>
      </c>
      <c r="Z70" s="11">
        <f>IF([CloseDate]&gt;0,"",
IF([TransType]="LS",['#Contracts],
IF([TransType]="AS",100*[['#Contracts]],
IF([TransType]="SP",100*[['#Contracts]],
IF([TransType]="BP",100*[['#Contracts]],"")))))</f>
        <v/>
      </c>
      <c r="AA70" s="65">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G70">
        <f>IF(Table1[SYM]="","",SUMIFS(Table1[NetPrem],Table1[Trade'#],Table1[[Trade'#]],Table1[Leg],"&lt;="&amp;Table1[Leg]))</f>
        <v/>
      </c>
    </row>
    <row r="71">
      <c r="A71" s="15" t="inlineStr">
        <is>
          <t>Bought 4 EAT Jun 18 2021 65.0 Put @ 6.9</t>
        </is>
      </c>
      <c r="B71" s="61" t="n">
        <v>18</v>
      </c>
      <c r="C71" s="61" t="n">
        <v>4</v>
      </c>
      <c r="D71" s="15" t="inlineStr">
        <is>
          <t>SP</t>
        </is>
      </c>
      <c r="E71" s="68" t="n">
        <v>44362</v>
      </c>
      <c r="F71" s="68" t="n">
        <v>44362</v>
      </c>
      <c r="G71" s="68" t="n">
        <v>44365</v>
      </c>
      <c r="H71" s="61" t="n">
        <v>65</v>
      </c>
      <c r="I71" s="61" t="n"/>
      <c r="J71" s="60" t="n">
        <v>4</v>
      </c>
      <c r="K71" s="64" t="n">
        <v>-2762.66</v>
      </c>
      <c r="M71" s="64" t="inlineStr">
        <is>
          <t>EAT</t>
        </is>
      </c>
      <c r="N71" s="61">
        <f>RTD("tos.rtd",,"last", "EAT")</f>
        <v/>
      </c>
      <c r="O71" s="61">
        <f>RTD("tos.rtd",,"ASK",".EAT210618P65")</f>
        <v/>
      </c>
      <c r="P71" s="10">
        <f>IF([TransType]="LS", [OpnPrem]+[ClsPrem],
                                            IF([TransType]="AS", [OpnPrem]+[ClsPrem],
                                               [OpnPrem]-[ClsPrem]))</f>
        <v/>
      </c>
      <c r="Q71" s="66">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67">
        <f>IF([TotCapDays],365*[TotPrem]/[TotCapDays],"")</f>
        <v/>
      </c>
      <c r="Y71" s="10">
        <f>IF([SYM]="","",
IF([TransType]="LS",[Strike]-[TotPrem]/[['#Contracts]],
IF([['#Contracts]],[Strike]-[TotPrem]/[['#Contracts]]/100,"")))</f>
        <v/>
      </c>
      <c r="Z71" s="11">
        <f>IF([CloseDate]&gt;0,"",
IF([TransType]="LS",['#Contracts],
IF([TransType]="AS",100*[['#Contracts]],
IF([TransType]="SP",100*[['#Contracts]],
IF([TransType]="BP",100*[['#Contracts]],"")))))</f>
        <v/>
      </c>
      <c r="AA71" s="65">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G71">
        <f>IF(Table1[SYM]="","",SUMIFS(Table1[NetPrem],Table1[Trade'#],Table1[[Trade'#]],Table1[Leg],"&lt;="&amp;Table1[Leg]))</f>
        <v/>
      </c>
    </row>
    <row r="72">
      <c r="A72" s="15" t="inlineStr">
        <is>
          <t>Sold 4 EAT Jul 16 2021 65.0 Put @ 7.7</t>
        </is>
      </c>
      <c r="B72" s="61" t="n">
        <v>18</v>
      </c>
      <c r="C72" s="61" t="n">
        <v>4</v>
      </c>
      <c r="D72" s="15" t="inlineStr">
        <is>
          <t>SP</t>
        </is>
      </c>
      <c r="E72" s="68" t="n">
        <v>44362</v>
      </c>
      <c r="F72" s="15" t="n"/>
      <c r="G72" s="68" t="n">
        <v>44393</v>
      </c>
      <c r="H72" s="61" t="n">
        <v>65</v>
      </c>
      <c r="I72" s="61" t="n"/>
      <c r="J72" s="60" t="n">
        <v>4</v>
      </c>
      <c r="K72" s="64" t="n">
        <v>3077.31</v>
      </c>
      <c r="M72" s="64" t="inlineStr">
        <is>
          <t>EAT</t>
        </is>
      </c>
      <c r="N72" s="61">
        <f>RTD("tos.rtd",,"last", "EAT")</f>
        <v/>
      </c>
      <c r="O72" s="61">
        <f>RTD("tos.rtd",,"ASK",".EAT210716P65")</f>
        <v/>
      </c>
      <c r="P72" s="10">
        <f>IF([TransType]="LS", [OpnPrem]+[ClsPrem],
                                            IF([TransType]="AS", [OpnPrem]+[ClsPrem],
                                               [OpnPrem]-[ClsPrem]))</f>
        <v/>
      </c>
      <c r="Q72" s="66">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67">
        <f>IF([TotCapDays],365*[TotPrem]/[TotCapDays],"")</f>
        <v/>
      </c>
      <c r="Y72" s="10">
        <f>IF([SYM]="","",
IF([TransType]="LS",[Strike]-[TotPrem]/[['#Contracts]],
IF([['#Contracts]],[Strike]-[TotPrem]/[['#Contracts]]/100,"")))</f>
        <v/>
      </c>
      <c r="Z72" s="11">
        <f>IF([CloseDate]&gt;0,"",
IF([TransType]="LS",['#Contracts],
IF([TransType]="AS",100*[['#Contracts]],
IF([TransType]="SP",100*[['#Contracts]],
IF([TransType]="BP",100*[['#Contracts]],"")))))</f>
        <v/>
      </c>
      <c r="AA72" s="65">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G72">
        <f>IF(Table1[SYM]="","",SUMIFS(Table1[NetPrem],Table1[Trade'#],Table1[[Trade'#]],Table1[Leg],"&lt;="&amp;Table1[Leg]))</f>
        <v/>
      </c>
    </row>
    <row r="73">
      <c r="A73" s="15" t="inlineStr">
        <is>
          <t>Sold 2 PCAR Jun 18 2021 90.0 Put @ 2.5</t>
        </is>
      </c>
      <c r="B73" s="61" t="n">
        <v>19</v>
      </c>
      <c r="C73" s="61" t="n">
        <v>1</v>
      </c>
      <c r="D73" s="15" t="inlineStr">
        <is>
          <t>SP</t>
        </is>
      </c>
      <c r="E73" s="68" t="n">
        <v>44322</v>
      </c>
      <c r="F73" s="68" t="n">
        <v>44326</v>
      </c>
      <c r="G73" s="68" t="n">
        <v>44365</v>
      </c>
      <c r="H73" s="61" t="n">
        <v>90</v>
      </c>
      <c r="I73" s="61" t="n"/>
      <c r="J73" s="60" t="n">
        <v>2</v>
      </c>
      <c r="K73" s="64" t="n">
        <v>498.67</v>
      </c>
      <c r="M73" s="64" t="inlineStr">
        <is>
          <t>PCAR</t>
        </is>
      </c>
      <c r="N73" s="61">
        <f>RTD("tos.rtd",,"last", "PCAR")</f>
        <v/>
      </c>
      <c r="O73" s="61">
        <f>RTD("tos.rtd",,"ASK",".PCAR210618P90")</f>
        <v/>
      </c>
      <c r="P73" s="10">
        <f>IF([TransType]="LS", [OpnPrem]+[ClsPrem],
                                            IF([TransType]="AS", [OpnPrem]+[ClsPrem],
                                               [OpnPrem]-[ClsPrem]))</f>
        <v/>
      </c>
      <c r="Q73" s="66">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67">
        <f>IF([TotCapDays],365*[TotPrem]/[TotCapDays],"")</f>
        <v/>
      </c>
      <c r="Y73" s="10">
        <f>IF([SYM]="","",
IF([TransType]="LS",[Strike]-[TotPrem]/[['#Contracts]],
IF([['#Contracts]],[Strike]-[TotPrem]/[['#Contracts]]/100,"")))</f>
        <v/>
      </c>
      <c r="Z73" s="11">
        <f>IF([CloseDate]&gt;0,"",
IF([TransType]="LS",['#Contracts],
IF([TransType]="AS",100*[['#Contracts]],
IF([TransType]="SP",100*[['#Contracts]],
IF([TransType]="BP",100*[['#Contracts]],"")))))</f>
        <v/>
      </c>
      <c r="AA73" s="65">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G73">
        <f>IF(Table1[SYM]="","",SUMIFS(Table1[NetPrem],Table1[Trade'#],Table1[[Trade'#]],Table1[Leg],"&lt;="&amp;Table1[Leg]))</f>
        <v/>
      </c>
    </row>
    <row r="74">
      <c r="A74" s="15" t="inlineStr">
        <is>
          <t>Bought 2 PCAR Jun 18 2021 90.0 Put @ 0.86</t>
        </is>
      </c>
      <c r="B74" s="61" t="n">
        <v>19</v>
      </c>
      <c r="C74" s="61" t="n">
        <v>2</v>
      </c>
      <c r="D74" s="15" t="inlineStr">
        <is>
          <t>SP</t>
        </is>
      </c>
      <c r="E74" s="68" t="n">
        <v>44326</v>
      </c>
      <c r="F74" s="68" t="n">
        <v>44326</v>
      </c>
      <c r="G74" s="68" t="n">
        <v>44365</v>
      </c>
      <c r="H74" s="61" t="n">
        <v>90</v>
      </c>
      <c r="I74" s="61" t="n"/>
      <c r="J74" s="60" t="n">
        <v>2</v>
      </c>
      <c r="K74" s="64" t="n">
        <v>-173.33</v>
      </c>
      <c r="M74" s="64" t="inlineStr">
        <is>
          <t>PCAR</t>
        </is>
      </c>
      <c r="N74" s="61">
        <f>RTD("tos.rtd",,"last", "PCAR")</f>
        <v/>
      </c>
      <c r="O74" s="61">
        <f>RTD("tos.rtd",,"ASK",".PCAR210618P90")</f>
        <v/>
      </c>
      <c r="P74" s="10">
        <f>IF([TransType]="LS", [OpnPrem]+[ClsPrem],
                                            IF([TransType]="AS", [OpnPrem]+[ClsPrem],
                                               [OpnPrem]-[ClsPrem]))</f>
        <v/>
      </c>
      <c r="Q74" s="66">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67">
        <f>IF([TotCapDays],365*[TotPrem]/[TotCapDays],"")</f>
        <v/>
      </c>
      <c r="Y74" s="10">
        <f>IF([SYM]="","",
IF([TransType]="LS",[Strike]-[TotPrem]/[['#Contracts]],
IF([['#Contracts]],[Strike]-[TotPrem]/[['#Contracts]]/100,"")))</f>
        <v/>
      </c>
      <c r="Z74" s="11">
        <f>IF([CloseDate]&gt;0,"",
IF([TransType]="LS",['#Contracts],
IF([TransType]="AS",100*[['#Contracts]],
IF([TransType]="SP",100*[['#Contracts]],
IF([TransType]="BP",100*[['#Contracts]],"")))))</f>
        <v/>
      </c>
      <c r="AA74" s="65">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G74">
        <f>IF(Table1[SYM]="","",SUMIFS(Table1[NetPrem],Table1[Trade'#],Table1[[Trade'#]],Table1[Leg],"&lt;="&amp;Table1[Leg]))</f>
        <v/>
      </c>
    </row>
    <row r="75">
      <c r="A75" s="15" t="inlineStr">
        <is>
          <t>Sold 10 AAL Jun 4 2021 21.0 Put @ 0.56</t>
        </is>
      </c>
      <c r="B75" s="61" t="n">
        <v>20</v>
      </c>
      <c r="C75" s="61" t="n">
        <v>1</v>
      </c>
      <c r="D75" s="15" t="inlineStr">
        <is>
          <t>SP</t>
        </is>
      </c>
      <c r="E75" s="68" t="n">
        <v>44323</v>
      </c>
      <c r="F75" s="68" t="n">
        <v>44342</v>
      </c>
      <c r="G75" s="68" t="n">
        <v>44351</v>
      </c>
      <c r="H75" s="61" t="n">
        <v>21</v>
      </c>
      <c r="I75" s="61" t="n"/>
      <c r="J75" s="60" t="n">
        <v>10</v>
      </c>
      <c r="K75" s="64" t="n">
        <v>553.34</v>
      </c>
      <c r="M75" s="64" t="inlineStr">
        <is>
          <t>AAL</t>
        </is>
      </c>
      <c r="N75" s="61">
        <f>RTD("tos.rtd",,"last", "AAL")</f>
        <v/>
      </c>
      <c r="O75" s="61">
        <f>RTD("tos.rtd",,"ASK",".AAL210604P21")</f>
        <v/>
      </c>
      <c r="P75" s="10">
        <f>IF([TransType]="LS", [OpnPrem]+[ClsPrem],
                                            IF([TransType]="AS", [OpnPrem]+[ClsPrem],
                                               [OpnPrem]-[ClsPrem]))</f>
        <v/>
      </c>
      <c r="Q75" s="66">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67">
        <f>IF([TotCapDays],365*[TotPrem]/[TotCapDays],"")</f>
        <v/>
      </c>
      <c r="Y75" s="10">
        <f>IF([SYM]="","",
IF([TransType]="LS",[Strike]-[TotPrem]/[['#Contracts]],
IF([['#Contracts]],[Strike]-[TotPrem]/[['#Contracts]]/100,"")))</f>
        <v/>
      </c>
      <c r="Z75" s="11">
        <f>IF([CloseDate]&gt;0,"",
IF([TransType]="LS",['#Contracts],
IF([TransType]="AS",100*[['#Contracts]],
IF([TransType]="SP",100*[['#Contracts]],
IF([TransType]="BP",100*[['#Contracts]],"")))))</f>
        <v/>
      </c>
      <c r="AA75" s="65">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G75">
        <f>IF(Table1[SYM]="","",SUMIFS(Table1[NetPrem],Table1[Trade'#],Table1[[Trade'#]],Table1[Leg],"&lt;="&amp;Table1[Leg]))</f>
        <v/>
      </c>
    </row>
    <row r="76">
      <c r="A76" t="inlineStr">
        <is>
          <t>Bought 10 AAL Jun 4 2021 21.0 Put @ 0.05</t>
        </is>
      </c>
      <c r="B76" t="n">
        <v>20</v>
      </c>
      <c r="C76" t="n">
        <v>2</v>
      </c>
      <c r="D76" t="inlineStr">
        <is>
          <t>SP</t>
        </is>
      </c>
      <c r="E76" s="65" t="n">
        <v>44342</v>
      </c>
      <c r="F76" s="65" t="n">
        <v>44342</v>
      </c>
      <c r="G76" s="65" t="n">
        <v>44351</v>
      </c>
      <c r="H76" t="n">
        <v>21</v>
      </c>
      <c r="J76" t="n">
        <v>10</v>
      </c>
      <c r="K76" t="n">
        <v>-50.14</v>
      </c>
      <c r="M76" t="inlineStr">
        <is>
          <t>AAL</t>
        </is>
      </c>
      <c r="N76">
        <f>RTD("tos.rtd",,"last", "AAL")</f>
        <v/>
      </c>
      <c r="O76">
        <f>RTD("tos.rtd",,"ASK",".AAL210604P21")</f>
        <v/>
      </c>
      <c r="P76">
        <f>IF([TransType]="LS", [OpnPrem]+[ClsPrem],
                                            IF([TransType]="AS", [OpnPrem]+[ClsPrem],
                                               [OpnPrem]-[ClsPrem]))</f>
        <v/>
      </c>
      <c r="Q76" s="66">
        <f>IF([SYM]="","",SUMIFS([NetPrem],[Trade'#],[[Trade'#]],[Leg],"&lt;="&amp;[Leg]))</f>
        <v/>
      </c>
      <c r="R7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f>IF([TransType]="SP",100*[Strike]*[['#Contracts]],
IF([TransType]="LS",[Strike]*[['#Contracts]],
IF([TransType]="BP",100*([Strike]-[Strike2])*[['#Contracts]],
IF([TransType]="BC",100*([Strike2]-[Strike])*[['#Contracts]],
IF([TransType]="NC",100*[Strike]*[['#Contracts]],
IF([TransType]="AS",100*[Strike]*[['#Contracts]],0))))))</f>
        <v/>
      </c>
      <c r="T76">
        <f>IF([CloseDate]&gt;0,"",[Cap])</f>
        <v/>
      </c>
      <c r="U76">
        <f>IF([CloseDate]&gt;0,"",
IF([TransType]="BC","",
IF([TransType]="BP",100*[Strike]*[['#Contracts]],
[Cap])))</f>
        <v/>
      </c>
      <c r="V76">
        <f>IF([SYM]="","",[Cap]*[Days])</f>
        <v/>
      </c>
      <c r="W76">
        <f>IF([SYM]="","",SUMIFS([CapDays],[Trade'#],[[Trade'#]],[Leg],"&lt;="&amp;[Leg]))</f>
        <v/>
      </c>
      <c r="X76" s="67">
        <f>IF([TotCapDays],365*[TotPrem]/[TotCapDays],"")</f>
        <v/>
      </c>
      <c r="Y76" s="10">
        <f>IF([SYM]="","",
IF([TransType]="LS",[Strike]-[TotPrem]/[['#Contracts]],
IF([['#Contracts]],[Strike]-[TotPrem]/[['#Contracts]]/100,"")))</f>
        <v/>
      </c>
      <c r="Z76">
        <f>IF([CloseDate]&gt;0,"",
IF([TransType]="LS",['#Contracts],
IF([TransType]="AS",100*[['#Contracts]],
IF([TransType]="SP",100*[['#Contracts]],
IF([TransType]="BP",100*[['#Contracts]],"")))))</f>
        <v/>
      </c>
      <c r="AA76" s="65">
        <f>IF([CloseDate]&gt;0,[CloseDate],
IF([ExpDate]&gt;0,[ExpDate],
TODAY()))</f>
        <v/>
      </c>
      <c r="AB76">
        <f>IF(PERFORMANCE!D8&gt;0,
IF(PERFORMANCE!D8&lt;[ActDate],"",[NetPrem]),
IF(TODAY()&lt;[ActDate],"",[NetPrem]))</f>
        <v/>
      </c>
      <c r="AC76">
        <f>IF(PERFORMANCE!D8&gt;0,
IF(PERFORMANCE!D8&lt;[ActDate],"",
IF(PERFORMANCE!D8 - [ActDate]&lt;366,[NetPrem],"")),
IF(TODAY()&lt;[ActDate],"",
IF(TODAY() - [ActDate]&lt;366,[NetPrem],"")))</f>
        <v/>
      </c>
      <c r="AD76">
        <f>IF(PERFORMANCE!D8&gt;0,
IF(PERFORMANCE!D8&lt;[ActDate],"",
IF(YEAR(PERFORMANCE!D8)=YEAR([ActDate]),[NetPrem],"")),
IF(TODAY()&lt;[ActDate],"",
IF(YEAR(TODAY())=YEAR([ActDate]),[NetPrem],"")))</f>
        <v/>
      </c>
      <c r="AE76">
        <f>IF(PERFORMANCE!D8&gt;0,
IF(PERFORMANCE!D8&lt;[ActDate],[NetPrem],""),
IF(TODAY()&lt;[ActDate],[NetPrem],""))</f>
        <v/>
      </c>
      <c r="AG76">
        <f>IF(Table1[SYM]="","",SUMIFS(Table1[NetPrem],Table1[Trade'#],Table1[[Trade'#]],Table1[Leg],"&lt;="&amp;Table1[Leg]))</f>
        <v/>
      </c>
    </row>
    <row r="77">
      <c r="A77" t="inlineStr">
        <is>
          <t>Sold 2 SNAP May 28 2021 50.0 Put @ 1.53</t>
        </is>
      </c>
      <c r="B77" t="n">
        <v>21</v>
      </c>
      <c r="C77" t="n">
        <v>1</v>
      </c>
      <c r="D77" t="inlineStr">
        <is>
          <t>SP</t>
        </is>
      </c>
      <c r="E77" s="65" t="n">
        <v>44326</v>
      </c>
      <c r="F77" s="65" t="n">
        <v>44340</v>
      </c>
      <c r="G77" s="65" t="n">
        <v>44344</v>
      </c>
      <c r="H77" t="n">
        <v>50</v>
      </c>
      <c r="J77" t="n">
        <v>2</v>
      </c>
      <c r="K77" t="n">
        <v>304.67</v>
      </c>
      <c r="M77" t="inlineStr">
        <is>
          <t>SNAP</t>
        </is>
      </c>
      <c r="N77">
        <f>RTD("tos.rtd",,"last", "SNAP")</f>
        <v/>
      </c>
      <c r="O77">
        <f>RTD("tos.rtd",,"ASK",".SNAP210528P50")</f>
        <v/>
      </c>
      <c r="P77">
        <f>IF([TransType]="LS", [OpnPrem]+[ClsPrem],
                                            IF([TransType]="AS", [OpnPrem]+[ClsPrem],
                                               [OpnPrem]-[ClsPrem]))</f>
        <v/>
      </c>
      <c r="Q77" s="66">
        <f>IF([SYM]="","",SUMIFS([NetPrem],[Trade'#],[[Trade'#]],[Leg],"&lt;="&amp;[Leg]))</f>
        <v/>
      </c>
      <c r="R7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f>IF([TransType]="SP",100*[Strike]*[['#Contracts]],
IF([TransType]="LS",[Strike]*[['#Contracts]],
IF([TransType]="BP",100*([Strike]-[Strike2])*[['#Contracts]],
IF([TransType]="BC",100*([Strike2]-[Strike])*[['#Contracts]],
IF([TransType]="NC",100*[Strike]*[['#Contracts]],
IF([TransType]="AS",100*[Strike]*[['#Contracts]],0))))))</f>
        <v/>
      </c>
      <c r="T77">
        <f>IF([CloseDate]&gt;0,"",[Cap])</f>
        <v/>
      </c>
      <c r="U77">
        <f>IF([CloseDate]&gt;0,"",
IF([TransType]="BC","",
IF([TransType]="BP",100*[Strike]*[['#Contracts]],
[Cap])))</f>
        <v/>
      </c>
      <c r="V77">
        <f>IF([SYM]="","",[Cap]*[Days])</f>
        <v/>
      </c>
      <c r="W77">
        <f>IF([SYM]="","",SUMIFS([CapDays],[Trade'#],[[Trade'#]],[Leg],"&lt;="&amp;[Leg]))</f>
        <v/>
      </c>
      <c r="X77" s="67">
        <f>IF([TotCapDays],365*[TotPrem]/[TotCapDays],"")</f>
        <v/>
      </c>
      <c r="Y77" s="10">
        <f>IF([SYM]="","",
IF([TransType]="LS",[Strike]-[TotPrem]/[['#Contracts]],
IF([['#Contracts]],[Strike]-[TotPrem]/[['#Contracts]]/100,"")))</f>
        <v/>
      </c>
      <c r="Z77">
        <f>IF([CloseDate]&gt;0,"",
IF([TransType]="LS",['#Contracts],
IF([TransType]="AS",100*[['#Contracts]],
IF([TransType]="SP",100*[['#Contracts]],
IF([TransType]="BP",100*[['#Contracts]],"")))))</f>
        <v/>
      </c>
      <c r="AA77" s="65">
        <f>IF([CloseDate]&gt;0,[CloseDate],
IF([ExpDate]&gt;0,[ExpDate],
TODAY()))</f>
        <v/>
      </c>
      <c r="AB77">
        <f>IF(PERFORMANCE!D8&gt;0,
IF(PERFORMANCE!D8&lt;[ActDate],"",[NetPrem]),
IF(TODAY()&lt;[ActDate],"",[NetPrem]))</f>
        <v/>
      </c>
      <c r="AC77">
        <f>IF(PERFORMANCE!D8&gt;0,
IF(PERFORMANCE!D8&lt;[ActDate],"",
IF(PERFORMANCE!D8 - [ActDate]&lt;366,[NetPrem],"")),
IF(TODAY()&lt;[ActDate],"",
IF(TODAY() - [ActDate]&lt;366,[NetPrem],"")))</f>
        <v/>
      </c>
      <c r="AD77">
        <f>IF(PERFORMANCE!D8&gt;0,
IF(PERFORMANCE!D8&lt;[ActDate],"",
IF(YEAR(PERFORMANCE!D8)=YEAR([ActDate]),[NetPrem],"")),
IF(TODAY()&lt;[ActDate],"",
IF(YEAR(TODAY())=YEAR([ActDate]),[NetPrem],"")))</f>
        <v/>
      </c>
      <c r="AE77">
        <f>IF(PERFORMANCE!D8&gt;0,
IF(PERFORMANCE!D8&lt;[ActDate],[NetPrem],""),
IF(TODAY()&lt;[ActDate],[NetPrem],""))</f>
        <v/>
      </c>
      <c r="AG77">
        <f>IF(Table1[SYM]="","",SUMIFS(Table1[NetPrem],Table1[Trade'#],Table1[[Trade'#]],Table1[Leg],"&lt;="&amp;Table1[Leg]))</f>
        <v/>
      </c>
    </row>
    <row r="78">
      <c r="A78" t="inlineStr">
        <is>
          <t>Bought 2 SNAP May 28 2021 50.0 Put @ 0.04</t>
        </is>
      </c>
      <c r="B78" t="n">
        <v>21</v>
      </c>
      <c r="C78" t="n">
        <v>2</v>
      </c>
      <c r="D78" t="inlineStr">
        <is>
          <t>SP</t>
        </is>
      </c>
      <c r="E78" s="65" t="n">
        <v>44340</v>
      </c>
      <c r="F78" s="65" t="n">
        <v>44340</v>
      </c>
      <c r="G78" s="65" t="n">
        <v>44344</v>
      </c>
      <c r="H78" t="n">
        <v>50</v>
      </c>
      <c r="J78" t="n">
        <v>2</v>
      </c>
      <c r="K78" t="n">
        <v>-8.029999999999999</v>
      </c>
      <c r="M78" t="inlineStr">
        <is>
          <t>SNAP</t>
        </is>
      </c>
      <c r="N78">
        <f>RTD("tos.rtd",,"last", "SNAP")</f>
        <v/>
      </c>
      <c r="O78">
        <f>RTD("tos.rtd",,"ASK",".SNAP210528P50")</f>
        <v/>
      </c>
      <c r="P78">
        <f>IF([TransType]="LS", [OpnPrem]+[ClsPrem],
                                            IF([TransType]="AS", [OpnPrem]+[ClsPrem],
                                               [OpnPrem]-[ClsPrem]))</f>
        <v/>
      </c>
      <c r="Q78" s="66">
        <f>IF([SYM]="","",SUMIFS([NetPrem],[Trade'#],[[Trade'#]],[Leg],"&lt;="&amp;[Leg]))</f>
        <v/>
      </c>
      <c r="R7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f>IF([TransType]="SP",100*[Strike]*[['#Contracts]],
IF([TransType]="LS",[Strike]*[['#Contracts]],
IF([TransType]="BP",100*([Strike]-[Strike2])*[['#Contracts]],
IF([TransType]="BC",100*([Strike2]-[Strike])*[['#Contracts]],
IF([TransType]="NC",100*[Strike]*[['#Contracts]],
IF([TransType]="AS",100*[Strike]*[['#Contracts]],0))))))</f>
        <v/>
      </c>
      <c r="T78">
        <f>IF([CloseDate]&gt;0,"",[Cap])</f>
        <v/>
      </c>
      <c r="U78">
        <f>IF([CloseDate]&gt;0,"",
IF([TransType]="BC","",
IF([TransType]="BP",100*[Strike]*[['#Contracts]],
[Cap])))</f>
        <v/>
      </c>
      <c r="V78">
        <f>IF([SYM]="","",[Cap]*[Days])</f>
        <v/>
      </c>
      <c r="W78">
        <f>IF([SYM]="","",SUMIFS([CapDays],[Trade'#],[[Trade'#]],[Leg],"&lt;="&amp;[Leg]))</f>
        <v/>
      </c>
      <c r="X78" s="67">
        <f>IF([TotCapDays],365*[TotPrem]/[TotCapDays],"")</f>
        <v/>
      </c>
      <c r="Y78" s="10">
        <f>IF([SYM]="","",
IF([TransType]="LS",[Strike]-[TotPrem]/[['#Contracts]],
IF([['#Contracts]],[Strike]-[TotPrem]/[['#Contracts]]/100,"")))</f>
        <v/>
      </c>
      <c r="Z78">
        <f>IF([CloseDate]&gt;0,"",
IF([TransType]="LS",['#Contracts],
IF([TransType]="AS",100*[['#Contracts]],
IF([TransType]="SP",100*[['#Contracts]],
IF([TransType]="BP",100*[['#Contracts]],"")))))</f>
        <v/>
      </c>
      <c r="AA78" s="65">
        <f>IF([CloseDate]&gt;0,[CloseDate],
IF([ExpDate]&gt;0,[ExpDate],
TODAY()))</f>
        <v/>
      </c>
      <c r="AB78">
        <f>IF(PERFORMANCE!D8&gt;0,
IF(PERFORMANCE!D8&lt;[ActDate],"",[NetPrem]),
IF(TODAY()&lt;[ActDate],"",[NetPrem]))</f>
        <v/>
      </c>
      <c r="AC78">
        <f>IF(PERFORMANCE!D8&gt;0,
IF(PERFORMANCE!D8&lt;[ActDate],"",
IF(PERFORMANCE!D8 - [ActDate]&lt;366,[NetPrem],"")),
IF(TODAY()&lt;[ActDate],"",
IF(TODAY() - [ActDate]&lt;366,[NetPrem],"")))</f>
        <v/>
      </c>
      <c r="AD78">
        <f>IF(PERFORMANCE!D8&gt;0,
IF(PERFORMANCE!D8&lt;[ActDate],"",
IF(YEAR(PERFORMANCE!D8)=YEAR([ActDate]),[NetPrem],"")),
IF(TODAY()&lt;[ActDate],"",
IF(YEAR(TODAY())=YEAR([ActDate]),[NetPrem],"")))</f>
        <v/>
      </c>
      <c r="AE78">
        <f>IF(PERFORMANCE!D8&gt;0,
IF(PERFORMANCE!D8&lt;[ActDate],[NetPrem],""),
IF(TODAY()&lt;[ActDate],[NetPrem],""))</f>
        <v/>
      </c>
      <c r="AG78">
        <f>IF(Table1[SYM]="","",SUMIFS(Table1[NetPrem],Table1[Trade'#],Table1[[Trade'#]],Table1[Leg],"&lt;="&amp;Table1[Leg]))</f>
        <v/>
      </c>
    </row>
    <row r="79">
      <c r="A79" t="inlineStr">
        <is>
          <t>Sold 4 DBX Jun 04 2021 24.5 Put @ 0.67</t>
        </is>
      </c>
      <c r="B79" t="n">
        <v>22</v>
      </c>
      <c r="C79" t="n">
        <v>1</v>
      </c>
      <c r="D79" t="inlineStr">
        <is>
          <t>SP</t>
        </is>
      </c>
      <c r="E79" s="65" t="n">
        <v>44327</v>
      </c>
      <c r="F79" s="65" t="n">
        <v>44342</v>
      </c>
      <c r="G79" s="65" t="n">
        <v>44351</v>
      </c>
      <c r="H79" t="n">
        <v>24.5</v>
      </c>
      <c r="J79" t="n">
        <v>4</v>
      </c>
      <c r="K79" t="n">
        <v>265.33</v>
      </c>
      <c r="M79" t="inlineStr">
        <is>
          <t>DBX</t>
        </is>
      </c>
      <c r="N79">
        <f>RTD("tos.rtd",,"last", "DBX")</f>
        <v/>
      </c>
      <c r="O79">
        <f>RTD("tos.rtd",,"ASK",".DBX210604P24.5")</f>
        <v/>
      </c>
      <c r="P79">
        <f>IF([TransType]="LS", [OpnPrem]+[ClsPrem],
                                            IF([TransType]="AS", [OpnPrem]+[ClsPrem],
                                               [OpnPrem]-[ClsPrem]))</f>
        <v/>
      </c>
      <c r="Q79" s="66">
        <f>IF([SYM]="","",SUMIFS([NetPrem],[Trade'#],[[Trade'#]],[Leg],"&lt;="&amp;[Leg]))</f>
        <v/>
      </c>
      <c r="R7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f>IF([TransType]="SP",100*[Strike]*[['#Contracts]],
IF([TransType]="LS",[Strike]*[['#Contracts]],
IF([TransType]="BP",100*([Strike]-[Strike2])*[['#Contracts]],
IF([TransType]="BC",100*([Strike2]-[Strike])*[['#Contracts]],
IF([TransType]="NC",100*[Strike]*[['#Contracts]],
IF([TransType]="AS",100*[Strike]*[['#Contracts]],0))))))</f>
        <v/>
      </c>
      <c r="T79">
        <f>IF([CloseDate]&gt;0,"",[Cap])</f>
        <v/>
      </c>
      <c r="U79">
        <f>IF([CloseDate]&gt;0,"",
IF([TransType]="BC","",
IF([TransType]="BP",100*[Strike]*[['#Contracts]],
[Cap])))</f>
        <v/>
      </c>
      <c r="V79">
        <f>IF([SYM]="","",[Cap]*[Days])</f>
        <v/>
      </c>
      <c r="W79">
        <f>IF([SYM]="","",SUMIFS([CapDays],[Trade'#],[[Trade'#]],[Leg],"&lt;="&amp;[Leg]))</f>
        <v/>
      </c>
      <c r="X79" s="67">
        <f>IF([TotCapDays],365*[TotPrem]/[TotCapDays],"")</f>
        <v/>
      </c>
      <c r="Y79" s="10">
        <f>IF([SYM]="","",
IF([TransType]="LS",[Strike]-[TotPrem]/[['#Contracts]],
IF([['#Contracts]],[Strike]-[TotPrem]/[['#Contracts]]/100,"")))</f>
        <v/>
      </c>
      <c r="Z79">
        <f>IF([CloseDate]&gt;0,"",
IF([TransType]="LS",['#Contracts],
IF([TransType]="AS",100*[['#Contracts]],
IF([TransType]="SP",100*[['#Contracts]],
IF([TransType]="BP",100*[['#Contracts]],"")))))</f>
        <v/>
      </c>
      <c r="AA79" s="65">
        <f>IF([CloseDate]&gt;0,[CloseDate],
IF([ExpDate]&gt;0,[ExpDate],
TODAY()))</f>
        <v/>
      </c>
      <c r="AB79">
        <f>IF(PERFORMANCE!D8&gt;0,
IF(PERFORMANCE!D8&lt;[ActDate],"",[NetPrem]),
IF(TODAY()&lt;[ActDate],"",[NetPrem]))</f>
        <v/>
      </c>
      <c r="AC79">
        <f>IF(PERFORMANCE!D8&gt;0,
IF(PERFORMANCE!D8&lt;[ActDate],"",
IF(PERFORMANCE!D8 - [ActDate]&lt;366,[NetPrem],"")),
IF(TODAY()&lt;[ActDate],"",
IF(TODAY() - [ActDate]&lt;366,[NetPrem],"")))</f>
        <v/>
      </c>
      <c r="AD79">
        <f>IF(PERFORMANCE!D8&gt;0,
IF(PERFORMANCE!D8&lt;[ActDate],"",
IF(YEAR(PERFORMANCE!D8)=YEAR([ActDate]),[NetPrem],"")),
IF(TODAY()&lt;[ActDate],"",
IF(YEAR(TODAY())=YEAR([ActDate]),[NetPrem],"")))</f>
        <v/>
      </c>
      <c r="AE79">
        <f>IF(PERFORMANCE!D8&gt;0,
IF(PERFORMANCE!D8&lt;[ActDate],[NetPrem],""),
IF(TODAY()&lt;[ActDate],[NetPrem],""))</f>
        <v/>
      </c>
      <c r="AG79">
        <f>IF(Table1[SYM]="","",SUMIFS(Table1[NetPrem],Table1[Trade'#],Table1[[Trade'#]],Table1[Leg],"&lt;="&amp;Table1[Leg]))</f>
        <v/>
      </c>
    </row>
    <row r="80">
      <c r="A80" t="inlineStr">
        <is>
          <t>Bought 4 DBX Jun 4 2021 24.5 Put @ 0.05</t>
        </is>
      </c>
      <c r="B80" t="n">
        <v>22</v>
      </c>
      <c r="C80" t="n">
        <v>2</v>
      </c>
      <c r="D80" t="inlineStr">
        <is>
          <t>SP</t>
        </is>
      </c>
      <c r="E80" s="65" t="n">
        <v>44342</v>
      </c>
      <c r="F80" s="65" t="n">
        <v>44342</v>
      </c>
      <c r="G80" s="65" t="n">
        <v>44351</v>
      </c>
      <c r="H80" t="n">
        <v>24.5</v>
      </c>
      <c r="J80" t="n">
        <v>4</v>
      </c>
      <c r="K80" t="n">
        <v>-20.06</v>
      </c>
      <c r="M80" t="inlineStr">
        <is>
          <t>DBX</t>
        </is>
      </c>
      <c r="N80">
        <f>RTD("tos.rtd",,"last", "DBX")</f>
        <v/>
      </c>
      <c r="O80">
        <f>RTD("tos.rtd",,"ASK",".DBX210604P24.5")</f>
        <v/>
      </c>
      <c r="P80">
        <f>IF([TransType]="LS", [OpnPrem]+[ClsPrem],
                                            IF([TransType]="AS", [OpnPrem]+[ClsPrem],
                                               [OpnPrem]-[ClsPrem]))</f>
        <v/>
      </c>
      <c r="Q80" s="66">
        <f>IF([SYM]="","",SUMIFS([NetPrem],[Trade'#],[[Trade'#]],[Leg],"&lt;="&amp;[Leg]))</f>
        <v/>
      </c>
      <c r="R8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f>IF([TransType]="SP",100*[Strike]*[['#Contracts]],
IF([TransType]="LS",[Strike]*[['#Contracts]],
IF([TransType]="BP",100*([Strike]-[Strike2])*[['#Contracts]],
IF([TransType]="BC",100*([Strike2]-[Strike])*[['#Contracts]],
IF([TransType]="NC",100*[Strike]*[['#Contracts]],
IF([TransType]="AS",100*[Strike]*[['#Contracts]],0))))))</f>
        <v/>
      </c>
      <c r="T80">
        <f>IF([CloseDate]&gt;0,"",[Cap])</f>
        <v/>
      </c>
      <c r="U80">
        <f>IF([CloseDate]&gt;0,"",
IF([TransType]="BC","",
IF([TransType]="BP",100*[Strike]*[['#Contracts]],
[Cap])))</f>
        <v/>
      </c>
      <c r="V80">
        <f>IF([SYM]="","",[Cap]*[Days])</f>
        <v/>
      </c>
      <c r="W80">
        <f>IF([SYM]="","",SUMIFS([CapDays],[Trade'#],[[Trade'#]],[Leg],"&lt;="&amp;[Leg]))</f>
        <v/>
      </c>
      <c r="X80" s="67">
        <f>IF([TotCapDays],365*[TotPrem]/[TotCapDays],"")</f>
        <v/>
      </c>
      <c r="Y80" s="10">
        <f>IF([SYM]="","",
IF([TransType]="LS",[Strike]-[TotPrem]/[['#Contracts]],
IF([['#Contracts]],[Strike]-[TotPrem]/[['#Contracts]]/100,"")))</f>
        <v/>
      </c>
      <c r="Z80">
        <f>IF([CloseDate]&gt;0,"",
IF([TransType]="LS",['#Contracts],
IF([TransType]="AS",100*[['#Contracts]],
IF([TransType]="SP",100*[['#Contracts]],
IF([TransType]="BP",100*[['#Contracts]],"")))))</f>
        <v/>
      </c>
      <c r="AA80" s="65">
        <f>IF([CloseDate]&gt;0,[CloseDate],
IF([ExpDate]&gt;0,[ExpDate],
TODAY()))</f>
        <v/>
      </c>
      <c r="AB80">
        <f>IF(PERFORMANCE!D8&gt;0,
IF(PERFORMANCE!D8&lt;[ActDate],"",[NetPrem]),
IF(TODAY()&lt;[ActDate],"",[NetPrem]))</f>
        <v/>
      </c>
      <c r="AC80">
        <f>IF(PERFORMANCE!D8&gt;0,
IF(PERFORMANCE!D8&lt;[ActDate],"",
IF(PERFORMANCE!D8 - [ActDate]&lt;366,[NetPrem],"")),
IF(TODAY()&lt;[ActDate],"",
IF(TODAY() - [ActDate]&lt;366,[NetPrem],"")))</f>
        <v/>
      </c>
      <c r="AD80">
        <f>IF(PERFORMANCE!D8&gt;0,
IF(PERFORMANCE!D8&lt;[ActDate],"",
IF(YEAR(PERFORMANCE!D8)=YEAR([ActDate]),[NetPrem],"")),
IF(TODAY()&lt;[ActDate],"",
IF(YEAR(TODAY())=YEAR([ActDate]),[NetPrem],"")))</f>
        <v/>
      </c>
      <c r="AE80">
        <f>IF(PERFORMANCE!D8&gt;0,
IF(PERFORMANCE!D8&lt;[ActDate],[NetPrem],""),
IF(TODAY()&lt;[ActDate],[NetPrem],""))</f>
        <v/>
      </c>
      <c r="AG80">
        <f>IF(Table1[SYM]="","",SUMIFS(Table1[NetPrem],Table1[Trade'#],Table1[[Trade'#]],Table1[Leg],"&lt;="&amp;Table1[Leg]))</f>
        <v/>
      </c>
    </row>
    <row r="81">
      <c r="A81" t="inlineStr">
        <is>
          <t>Sold 2 AMD Jun 18 2021 70.0 Put @ 1.39</t>
        </is>
      </c>
      <c r="B81" t="n">
        <v>23</v>
      </c>
      <c r="C81" t="n">
        <v>1</v>
      </c>
      <c r="D81" t="inlineStr">
        <is>
          <t>SP</t>
        </is>
      </c>
      <c r="E81" s="65" t="n">
        <v>44333</v>
      </c>
      <c r="F81" s="65" t="n">
        <v>44342</v>
      </c>
      <c r="G81" s="65" t="n">
        <v>44365</v>
      </c>
      <c r="H81" t="n">
        <v>70</v>
      </c>
      <c r="J81" t="n">
        <v>2</v>
      </c>
      <c r="K81" t="n">
        <v>276.67</v>
      </c>
      <c r="M81" t="inlineStr">
        <is>
          <t>AMD</t>
        </is>
      </c>
      <c r="N81">
        <f>RTD("tos.rtd",,"last", "AMD")</f>
        <v/>
      </c>
      <c r="O81">
        <f>RTD("tos.rtd",,"ASK",".AMD210618P70")</f>
        <v/>
      </c>
      <c r="P81">
        <f>IF([TransType]="LS", [OpnPrem]+[ClsPrem],
                                            IF([TransType]="AS", [OpnPrem]+[ClsPrem],
                                               [OpnPrem]-[ClsPrem]))</f>
        <v/>
      </c>
      <c r="Q81" s="66">
        <f>IF([SYM]="","",SUMIFS([NetPrem],[Trade'#],[[Trade'#]],[Leg],"&lt;="&amp;[Leg]))</f>
        <v/>
      </c>
      <c r="R8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f>IF([TransType]="SP",100*[Strike]*[['#Contracts]],
IF([TransType]="LS",[Strike]*[['#Contracts]],
IF([TransType]="BP",100*([Strike]-[Strike2])*[['#Contracts]],
IF([TransType]="BC",100*([Strike2]-[Strike])*[['#Contracts]],
IF([TransType]="NC",100*[Strike]*[['#Contracts]],
IF([TransType]="AS",100*[Strike]*[['#Contracts]],0))))))</f>
        <v/>
      </c>
      <c r="T81">
        <f>IF([CloseDate]&gt;0,"",[Cap])</f>
        <v/>
      </c>
      <c r="U81">
        <f>IF([CloseDate]&gt;0,"",
IF([TransType]="BC","",
IF([TransType]="BP",100*[Strike]*[['#Contracts]],
[Cap])))</f>
        <v/>
      </c>
      <c r="V81">
        <f>IF([SYM]="","",[Cap]*[Days])</f>
        <v/>
      </c>
      <c r="W81">
        <f>IF([SYM]="","",SUMIFS([CapDays],[Trade'#],[[Trade'#]],[Leg],"&lt;="&amp;[Leg]))</f>
        <v/>
      </c>
      <c r="X81" s="67">
        <f>IF([TotCapDays],365*[TotPrem]/[TotCapDays],"")</f>
        <v/>
      </c>
      <c r="Y81" s="10">
        <f>IF([SYM]="","",
IF([TransType]="LS",[Strike]-[TotPrem]/[['#Contracts]],
IF([['#Contracts]],[Strike]-[TotPrem]/[['#Contracts]]/100,"")))</f>
        <v/>
      </c>
      <c r="Z81">
        <f>IF([CloseDate]&gt;0,"",
IF([TransType]="LS",['#Contracts],
IF([TransType]="AS",100*[['#Contracts]],
IF([TransType]="SP",100*[['#Contracts]],
IF([TransType]="BP",100*[['#Contracts]],"")))))</f>
        <v/>
      </c>
      <c r="AA81" s="65">
        <f>IF([CloseDate]&gt;0,[CloseDate],
IF([ExpDate]&gt;0,[ExpDate],
TODAY()))</f>
        <v/>
      </c>
      <c r="AB81">
        <f>IF(PERFORMANCE!D8&gt;0,
IF(PERFORMANCE!D8&lt;[ActDate],"",[NetPrem]),
IF(TODAY()&lt;[ActDate],"",[NetPrem]))</f>
        <v/>
      </c>
      <c r="AC81">
        <f>IF(PERFORMANCE!D8&gt;0,
IF(PERFORMANCE!D8&lt;[ActDate],"",
IF(PERFORMANCE!D8 - [ActDate]&lt;366,[NetPrem],"")),
IF(TODAY()&lt;[ActDate],"",
IF(TODAY() - [ActDate]&lt;366,[NetPrem],"")))</f>
        <v/>
      </c>
      <c r="AD81">
        <f>IF(PERFORMANCE!D8&gt;0,
IF(PERFORMANCE!D8&lt;[ActDate],"",
IF(YEAR(PERFORMANCE!D8)=YEAR([ActDate]),[NetPrem],"")),
IF(TODAY()&lt;[ActDate],"",
IF(YEAR(TODAY())=YEAR([ActDate]),[NetPrem],"")))</f>
        <v/>
      </c>
      <c r="AE81">
        <f>IF(PERFORMANCE!D8&gt;0,
IF(PERFORMANCE!D8&lt;[ActDate],[NetPrem],""),
IF(TODAY()&lt;[ActDate],[NetPrem],""))</f>
        <v/>
      </c>
      <c r="AG81">
        <f>IF(Table1[SYM]="","",SUMIFS(Table1[NetPrem],Table1[Trade'#],Table1[[Trade'#]],Table1[Leg],"&lt;="&amp;Table1[Leg]))</f>
        <v/>
      </c>
    </row>
    <row r="82">
      <c r="A82" t="inlineStr">
        <is>
          <t>Bought 2 AMD Jun 18 2021 70.0 Put @ 0.36</t>
        </is>
      </c>
      <c r="B82" t="n">
        <v>23</v>
      </c>
      <c r="C82" t="n">
        <v>2</v>
      </c>
      <c r="D82" t="inlineStr">
        <is>
          <t>SP</t>
        </is>
      </c>
      <c r="E82" s="65" t="n">
        <v>44342</v>
      </c>
      <c r="F82" s="65" t="n">
        <v>44342</v>
      </c>
      <c r="G82" s="65" t="n">
        <v>44365</v>
      </c>
      <c r="H82" t="n">
        <v>70</v>
      </c>
      <c r="J82" t="n">
        <v>2</v>
      </c>
      <c r="K82" t="n">
        <v>-73.33</v>
      </c>
      <c r="M82" t="inlineStr">
        <is>
          <t>AMD</t>
        </is>
      </c>
      <c r="N82">
        <f>RTD("tos.rtd",,"last", "AMD")</f>
        <v/>
      </c>
      <c r="O82">
        <f>RTD("tos.rtd",,"ASK",".AMD210618P70")</f>
        <v/>
      </c>
      <c r="P82">
        <f>IF([TransType]="LS", [OpnPrem]+[ClsPrem],
                                            IF([TransType]="AS", [OpnPrem]+[ClsPrem],
                                               [OpnPrem]-[ClsPrem]))</f>
        <v/>
      </c>
      <c r="Q82" s="66">
        <f>IF([SYM]="","",SUMIFS([NetPrem],[Trade'#],[[Trade'#]],[Leg],"&lt;="&amp;[Leg]))</f>
        <v/>
      </c>
      <c r="R8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f>IF([TransType]="SP",100*[Strike]*[['#Contracts]],
IF([TransType]="LS",[Strike]*[['#Contracts]],
IF([TransType]="BP",100*([Strike]-[Strike2])*[['#Contracts]],
IF([TransType]="BC",100*([Strike2]-[Strike])*[['#Contracts]],
IF([TransType]="NC",100*[Strike]*[['#Contracts]],
IF([TransType]="AS",100*[Strike]*[['#Contracts]],0))))))</f>
        <v/>
      </c>
      <c r="T82">
        <f>IF([CloseDate]&gt;0,"",[Cap])</f>
        <v/>
      </c>
      <c r="U82">
        <f>IF([CloseDate]&gt;0,"",
IF([TransType]="BC","",
IF([TransType]="BP",100*[Strike]*[['#Contracts]],
[Cap])))</f>
        <v/>
      </c>
      <c r="V82">
        <f>IF([SYM]="","",[Cap]*[Days])</f>
        <v/>
      </c>
      <c r="W82">
        <f>IF([SYM]="","",SUMIFS([CapDays],[Trade'#],[[Trade'#]],[Leg],"&lt;="&amp;[Leg]))</f>
        <v/>
      </c>
      <c r="X82" s="67">
        <f>IF([TotCapDays],365*[TotPrem]/[TotCapDays],"")</f>
        <v/>
      </c>
      <c r="Y82" s="10">
        <f>IF([SYM]="","",
IF([TransType]="LS",[Strike]-[TotPrem]/[['#Contracts]],
IF([['#Contracts]],[Strike]-[TotPrem]/[['#Contracts]]/100,"")))</f>
        <v/>
      </c>
      <c r="Z82">
        <f>IF([CloseDate]&gt;0,"",
IF([TransType]="LS",['#Contracts],
IF([TransType]="AS",100*[['#Contracts]],
IF([TransType]="SP",100*[['#Contracts]],
IF([TransType]="BP",100*[['#Contracts]],"")))))</f>
        <v/>
      </c>
      <c r="AA82" s="65">
        <f>IF([CloseDate]&gt;0,[CloseDate],
IF([ExpDate]&gt;0,[ExpDate],
TODAY()))</f>
        <v/>
      </c>
      <c r="AB82">
        <f>IF(PERFORMANCE!D8&gt;0,
IF(PERFORMANCE!D8&lt;[ActDate],"",[NetPrem]),
IF(TODAY()&lt;[ActDate],"",[NetPrem]))</f>
        <v/>
      </c>
      <c r="AC82">
        <f>IF(PERFORMANCE!D8&gt;0,
IF(PERFORMANCE!D8&lt;[ActDate],"",
IF(PERFORMANCE!D8 - [ActDate]&lt;366,[NetPrem],"")),
IF(TODAY()&lt;[ActDate],"",
IF(TODAY() - [ActDate]&lt;366,[NetPrem],"")))</f>
        <v/>
      </c>
      <c r="AD82">
        <f>IF(PERFORMANCE!D8&gt;0,
IF(PERFORMANCE!D8&lt;[ActDate],"",
IF(YEAR(PERFORMANCE!D8)=YEAR([ActDate]),[NetPrem],"")),
IF(TODAY()&lt;[ActDate],"",
IF(YEAR(TODAY())=YEAR([ActDate]),[NetPrem],"")))</f>
        <v/>
      </c>
      <c r="AE82">
        <f>IF(PERFORMANCE!D8&gt;0,
IF(PERFORMANCE!D8&lt;[ActDate],[NetPrem],""),
IF(TODAY()&lt;[ActDate],[NetPrem],""))</f>
        <v/>
      </c>
      <c r="AG82">
        <f>IF(Table1[SYM]="","",SUMIFS(Table1[NetPrem],Table1[Trade'#],Table1[[Trade'#]],Table1[Leg],"&lt;="&amp;Table1[Leg]))</f>
        <v/>
      </c>
    </row>
    <row r="83">
      <c r="A83" t="inlineStr">
        <is>
          <t>Sold 1 NRG Jun 18 2021 33.0 Put @ 0.94</t>
        </is>
      </c>
      <c r="B83" t="n">
        <v>24</v>
      </c>
      <c r="C83" t="n">
        <v>1</v>
      </c>
      <c r="D83" t="inlineStr">
        <is>
          <t>SP</t>
        </is>
      </c>
      <c r="E83" s="65" t="n">
        <v>44333</v>
      </c>
      <c r="F83" s="65" t="n">
        <v>44335</v>
      </c>
      <c r="G83" s="65" t="n">
        <v>44365</v>
      </c>
      <c r="H83" t="n">
        <v>33</v>
      </c>
      <c r="J83" t="n">
        <v>1</v>
      </c>
      <c r="K83" t="n">
        <v>93.34</v>
      </c>
      <c r="M83" t="inlineStr">
        <is>
          <t>NRG</t>
        </is>
      </c>
      <c r="N83">
        <f>RTD("tos.rtd",,"last", "NRG")</f>
        <v/>
      </c>
      <c r="O83">
        <f>RTD("tos.rtd",,"ASK",".NRG210618P33")</f>
        <v/>
      </c>
      <c r="P83">
        <f>IF([TransType]="LS", [OpnPrem]+[ClsPrem],
                                            IF([TransType]="AS", [OpnPrem]+[ClsPrem],
                                               [OpnPrem]-[ClsPrem]))</f>
        <v/>
      </c>
      <c r="Q83" s="66">
        <f>IF([SYM]="","",SUMIFS([NetPrem],[Trade'#],[[Trade'#]],[Leg],"&lt;="&amp;[Leg]))</f>
        <v/>
      </c>
      <c r="R8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f>IF([TransType]="SP",100*[Strike]*[['#Contracts]],
IF([TransType]="LS",[Strike]*[['#Contracts]],
IF([TransType]="BP",100*([Strike]-[Strike2])*[['#Contracts]],
IF([TransType]="BC",100*([Strike2]-[Strike])*[['#Contracts]],
IF([TransType]="NC",100*[Strike]*[['#Contracts]],
IF([TransType]="AS",100*[Strike]*[['#Contracts]],0))))))</f>
        <v/>
      </c>
      <c r="T83">
        <f>IF([CloseDate]&gt;0,"",[Cap])</f>
        <v/>
      </c>
      <c r="U83">
        <f>IF([CloseDate]&gt;0,"",
IF([TransType]="BC","",
IF([TransType]="BP",100*[Strike]*[['#Contracts]],
[Cap])))</f>
        <v/>
      </c>
      <c r="V83">
        <f>IF([SYM]="","",[Cap]*[Days])</f>
        <v/>
      </c>
      <c r="W83">
        <f>IF([SYM]="","",SUMIFS([CapDays],[Trade'#],[[Trade'#]],[Leg],"&lt;="&amp;[Leg]))</f>
        <v/>
      </c>
      <c r="X83" s="67">
        <f>IF([TotCapDays],365*[TotPrem]/[TotCapDays],"")</f>
        <v/>
      </c>
      <c r="Y83" s="10">
        <f>IF([SYM]="","",
IF([TransType]="LS",[Strike]-[TotPrem]/[['#Contracts]],
IF([['#Contracts]],[Strike]-[TotPrem]/[['#Contracts]]/100,"")))</f>
        <v/>
      </c>
      <c r="Z83">
        <f>IF([CloseDate]&gt;0,"",
IF([TransType]="LS",['#Contracts],
IF([TransType]="AS",100*[['#Contracts]],
IF([TransType]="SP",100*[['#Contracts]],
IF([TransType]="BP",100*[['#Contracts]],"")))))</f>
        <v/>
      </c>
      <c r="AA83" s="65">
        <f>IF([CloseDate]&gt;0,[CloseDate],
IF([ExpDate]&gt;0,[ExpDate],
TODAY()))</f>
        <v/>
      </c>
      <c r="AB83">
        <f>IF(PERFORMANCE!D8&gt;0,
IF(PERFORMANCE!D8&lt;[ActDate],"",[NetPrem]),
IF(TODAY()&lt;[ActDate],"",[NetPrem]))</f>
        <v/>
      </c>
      <c r="AC83">
        <f>IF(PERFORMANCE!D8&gt;0,
IF(PERFORMANCE!D8&lt;[ActDate],"",
IF(PERFORMANCE!D8 - [ActDate]&lt;366,[NetPrem],"")),
IF(TODAY()&lt;[ActDate],"",
IF(TODAY() - [ActDate]&lt;366,[NetPrem],"")))</f>
        <v/>
      </c>
      <c r="AD83">
        <f>IF(PERFORMANCE!D8&gt;0,
IF(PERFORMANCE!D8&lt;[ActDate],"",
IF(YEAR(PERFORMANCE!D8)=YEAR([ActDate]),[NetPrem],"")),
IF(TODAY()&lt;[ActDate],"",
IF(YEAR(TODAY())=YEAR([ActDate]),[NetPrem],"")))</f>
        <v/>
      </c>
      <c r="AE83">
        <f>IF(PERFORMANCE!D8&gt;0,
IF(PERFORMANCE!D8&lt;[ActDate],[NetPrem],""),
IF(TODAY()&lt;[ActDate],[NetPrem],""))</f>
        <v/>
      </c>
      <c r="AG83">
        <f>IF(Table1[SYM]="","",SUMIFS(Table1[NetPrem],Table1[Trade'#],Table1[[Trade'#]],Table1[Leg],"&lt;="&amp;Table1[Leg]))</f>
        <v/>
      </c>
    </row>
    <row r="84">
      <c r="A84" t="inlineStr">
        <is>
          <t>Sold 2 NRG Jun 18 2021 33.0 Put @ 0.94</t>
        </is>
      </c>
      <c r="B84" t="n">
        <v>24</v>
      </c>
      <c r="C84" t="n">
        <v>2</v>
      </c>
      <c r="D84" t="inlineStr">
        <is>
          <t>SP</t>
        </is>
      </c>
      <c r="E84" s="65" t="n">
        <v>44333</v>
      </c>
      <c r="F84" s="65" t="n">
        <v>44335</v>
      </c>
      <c r="G84" s="65" t="n">
        <v>44365</v>
      </c>
      <c r="H84" t="n">
        <v>33</v>
      </c>
      <c r="J84" t="n">
        <v>2</v>
      </c>
      <c r="K84" t="n">
        <v>186.66</v>
      </c>
      <c r="M84" t="inlineStr">
        <is>
          <t>NRG</t>
        </is>
      </c>
      <c r="N84">
        <f>RTD("tos.rtd",,"last", "NRG")</f>
        <v/>
      </c>
      <c r="O84">
        <f>RTD("tos.rtd",,"ASK",".NRG210618P33")</f>
        <v/>
      </c>
      <c r="P84">
        <f>IF([TransType]="LS", [OpnPrem]+[ClsPrem],
                                            IF([TransType]="AS", [OpnPrem]+[ClsPrem],
                                               [OpnPrem]-[ClsPrem]))</f>
        <v/>
      </c>
      <c r="Q84" s="66">
        <f>IF([SYM]="","",SUMIFS([NetPrem],[Trade'#],[[Trade'#]],[Leg],"&lt;="&amp;[Leg]))</f>
        <v/>
      </c>
      <c r="R8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f>IF([TransType]="SP",100*[Strike]*[['#Contracts]],
IF([TransType]="LS",[Strike]*[['#Contracts]],
IF([TransType]="BP",100*([Strike]-[Strike2])*[['#Contracts]],
IF([TransType]="BC",100*([Strike2]-[Strike])*[['#Contracts]],
IF([TransType]="NC",100*[Strike]*[['#Contracts]],
IF([TransType]="AS",100*[Strike]*[['#Contracts]],0))))))</f>
        <v/>
      </c>
      <c r="T84">
        <f>IF([CloseDate]&gt;0,"",[Cap])</f>
        <v/>
      </c>
      <c r="U84">
        <f>IF([CloseDate]&gt;0,"",
IF([TransType]="BC","",
IF([TransType]="BP",100*[Strike]*[['#Contracts]],
[Cap])))</f>
        <v/>
      </c>
      <c r="V84">
        <f>IF([SYM]="","",[Cap]*[Days])</f>
        <v/>
      </c>
      <c r="W84">
        <f>IF([SYM]="","",SUMIFS([CapDays],[Trade'#],[[Trade'#]],[Leg],"&lt;="&amp;[Leg]))</f>
        <v/>
      </c>
      <c r="X84" s="67">
        <f>IF([TotCapDays],365*[TotPrem]/[TotCapDays],"")</f>
        <v/>
      </c>
      <c r="Y84" s="10">
        <f>IF([SYM]="","",
IF([TransType]="LS",[Strike]-[TotPrem]/[['#Contracts]],
IF([['#Contracts]],[Strike]-[TotPrem]/[['#Contracts]]/100,"")))</f>
        <v/>
      </c>
      <c r="Z84">
        <f>IF([CloseDate]&gt;0,"",
IF([TransType]="LS",['#Contracts],
IF([TransType]="AS",100*[['#Contracts]],
IF([TransType]="SP",100*[['#Contracts]],
IF([TransType]="BP",100*[['#Contracts]],"")))))</f>
        <v/>
      </c>
      <c r="AA84" s="65">
        <f>IF([CloseDate]&gt;0,[CloseDate],
IF([ExpDate]&gt;0,[ExpDate],
TODAY()))</f>
        <v/>
      </c>
      <c r="AB84">
        <f>IF(PERFORMANCE!D8&gt;0,
IF(PERFORMANCE!D8&lt;[ActDate],"",[NetPrem]),
IF(TODAY()&lt;[ActDate],"",[NetPrem]))</f>
        <v/>
      </c>
      <c r="AC84">
        <f>IF(PERFORMANCE!D8&gt;0,
IF(PERFORMANCE!D8&lt;[ActDate],"",
IF(PERFORMANCE!D8 - [ActDate]&lt;366,[NetPrem],"")),
IF(TODAY()&lt;[ActDate],"",
IF(TODAY() - [ActDate]&lt;366,[NetPrem],"")))</f>
        <v/>
      </c>
      <c r="AD84">
        <f>IF(PERFORMANCE!D8&gt;0,
IF(PERFORMANCE!D8&lt;[ActDate],"",
IF(YEAR(PERFORMANCE!D8)=YEAR([ActDate]),[NetPrem],"")),
IF(TODAY()&lt;[ActDate],"",
IF(YEAR(TODAY())=YEAR([ActDate]),[NetPrem],"")))</f>
        <v/>
      </c>
      <c r="AE84">
        <f>IF(PERFORMANCE!D8&gt;0,
IF(PERFORMANCE!D8&lt;[ActDate],[NetPrem],""),
IF(TODAY()&lt;[ActDate],[NetPrem],""))</f>
        <v/>
      </c>
      <c r="AG84">
        <f>IF(Table1[SYM]="","",SUMIFS(Table1[NetPrem],Table1[Trade'#],Table1[[Trade'#]],Table1[Leg],"&lt;="&amp;Table1[Leg]))</f>
        <v/>
      </c>
    </row>
    <row r="85">
      <c r="A85" t="inlineStr">
        <is>
          <t>Bought 3 NRG Jun 18 2021 33.0 Put @ 5</t>
        </is>
      </c>
      <c r="B85" t="n">
        <v>24</v>
      </c>
      <c r="C85" t="n">
        <v>3</v>
      </c>
      <c r="D85" t="inlineStr">
        <is>
          <t>SP</t>
        </is>
      </c>
      <c r="E85" s="65" t="n">
        <v>44335</v>
      </c>
      <c r="F85" s="65" t="n">
        <v>44335</v>
      </c>
      <c r="G85" s="65" t="n">
        <v>44365</v>
      </c>
      <c r="H85" t="n">
        <v>33</v>
      </c>
      <c r="J85" t="n">
        <v>3</v>
      </c>
      <c r="K85" t="n">
        <v>186.66</v>
      </c>
      <c r="M85" t="inlineStr">
        <is>
          <t>NRG</t>
        </is>
      </c>
      <c r="N85">
        <f>RTD("tos.rtd",,"last", "NRG")</f>
        <v/>
      </c>
      <c r="O85">
        <f>RTD("tos.rtd",,"ASK",".NRG210618P33")</f>
        <v/>
      </c>
      <c r="P85">
        <f>IF([TransType]="LS", [OpnPrem]+[ClsPrem],
                                            IF([TransType]="AS", [OpnPrem]+[ClsPrem],
                                               [OpnPrem]-[ClsPrem]))</f>
        <v/>
      </c>
      <c r="Q85" s="66">
        <f>IF([SYM]="","",SUMIFS([NetPrem],[Trade'#],[[Trade'#]],[Leg],"&lt;="&amp;[Leg]))</f>
        <v/>
      </c>
      <c r="R8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f>IF([TransType]="SP",100*[Strike]*[['#Contracts]],
IF([TransType]="LS",[Strike]*[['#Contracts]],
IF([TransType]="BP",100*([Strike]-[Strike2])*[['#Contracts]],
IF([TransType]="BC",100*([Strike2]-[Strike])*[['#Contracts]],
IF([TransType]="NC",100*[Strike]*[['#Contracts]],
IF([TransType]="AS",100*[Strike]*[['#Contracts]],0))))))</f>
        <v/>
      </c>
      <c r="T85">
        <f>IF([CloseDate]&gt;0,"",[Cap])</f>
        <v/>
      </c>
      <c r="U85">
        <f>IF([CloseDate]&gt;0,"",
IF([TransType]="BC","",
IF([TransType]="BP",100*[Strike]*[['#Contracts]],
[Cap])))</f>
        <v/>
      </c>
      <c r="V85">
        <f>IF([SYM]="","",[Cap]*[Days])</f>
        <v/>
      </c>
      <c r="W85">
        <f>IF([SYM]="","",SUMIFS([CapDays],[Trade'#],[[Trade'#]],[Leg],"&lt;="&amp;[Leg]))</f>
        <v/>
      </c>
      <c r="X85" s="67">
        <f>IF([TotCapDays],365*[TotPrem]/[TotCapDays],"")</f>
        <v/>
      </c>
      <c r="Y85" s="10">
        <f>IF([SYM]="","",
IF([TransType]="LS",[Strike]-[TotPrem]/[['#Contracts]],
IF([['#Contracts]],[Strike]-[TotPrem]/[['#Contracts]]/100,"")))</f>
        <v/>
      </c>
      <c r="Z85">
        <f>IF([CloseDate]&gt;0,"",
IF([TransType]="LS",['#Contracts],
IF([TransType]="AS",100*[['#Contracts]],
IF([TransType]="SP",100*[['#Contracts]],
IF([TransType]="BP",100*[['#Contracts]],"")))))</f>
        <v/>
      </c>
      <c r="AA85" s="65">
        <f>IF([CloseDate]&gt;0,[CloseDate],
IF([ExpDate]&gt;0,[ExpDate],
TODAY()))</f>
        <v/>
      </c>
      <c r="AB85">
        <f>IF(PERFORMANCE!D8&gt;0,
IF(PERFORMANCE!D8&lt;[ActDate],"",[NetPrem]),
IF(TODAY()&lt;[ActDate],"",[NetPrem]))</f>
        <v/>
      </c>
      <c r="AC85">
        <f>IF(PERFORMANCE!D8&gt;0,
IF(PERFORMANCE!D8&lt;[ActDate],"",
IF(PERFORMANCE!D8 - [ActDate]&lt;366,[NetPrem],"")),
IF(TODAY()&lt;[ActDate],"",
IF(TODAY() - [ActDate]&lt;366,[NetPrem],"")))</f>
        <v/>
      </c>
      <c r="AD85">
        <f>IF(PERFORMANCE!D8&gt;0,
IF(PERFORMANCE!D8&lt;[ActDate],"",
IF(YEAR(PERFORMANCE!D8)=YEAR([ActDate]),[NetPrem],"")),
IF(TODAY()&lt;[ActDate],"",
IF(YEAR(TODAY())=YEAR([ActDate]),[NetPrem],"")))</f>
        <v/>
      </c>
      <c r="AE85">
        <f>IF(PERFORMANCE!D8&gt;0,
IF(PERFORMANCE!D8&lt;[ActDate],[NetPrem],""),
IF(TODAY()&lt;[ActDate],[NetPrem],""))</f>
        <v/>
      </c>
      <c r="AG85">
        <f>IF(Table1[SYM]="","",SUMIFS(Table1[NetPrem],Table1[Trade'#],Table1[[Trade'#]],Table1[Leg],"&lt;="&amp;Table1[Leg]))</f>
        <v/>
      </c>
    </row>
    <row r="86">
      <c r="A86" t="inlineStr">
        <is>
          <t>Sold 2 IRBT Jun 11 2021 91.0 Put @ 2.65</t>
        </is>
      </c>
      <c r="B86" t="n">
        <v>25</v>
      </c>
      <c r="C86" t="n">
        <v>1</v>
      </c>
      <c r="D86" t="inlineStr">
        <is>
          <t>SP</t>
        </is>
      </c>
      <c r="E86" s="65" t="n">
        <v>44333</v>
      </c>
      <c r="F86" s="65" t="n">
        <v>44334</v>
      </c>
      <c r="G86" s="65" t="n">
        <v>44358</v>
      </c>
      <c r="H86" t="n">
        <v>91</v>
      </c>
      <c r="J86" t="n">
        <v>2</v>
      </c>
      <c r="K86" t="n">
        <v>528.67</v>
      </c>
      <c r="M86" t="inlineStr">
        <is>
          <t>IRBT</t>
        </is>
      </c>
      <c r="N86">
        <f>RTD("tos.rtd",,"last", "IRBT")</f>
        <v/>
      </c>
      <c r="O86">
        <f>RTD("tos.rtd",,"ASK",".IRBT210611P91")</f>
        <v/>
      </c>
      <c r="P86">
        <f>IF([TransType]="LS", [OpnPrem]+[ClsPrem],
                                            IF([TransType]="AS", [OpnPrem]+[ClsPrem],
                                               [OpnPrem]-[ClsPrem]))</f>
        <v/>
      </c>
      <c r="Q86" s="66">
        <f>IF([SYM]="","",SUMIFS([NetPrem],[Trade'#],[[Trade'#]],[Leg],"&lt;="&amp;[Leg]))</f>
        <v/>
      </c>
      <c r="R8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f>IF([TransType]="SP",100*[Strike]*[['#Contracts]],
IF([TransType]="LS",[Strike]*[['#Contracts]],
IF([TransType]="BP",100*([Strike]-[Strike2])*[['#Contracts]],
IF([TransType]="BC",100*([Strike2]-[Strike])*[['#Contracts]],
IF([TransType]="NC",100*[Strike]*[['#Contracts]],
IF([TransType]="AS",100*[Strike]*[['#Contracts]],0))))))</f>
        <v/>
      </c>
      <c r="T86">
        <f>IF([CloseDate]&gt;0,"",[Cap])</f>
        <v/>
      </c>
      <c r="U86">
        <f>IF([CloseDate]&gt;0,"",
IF([TransType]="BC","",
IF([TransType]="BP",100*[Strike]*[['#Contracts]],
[Cap])))</f>
        <v/>
      </c>
      <c r="V86">
        <f>IF([SYM]="","",[Cap]*[Days])</f>
        <v/>
      </c>
      <c r="W86">
        <f>IF([SYM]="","",SUMIFS([CapDays],[Trade'#],[[Trade'#]],[Leg],"&lt;="&amp;[Leg]))</f>
        <v/>
      </c>
      <c r="X86" s="67">
        <f>IF([TotCapDays],365*[TotPrem]/[TotCapDays],"")</f>
        <v/>
      </c>
      <c r="Y86" s="10">
        <f>IF([SYM]="","",
IF([TransType]="LS",[Strike]-[TotPrem]/[['#Contracts]],
IF([['#Contracts]],[Strike]-[TotPrem]/[['#Contracts]]/100,"")))</f>
        <v/>
      </c>
      <c r="Z86">
        <f>IF([CloseDate]&gt;0,"",
IF([TransType]="LS",['#Contracts],
IF([TransType]="AS",100*[['#Contracts]],
IF([TransType]="SP",100*[['#Contracts]],
IF([TransType]="BP",100*[['#Contracts]],"")))))</f>
        <v/>
      </c>
      <c r="AA86" s="65">
        <f>IF([CloseDate]&gt;0,[CloseDate],
IF([ExpDate]&gt;0,[ExpDate],
TODAY()))</f>
        <v/>
      </c>
      <c r="AB86">
        <f>IF(PERFORMANCE!D8&gt;0,
IF(PERFORMANCE!D8&lt;[ActDate],"",[NetPrem]),
IF(TODAY()&lt;[ActDate],"",[NetPrem]))</f>
        <v/>
      </c>
      <c r="AC86">
        <f>IF(PERFORMANCE!D8&gt;0,
IF(PERFORMANCE!D8&lt;[ActDate],"",
IF(PERFORMANCE!D8 - [ActDate]&lt;366,[NetPrem],"")),
IF(TODAY()&lt;[ActDate],"",
IF(TODAY() - [ActDate]&lt;366,[NetPrem],"")))</f>
        <v/>
      </c>
      <c r="AD86">
        <f>IF(PERFORMANCE!D8&gt;0,
IF(PERFORMANCE!D8&lt;[ActDate],"",
IF(YEAR(PERFORMANCE!D8)=YEAR([ActDate]),[NetPrem],"")),
IF(TODAY()&lt;[ActDate],"",
IF(YEAR(TODAY())=YEAR([ActDate]),[NetPrem],"")))</f>
        <v/>
      </c>
      <c r="AE86">
        <f>IF(PERFORMANCE!D8&gt;0,
IF(PERFORMANCE!D8&lt;[ActDate],[NetPrem],""),
IF(TODAY()&lt;[ActDate],[NetPrem],""))</f>
        <v/>
      </c>
      <c r="AG86">
        <f>IF(Table1[SYM]="","",SUMIFS(Table1[NetPrem],Table1[Trade'#],Table1[[Trade'#]],Table1[Leg],"&lt;="&amp;Table1[Leg]))</f>
        <v/>
      </c>
    </row>
    <row r="87">
      <c r="A87" t="inlineStr">
        <is>
          <t>Sold 5 IRBT Jun 11 2021 91.0 Put @ 2.65</t>
        </is>
      </c>
      <c r="B87" t="n">
        <v>25</v>
      </c>
      <c r="C87" t="n">
        <v>2</v>
      </c>
      <c r="D87" t="inlineStr">
        <is>
          <t>SP</t>
        </is>
      </c>
      <c r="E87" s="65" t="n">
        <v>44334</v>
      </c>
      <c r="F87" s="65" t="n">
        <v>44334</v>
      </c>
      <c r="G87" s="65" t="n">
        <v>44358</v>
      </c>
      <c r="H87" t="n">
        <v>91</v>
      </c>
      <c r="J87" t="n">
        <v>5</v>
      </c>
      <c r="K87" t="n">
        <v>1057.34</v>
      </c>
      <c r="M87" t="inlineStr">
        <is>
          <t>IRBT</t>
        </is>
      </c>
      <c r="N87">
        <f>RTD("tos.rtd",,"last", "IRBT")</f>
        <v/>
      </c>
      <c r="O87">
        <f>RTD("tos.rtd",,"ASK",".IRBT210611P91")</f>
        <v/>
      </c>
      <c r="P87">
        <f>IF([TransType]="LS", [OpnPrem]+[ClsPrem],
                                            IF([TransType]="AS", [OpnPrem]+[ClsPrem],
                                               [OpnPrem]-[ClsPrem]))</f>
        <v/>
      </c>
      <c r="Q87" s="66">
        <f>IF([SYM]="","",SUMIFS([NetPrem],[Trade'#],[[Trade'#]],[Leg],"&lt;="&amp;[Leg]))</f>
        <v/>
      </c>
      <c r="R8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f>IF([TransType]="SP",100*[Strike]*[['#Contracts]],
IF([TransType]="LS",[Strike]*[['#Contracts]],
IF([TransType]="BP",100*([Strike]-[Strike2])*[['#Contracts]],
IF([TransType]="BC",100*([Strike2]-[Strike])*[['#Contracts]],
IF([TransType]="NC",100*[Strike]*[['#Contracts]],
IF([TransType]="AS",100*[Strike]*[['#Contracts]],0))))))</f>
        <v/>
      </c>
      <c r="T87">
        <f>IF([CloseDate]&gt;0,"",[Cap])</f>
        <v/>
      </c>
      <c r="U87">
        <f>IF([CloseDate]&gt;0,"",
IF([TransType]="BC","",
IF([TransType]="BP",100*[Strike]*[['#Contracts]],
[Cap])))</f>
        <v/>
      </c>
      <c r="V87">
        <f>IF([SYM]="","",[Cap]*[Days])</f>
        <v/>
      </c>
      <c r="W87">
        <f>IF([SYM]="","",SUMIFS([CapDays],[Trade'#],[[Trade'#]],[Leg],"&lt;="&amp;[Leg]))</f>
        <v/>
      </c>
      <c r="X87" s="67">
        <f>IF([TotCapDays],365*[TotPrem]/[TotCapDays],"")</f>
        <v/>
      </c>
      <c r="Y87" s="10">
        <f>IF([SYM]="","",
IF([TransType]="LS",[Strike]-[TotPrem]/[['#Contracts]],
IF([['#Contracts]],[Strike]-[TotPrem]/[['#Contracts]]/100,"")))</f>
        <v/>
      </c>
      <c r="Z87">
        <f>IF([CloseDate]&gt;0,"",
IF([TransType]="LS",['#Contracts],
IF([TransType]="AS",100*[['#Contracts]],
IF([TransType]="SP",100*[['#Contracts]],
IF([TransType]="BP",100*[['#Contracts]],"")))))</f>
        <v/>
      </c>
      <c r="AA87" s="65">
        <f>IF([CloseDate]&gt;0,[CloseDate],
IF([ExpDate]&gt;0,[ExpDate],
TODAY()))</f>
        <v/>
      </c>
      <c r="AB87">
        <f>IF(PERFORMANCE!D8&gt;0,
IF(PERFORMANCE!D8&lt;[ActDate],"",[NetPrem]),
IF(TODAY()&lt;[ActDate],"",[NetPrem]))</f>
        <v/>
      </c>
      <c r="AC87">
        <f>IF(PERFORMANCE!D8&gt;0,
IF(PERFORMANCE!D8&lt;[ActDate],"",
IF(PERFORMANCE!D8 - [ActDate]&lt;366,[NetPrem],"")),
IF(TODAY()&lt;[ActDate],"",
IF(TODAY() - [ActDate]&lt;366,[NetPrem],"")))</f>
        <v/>
      </c>
      <c r="AD87">
        <f>IF(PERFORMANCE!D8&gt;0,
IF(PERFORMANCE!D8&lt;[ActDate],"",
IF(YEAR(PERFORMANCE!D8)=YEAR([ActDate]),[NetPrem],"")),
IF(TODAY()&lt;[ActDate],"",
IF(YEAR(TODAY())=YEAR([ActDate]),[NetPrem],"")))</f>
        <v/>
      </c>
      <c r="AE87">
        <f>IF(PERFORMANCE!D8&gt;0,
IF(PERFORMANCE!D8&lt;[ActDate],[NetPrem],""),
IF(TODAY()&lt;[ActDate],[NetPrem],""))</f>
        <v/>
      </c>
      <c r="AG87">
        <f>IF(Table1[SYM]="","",SUMIFS(Table1[NetPrem],Table1[Trade'#],Table1[[Trade'#]],Table1[Leg],"&lt;="&amp;Table1[Leg]))</f>
        <v/>
      </c>
    </row>
    <row r="88">
      <c r="A88" t="inlineStr">
        <is>
          <t>Bought 7 IRBT Jun 11 2021 91.0 Put @ 3.0</t>
        </is>
      </c>
      <c r="B88" t="n">
        <v>25</v>
      </c>
      <c r="C88" t="n">
        <v>3</v>
      </c>
      <c r="D88" t="inlineStr">
        <is>
          <t>SP</t>
        </is>
      </c>
      <c r="E88" s="65" t="n">
        <v>44334</v>
      </c>
      <c r="F88" s="65" t="n">
        <v>44334</v>
      </c>
      <c r="G88" s="65" t="n">
        <v>44358</v>
      </c>
      <c r="H88" t="n">
        <v>91</v>
      </c>
      <c r="J88" t="n">
        <v>7</v>
      </c>
      <c r="K88" t="n">
        <v>528.67</v>
      </c>
      <c r="M88" t="inlineStr">
        <is>
          <t>IRBT</t>
        </is>
      </c>
      <c r="N88">
        <f>RTD("tos.rtd",,"last", "IRBT")</f>
        <v/>
      </c>
      <c r="O88">
        <f>RTD("tos.rtd",,"ASK",".IRBT210611P91")</f>
        <v/>
      </c>
      <c r="P88">
        <f>IF([TransType]="LS", [OpnPrem]+[ClsPrem],
                                            IF([TransType]="AS", [OpnPrem]+[ClsPrem],
                                               [OpnPrem]-[ClsPrem]))</f>
        <v/>
      </c>
      <c r="Q88" s="66">
        <f>IF([SYM]="","",SUMIFS([NetPrem],[Trade'#],[[Trade'#]],[Leg],"&lt;="&amp;[Leg]))</f>
        <v/>
      </c>
      <c r="R8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f>IF([TransType]="SP",100*[Strike]*[['#Contracts]],
IF([TransType]="LS",[Strike]*[['#Contracts]],
IF([TransType]="BP",100*([Strike]-[Strike2])*[['#Contracts]],
IF([TransType]="BC",100*([Strike2]-[Strike])*[['#Contracts]],
IF([TransType]="NC",100*[Strike]*[['#Contracts]],
IF([TransType]="AS",100*[Strike]*[['#Contracts]],0))))))</f>
        <v/>
      </c>
      <c r="T88">
        <f>IF([CloseDate]&gt;0,"",[Cap])</f>
        <v/>
      </c>
      <c r="U88">
        <f>IF([CloseDate]&gt;0,"",
IF([TransType]="BC","",
IF([TransType]="BP",100*[Strike]*[['#Contracts]],
[Cap])))</f>
        <v/>
      </c>
      <c r="V88">
        <f>IF([SYM]="","",[Cap]*[Days])</f>
        <v/>
      </c>
      <c r="W88">
        <f>IF([SYM]="","",SUMIFS([CapDays],[Trade'#],[[Trade'#]],[Leg],"&lt;="&amp;[Leg]))</f>
        <v/>
      </c>
      <c r="X88" s="67">
        <f>IF([TotCapDays],365*[TotPrem]/[TotCapDays],"")</f>
        <v/>
      </c>
      <c r="Y88" s="10">
        <f>IF([SYM]="","",
IF([TransType]="LS",[Strike]-[TotPrem]/[['#Contracts]],
IF([['#Contracts]],[Strike]-[TotPrem]/[['#Contracts]]/100,"")))</f>
        <v/>
      </c>
      <c r="Z88">
        <f>IF([CloseDate]&gt;0,"",
IF([TransType]="LS",['#Contracts],
IF([TransType]="AS",100*[['#Contracts]],
IF([TransType]="SP",100*[['#Contracts]],
IF([TransType]="BP",100*[['#Contracts]],"")))))</f>
        <v/>
      </c>
      <c r="AA88" s="65">
        <f>IF([CloseDate]&gt;0,[CloseDate],
IF([ExpDate]&gt;0,[ExpDate],
TODAY()))</f>
        <v/>
      </c>
      <c r="AB88">
        <f>IF(PERFORMANCE!D8&gt;0,
IF(PERFORMANCE!D8&lt;[ActDate],"",[NetPrem]),
IF(TODAY()&lt;[ActDate],"",[NetPrem]))</f>
        <v/>
      </c>
      <c r="AC88">
        <f>IF(PERFORMANCE!D8&gt;0,
IF(PERFORMANCE!D8&lt;[ActDate],"",
IF(PERFORMANCE!D8 - [ActDate]&lt;366,[NetPrem],"")),
IF(TODAY()&lt;[ActDate],"",
IF(TODAY() - [ActDate]&lt;366,[NetPrem],"")))</f>
        <v/>
      </c>
      <c r="AD88">
        <f>IF(PERFORMANCE!D8&gt;0,
IF(PERFORMANCE!D8&lt;[ActDate],"",
IF(YEAR(PERFORMANCE!D8)=YEAR([ActDate]),[NetPrem],"")),
IF(TODAY()&lt;[ActDate],"",
IF(YEAR(TODAY())=YEAR([ActDate]),[NetPrem],"")))</f>
        <v/>
      </c>
      <c r="AE88">
        <f>IF(PERFORMANCE!D8&gt;0,
IF(PERFORMANCE!D8&lt;[ActDate],[NetPrem],""),
IF(TODAY()&lt;[ActDate],[NetPrem],""))</f>
        <v/>
      </c>
      <c r="AG88">
        <f>IF(Table1[SYM]="","",SUMIFS(Table1[NetPrem],Table1[Trade'#],Table1[[Trade'#]],Table1[Leg],"&lt;="&amp;Table1[Leg]))</f>
        <v/>
      </c>
    </row>
    <row r="89">
      <c r="A89" t="inlineStr">
        <is>
          <t>Sold 4 JD Jul 16 2021 72.5 Put @ 5.14</t>
        </is>
      </c>
      <c r="B89" t="n">
        <v>26</v>
      </c>
      <c r="C89" t="n">
        <v>1</v>
      </c>
      <c r="D89" t="inlineStr">
        <is>
          <t>SP</t>
        </is>
      </c>
      <c r="E89" s="65" t="n">
        <v>44335</v>
      </c>
      <c r="F89" s="65" t="n">
        <v>44348</v>
      </c>
      <c r="G89" s="65" t="n">
        <v>44393</v>
      </c>
      <c r="H89" t="n">
        <v>72.5</v>
      </c>
      <c r="J89" t="n">
        <v>4</v>
      </c>
      <c r="K89" t="n">
        <v>2053.32</v>
      </c>
      <c r="M89" t="inlineStr">
        <is>
          <t>JD</t>
        </is>
      </c>
      <c r="N89">
        <f>RTD("tos.rtd",,"last", "JD")</f>
        <v/>
      </c>
      <c r="O89">
        <f>RTD("tos.rtd",,"ASK",".JD210716P72.5")</f>
        <v/>
      </c>
      <c r="P89">
        <f>IF([TransType]="LS", [OpnPrem]+[ClsPrem],
                                            IF([TransType]="AS", [OpnPrem]+[ClsPrem],
                                               [OpnPrem]-[ClsPrem]))</f>
        <v/>
      </c>
      <c r="Q89" s="66">
        <f>IF([SYM]="","",SUMIFS([NetPrem],[Trade'#],[[Trade'#]],[Leg],"&lt;="&amp;[Leg]))</f>
        <v/>
      </c>
      <c r="R8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f>IF([TransType]="SP",100*[Strike]*[['#Contracts]],
IF([TransType]="LS",[Strike]*[['#Contracts]],
IF([TransType]="BP",100*([Strike]-[Strike2])*[['#Contracts]],
IF([TransType]="BC",100*([Strike2]-[Strike])*[['#Contracts]],
IF([TransType]="NC",100*[Strike]*[['#Contracts]],
IF([TransType]="AS",100*[Strike]*[['#Contracts]],0))))))</f>
        <v/>
      </c>
      <c r="T89">
        <f>IF([CloseDate]&gt;0,"",[Cap])</f>
        <v/>
      </c>
      <c r="U89">
        <f>IF([CloseDate]&gt;0,"",
IF([TransType]="BC","",
IF([TransType]="BP",100*[Strike]*[['#Contracts]],
[Cap])))</f>
        <v/>
      </c>
      <c r="V89">
        <f>IF([SYM]="","",[Cap]*[Days])</f>
        <v/>
      </c>
      <c r="W89">
        <f>IF([SYM]="","",SUMIFS([CapDays],[Trade'#],[[Trade'#]],[Leg],"&lt;="&amp;[Leg]))</f>
        <v/>
      </c>
      <c r="X89" s="67">
        <f>IF([TotCapDays],365*[TotPrem]/[TotCapDays],"")</f>
        <v/>
      </c>
      <c r="Y89" s="10">
        <f>IF([SYM]="","",
IF([TransType]="LS",[Strike]-[TotPrem]/[['#Contracts]],
IF([['#Contracts]],[Strike]-[TotPrem]/[['#Contracts]]/100,"")))</f>
        <v/>
      </c>
      <c r="Z89">
        <f>IF([CloseDate]&gt;0,"",
IF([TransType]="LS",['#Contracts],
IF([TransType]="AS",100*[['#Contracts]],
IF([TransType]="SP",100*[['#Contracts]],
IF([TransType]="BP",100*[['#Contracts]],"")))))</f>
        <v/>
      </c>
      <c r="AA89" s="65">
        <f>IF([CloseDate]&gt;0,[CloseDate],
IF([ExpDate]&gt;0,[ExpDate],
TODAY()))</f>
        <v/>
      </c>
      <c r="AB89">
        <f>IF(PERFORMANCE!D8&gt;0,
IF(PERFORMANCE!D8&lt;[ActDate],"",[NetPrem]),
IF(TODAY()&lt;[ActDate],"",[NetPrem]))</f>
        <v/>
      </c>
      <c r="AC89">
        <f>IF(PERFORMANCE!D8&gt;0,
IF(PERFORMANCE!D8&lt;[ActDate],"",
IF(PERFORMANCE!D8 - [ActDate]&lt;366,[NetPrem],"")),
IF(TODAY()&lt;[ActDate],"",
IF(TODAY() - [ActDate]&lt;366,[NetPrem],"")))</f>
        <v/>
      </c>
      <c r="AD89">
        <f>IF(PERFORMANCE!D8&gt;0,
IF(PERFORMANCE!D8&lt;[ActDate],"",
IF(YEAR(PERFORMANCE!D8)=YEAR([ActDate]),[NetPrem],"")),
IF(TODAY()&lt;[ActDate],"",
IF(YEAR(TODAY())=YEAR([ActDate]),[NetPrem],"")))</f>
        <v/>
      </c>
      <c r="AE89">
        <f>IF(PERFORMANCE!D8&gt;0,
IF(PERFORMANCE!D8&lt;[ActDate],[NetPrem],""),
IF(TODAY()&lt;[ActDate],[NetPrem],""))</f>
        <v/>
      </c>
      <c r="AG89">
        <f>IF(Table1[SYM]="","",SUMIFS(Table1[NetPrem],Table1[Trade'#],Table1[[Trade'#]],Table1[Leg],"&lt;="&amp;Table1[Leg]))</f>
        <v/>
      </c>
    </row>
    <row r="90">
      <c r="A90" t="inlineStr">
        <is>
          <t>Bought 2 JD May 21 2021 77.5 Put @ 7.22</t>
        </is>
      </c>
      <c r="B90" t="n">
        <v>26</v>
      </c>
      <c r="C90" t="n">
        <v>2</v>
      </c>
      <c r="D90" t="inlineStr">
        <is>
          <t>SP</t>
        </is>
      </c>
      <c r="E90" s="65" t="n">
        <v>44335</v>
      </c>
      <c r="G90" s="65" t="n">
        <v>44337</v>
      </c>
      <c r="H90" t="n">
        <v>77.5</v>
      </c>
      <c r="J90" t="n">
        <v>2</v>
      </c>
      <c r="K90" t="n">
        <v>-1445.33</v>
      </c>
      <c r="M90" t="inlineStr">
        <is>
          <t>JD</t>
        </is>
      </c>
      <c r="N90">
        <f>RTD("tos.rtd",,"last", "JD")</f>
        <v/>
      </c>
      <c r="O90">
        <f>RTD("tos.rtd",,"ASK",".JD210521P77.5")</f>
        <v/>
      </c>
      <c r="P90">
        <f>IF([TransType]="LS", [OpnPrem]+[ClsPrem],
                                            IF([TransType]="AS", [OpnPrem]+[ClsPrem],
                                               [OpnPrem]-[ClsPrem]))</f>
        <v/>
      </c>
      <c r="Q90" s="66">
        <f>IF([SYM]="","",SUMIFS([NetPrem],[Trade'#],[[Trade'#]],[Leg],"&lt;="&amp;[Leg]))</f>
        <v/>
      </c>
      <c r="R9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f>IF([TransType]="SP",100*[Strike]*[['#Contracts]],
IF([TransType]="LS",[Strike]*[['#Contracts]],
IF([TransType]="BP",100*([Strike]-[Strike2])*[['#Contracts]],
IF([TransType]="BC",100*([Strike2]-[Strike])*[['#Contracts]],
IF([TransType]="NC",100*[Strike]*[['#Contracts]],
IF([TransType]="AS",100*[Strike]*[['#Contracts]],0))))))</f>
        <v/>
      </c>
      <c r="T90">
        <f>IF([CloseDate]&gt;0,"",[Cap])</f>
        <v/>
      </c>
      <c r="U90">
        <f>IF([CloseDate]&gt;0,"",
IF([TransType]="BC","",
IF([TransType]="BP",100*[Strike]*[['#Contracts]],
[Cap])))</f>
        <v/>
      </c>
      <c r="V90">
        <f>IF([SYM]="","",[Cap]*[Days])</f>
        <v/>
      </c>
      <c r="W90">
        <f>IF([SYM]="","",SUMIFS([CapDays],[Trade'#],[[Trade'#]],[Leg],"&lt;="&amp;[Leg]))</f>
        <v/>
      </c>
      <c r="X90" s="67">
        <f>IF([TotCapDays],365*[TotPrem]/[TotCapDays],"")</f>
        <v/>
      </c>
      <c r="Y90" s="10">
        <f>IF([SYM]="","",
IF([TransType]="LS",[Strike]-[TotPrem]/[['#Contracts]],
IF([['#Contracts]],[Strike]-[TotPrem]/[['#Contracts]]/100,"")))</f>
        <v/>
      </c>
      <c r="Z90">
        <f>IF([CloseDate]&gt;0,"",
IF([TransType]="LS",['#Contracts],
IF([TransType]="AS",100*[['#Contracts]],
IF([TransType]="SP",100*[['#Contracts]],
IF([TransType]="BP",100*[['#Contracts]],"")))))</f>
        <v/>
      </c>
      <c r="AA90" s="65">
        <f>IF([CloseDate]&gt;0,[CloseDate],
IF([ExpDate]&gt;0,[ExpDate],
TODAY()))</f>
        <v/>
      </c>
      <c r="AB90">
        <f>IF(PERFORMANCE!D8&gt;0,
IF(PERFORMANCE!D8&lt;[ActDate],"",[NetPrem]),
IF(TODAY()&lt;[ActDate],"",[NetPrem]))</f>
        <v/>
      </c>
      <c r="AC90">
        <f>IF(PERFORMANCE!D8&gt;0,
IF(PERFORMANCE!D8&lt;[ActDate],"",
IF(PERFORMANCE!D8 - [ActDate]&lt;366,[NetPrem],"")),
IF(TODAY()&lt;[ActDate],"",
IF(TODAY() - [ActDate]&lt;366,[NetPrem],"")))</f>
        <v/>
      </c>
      <c r="AD90">
        <f>IF(PERFORMANCE!D8&gt;0,
IF(PERFORMANCE!D8&lt;[ActDate],"",
IF(YEAR(PERFORMANCE!D8)=YEAR([ActDate]),[NetPrem],"")),
IF(TODAY()&lt;[ActDate],"",
IF(YEAR(TODAY())=YEAR([ActDate]),[NetPrem],"")))</f>
        <v/>
      </c>
      <c r="AE90">
        <f>IF(PERFORMANCE!D8&gt;0,
IF(PERFORMANCE!D8&lt;[ActDate],[NetPrem],""),
IF(TODAY()&lt;[ActDate],[NetPrem],""))</f>
        <v/>
      </c>
      <c r="AG90">
        <f>IF(Table1[SYM]="","",SUMIFS(Table1[NetPrem],Table1[Trade'#],Table1[[Trade'#]],Table1[Leg],"&lt;="&amp;Table1[Leg]))</f>
        <v/>
      </c>
    </row>
    <row r="91">
      <c r="A91" t="inlineStr">
        <is>
          <t>Bought 4 JD Jul 16 2021 72.5 Put @ 1.45</t>
        </is>
      </c>
      <c r="B91" t="n">
        <v>26</v>
      </c>
      <c r="C91" t="n">
        <v>3</v>
      </c>
      <c r="D91" t="inlineStr">
        <is>
          <t>SP</t>
        </is>
      </c>
      <c r="E91" s="65" t="n">
        <v>44348</v>
      </c>
      <c r="F91" s="65" t="n">
        <v>44348</v>
      </c>
      <c r="G91" s="65" t="n">
        <v>44393</v>
      </c>
      <c r="H91" t="n">
        <v>72.5</v>
      </c>
      <c r="J91" t="n">
        <v>4</v>
      </c>
      <c r="K91" t="n">
        <v>-582.66</v>
      </c>
      <c r="M91" t="inlineStr">
        <is>
          <t>JD</t>
        </is>
      </c>
      <c r="N91">
        <f>RTD("tos.rtd",,"last", "JD")</f>
        <v/>
      </c>
      <c r="O91">
        <f>RTD("tos.rtd",,"ASK",".JD210716P72.5")</f>
        <v/>
      </c>
      <c r="P91">
        <f>IF([TransType]="LS", [OpnPrem]+[ClsPrem],
                                            IF([TransType]="AS", [OpnPrem]+[ClsPrem],
                                               [OpnPrem]-[ClsPrem]))</f>
        <v/>
      </c>
      <c r="Q91" s="66">
        <f>IF([SYM]="","",SUMIFS([NetPrem],[Trade'#],[[Trade'#]],[Leg],"&lt;="&amp;[Leg]))</f>
        <v/>
      </c>
      <c r="R9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1">
        <f>IF([TransType]="SP",100*[Strike]*[['#Contracts]],
IF([TransType]="LS",[Strike]*[['#Contracts]],
IF([TransType]="BP",100*([Strike]-[Strike2])*[['#Contracts]],
IF([TransType]="BC",100*([Strike2]-[Strike])*[['#Contracts]],
IF([TransType]="NC",100*[Strike]*[['#Contracts]],
IF([TransType]="AS",100*[Strike]*[['#Contracts]],0))))))</f>
        <v/>
      </c>
      <c r="T91">
        <f>IF([CloseDate]&gt;0,"",[Cap])</f>
        <v/>
      </c>
      <c r="U91">
        <f>IF([CloseDate]&gt;0,"",
IF([TransType]="BC","",
IF([TransType]="BP",100*[Strike]*[['#Contracts]],
[Cap])))</f>
        <v/>
      </c>
      <c r="V91">
        <f>IF([SYM]="","",[Cap]*[Days])</f>
        <v/>
      </c>
      <c r="W91">
        <f>IF([SYM]="","",SUMIFS([CapDays],[Trade'#],[[Trade'#]],[Leg],"&lt;="&amp;[Leg]))</f>
        <v/>
      </c>
      <c r="X91" s="67">
        <f>IF([TotCapDays],365*[TotPrem]/[TotCapDays],"")</f>
        <v/>
      </c>
      <c r="Y91" s="10">
        <f>IF([SYM]="","",
IF([TransType]="LS",[Strike]-[TotPrem]/[['#Contracts]],
IF([['#Contracts]],[Strike]-[TotPrem]/[['#Contracts]]/100,"")))</f>
        <v/>
      </c>
      <c r="Z91">
        <f>IF([CloseDate]&gt;0,"",
IF([TransType]="LS",['#Contracts],
IF([TransType]="AS",100*[['#Contracts]],
IF([TransType]="SP",100*[['#Contracts]],
IF([TransType]="BP",100*[['#Contracts]],"")))))</f>
        <v/>
      </c>
      <c r="AA91" s="65">
        <f>IF([CloseDate]&gt;0,[CloseDate],
IF([ExpDate]&gt;0,[ExpDate],
TODAY()))</f>
        <v/>
      </c>
      <c r="AB91">
        <f>IF(PERFORMANCE!D8&gt;0,
IF(PERFORMANCE!D8&lt;[ActDate],"",[NetPrem]),
IF(TODAY()&lt;[ActDate],"",[NetPrem]))</f>
        <v/>
      </c>
      <c r="AC91">
        <f>IF(PERFORMANCE!D8&gt;0,
IF(PERFORMANCE!D8&lt;[ActDate],"",
IF(PERFORMANCE!D8 - [ActDate]&lt;366,[NetPrem],"")),
IF(TODAY()&lt;[ActDate],"",
IF(TODAY() - [ActDate]&lt;366,[NetPrem],"")))</f>
        <v/>
      </c>
      <c r="AD91">
        <f>IF(PERFORMANCE!D8&gt;0,
IF(PERFORMANCE!D8&lt;[ActDate],"",
IF(YEAR(PERFORMANCE!D8)=YEAR([ActDate]),[NetPrem],"")),
IF(TODAY()&lt;[ActDate],"",
IF(YEAR(TODAY())=YEAR([ActDate]),[NetPrem],"")))</f>
        <v/>
      </c>
      <c r="AE91">
        <f>IF(PERFORMANCE!D8&gt;0,
IF(PERFORMANCE!D8&lt;[ActDate],[NetPrem],""),
IF(TODAY()&lt;[ActDate],[NetPrem],""))</f>
        <v/>
      </c>
      <c r="AG91">
        <f>IF(Table1[SYM]="","",SUMIFS(Table1[NetPrem],Table1[Trade'#],Table1[[Trade'#]],Table1[Leg],"&lt;="&amp;Table1[Leg]))</f>
        <v/>
      </c>
    </row>
    <row r="92">
      <c r="A92" t="inlineStr">
        <is>
          <t>Sold 1 ABT Jun 18 2021 115.0 Put @ 1.27</t>
        </is>
      </c>
      <c r="B92" t="n">
        <v>27</v>
      </c>
      <c r="C92" t="n">
        <v>1</v>
      </c>
      <c r="D92" t="inlineStr">
        <is>
          <t>SP</t>
        </is>
      </c>
      <c r="E92" s="65" t="n">
        <v>44340</v>
      </c>
      <c r="F92" s="65" t="n">
        <v>44355</v>
      </c>
      <c r="G92" s="65" t="n">
        <v>44365</v>
      </c>
      <c r="H92" t="n">
        <v>115</v>
      </c>
      <c r="J92" t="n">
        <v>1</v>
      </c>
      <c r="K92" t="n">
        <v>126.34</v>
      </c>
      <c r="M92" t="inlineStr">
        <is>
          <t>ABT</t>
        </is>
      </c>
      <c r="N92">
        <f>RTD("tos.rtd",,"last", "ABT")</f>
        <v/>
      </c>
      <c r="O92">
        <f>RTD("tos.rtd",,"ASK",".ABT210618P115")</f>
        <v/>
      </c>
      <c r="P92">
        <f>IF([TransType]="LS", [OpnPrem]+[ClsPrem],
                                            IF([TransType]="AS", [OpnPrem]+[ClsPrem],
                                               [OpnPrem]-[ClsPrem]))</f>
        <v/>
      </c>
      <c r="Q92" s="66">
        <f>IF([SYM]="","",SUMIFS([NetPrem],[Trade'#],[[Trade'#]],[Leg],"&lt;="&amp;[Leg]))</f>
        <v/>
      </c>
      <c r="R9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2">
        <f>IF([TransType]="SP",100*[Strike]*[['#Contracts]],
IF([TransType]="LS",[Strike]*[['#Contracts]],
IF([TransType]="BP",100*([Strike]-[Strike2])*[['#Contracts]],
IF([TransType]="BC",100*([Strike2]-[Strike])*[['#Contracts]],
IF([TransType]="NC",100*[Strike]*[['#Contracts]],
IF([TransType]="AS",100*[Strike]*[['#Contracts]],0))))))</f>
        <v/>
      </c>
      <c r="T92">
        <f>IF([CloseDate]&gt;0,"",[Cap])</f>
        <v/>
      </c>
      <c r="U92">
        <f>IF([CloseDate]&gt;0,"",
IF([TransType]="BC","",
IF([TransType]="BP",100*[Strike]*[['#Contracts]],
[Cap])))</f>
        <v/>
      </c>
      <c r="V92">
        <f>IF([SYM]="","",[Cap]*[Days])</f>
        <v/>
      </c>
      <c r="W92">
        <f>IF([SYM]="","",SUMIFS([CapDays],[Trade'#],[[Trade'#]],[Leg],"&lt;="&amp;[Leg]))</f>
        <v/>
      </c>
      <c r="X92" s="67">
        <f>IF([TotCapDays],365*[TotPrem]/[TotCapDays],"")</f>
        <v/>
      </c>
      <c r="Y92" s="10">
        <f>IF([SYM]="","",
IF([TransType]="LS",[Strike]-[TotPrem]/[['#Contracts]],
IF([['#Contracts]],[Strike]-[TotPrem]/[['#Contracts]]/100,"")))</f>
        <v/>
      </c>
      <c r="Z92">
        <f>IF([CloseDate]&gt;0,"",
IF([TransType]="LS",['#Contracts],
IF([TransType]="AS",100*[['#Contracts]],
IF([TransType]="SP",100*[['#Contracts]],
IF([TransType]="BP",100*[['#Contracts]],"")))))</f>
        <v/>
      </c>
      <c r="AA92" s="65">
        <f>IF([CloseDate]&gt;0,[CloseDate],
IF([ExpDate]&gt;0,[ExpDate],
TODAY()))</f>
        <v/>
      </c>
      <c r="AB92">
        <f>IF(PERFORMANCE!D8&gt;0,
IF(PERFORMANCE!D8&lt;[ActDate],"",[NetPrem]),
IF(TODAY()&lt;[ActDate],"",[NetPrem]))</f>
        <v/>
      </c>
      <c r="AC92">
        <f>IF(PERFORMANCE!D8&gt;0,
IF(PERFORMANCE!D8&lt;[ActDate],"",
IF(PERFORMANCE!D8 - [ActDate]&lt;366,[NetPrem],"")),
IF(TODAY()&lt;[ActDate],"",
IF(TODAY() - [ActDate]&lt;366,[NetPrem],"")))</f>
        <v/>
      </c>
      <c r="AD92">
        <f>IF(PERFORMANCE!D8&gt;0,
IF(PERFORMANCE!D8&lt;[ActDate],"",
IF(YEAR(PERFORMANCE!D8)=YEAR([ActDate]),[NetPrem],"")),
IF(TODAY()&lt;[ActDate],"",
IF(YEAR(TODAY())=YEAR([ActDate]),[NetPrem],"")))</f>
        <v/>
      </c>
      <c r="AE92">
        <f>IF(PERFORMANCE!D8&gt;0,
IF(PERFORMANCE!D8&lt;[ActDate],[NetPrem],""),
IF(TODAY()&lt;[ActDate],[NetPrem],""))</f>
        <v/>
      </c>
      <c r="AG92">
        <f>IF(Table1[SYM]="","",SUMIFS(Table1[NetPrem],Table1[Trade'#],Table1[[Trade'#]],Table1[Leg],"&lt;="&amp;Table1[Leg]))</f>
        <v/>
      </c>
    </row>
    <row r="93">
      <c r="A93" t="inlineStr">
        <is>
          <t>Bought 1 ABT Jun 18 2021 115.0 Put @ 6.65</t>
        </is>
      </c>
      <c r="B93" t="n">
        <v>27</v>
      </c>
      <c r="C93" t="n">
        <v>2</v>
      </c>
      <c r="D93" t="inlineStr">
        <is>
          <t>SP</t>
        </is>
      </c>
      <c r="E93" s="65" t="n">
        <v>44355</v>
      </c>
      <c r="F93" s="65" t="n">
        <v>44355</v>
      </c>
      <c r="G93" s="65" t="n">
        <v>44365</v>
      </c>
      <c r="H93" t="n">
        <v>115</v>
      </c>
      <c r="J93" t="n">
        <v>1</v>
      </c>
      <c r="K93" t="n">
        <v>-665.66</v>
      </c>
      <c r="M93" t="inlineStr">
        <is>
          <t>ABT</t>
        </is>
      </c>
      <c r="N93">
        <f>RTD("tos.rtd",,"last", "ABT")</f>
        <v/>
      </c>
      <c r="O93">
        <f>RTD("tos.rtd",,"ASK",".ABT210618P115")</f>
        <v/>
      </c>
      <c r="P93">
        <f>IF([TransType]="LS", [OpnPrem]+[ClsPrem],
                                            IF([TransType]="AS", [OpnPrem]+[ClsPrem],
                                               [OpnPrem]-[ClsPrem]))</f>
        <v/>
      </c>
      <c r="Q93" s="66">
        <f>IF([SYM]="","",SUMIFS([NetPrem],[Trade'#],[[Trade'#]],[Leg],"&lt;="&amp;[Leg]))</f>
        <v/>
      </c>
      <c r="R9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3">
        <f>IF([TransType]="SP",100*[Strike]*[['#Contracts]],
IF([TransType]="LS",[Strike]*[['#Contracts]],
IF([TransType]="BP",100*([Strike]-[Strike2])*[['#Contracts]],
IF([TransType]="BC",100*([Strike2]-[Strike])*[['#Contracts]],
IF([TransType]="NC",100*[Strike]*[['#Contracts]],
IF([TransType]="AS",100*[Strike]*[['#Contracts]],0))))))</f>
        <v/>
      </c>
      <c r="T93">
        <f>IF([CloseDate]&gt;0,"",[Cap])</f>
        <v/>
      </c>
      <c r="U93">
        <f>IF([CloseDate]&gt;0,"",
IF([TransType]="BC","",
IF([TransType]="BP",100*[Strike]*[['#Contracts]],
[Cap])))</f>
        <v/>
      </c>
      <c r="V93">
        <f>IF([SYM]="","",[Cap]*[Days])</f>
        <v/>
      </c>
      <c r="W93">
        <f>IF([SYM]="","",SUMIFS([CapDays],[Trade'#],[[Trade'#]],[Leg],"&lt;="&amp;[Leg]))</f>
        <v/>
      </c>
      <c r="X93" s="67">
        <f>IF([TotCapDays],365*[TotPrem]/[TotCapDays],"")</f>
        <v/>
      </c>
      <c r="Y93" s="10">
        <f>IF([SYM]="","",
IF([TransType]="LS",[Strike]-[TotPrem]/[['#Contracts]],
IF([['#Contracts]],[Strike]-[TotPrem]/[['#Contracts]]/100,"")))</f>
        <v/>
      </c>
      <c r="Z93">
        <f>IF([CloseDate]&gt;0,"",
IF([TransType]="LS",['#Contracts],
IF([TransType]="AS",100*[['#Contracts]],
IF([TransType]="SP",100*[['#Contracts]],
IF([TransType]="BP",100*[['#Contracts]],"")))))</f>
        <v/>
      </c>
      <c r="AA93" s="65">
        <f>IF([CloseDate]&gt;0,[CloseDate],
IF([ExpDate]&gt;0,[ExpDate],
TODAY()))</f>
        <v/>
      </c>
      <c r="AB93">
        <f>IF(PERFORMANCE!D8&gt;0,
IF(PERFORMANCE!D8&lt;[ActDate],"",[NetPrem]),
IF(TODAY()&lt;[ActDate],"",[NetPrem]))</f>
        <v/>
      </c>
      <c r="AC93">
        <f>IF(PERFORMANCE!D8&gt;0,
IF(PERFORMANCE!D8&lt;[ActDate],"",
IF(PERFORMANCE!D8 - [ActDate]&lt;366,[NetPrem],"")),
IF(TODAY()&lt;[ActDate],"",
IF(TODAY() - [ActDate]&lt;366,[NetPrem],"")))</f>
        <v/>
      </c>
      <c r="AD93">
        <f>IF(PERFORMANCE!D8&gt;0,
IF(PERFORMANCE!D8&lt;[ActDate],"",
IF(YEAR(PERFORMANCE!D8)=YEAR([ActDate]),[NetPrem],"")),
IF(TODAY()&lt;[ActDate],"",
IF(YEAR(TODAY())=YEAR([ActDate]),[NetPrem],"")))</f>
        <v/>
      </c>
      <c r="AE93">
        <f>IF(PERFORMANCE!D8&gt;0,
IF(PERFORMANCE!D8&lt;[ActDate],[NetPrem],""),
IF(TODAY()&lt;[ActDate],[NetPrem],""))</f>
        <v/>
      </c>
      <c r="AG93">
        <f>IF(Table1[SYM]="","",SUMIFS(Table1[NetPrem],Table1[Trade'#],Table1[[Trade'#]],Table1[Leg],"&lt;="&amp;Table1[Leg]))</f>
        <v/>
      </c>
    </row>
    <row r="94">
      <c r="A94" t="inlineStr">
        <is>
          <t>Sold 1 ABT Aug 20 2021 115.0 Put @ 8.52</t>
        </is>
      </c>
      <c r="B94" t="n">
        <v>27</v>
      </c>
      <c r="C94" t="n">
        <v>2</v>
      </c>
      <c r="D94" t="inlineStr">
        <is>
          <t>SP</t>
        </is>
      </c>
      <c r="E94" s="65" t="n">
        <v>44355</v>
      </c>
      <c r="G94" s="65" t="n">
        <v>44428</v>
      </c>
      <c r="H94" t="n">
        <v>115</v>
      </c>
      <c r="J94" t="n">
        <v>1</v>
      </c>
      <c r="K94" t="n">
        <v>851.34</v>
      </c>
      <c r="M94" t="inlineStr">
        <is>
          <t>ABT</t>
        </is>
      </c>
      <c r="N94">
        <f>RTD("tos.rtd",,"last", "ABT")</f>
        <v/>
      </c>
      <c r="O94">
        <f>RTD("tos.rtd",,"ASK",".ABT210820P115")</f>
        <v/>
      </c>
      <c r="P94">
        <f>IF([TransType]="LS", [OpnPrem]+[ClsPrem],
                                            IF([TransType]="AS", [OpnPrem]+[ClsPrem],
                                               [OpnPrem]-[ClsPrem]))</f>
        <v/>
      </c>
      <c r="Q94" s="66">
        <f>IF([SYM]="","",SUMIFS([NetPrem],[Trade'#],[[Trade'#]],[Leg],"&lt;="&amp;[Leg]))</f>
        <v/>
      </c>
      <c r="R9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4">
        <f>IF([TransType]="SP",100*[Strike]*[['#Contracts]],
IF([TransType]="LS",[Strike]*[['#Contracts]],
IF([TransType]="BP",100*([Strike]-[Strike2])*[['#Contracts]],
IF([TransType]="BC",100*([Strike2]-[Strike])*[['#Contracts]],
IF([TransType]="NC",100*[Strike]*[['#Contracts]],
IF([TransType]="AS",100*[Strike]*[['#Contracts]],0))))))</f>
        <v/>
      </c>
      <c r="T94">
        <f>IF([CloseDate]&gt;0,"",[Cap])</f>
        <v/>
      </c>
      <c r="U94">
        <f>IF([CloseDate]&gt;0,"",
IF([TransType]="BC","",
IF([TransType]="BP",100*[Strike]*[['#Contracts]],
[Cap])))</f>
        <v/>
      </c>
      <c r="V94">
        <f>IF([SYM]="","",[Cap]*[Days])</f>
        <v/>
      </c>
      <c r="W94">
        <f>IF([SYM]="","",SUMIFS([CapDays],[Trade'#],[[Trade'#]],[Leg],"&lt;="&amp;[Leg]))</f>
        <v/>
      </c>
      <c r="X94" s="67">
        <f>IF([TotCapDays],365*[TotPrem]/[TotCapDays],"")</f>
        <v/>
      </c>
      <c r="Y94" s="10">
        <f>IF([SYM]="","",
IF([TransType]="LS",[Strike]-[TotPrem]/[['#Contracts]],
IF([['#Contracts]],[Strike]-[TotPrem]/[['#Contracts]]/100,"")))</f>
        <v/>
      </c>
      <c r="Z94">
        <f>IF([CloseDate]&gt;0,"",
IF([TransType]="LS",['#Contracts],
IF([TransType]="AS",100*[['#Contracts]],
IF([TransType]="SP",100*[['#Contracts]],
IF([TransType]="BP",100*[['#Contracts]],"")))))</f>
        <v/>
      </c>
      <c r="AA94" s="65">
        <f>IF([CloseDate]&gt;0,[CloseDate],
IF([ExpDate]&gt;0,[ExpDate],
TODAY()))</f>
        <v/>
      </c>
      <c r="AB94">
        <f>IF(PERFORMANCE!D8&gt;0,
IF(PERFORMANCE!D8&lt;[ActDate],"",[NetPrem]),
IF(TODAY()&lt;[ActDate],"",[NetPrem]))</f>
        <v/>
      </c>
      <c r="AC94">
        <f>IF(PERFORMANCE!D8&gt;0,
IF(PERFORMANCE!D8&lt;[ActDate],"",
IF(PERFORMANCE!D8 - [ActDate]&lt;366,[NetPrem],"")),
IF(TODAY()&lt;[ActDate],"",
IF(TODAY() - [ActDate]&lt;366,[NetPrem],"")))</f>
        <v/>
      </c>
      <c r="AD94">
        <f>IF(PERFORMANCE!D8&gt;0,
IF(PERFORMANCE!D8&lt;[ActDate],"",
IF(YEAR(PERFORMANCE!D8)=YEAR([ActDate]),[NetPrem],"")),
IF(TODAY()&lt;[ActDate],"",
IF(YEAR(TODAY())=YEAR([ActDate]),[NetPrem],"")))</f>
        <v/>
      </c>
      <c r="AE94">
        <f>IF(PERFORMANCE!D8&gt;0,
IF(PERFORMANCE!D8&lt;[ActDate],[NetPrem],""),
IF(TODAY()&lt;[ActDate],[NetPrem],""))</f>
        <v/>
      </c>
      <c r="AG94">
        <f>IF(Table1[SYM]="","",SUMIFS(Table1[NetPrem],Table1[Trade'#],Table1[[Trade'#]],Table1[Leg],"&lt;="&amp;Table1[Leg]))</f>
        <v/>
      </c>
    </row>
    <row r="95">
      <c r="A95" t="inlineStr">
        <is>
          <t>Sold 10 CCL May 28 2021 27.5 Put @ 0.16</t>
        </is>
      </c>
      <c r="B95" t="n">
        <v>28</v>
      </c>
      <c r="C95" t="n">
        <v>1</v>
      </c>
      <c r="D95" t="inlineStr">
        <is>
          <t>SP</t>
        </is>
      </c>
      <c r="E95" s="65" t="n">
        <v>44341</v>
      </c>
      <c r="F95" s="65" t="n">
        <v>44344</v>
      </c>
      <c r="G95" s="65" t="n">
        <v>44344</v>
      </c>
      <c r="H95" t="n">
        <v>27.5</v>
      </c>
      <c r="J95" t="n">
        <v>10</v>
      </c>
      <c r="K95" t="n">
        <v>153.34</v>
      </c>
      <c r="M95" t="inlineStr">
        <is>
          <t>CCL</t>
        </is>
      </c>
      <c r="N95">
        <f>RTD("tos.rtd",,"last", "CCL")</f>
        <v/>
      </c>
      <c r="O95">
        <f>RTD("tos.rtd",,"ASK",".CCL210528P27.5")</f>
        <v/>
      </c>
      <c r="P95">
        <f>IF([TransType]="LS", [OpnPrem]+[ClsPrem],
                                            IF([TransType]="AS", [OpnPrem]+[ClsPrem],
                                               [OpnPrem]-[ClsPrem]))</f>
        <v/>
      </c>
      <c r="Q95" s="66">
        <f>IF([SYM]="","",SUMIFS([NetPrem],[Trade'#],[[Trade'#]],[Leg],"&lt;="&amp;[Leg]))</f>
        <v/>
      </c>
      <c r="R9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5">
        <f>IF([TransType]="SP",100*[Strike]*[['#Contracts]],
IF([TransType]="LS",[Strike]*[['#Contracts]],
IF([TransType]="BP",100*([Strike]-[Strike2])*[['#Contracts]],
IF([TransType]="BC",100*([Strike2]-[Strike])*[['#Contracts]],
IF([TransType]="NC",100*[Strike]*[['#Contracts]],
IF([TransType]="AS",100*[Strike]*[['#Contracts]],0))))))</f>
        <v/>
      </c>
      <c r="T95">
        <f>IF([CloseDate]&gt;0,"",[Cap])</f>
        <v/>
      </c>
      <c r="U95">
        <f>IF([CloseDate]&gt;0,"",
IF([TransType]="BC","",
IF([TransType]="BP",100*[Strike]*[['#Contracts]],
[Cap])))</f>
        <v/>
      </c>
      <c r="V95">
        <f>IF([SYM]="","",[Cap]*[Days])</f>
        <v/>
      </c>
      <c r="W95">
        <f>IF([SYM]="","",SUMIFS([CapDays],[Trade'#],[[Trade'#]],[Leg],"&lt;="&amp;[Leg]))</f>
        <v/>
      </c>
      <c r="X95" s="67">
        <f>IF([TotCapDays],365*[TotPrem]/[TotCapDays],"")</f>
        <v/>
      </c>
      <c r="Y95" s="10">
        <f>IF([SYM]="","",
IF([TransType]="LS",[Strike]-[TotPrem]/[['#Contracts]],
IF([['#Contracts]],[Strike]-[TotPrem]/[['#Contracts]]/100,"")))</f>
        <v/>
      </c>
      <c r="Z95">
        <f>IF([CloseDate]&gt;0,"",
IF([TransType]="LS",['#Contracts],
IF([TransType]="AS",100*[['#Contracts]],
IF([TransType]="SP",100*[['#Contracts]],
IF([TransType]="BP",100*[['#Contracts]],"")))))</f>
        <v/>
      </c>
      <c r="AA95" s="65">
        <f>IF([CloseDate]&gt;0,[CloseDate],
IF([ExpDate]&gt;0,[ExpDate],
TODAY()))</f>
        <v/>
      </c>
      <c r="AB95">
        <f>IF(PERFORMANCE!D8&gt;0,
IF(PERFORMANCE!D8&lt;[ActDate],"",[NetPrem]),
IF(TODAY()&lt;[ActDate],"",[NetPrem]))</f>
        <v/>
      </c>
      <c r="AC95">
        <f>IF(PERFORMANCE!D8&gt;0,
IF(PERFORMANCE!D8&lt;[ActDate],"",
IF(PERFORMANCE!D8 - [ActDate]&lt;366,[NetPrem],"")),
IF(TODAY()&lt;[ActDate],"",
IF(TODAY() - [ActDate]&lt;366,[NetPrem],"")))</f>
        <v/>
      </c>
      <c r="AD95">
        <f>IF(PERFORMANCE!D8&gt;0,
IF(PERFORMANCE!D8&lt;[ActDate],"",
IF(YEAR(PERFORMANCE!D8)=YEAR([ActDate]),[NetPrem],"")),
IF(TODAY()&lt;[ActDate],"",
IF(YEAR(TODAY())=YEAR([ActDate]),[NetPrem],"")))</f>
        <v/>
      </c>
      <c r="AE95">
        <f>IF(PERFORMANCE!D8&gt;0,
IF(PERFORMANCE!D8&lt;[ActDate],[NetPrem],""),
IF(TODAY()&lt;[ActDate],[NetPrem],""))</f>
        <v/>
      </c>
      <c r="AG95">
        <f>IF(Table1[SYM]="","",SUMIFS(Table1[NetPrem],Table1[Trade'#],Table1[[Trade'#]],Table1[Leg],"&lt;="&amp;Table1[Leg]))</f>
        <v/>
      </c>
    </row>
    <row r="96">
      <c r="A96" t="inlineStr">
        <is>
          <t>Sold 4 VIAC Jun 18 2021 40.0 Put @ 0.96</t>
        </is>
      </c>
      <c r="B96" t="n">
        <v>29</v>
      </c>
      <c r="C96" t="n">
        <v>1</v>
      </c>
      <c r="D96" t="inlineStr">
        <is>
          <t>SP</t>
        </is>
      </c>
      <c r="E96" s="65" t="n">
        <v>44343</v>
      </c>
      <c r="G96" s="65" t="n">
        <v>44365</v>
      </c>
      <c r="H96" t="n">
        <v>40</v>
      </c>
      <c r="J96" t="n">
        <v>4</v>
      </c>
      <c r="K96" t="n">
        <v>381.33</v>
      </c>
      <c r="M96" t="inlineStr">
        <is>
          <t>VIAC</t>
        </is>
      </c>
      <c r="N96">
        <f>RTD("tos.rtd",,"last", "VIAC")</f>
        <v/>
      </c>
      <c r="O96">
        <f>RTD("tos.rtd",,"ASK",".VIAC210618P40")</f>
        <v/>
      </c>
      <c r="P96">
        <f>IF([TransType]="LS", [OpnPrem]+[ClsPrem],
                                            IF([TransType]="AS", [OpnPrem]+[ClsPrem],
                                               [OpnPrem]-[ClsPrem]))</f>
        <v/>
      </c>
      <c r="Q96" s="66">
        <f>IF([SYM]="","",SUMIFS([NetPrem],[Trade'#],[[Trade'#]],[Leg],"&lt;="&amp;[Leg]))</f>
        <v/>
      </c>
      <c r="R9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6">
        <f>IF([TransType]="SP",100*[Strike]*[['#Contracts]],
IF([TransType]="LS",[Strike]*[['#Contracts]],
IF([TransType]="BP",100*([Strike]-[Strike2])*[['#Contracts]],
IF([TransType]="BC",100*([Strike2]-[Strike])*[['#Contracts]],
IF([TransType]="NC",100*[Strike]*[['#Contracts]],
IF([TransType]="AS",100*[Strike]*[['#Contracts]],0))))))</f>
        <v/>
      </c>
      <c r="T96">
        <f>IF([CloseDate]&gt;0,"",[Cap])</f>
        <v/>
      </c>
      <c r="U96">
        <f>IF([CloseDate]&gt;0,"",
IF([TransType]="BC","",
IF([TransType]="BP",100*[Strike]*[['#Contracts]],
[Cap])))</f>
        <v/>
      </c>
      <c r="V96">
        <f>IF([SYM]="","",[Cap]*[Days])</f>
        <v/>
      </c>
      <c r="W96">
        <f>IF([SYM]="","",SUMIFS([CapDays],[Trade'#],[[Trade'#]],[Leg],"&lt;="&amp;[Leg]))</f>
        <v/>
      </c>
      <c r="X96" s="67">
        <f>IF([TotCapDays],365*[TotPrem]/[TotCapDays],"")</f>
        <v/>
      </c>
      <c r="Y96" s="10">
        <f>IF([SYM]="","",
IF([TransType]="LS",[Strike]-[TotPrem]/[['#Contracts]],
IF([['#Contracts]],[Strike]-[TotPrem]/[['#Contracts]]/100,"")))</f>
        <v/>
      </c>
      <c r="Z96">
        <f>IF([CloseDate]&gt;0,"",
IF([TransType]="LS",['#Contracts],
IF([TransType]="AS",100*[['#Contracts]],
IF([TransType]="SP",100*[['#Contracts]],
IF([TransType]="BP",100*[['#Contracts]],"")))))</f>
        <v/>
      </c>
      <c r="AA96" s="65">
        <f>IF([CloseDate]&gt;0,[CloseDate],
IF([ExpDate]&gt;0,[ExpDate],
TODAY()))</f>
        <v/>
      </c>
      <c r="AB96">
        <f>IF(PERFORMANCE!D8&gt;0,
IF(PERFORMANCE!D8&lt;[ActDate],"",[NetPrem]),
IF(TODAY()&lt;[ActDate],"",[NetPrem]))</f>
        <v/>
      </c>
      <c r="AC96">
        <f>IF(PERFORMANCE!D8&gt;0,
IF(PERFORMANCE!D8&lt;[ActDate],"",
IF(PERFORMANCE!D8 - [ActDate]&lt;366,[NetPrem],"")),
IF(TODAY()&lt;[ActDate],"",
IF(TODAY() - [ActDate]&lt;366,[NetPrem],"")))</f>
        <v/>
      </c>
      <c r="AD96">
        <f>IF(PERFORMANCE!D8&gt;0,
IF(PERFORMANCE!D8&lt;[ActDate],"",
IF(YEAR(PERFORMANCE!D8)=YEAR([ActDate]),[NetPrem],"")),
IF(TODAY()&lt;[ActDate],"",
IF(YEAR(TODAY())=YEAR([ActDate]),[NetPrem],"")))</f>
        <v/>
      </c>
      <c r="AE96">
        <f>IF(PERFORMANCE!D8&gt;0,
IF(PERFORMANCE!D8&lt;[ActDate],[NetPrem],""),
IF(TODAY()&lt;[ActDate],[NetPrem],""))</f>
        <v/>
      </c>
      <c r="AG96">
        <f>IF(Table1[SYM]="","",SUMIFS(Table1[NetPrem],Table1[Trade'#],Table1[[Trade'#]],Table1[Leg],"&lt;="&amp;Table1[Leg]))</f>
        <v/>
      </c>
    </row>
    <row r="97">
      <c r="A97" t="inlineStr">
        <is>
          <t>Sold 4 WBA Jun 4 2021 52.0 Put @ 0.34</t>
        </is>
      </c>
      <c r="B97" t="n">
        <v>30</v>
      </c>
      <c r="C97" t="n">
        <v>1</v>
      </c>
      <c r="D97" t="inlineStr">
        <is>
          <t>SP</t>
        </is>
      </c>
      <c r="E97" s="65" t="n">
        <v>44343</v>
      </c>
      <c r="F97" s="65" t="n">
        <v>44351</v>
      </c>
      <c r="G97" s="65" t="n">
        <v>44351</v>
      </c>
      <c r="H97" t="n">
        <v>52</v>
      </c>
      <c r="J97" t="n">
        <v>4</v>
      </c>
      <c r="K97" t="n">
        <v>133.33</v>
      </c>
      <c r="M97" t="inlineStr">
        <is>
          <t>WBA</t>
        </is>
      </c>
      <c r="N97">
        <f>RTD("tos.rtd",,"last", "WBA")</f>
        <v/>
      </c>
      <c r="O97">
        <f>RTD("tos.rtd",,"ASK",".WBA210604P52")</f>
        <v/>
      </c>
      <c r="P97">
        <f>IF([TransType]="LS", [OpnPrem]+[ClsPrem],
                                            IF([TransType]="AS", [OpnPrem]+[ClsPrem],
                                               [OpnPrem]-[ClsPrem]))</f>
        <v/>
      </c>
      <c r="Q97" s="66">
        <f>IF([SYM]="","",SUMIFS([NetPrem],[Trade'#],[[Trade'#]],[Leg],"&lt;="&amp;[Leg]))</f>
        <v/>
      </c>
      <c r="R9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7">
        <f>IF([TransType]="SP",100*[Strike]*[['#Contracts]],
IF([TransType]="LS",[Strike]*[['#Contracts]],
IF([TransType]="BP",100*([Strike]-[Strike2])*[['#Contracts]],
IF([TransType]="BC",100*([Strike2]-[Strike])*[['#Contracts]],
IF([TransType]="NC",100*[Strike]*[['#Contracts]],
IF([TransType]="AS",100*[Strike]*[['#Contracts]],0))))))</f>
        <v/>
      </c>
      <c r="T97">
        <f>IF([CloseDate]&gt;0,"",[Cap])</f>
        <v/>
      </c>
      <c r="U97">
        <f>IF([CloseDate]&gt;0,"",
IF([TransType]="BC","",
IF([TransType]="BP",100*[Strike]*[['#Contracts]],
[Cap])))</f>
        <v/>
      </c>
      <c r="V97">
        <f>IF([SYM]="","",[Cap]*[Days])</f>
        <v/>
      </c>
      <c r="W97">
        <f>IF([SYM]="","",SUMIFS([CapDays],[Trade'#],[[Trade'#]],[Leg],"&lt;="&amp;[Leg]))</f>
        <v/>
      </c>
      <c r="X97" s="67">
        <f>IF([TotCapDays],365*[TotPrem]/[TotCapDays],"")</f>
        <v/>
      </c>
      <c r="Y97" s="10">
        <f>IF([SYM]="","",
IF([TransType]="LS",[Strike]-[TotPrem]/[['#Contracts]],
IF([['#Contracts]],[Strike]-[TotPrem]/[['#Contracts]]/100,"")))</f>
        <v/>
      </c>
      <c r="Z97">
        <f>IF([CloseDate]&gt;0,"",
IF([TransType]="LS",['#Contracts],
IF([TransType]="AS",100*[['#Contracts]],
IF([TransType]="SP",100*[['#Contracts]],
IF([TransType]="BP",100*[['#Contracts]],"")))))</f>
        <v/>
      </c>
      <c r="AA97" s="65">
        <f>IF([CloseDate]&gt;0,[CloseDate],
IF([ExpDate]&gt;0,[ExpDate],
TODAY()))</f>
        <v/>
      </c>
      <c r="AB97">
        <f>IF(PERFORMANCE!D8&gt;0,
IF(PERFORMANCE!D8&lt;[ActDate],"",[NetPrem]),
IF(TODAY()&lt;[ActDate],"",[NetPrem]))</f>
        <v/>
      </c>
      <c r="AC97">
        <f>IF(PERFORMANCE!D8&gt;0,
IF(PERFORMANCE!D8&lt;[ActDate],"",
IF(PERFORMANCE!D8 - [ActDate]&lt;366,[NetPrem],"")),
IF(TODAY()&lt;[ActDate],"",
IF(TODAY() - [ActDate]&lt;366,[NetPrem],"")))</f>
        <v/>
      </c>
      <c r="AD97">
        <f>IF(PERFORMANCE!D8&gt;0,
IF(PERFORMANCE!D8&lt;[ActDate],"",
IF(YEAR(PERFORMANCE!D8)=YEAR([ActDate]),[NetPrem],"")),
IF(TODAY()&lt;[ActDate],"",
IF(YEAR(TODAY())=YEAR([ActDate]),[NetPrem],"")))</f>
        <v/>
      </c>
      <c r="AE97">
        <f>IF(PERFORMANCE!D8&gt;0,
IF(PERFORMANCE!D8&lt;[ActDate],[NetPrem],""),
IF(TODAY()&lt;[ActDate],[NetPrem],""))</f>
        <v/>
      </c>
      <c r="AG97">
        <f>IF(Table1[SYM]="","",SUMIFS(Table1[NetPrem],Table1[Trade'#],Table1[[Trade'#]],Table1[Leg],"&lt;="&amp;Table1[Leg]))</f>
        <v/>
      </c>
    </row>
    <row r="98">
      <c r="A98" t="inlineStr">
        <is>
          <t>Sold 2 DLTR Jun 4 2021 100.0 Put @ 0.97</t>
        </is>
      </c>
      <c r="B98" t="n">
        <v>31</v>
      </c>
      <c r="C98" t="n">
        <v>1</v>
      </c>
      <c r="D98" t="inlineStr">
        <is>
          <t>SP</t>
        </is>
      </c>
      <c r="E98" s="65" t="n">
        <v>44343</v>
      </c>
      <c r="F98" s="65" t="n">
        <v>44351</v>
      </c>
      <c r="G98" s="65" t="n">
        <v>44351</v>
      </c>
      <c r="H98" t="n">
        <v>100</v>
      </c>
      <c r="J98" t="n">
        <v>2</v>
      </c>
      <c r="K98" t="n">
        <v>192.67</v>
      </c>
      <c r="M98" t="inlineStr">
        <is>
          <t>DLTR</t>
        </is>
      </c>
      <c r="N98">
        <f>RTD("tos.rtd",,"last", "DLTR")</f>
        <v/>
      </c>
      <c r="O98">
        <f>RTD("tos.rtd",,"ASK",".DLTR210604P100")</f>
        <v/>
      </c>
      <c r="P98">
        <f>IF([TransType]="LS", [OpnPrem]+[ClsPrem],
                                            IF([TransType]="AS", [OpnPrem]+[ClsPrem],
                                               [OpnPrem]-[ClsPrem]))</f>
        <v/>
      </c>
      <c r="Q98" s="66">
        <f>IF([SYM]="","",SUMIFS([NetPrem],[Trade'#],[[Trade'#]],[Leg],"&lt;="&amp;[Leg]))</f>
        <v/>
      </c>
      <c r="R9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8">
        <f>IF([TransType]="SP",100*[Strike]*[['#Contracts]],
IF([TransType]="LS",[Strike]*[['#Contracts]],
IF([TransType]="BP",100*([Strike]-[Strike2])*[['#Contracts]],
IF([TransType]="BC",100*([Strike2]-[Strike])*[['#Contracts]],
IF([TransType]="NC",100*[Strike]*[['#Contracts]],
IF([TransType]="AS",100*[Strike]*[['#Contracts]],0))))))</f>
        <v/>
      </c>
      <c r="T98">
        <f>IF([CloseDate]&gt;0,"",[Cap])</f>
        <v/>
      </c>
      <c r="U98">
        <f>IF([CloseDate]&gt;0,"",
IF([TransType]="BC","",
IF([TransType]="BP",100*[Strike]*[['#Contracts]],
[Cap])))</f>
        <v/>
      </c>
      <c r="V98">
        <f>IF([SYM]="","",[Cap]*[Days])</f>
        <v/>
      </c>
      <c r="W98">
        <f>IF([SYM]="","",SUMIFS([CapDays],[Trade'#],[[Trade'#]],[Leg],"&lt;="&amp;[Leg]))</f>
        <v/>
      </c>
      <c r="X98" s="67">
        <f>IF([TotCapDays],365*[TotPrem]/[TotCapDays],"")</f>
        <v/>
      </c>
      <c r="Y98" s="10">
        <f>IF([SYM]="","",
IF([TransType]="LS",[Strike]-[TotPrem]/[['#Contracts]],
IF([['#Contracts]],[Strike]-[TotPrem]/[['#Contracts]]/100,"")))</f>
        <v/>
      </c>
      <c r="Z98">
        <f>IF([CloseDate]&gt;0,"",
IF([TransType]="LS",['#Contracts],
IF([TransType]="AS",100*[['#Contracts]],
IF([TransType]="SP",100*[['#Contracts]],
IF([TransType]="BP",100*[['#Contracts]],"")))))</f>
        <v/>
      </c>
      <c r="AA98" s="65">
        <f>IF([CloseDate]&gt;0,[CloseDate],
IF([ExpDate]&gt;0,[ExpDate],
TODAY()))</f>
        <v/>
      </c>
      <c r="AB98">
        <f>IF(PERFORMANCE!D8&gt;0,
IF(PERFORMANCE!D8&lt;[ActDate],"",[NetPrem]),
IF(TODAY()&lt;[ActDate],"",[NetPrem]))</f>
        <v/>
      </c>
      <c r="AC98">
        <f>IF(PERFORMANCE!D8&gt;0,
IF(PERFORMANCE!D8&lt;[ActDate],"",
IF(PERFORMANCE!D8 - [ActDate]&lt;366,[NetPrem],"")),
IF(TODAY()&lt;[ActDate],"",
IF(TODAY() - [ActDate]&lt;366,[NetPrem],"")))</f>
        <v/>
      </c>
      <c r="AD98">
        <f>IF(PERFORMANCE!D8&gt;0,
IF(PERFORMANCE!D8&lt;[ActDate],"",
IF(YEAR(PERFORMANCE!D8)=YEAR([ActDate]),[NetPrem],"")),
IF(TODAY()&lt;[ActDate],"",
IF(YEAR(TODAY())=YEAR([ActDate]),[NetPrem],"")))</f>
        <v/>
      </c>
      <c r="AE98">
        <f>IF(PERFORMANCE!D8&gt;0,
IF(PERFORMANCE!D8&lt;[ActDate],[NetPrem],""),
IF(TODAY()&lt;[ActDate],[NetPrem],""))</f>
        <v/>
      </c>
      <c r="AG98">
        <f>IF(Table1[SYM]="","",SUMIFS(Table1[NetPrem],Table1[Trade'#],Table1[[Trade'#]],Table1[Leg],"&lt;="&amp;Table1[Leg]))</f>
        <v/>
      </c>
    </row>
    <row r="99">
      <c r="A99" t="inlineStr">
        <is>
          <t>Sold 3 BIG Jun 18 2021 62.5 Put @ 2.85</t>
        </is>
      </c>
      <c r="B99" t="n">
        <v>32</v>
      </c>
      <c r="C99" t="n">
        <v>1</v>
      </c>
      <c r="D99" t="inlineStr">
        <is>
          <t>SP</t>
        </is>
      </c>
      <c r="E99" s="65" t="n">
        <v>44348</v>
      </c>
      <c r="F99" s="65" t="n">
        <v>44356</v>
      </c>
      <c r="G99" s="65" t="n">
        <v>44365</v>
      </c>
      <c r="H99" t="n">
        <v>62.5</v>
      </c>
      <c r="J99" t="n">
        <v>3</v>
      </c>
      <c r="K99" t="n">
        <v>853</v>
      </c>
      <c r="M99" t="inlineStr">
        <is>
          <t>BIG</t>
        </is>
      </c>
      <c r="N99">
        <f>RTD("tos.rtd",,"last", "BIG")</f>
        <v/>
      </c>
      <c r="O99">
        <f>RTD("tos.rtd",,"ASK",".BIG210618P62.5")</f>
        <v/>
      </c>
      <c r="P99">
        <f>IF([TransType]="LS", [OpnPrem]+[ClsPrem],
                                            IF([TransType]="AS", [OpnPrem]+[ClsPrem],
                                               [OpnPrem]-[ClsPrem]))</f>
        <v/>
      </c>
      <c r="Q99" s="66">
        <f>IF([SYM]="","",SUMIFS([NetPrem],[Trade'#],[[Trade'#]],[Leg],"&lt;="&amp;[Leg]))</f>
        <v/>
      </c>
      <c r="R9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9">
        <f>IF([TransType]="SP",100*[Strike]*[['#Contracts]],
IF([TransType]="LS",[Strike]*[['#Contracts]],
IF([TransType]="BP",100*([Strike]-[Strike2])*[['#Contracts]],
IF([TransType]="BC",100*([Strike2]-[Strike])*[['#Contracts]],
IF([TransType]="NC",100*[Strike]*[['#Contracts]],
IF([TransType]="AS",100*[Strike]*[['#Contracts]],0))))))</f>
        <v/>
      </c>
      <c r="T99">
        <f>IF([CloseDate]&gt;0,"",[Cap])</f>
        <v/>
      </c>
      <c r="U99">
        <f>IF([CloseDate]&gt;0,"",
IF([TransType]="BC","",
IF([TransType]="BP",100*[Strike]*[['#Contracts]],
[Cap])))</f>
        <v/>
      </c>
      <c r="V99">
        <f>IF([SYM]="","",[Cap]*[Days])</f>
        <v/>
      </c>
      <c r="W99">
        <f>IF([SYM]="","",SUMIFS([CapDays],[Trade'#],[[Trade'#]],[Leg],"&lt;="&amp;[Leg]))</f>
        <v/>
      </c>
      <c r="X99" s="67">
        <f>IF([TotCapDays],365*[TotPrem]/[TotCapDays],"")</f>
        <v/>
      </c>
      <c r="Y99" s="10">
        <f>IF([SYM]="","",
IF([TransType]="LS",[Strike]-[TotPrem]/[['#Contracts]],
IF([['#Contracts]],[Strike]-[TotPrem]/[['#Contracts]]/100,"")))</f>
        <v/>
      </c>
      <c r="Z99">
        <f>IF([CloseDate]&gt;0,"",
IF([TransType]="LS",['#Contracts],
IF([TransType]="AS",100*[['#Contracts]],
IF([TransType]="SP",100*[['#Contracts]],
IF([TransType]="BP",100*[['#Contracts]],"")))))</f>
        <v/>
      </c>
      <c r="AA99" s="65">
        <f>IF([CloseDate]&gt;0,[CloseDate],
IF([ExpDate]&gt;0,[ExpDate],
TODAY()))</f>
        <v/>
      </c>
      <c r="AB99">
        <f>IF(PERFORMANCE!D8&gt;0,
IF(PERFORMANCE!D8&lt;[ActDate],"",[NetPrem]),
IF(TODAY()&lt;[ActDate],"",[NetPrem]))</f>
        <v/>
      </c>
      <c r="AC99">
        <f>IF(PERFORMANCE!D8&gt;0,
IF(PERFORMANCE!D8&lt;[ActDate],"",
IF(PERFORMANCE!D8 - [ActDate]&lt;366,[NetPrem],"")),
IF(TODAY()&lt;[ActDate],"",
IF(TODAY() - [ActDate]&lt;366,[NetPrem],"")))</f>
        <v/>
      </c>
      <c r="AD99">
        <f>IF(PERFORMANCE!D8&gt;0,
IF(PERFORMANCE!D8&lt;[ActDate],"",
IF(YEAR(PERFORMANCE!D8)=YEAR([ActDate]),[NetPrem],"")),
IF(TODAY()&lt;[ActDate],"",
IF(YEAR(TODAY())=YEAR([ActDate]),[NetPrem],"")))</f>
        <v/>
      </c>
      <c r="AE99">
        <f>IF(PERFORMANCE!D8&gt;0,
IF(PERFORMANCE!D8&lt;[ActDate],[NetPrem],""),
IF(TODAY()&lt;[ActDate],[NetPrem],""))</f>
        <v/>
      </c>
      <c r="AG99">
        <f>IF(Table1[SYM]="","",SUMIFS(Table1[NetPrem],Table1[Trade'#],Table1[[Trade'#]],Table1[Leg],"&lt;="&amp;Table1[Leg]))</f>
        <v/>
      </c>
    </row>
    <row r="100">
      <c r="A100" t="inlineStr">
        <is>
          <t>Sold 2 BIG Jun 18 2021 62.5 Put @ 1.8</t>
        </is>
      </c>
      <c r="B100" t="n">
        <v>32</v>
      </c>
      <c r="C100" t="n">
        <v>2</v>
      </c>
      <c r="D100" t="inlineStr">
        <is>
          <t>SP</t>
        </is>
      </c>
      <c r="E100" s="65" t="n">
        <v>44350</v>
      </c>
      <c r="F100" s="65" t="n">
        <v>44356</v>
      </c>
      <c r="G100" s="65" t="n">
        <v>44365</v>
      </c>
      <c r="H100" t="n">
        <v>62.5</v>
      </c>
      <c r="J100" t="n">
        <v>2</v>
      </c>
      <c r="K100" t="n">
        <v>358.67</v>
      </c>
      <c r="M100" t="inlineStr">
        <is>
          <t>BIG</t>
        </is>
      </c>
      <c r="N100">
        <f>RTD("tos.rtd",,"last", "BIG")</f>
        <v/>
      </c>
      <c r="O100">
        <f>RTD("tos.rtd",,"ASK",".BIG210618P62.5")</f>
        <v/>
      </c>
      <c r="P100">
        <f>IF([TransType]="LS", [OpnPrem]+[ClsPrem],
                                            IF([TransType]="AS", [OpnPrem]+[ClsPrem],
                                               [OpnPrem]-[ClsPrem]))</f>
        <v/>
      </c>
      <c r="Q100" s="66">
        <f>IF([SYM]="","",SUMIFS([NetPrem],[Trade'#],[[Trade'#]],[Leg],"&lt;="&amp;[Leg]))</f>
        <v/>
      </c>
      <c r="R10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0">
        <f>IF([TransType]="SP",100*[Strike]*[['#Contracts]],
IF([TransType]="LS",[Strike]*[['#Contracts]],
IF([TransType]="BP",100*([Strike]-[Strike2])*[['#Contracts]],
IF([TransType]="BC",100*([Strike2]-[Strike])*[['#Contracts]],
IF([TransType]="NC",100*[Strike]*[['#Contracts]],
IF([TransType]="AS",100*[Strike]*[['#Contracts]],0))))))</f>
        <v/>
      </c>
      <c r="T100">
        <f>IF([CloseDate]&gt;0,"",[Cap])</f>
        <v/>
      </c>
      <c r="U100">
        <f>IF([CloseDate]&gt;0,"",
IF([TransType]="BC","",
IF([TransType]="BP",100*[Strike]*[['#Contracts]],
[Cap])))</f>
        <v/>
      </c>
      <c r="V100">
        <f>IF([SYM]="","",[Cap]*[Days])</f>
        <v/>
      </c>
      <c r="W100">
        <f>IF([SYM]="","",SUMIFS([CapDays],[Trade'#],[[Trade'#]],[Leg],"&lt;="&amp;[Leg]))</f>
        <v/>
      </c>
      <c r="X100" s="67">
        <f>IF([TotCapDays],365*[TotPrem]/[TotCapDays],"")</f>
        <v/>
      </c>
      <c r="Y100" s="10">
        <f>IF([SYM]="","",
IF([TransType]="LS",[Strike]-[TotPrem]/[['#Contracts]],
IF([['#Contracts]],[Strike]-[TotPrem]/[['#Contracts]]/100,"")))</f>
        <v/>
      </c>
      <c r="Z100">
        <f>IF([CloseDate]&gt;0,"",
IF([TransType]="LS",['#Contracts],
IF([TransType]="AS",100*[['#Contracts]],
IF([TransType]="SP",100*[['#Contracts]],
IF([TransType]="BP",100*[['#Contracts]],"")))))</f>
        <v/>
      </c>
      <c r="AA100" s="65">
        <f>IF([CloseDate]&gt;0,[CloseDate],
IF([ExpDate]&gt;0,[ExpDate],
TODAY()))</f>
        <v/>
      </c>
      <c r="AB100">
        <f>IF(PERFORMANCE!D8&gt;0,
IF(PERFORMANCE!D8&lt;[ActDate],"",[NetPrem]),
IF(TODAY()&lt;[ActDate],"",[NetPrem]))</f>
        <v/>
      </c>
      <c r="AC100">
        <f>IF(PERFORMANCE!D8&gt;0,
IF(PERFORMANCE!D8&lt;[ActDate],"",
IF(PERFORMANCE!D8 - [ActDate]&lt;366,[NetPrem],"")),
IF(TODAY()&lt;[ActDate],"",
IF(TODAY() - [ActDate]&lt;366,[NetPrem],"")))</f>
        <v/>
      </c>
      <c r="AD100">
        <f>IF(PERFORMANCE!D8&gt;0,
IF(PERFORMANCE!D8&lt;[ActDate],"",
IF(YEAR(PERFORMANCE!D8)=YEAR([ActDate]),[NetPrem],"")),
IF(TODAY()&lt;[ActDate],"",
IF(YEAR(TODAY())=YEAR([ActDate]),[NetPrem],"")))</f>
        <v/>
      </c>
      <c r="AE100">
        <f>IF(PERFORMANCE!D8&gt;0,
IF(PERFORMANCE!D8&lt;[ActDate],[NetPrem],""),
IF(TODAY()&lt;[ActDate],[NetPrem],""))</f>
        <v/>
      </c>
      <c r="AG100">
        <f>IF(Table1[SYM]="","",SUMIFS(Table1[NetPrem],Table1[Trade'#],Table1[[Trade'#]],Table1[Leg],"&lt;="&amp;Table1[Leg]))</f>
        <v/>
      </c>
    </row>
    <row r="101">
      <c r="A101" t="inlineStr">
        <is>
          <t>Sold 2 BIG Jun 18 2021 62.5 Put @ 1.05</t>
        </is>
      </c>
      <c r="B101" t="n">
        <v>32</v>
      </c>
      <c r="C101" t="n">
        <v>3</v>
      </c>
      <c r="D101" t="inlineStr">
        <is>
          <t>SP</t>
        </is>
      </c>
      <c r="E101" s="65" t="n">
        <v>44354</v>
      </c>
      <c r="F101" s="65" t="n">
        <v>44356</v>
      </c>
      <c r="G101" s="65" t="n">
        <v>44365</v>
      </c>
      <c r="H101" t="n">
        <v>62.5</v>
      </c>
      <c r="J101" t="n">
        <v>2</v>
      </c>
      <c r="K101" t="n">
        <v>208.67</v>
      </c>
      <c r="M101" t="inlineStr">
        <is>
          <t>BIG</t>
        </is>
      </c>
      <c r="N101">
        <f>RTD("tos.rtd",,"last", "BIG")</f>
        <v/>
      </c>
      <c r="O101">
        <f>RTD("tos.rtd",,"ASK",".BIG210618P62.5")</f>
        <v/>
      </c>
      <c r="P101">
        <f>IF([TransType]="LS", [OpnPrem]+[ClsPrem],
                                            IF([TransType]="AS", [OpnPrem]+[ClsPrem],
                                               [OpnPrem]-[ClsPrem]))</f>
        <v/>
      </c>
      <c r="Q101" s="66">
        <f>IF([SYM]="","",SUMIFS([NetPrem],[Trade'#],[[Trade'#]],[Leg],"&lt;="&amp;[Leg]))</f>
        <v/>
      </c>
      <c r="R10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1">
        <f>IF([TransType]="SP",100*[Strike]*[['#Contracts]],
IF([TransType]="LS",[Strike]*[['#Contracts]],
IF([TransType]="BP",100*([Strike]-[Strike2])*[['#Contracts]],
IF([TransType]="BC",100*([Strike2]-[Strike])*[['#Contracts]],
IF([TransType]="NC",100*[Strike]*[['#Contracts]],
IF([TransType]="AS",100*[Strike]*[['#Contracts]],0))))))</f>
        <v/>
      </c>
      <c r="T101">
        <f>IF([CloseDate]&gt;0,"",[Cap])</f>
        <v/>
      </c>
      <c r="U101">
        <f>IF([CloseDate]&gt;0,"",
IF([TransType]="BC","",
IF([TransType]="BP",100*[Strike]*[['#Contracts]],
[Cap])))</f>
        <v/>
      </c>
      <c r="V101">
        <f>IF([SYM]="","",[Cap]*[Days])</f>
        <v/>
      </c>
      <c r="W101">
        <f>IF([SYM]="","",SUMIFS([CapDays],[Trade'#],[[Trade'#]],[Leg],"&lt;="&amp;[Leg]))</f>
        <v/>
      </c>
      <c r="X101" s="67">
        <f>IF([TotCapDays],365*[TotPrem]/[TotCapDays],"")</f>
        <v/>
      </c>
      <c r="Y101" s="10">
        <f>IF([SYM]="","",
IF([TransType]="LS",[Strike]-[TotPrem]/[['#Contracts]],
IF([['#Contracts]],[Strike]-[TotPrem]/[['#Contracts]]/100,"")))</f>
        <v/>
      </c>
      <c r="Z101">
        <f>IF([CloseDate]&gt;0,"",
IF([TransType]="LS",['#Contracts],
IF([TransType]="AS",100*[['#Contracts]],
IF([TransType]="SP",100*[['#Contracts]],
IF([TransType]="BP",100*[['#Contracts]],"")))))</f>
        <v/>
      </c>
      <c r="AA101" s="65">
        <f>IF([CloseDate]&gt;0,[CloseDate],
IF([ExpDate]&gt;0,[ExpDate],
TODAY()))</f>
        <v/>
      </c>
      <c r="AB101">
        <f>IF(PERFORMANCE!D8&gt;0,
IF(PERFORMANCE!D8&lt;[ActDate],"",[NetPrem]),
IF(TODAY()&lt;[ActDate],"",[NetPrem]))</f>
        <v/>
      </c>
      <c r="AC101">
        <f>IF(PERFORMANCE!D8&gt;0,
IF(PERFORMANCE!D8&lt;[ActDate],"",
IF(PERFORMANCE!D8 - [ActDate]&lt;366,[NetPrem],"")),
IF(TODAY()&lt;[ActDate],"",
IF(TODAY() - [ActDate]&lt;366,[NetPrem],"")))</f>
        <v/>
      </c>
      <c r="AD101">
        <f>IF(PERFORMANCE!D8&gt;0,
IF(PERFORMANCE!D8&lt;[ActDate],"",
IF(YEAR(PERFORMANCE!D8)=YEAR([ActDate]),[NetPrem],"")),
IF(TODAY()&lt;[ActDate],"",
IF(YEAR(TODAY())=YEAR([ActDate]),[NetPrem],"")))</f>
        <v/>
      </c>
      <c r="AE101">
        <f>IF(PERFORMANCE!D8&gt;0,
IF(PERFORMANCE!D8&lt;[ActDate],[NetPrem],""),
IF(TODAY()&lt;[ActDate],[NetPrem],""))</f>
        <v/>
      </c>
      <c r="AG101">
        <f>IF(Table1[SYM]="","",SUMIFS(Table1[NetPrem],Table1[Trade'#],Table1[[Trade'#]],Table1[Leg],"&lt;="&amp;Table1[Leg]))</f>
        <v/>
      </c>
    </row>
    <row r="102">
      <c r="A102" t="inlineStr">
        <is>
          <t>Bought 7 BIG Jun 18 2021 62.5 Put @ 0.2</t>
        </is>
      </c>
      <c r="B102" t="n">
        <v>32</v>
      </c>
      <c r="C102" t="n">
        <v>4</v>
      </c>
      <c r="D102" t="inlineStr">
        <is>
          <t>SP</t>
        </is>
      </c>
      <c r="E102" s="65" t="n">
        <v>44356</v>
      </c>
      <c r="F102" s="65" t="n">
        <v>44356</v>
      </c>
      <c r="G102" s="65" t="n">
        <v>44365</v>
      </c>
      <c r="H102" t="n">
        <v>62.5</v>
      </c>
      <c r="J102" t="n">
        <v>7</v>
      </c>
      <c r="K102" t="n">
        <v>-144.65</v>
      </c>
      <c r="M102" t="inlineStr">
        <is>
          <t>BIG</t>
        </is>
      </c>
      <c r="N102">
        <f>RTD("tos.rtd",,"last", "BIG")</f>
        <v/>
      </c>
      <c r="O102">
        <f>RTD("tos.rtd",,"ASK",".BIG210618P62.5")</f>
        <v/>
      </c>
      <c r="P102">
        <f>IF([TransType]="LS", [OpnPrem]+[ClsPrem],
                                            IF([TransType]="AS", [OpnPrem]+[ClsPrem],
                                               [OpnPrem]-[ClsPrem]))</f>
        <v/>
      </c>
      <c r="Q102" s="66">
        <f>IF([SYM]="","",SUMIFS([NetPrem],[Trade'#],[[Trade'#]],[Leg],"&lt;="&amp;[Leg]))</f>
        <v/>
      </c>
      <c r="R10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2">
        <f>IF([TransType]="SP",100*[Strike]*[['#Contracts]],
IF([TransType]="LS",[Strike]*[['#Contracts]],
IF([TransType]="BP",100*([Strike]-[Strike2])*[['#Contracts]],
IF([TransType]="BC",100*([Strike2]-[Strike])*[['#Contracts]],
IF([TransType]="NC",100*[Strike]*[['#Contracts]],
IF([TransType]="AS",100*[Strike]*[['#Contracts]],0))))))</f>
        <v/>
      </c>
      <c r="T102">
        <f>IF([CloseDate]&gt;0,"",[Cap])</f>
        <v/>
      </c>
      <c r="U102">
        <f>IF([CloseDate]&gt;0,"",
IF([TransType]="BC","",
IF([TransType]="BP",100*[Strike]*[['#Contracts]],
[Cap])))</f>
        <v/>
      </c>
      <c r="V102">
        <f>IF([SYM]="","",[Cap]*[Days])</f>
        <v/>
      </c>
      <c r="W102">
        <f>IF([SYM]="","",SUMIFS([CapDays],[Trade'#],[[Trade'#]],[Leg],"&lt;="&amp;[Leg]))</f>
        <v/>
      </c>
      <c r="X102" s="67">
        <f>IF([TotCapDays],365*[TotPrem]/[TotCapDays],"")</f>
        <v/>
      </c>
      <c r="Y102" s="10">
        <f>IF([SYM]="","",
IF([TransType]="LS",[Strike]-[TotPrem]/[['#Contracts]],
IF([['#Contracts]],[Strike]-[TotPrem]/[['#Contracts]]/100,"")))</f>
        <v/>
      </c>
      <c r="Z102">
        <f>IF([CloseDate]&gt;0,"",
IF([TransType]="LS",['#Contracts],
IF([TransType]="AS",100*[['#Contracts]],
IF([TransType]="SP",100*[['#Contracts]],
IF([TransType]="BP",100*[['#Contracts]],"")))))</f>
        <v/>
      </c>
      <c r="AA102" s="65">
        <f>IF([CloseDate]&gt;0,[CloseDate],
IF([ExpDate]&gt;0,[ExpDate],
TODAY()))</f>
        <v/>
      </c>
      <c r="AB102">
        <f>IF(PERFORMANCE!D8&gt;0,
IF(PERFORMANCE!D8&lt;[ActDate],"",[NetPrem]),
IF(TODAY()&lt;[ActDate],"",[NetPrem]))</f>
        <v/>
      </c>
      <c r="AC102">
        <f>IF(PERFORMANCE!D8&gt;0,
IF(PERFORMANCE!D8&lt;[ActDate],"",
IF(PERFORMANCE!D8 - [ActDate]&lt;366,[NetPrem],"")),
IF(TODAY()&lt;[ActDate],"",
IF(TODAY() - [ActDate]&lt;366,[NetPrem],"")))</f>
        <v/>
      </c>
      <c r="AD102">
        <f>IF(PERFORMANCE!D8&gt;0,
IF(PERFORMANCE!D8&lt;[ActDate],"",
IF(YEAR(PERFORMANCE!D8)=YEAR([ActDate]),[NetPrem],"")),
IF(TODAY()&lt;[ActDate],"",
IF(YEAR(TODAY())=YEAR([ActDate]),[NetPrem],"")))</f>
        <v/>
      </c>
      <c r="AE102">
        <f>IF(PERFORMANCE!D8&gt;0,
IF(PERFORMANCE!D8&lt;[ActDate],[NetPrem],""),
IF(TODAY()&lt;[ActDate],[NetPrem],""))</f>
        <v/>
      </c>
      <c r="AG102">
        <f>IF(Table1[SYM]="","",SUMIFS(Table1[NetPrem],Table1[Trade'#],Table1[[Trade'#]],Table1[Leg],"&lt;="&amp;Table1[Leg]))</f>
        <v/>
      </c>
    </row>
    <row r="103">
      <c r="A103" t="inlineStr">
        <is>
          <t>Sold 3 TJX Jun 18 2021 66.0 Put @ 0.94</t>
        </is>
      </c>
      <c r="B103" t="n">
        <v>33</v>
      </c>
      <c r="C103" t="n">
        <v>1</v>
      </c>
      <c r="D103" t="inlineStr">
        <is>
          <t>SP</t>
        </is>
      </c>
      <c r="E103" s="65" t="n">
        <v>44348</v>
      </c>
      <c r="F103" s="65" t="n">
        <v>44362</v>
      </c>
      <c r="G103" s="65" t="n">
        <v>44365</v>
      </c>
      <c r="H103" t="n">
        <v>66</v>
      </c>
      <c r="J103" t="n">
        <v>3</v>
      </c>
      <c r="K103" t="n">
        <v>280</v>
      </c>
      <c r="M103" t="inlineStr">
        <is>
          <t>TJX</t>
        </is>
      </c>
      <c r="N103">
        <f>RTD("tos.rtd",,"last", "TJX")</f>
        <v/>
      </c>
      <c r="O103">
        <f>RTD("tos.rtd",,"ASK",".TJX210618P66")</f>
        <v/>
      </c>
      <c r="P103">
        <f>IF([TransType]="LS", [OpnPrem]+[ClsPrem],
                                            IF([TransType]="AS", [OpnPrem]+[ClsPrem],
                                               [OpnPrem]-[ClsPrem]))</f>
        <v/>
      </c>
      <c r="Q103" s="66">
        <f>IF([SYM]="","",SUMIFS([NetPrem],[Trade'#],[[Trade'#]],[Leg],"&lt;="&amp;[Leg]))</f>
        <v/>
      </c>
      <c r="R10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3">
        <f>IF([TransType]="SP",100*[Strike]*[['#Contracts]],
IF([TransType]="LS",[Strike]*[['#Contracts]],
IF([TransType]="BP",100*([Strike]-[Strike2])*[['#Contracts]],
IF([TransType]="BC",100*([Strike2]-[Strike])*[['#Contracts]],
IF([TransType]="NC",100*[Strike]*[['#Contracts]],
IF([TransType]="AS",100*[Strike]*[['#Contracts]],0))))))</f>
        <v/>
      </c>
      <c r="T103">
        <f>IF([CloseDate]&gt;0,"",[Cap])</f>
        <v/>
      </c>
      <c r="U103">
        <f>IF([CloseDate]&gt;0,"",
IF([TransType]="BC","",
IF([TransType]="BP",100*[Strike]*[['#Contracts]],
[Cap])))</f>
        <v/>
      </c>
      <c r="V103">
        <f>IF([SYM]="","",[Cap]*[Days])</f>
        <v/>
      </c>
      <c r="W103">
        <f>IF([SYM]="","",SUMIFS([CapDays],[Trade'#],[[Trade'#]],[Leg],"&lt;="&amp;[Leg]))</f>
        <v/>
      </c>
      <c r="X103" s="67">
        <f>IF([TotCapDays],365*[TotPrem]/[TotCapDays],"")</f>
        <v/>
      </c>
      <c r="Y103" s="10">
        <f>IF([SYM]="","",
IF([TransType]="LS",[Strike]-[TotPrem]/[['#Contracts]],
IF([['#Contracts]],[Strike]-[TotPrem]/[['#Contracts]]/100,"")))</f>
        <v/>
      </c>
      <c r="Z103">
        <f>IF([CloseDate]&gt;0,"",
IF([TransType]="LS",['#Contracts],
IF([TransType]="AS",100*[['#Contracts]],
IF([TransType]="SP",100*[['#Contracts]],
IF([TransType]="BP",100*[['#Contracts]],"")))))</f>
        <v/>
      </c>
      <c r="AA103" s="65">
        <f>IF([CloseDate]&gt;0,[CloseDate],
IF([ExpDate]&gt;0,[ExpDate],
TODAY()))</f>
        <v/>
      </c>
      <c r="AB103">
        <f>IF(PERFORMANCE!D8&gt;0,
IF(PERFORMANCE!D8&lt;[ActDate],"",[NetPrem]),
IF(TODAY()&lt;[ActDate],"",[NetPrem]))</f>
        <v/>
      </c>
      <c r="AC103">
        <f>IF(PERFORMANCE!D8&gt;0,
IF(PERFORMANCE!D8&lt;[ActDate],"",
IF(PERFORMANCE!D8 - [ActDate]&lt;366,[NetPrem],"")),
IF(TODAY()&lt;[ActDate],"",
IF(TODAY() - [ActDate]&lt;366,[NetPrem],"")))</f>
        <v/>
      </c>
      <c r="AD103">
        <f>IF(PERFORMANCE!D8&gt;0,
IF(PERFORMANCE!D8&lt;[ActDate],"",
IF(YEAR(PERFORMANCE!D8)=YEAR([ActDate]),[NetPrem],"")),
IF(TODAY()&lt;[ActDate],"",
IF(YEAR(TODAY())=YEAR([ActDate]),[NetPrem],"")))</f>
        <v/>
      </c>
      <c r="AE103">
        <f>IF(PERFORMANCE!D8&gt;0,
IF(PERFORMANCE!D8&lt;[ActDate],[NetPrem],""),
IF(TODAY()&lt;[ActDate],[NetPrem],""))</f>
        <v/>
      </c>
      <c r="AG103">
        <f>IF(Table1[SYM]="","",SUMIFS(Table1[NetPrem],Table1[Trade'#],Table1[[Trade'#]],Table1[Leg],"&lt;="&amp;Table1[Leg]))</f>
        <v/>
      </c>
    </row>
    <row r="104">
      <c r="A104" t="inlineStr">
        <is>
          <t>Sold 3 TJX Jul 02 2021 65.5 Put @ 1.3</t>
        </is>
      </c>
      <c r="B104" t="n">
        <v>33</v>
      </c>
      <c r="C104" t="n">
        <v>2</v>
      </c>
      <c r="D104" t="inlineStr">
        <is>
          <t>SP</t>
        </is>
      </c>
      <c r="E104" s="65" t="n">
        <v>44362</v>
      </c>
      <c r="G104" s="65" t="n">
        <v>44379</v>
      </c>
      <c r="H104" t="n">
        <v>65.5</v>
      </c>
      <c r="J104" t="n">
        <v>3</v>
      </c>
      <c r="K104" t="n">
        <v>388</v>
      </c>
      <c r="M104" t="inlineStr">
        <is>
          <t>TJX</t>
        </is>
      </c>
      <c r="N104">
        <f>RTD("tos.rtd",,"last", "TJX")</f>
        <v/>
      </c>
      <c r="O104">
        <f>RTD("tos.rtd",,"ASK",".TJX210702P65.5")</f>
        <v/>
      </c>
      <c r="P104">
        <f>IF([TransType]="LS", [OpnPrem]+[ClsPrem],
                                            IF([TransType]="AS", [OpnPrem]+[ClsPrem],
                                               [OpnPrem]-[ClsPrem]))</f>
        <v/>
      </c>
      <c r="Q104" s="66">
        <f>IF([SYM]="","",SUMIFS([NetPrem],[Trade'#],[[Trade'#]],[Leg],"&lt;="&amp;[Leg]))</f>
        <v/>
      </c>
      <c r="R10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4">
        <f>IF([TransType]="SP",100*[Strike]*[['#Contracts]],
IF([TransType]="LS",[Strike]*[['#Contracts]],
IF([TransType]="BP",100*([Strike]-[Strike2])*[['#Contracts]],
IF([TransType]="BC",100*([Strike2]-[Strike])*[['#Contracts]],
IF([TransType]="NC",100*[Strike]*[['#Contracts]],
IF([TransType]="AS",100*[Strike]*[['#Contracts]],0))))))</f>
        <v/>
      </c>
      <c r="T104">
        <f>IF([CloseDate]&gt;0,"",[Cap])</f>
        <v/>
      </c>
      <c r="U104">
        <f>IF([CloseDate]&gt;0,"",
IF([TransType]="BC","",
IF([TransType]="BP",100*[Strike]*[['#Contracts]],
[Cap])))</f>
        <v/>
      </c>
      <c r="V104">
        <f>IF([SYM]="","",[Cap]*[Days])</f>
        <v/>
      </c>
      <c r="W104">
        <f>IF([SYM]="","",SUMIFS([CapDays],[Trade'#],[[Trade'#]],[Leg],"&lt;="&amp;[Leg]))</f>
        <v/>
      </c>
      <c r="X104" s="67">
        <f>IF([TotCapDays],365*[TotPrem]/[TotCapDays],"")</f>
        <v/>
      </c>
      <c r="Y104" s="10">
        <f>IF([SYM]="","",
IF([TransType]="LS",[Strike]-[TotPrem]/[['#Contracts]],
IF([['#Contracts]],[Strike]-[TotPrem]/[['#Contracts]]/100,"")))</f>
        <v/>
      </c>
      <c r="Z104">
        <f>IF([CloseDate]&gt;0,"",
IF([TransType]="LS",['#Contracts],
IF([TransType]="AS",100*[['#Contracts]],
IF([TransType]="SP",100*[['#Contracts]],
IF([TransType]="BP",100*[['#Contracts]],"")))))</f>
        <v/>
      </c>
      <c r="AA104" s="65">
        <f>IF([CloseDate]&gt;0,[CloseDate],
IF([ExpDate]&gt;0,[ExpDate],
TODAY()))</f>
        <v/>
      </c>
      <c r="AB104">
        <f>IF(PERFORMANCE!D8&gt;0,
IF(PERFORMANCE!D8&lt;[ActDate],"",[NetPrem]),
IF(TODAY()&lt;[ActDate],"",[NetPrem]))</f>
        <v/>
      </c>
      <c r="AC104">
        <f>IF(PERFORMANCE!D8&gt;0,
IF(PERFORMANCE!D8&lt;[ActDate],"",
IF(PERFORMANCE!D8 - [ActDate]&lt;366,[NetPrem],"")),
IF(TODAY()&lt;[ActDate],"",
IF(TODAY() - [ActDate]&lt;366,[NetPrem],"")))</f>
        <v/>
      </c>
      <c r="AD104">
        <f>IF(PERFORMANCE!D8&gt;0,
IF(PERFORMANCE!D8&lt;[ActDate],"",
IF(YEAR(PERFORMANCE!D8)=YEAR([ActDate]),[NetPrem],"")),
IF(TODAY()&lt;[ActDate],"",
IF(YEAR(TODAY())=YEAR([ActDate]),[NetPrem],"")))</f>
        <v/>
      </c>
      <c r="AE104">
        <f>IF(PERFORMANCE!D8&gt;0,
IF(PERFORMANCE!D8&lt;[ActDate],[NetPrem],""),
IF(TODAY()&lt;[ActDate],[NetPrem],""))</f>
        <v/>
      </c>
      <c r="AG104">
        <f>IF(Table1[SYM]="","",SUMIFS(Table1[NetPrem],Table1[Trade'#],Table1[[Trade'#]],Table1[Leg],"&lt;="&amp;Table1[Leg]))</f>
        <v/>
      </c>
    </row>
    <row r="105">
      <c r="A105" t="inlineStr">
        <is>
          <t>Bought 3 TJX Jun 18 2021 66.0 Put @ 1.01</t>
        </is>
      </c>
      <c r="B105" t="n">
        <v>33</v>
      </c>
      <c r="C105" t="n">
        <v>3</v>
      </c>
      <c r="D105" t="inlineStr">
        <is>
          <t>SP</t>
        </is>
      </c>
      <c r="E105" s="65" t="n">
        <v>44362</v>
      </c>
      <c r="F105" s="65" t="n">
        <v>44362</v>
      </c>
      <c r="G105" s="65" t="n">
        <v>44365</v>
      </c>
      <c r="H105" t="n">
        <v>66</v>
      </c>
      <c r="J105" t="n">
        <v>3</v>
      </c>
      <c r="K105" t="n">
        <v>-304.99</v>
      </c>
      <c r="M105" t="inlineStr">
        <is>
          <t>TJX</t>
        </is>
      </c>
      <c r="N105">
        <f>RTD("tos.rtd",,"last", "TJX")</f>
        <v/>
      </c>
      <c r="O105">
        <f>RTD("tos.rtd",,"ASK",".TJX210618P66")</f>
        <v/>
      </c>
      <c r="P105">
        <f>IF([TransType]="LS", [OpnPrem]+[ClsPrem],
                                            IF([TransType]="AS", [OpnPrem]+[ClsPrem],
                                               [OpnPrem]-[ClsPrem]))</f>
        <v/>
      </c>
      <c r="Q105" s="66">
        <f>IF([SYM]="","",SUMIFS([NetPrem],[Trade'#],[[Trade'#]],[Leg],"&lt;="&amp;[Leg]))</f>
        <v/>
      </c>
      <c r="R10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5">
        <f>IF([TransType]="SP",100*[Strike]*[['#Contracts]],
IF([TransType]="LS",[Strike]*[['#Contracts]],
IF([TransType]="BP",100*([Strike]-[Strike2])*[['#Contracts]],
IF([TransType]="BC",100*([Strike2]-[Strike])*[['#Contracts]],
IF([TransType]="NC",100*[Strike]*[['#Contracts]],
IF([TransType]="AS",100*[Strike]*[['#Contracts]],0))))))</f>
        <v/>
      </c>
      <c r="T105">
        <f>IF([CloseDate]&gt;0,"",[Cap])</f>
        <v/>
      </c>
      <c r="U105">
        <f>IF([CloseDate]&gt;0,"",
IF([TransType]="BC","",
IF([TransType]="BP",100*[Strike]*[['#Contracts]],
[Cap])))</f>
        <v/>
      </c>
      <c r="V105">
        <f>IF([SYM]="","",[Cap]*[Days])</f>
        <v/>
      </c>
      <c r="W105">
        <f>IF([SYM]="","",SUMIFS([CapDays],[Trade'#],[[Trade'#]],[Leg],"&lt;="&amp;[Leg]))</f>
        <v/>
      </c>
      <c r="X105" s="67">
        <f>IF([TotCapDays],365*[TotPrem]/[TotCapDays],"")</f>
        <v/>
      </c>
      <c r="Y105" s="10">
        <f>IF([SYM]="","",
IF([TransType]="LS",[Strike]-[TotPrem]/[['#Contracts]],
IF([['#Contracts]],[Strike]-[TotPrem]/[['#Contracts]]/100,"")))</f>
        <v/>
      </c>
      <c r="Z105">
        <f>IF([CloseDate]&gt;0,"",
IF([TransType]="LS",['#Contracts],
IF([TransType]="AS",100*[['#Contracts]],
IF([TransType]="SP",100*[['#Contracts]],
IF([TransType]="BP",100*[['#Contracts]],"")))))</f>
        <v/>
      </c>
      <c r="AA105" s="65">
        <f>IF([CloseDate]&gt;0,[CloseDate],
IF([ExpDate]&gt;0,[ExpDate],
TODAY()))</f>
        <v/>
      </c>
      <c r="AB105">
        <f>IF(PERFORMANCE!D8&gt;0,
IF(PERFORMANCE!D8&lt;[ActDate],"",[NetPrem]),
IF(TODAY()&lt;[ActDate],"",[NetPrem]))</f>
        <v/>
      </c>
      <c r="AC105">
        <f>IF(PERFORMANCE!D8&gt;0,
IF(PERFORMANCE!D8&lt;[ActDate],"",
IF(PERFORMANCE!D8 - [ActDate]&lt;366,[NetPrem],"")),
IF(TODAY()&lt;[ActDate],"",
IF(TODAY() - [ActDate]&lt;366,[NetPrem],"")))</f>
        <v/>
      </c>
      <c r="AD105">
        <f>IF(PERFORMANCE!D8&gt;0,
IF(PERFORMANCE!D8&lt;[ActDate],"",
IF(YEAR(PERFORMANCE!D8)=YEAR([ActDate]),[NetPrem],"")),
IF(TODAY()&lt;[ActDate],"",
IF(YEAR(TODAY())=YEAR([ActDate]),[NetPrem],"")))</f>
        <v/>
      </c>
      <c r="AE105">
        <f>IF(PERFORMANCE!D8&gt;0,
IF(PERFORMANCE!D8&lt;[ActDate],[NetPrem],""),
IF(TODAY()&lt;[ActDate],[NetPrem],""))</f>
        <v/>
      </c>
      <c r="AG105">
        <f>IF(Table1[SYM]="","",SUMIFS(Table1[NetPrem],Table1[Trade'#],Table1[[Trade'#]],Table1[Leg],"&lt;="&amp;Table1[Leg]))</f>
        <v/>
      </c>
    </row>
    <row r="106">
      <c r="A106" t="inlineStr">
        <is>
          <t>Sold 5 HPQ Jun 25 2021 29.5 Put @ 0.32</t>
        </is>
      </c>
      <c r="B106" t="n">
        <v>34</v>
      </c>
      <c r="C106" t="n">
        <v>1</v>
      </c>
      <c r="D106" t="inlineStr">
        <is>
          <t>SP</t>
        </is>
      </c>
      <c r="E106" s="65" t="n">
        <v>44354</v>
      </c>
      <c r="G106" s="65" t="n">
        <v>44372</v>
      </c>
      <c r="H106" t="n">
        <v>29.5</v>
      </c>
      <c r="J106" t="n">
        <v>5</v>
      </c>
      <c r="K106" t="n">
        <v>156.67</v>
      </c>
      <c r="M106" t="inlineStr">
        <is>
          <t>HPQ</t>
        </is>
      </c>
      <c r="N106">
        <f>RTD("tos.rtd",,"last", "HPQ")</f>
        <v/>
      </c>
      <c r="O106">
        <f>RTD("tos.rtd",,"ASK",".HPQ210625P29.5")</f>
        <v/>
      </c>
      <c r="P106">
        <f>IF([TransType]="LS", [OpnPrem]+[ClsPrem],
                                            IF([TransType]="AS", [OpnPrem]+[ClsPrem],
                                               [OpnPrem]-[ClsPrem]))</f>
        <v/>
      </c>
      <c r="Q106" s="66">
        <f>IF([SYM]="","",SUMIFS([NetPrem],[Trade'#],[[Trade'#]],[Leg],"&lt;="&amp;[Leg]))</f>
        <v/>
      </c>
      <c r="R10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6">
        <f>IF([TransType]="SP",100*[Strike]*[['#Contracts]],
IF([TransType]="LS",[Strike]*[['#Contracts]],
IF([TransType]="BP",100*([Strike]-[Strike2])*[['#Contracts]],
IF([TransType]="BC",100*([Strike2]-[Strike])*[['#Contracts]],
IF([TransType]="NC",100*[Strike]*[['#Contracts]],
IF([TransType]="AS",100*[Strike]*[['#Contracts]],0))))))</f>
        <v/>
      </c>
      <c r="T106">
        <f>IF([CloseDate]&gt;0,"",[Cap])</f>
        <v/>
      </c>
      <c r="U106">
        <f>IF([CloseDate]&gt;0,"",
IF([TransType]="BC","",
IF([TransType]="BP",100*[Strike]*[['#Contracts]],
[Cap])))</f>
        <v/>
      </c>
      <c r="V106">
        <f>IF([SYM]="","",[Cap]*[Days])</f>
        <v/>
      </c>
      <c r="W106">
        <f>IF([SYM]="","",SUMIFS([CapDays],[Trade'#],[[Trade'#]],[Leg],"&lt;="&amp;[Leg]))</f>
        <v/>
      </c>
      <c r="X106" s="67">
        <f>IF([TotCapDays],365*[TotPrem]/[TotCapDays],"")</f>
        <v/>
      </c>
      <c r="Y106" s="10">
        <f>IF([SYM]="","",
IF([TransType]="LS",[Strike]-[TotPrem]/[['#Contracts]],
IF([['#Contracts]],[Strike]-[TotPrem]/[['#Contracts]]/100,"")))</f>
        <v/>
      </c>
      <c r="Z106">
        <f>IF([CloseDate]&gt;0,"",
IF([TransType]="LS",['#Contracts],
IF([TransType]="AS",100*[['#Contracts]],
IF([TransType]="SP",100*[['#Contracts]],
IF([TransType]="BP",100*[['#Contracts]],"")))))</f>
        <v/>
      </c>
      <c r="AA106" s="65">
        <f>IF([CloseDate]&gt;0,[CloseDate],
IF([ExpDate]&gt;0,[ExpDate],
TODAY()))</f>
        <v/>
      </c>
      <c r="AB106">
        <f>IF(PERFORMANCE!D8&gt;0,
IF(PERFORMANCE!D8&lt;[ActDate],"",[NetPrem]),
IF(TODAY()&lt;[ActDate],"",[NetPrem]))</f>
        <v/>
      </c>
      <c r="AC106">
        <f>IF(PERFORMANCE!D8&gt;0,
IF(PERFORMANCE!D8&lt;[ActDate],"",
IF(PERFORMANCE!D8 - [ActDate]&lt;366,[NetPrem],"")),
IF(TODAY()&lt;[ActDate],"",
IF(TODAY() - [ActDate]&lt;366,[NetPrem],"")))</f>
        <v/>
      </c>
      <c r="AD106">
        <f>IF(PERFORMANCE!D8&gt;0,
IF(PERFORMANCE!D8&lt;[ActDate],"",
IF(YEAR(PERFORMANCE!D8)=YEAR([ActDate]),[NetPrem],"")),
IF(TODAY()&lt;[ActDate],"",
IF(YEAR(TODAY())=YEAR([ActDate]),[NetPrem],"")))</f>
        <v/>
      </c>
      <c r="AE106">
        <f>IF(PERFORMANCE!D8&gt;0,
IF(PERFORMANCE!D8&lt;[ActDate],[NetPrem],""),
IF(TODAY()&lt;[ActDate],[NetPrem],""))</f>
        <v/>
      </c>
      <c r="AG106">
        <f>IF(Table1[SYM]="","",SUMIFS(Table1[NetPrem],Table1[Trade'#],Table1[[Trade'#]],Table1[Leg],"&lt;="&amp;Table1[Leg]))</f>
        <v/>
      </c>
    </row>
    <row r="107">
      <c r="A107" t="inlineStr">
        <is>
          <t>Sold 10 FF Jul 16 2021 10.0 Put @ 0.45</t>
        </is>
      </c>
      <c r="B107" t="n">
        <v>35</v>
      </c>
      <c r="C107" t="n">
        <v>1</v>
      </c>
      <c r="D107" t="inlineStr">
        <is>
          <t>SP</t>
        </is>
      </c>
      <c r="E107" s="65" t="n">
        <v>44356</v>
      </c>
      <c r="G107" s="65" t="n">
        <v>44393</v>
      </c>
      <c r="H107" t="n">
        <v>10</v>
      </c>
      <c r="J107" t="n">
        <v>10</v>
      </c>
      <c r="K107" t="n">
        <v>443.34</v>
      </c>
      <c r="M107" t="inlineStr">
        <is>
          <t>FF</t>
        </is>
      </c>
      <c r="N107">
        <f>RTD("tos.rtd",,"last", "FF")</f>
        <v/>
      </c>
      <c r="O107">
        <f>RTD("tos.rtd",,"ASK",".FF210716P10")</f>
        <v/>
      </c>
      <c r="P107">
        <f>IF([TransType]="LS", [OpnPrem]+[ClsPrem],
                                            IF([TransType]="AS", [OpnPrem]+[ClsPrem],
                                               [OpnPrem]-[ClsPrem]))</f>
        <v/>
      </c>
      <c r="Q107" s="66">
        <f>IF([SYM]="","",SUMIFS([NetPrem],[Trade'#],[[Trade'#]],[Leg],"&lt;="&amp;[Leg]))</f>
        <v/>
      </c>
      <c r="R10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7">
        <f>IF([TransType]="SP",100*[Strike]*[['#Contracts]],
IF([TransType]="LS",[Strike]*[['#Contracts]],
IF([TransType]="BP",100*([Strike]-[Strike2])*[['#Contracts]],
IF([TransType]="BC",100*([Strike2]-[Strike])*[['#Contracts]],
IF([TransType]="NC",100*[Strike]*[['#Contracts]],
IF([TransType]="AS",100*[Strike]*[['#Contracts]],0))))))</f>
        <v/>
      </c>
      <c r="T107">
        <f>IF([CloseDate]&gt;0,"",[Cap])</f>
        <v/>
      </c>
      <c r="U107">
        <f>IF([CloseDate]&gt;0,"",
IF([TransType]="BC","",
IF([TransType]="BP",100*[Strike]*[['#Contracts]],
[Cap])))</f>
        <v/>
      </c>
      <c r="V107">
        <f>IF([SYM]="","",[Cap]*[Days])</f>
        <v/>
      </c>
      <c r="W107">
        <f>IF([SYM]="","",SUMIFS([CapDays],[Trade'#],[[Trade'#]],[Leg],"&lt;="&amp;[Leg]))</f>
        <v/>
      </c>
      <c r="X107" s="67">
        <f>IF([TotCapDays],365*[TotPrem]/[TotCapDays],"")</f>
        <v/>
      </c>
      <c r="Y107" s="10">
        <f>IF([SYM]="","",
IF([TransType]="LS",[Strike]-[TotPrem]/[['#Contracts]],
IF([['#Contracts]],[Strike]-[TotPrem]/[['#Contracts]]/100,"")))</f>
        <v/>
      </c>
      <c r="Z107">
        <f>IF([CloseDate]&gt;0,"",
IF([TransType]="LS",['#Contracts],
IF([TransType]="AS",100*[['#Contracts]],
IF([TransType]="SP",100*[['#Contracts]],
IF([TransType]="BP",100*[['#Contracts]],"")))))</f>
        <v/>
      </c>
      <c r="AA107" s="65">
        <f>IF([CloseDate]&gt;0,[CloseDate],
IF([ExpDate]&gt;0,[ExpDate],
TODAY()))</f>
        <v/>
      </c>
      <c r="AB107">
        <f>IF(PERFORMANCE!D8&gt;0,
IF(PERFORMANCE!D8&lt;[ActDate],"",[NetPrem]),
IF(TODAY()&lt;[ActDate],"",[NetPrem]))</f>
        <v/>
      </c>
      <c r="AC107">
        <f>IF(PERFORMANCE!D8&gt;0,
IF(PERFORMANCE!D8&lt;[ActDate],"",
IF(PERFORMANCE!D8 - [ActDate]&lt;366,[NetPrem],"")),
IF(TODAY()&lt;[ActDate],"",
IF(TODAY() - [ActDate]&lt;366,[NetPrem],"")))</f>
        <v/>
      </c>
      <c r="AD107">
        <f>IF(PERFORMANCE!D8&gt;0,
IF(PERFORMANCE!D8&lt;[ActDate],"",
IF(YEAR(PERFORMANCE!D8)=YEAR([ActDate]),[NetPrem],"")),
IF(TODAY()&lt;[ActDate],"",
IF(YEAR(TODAY())=YEAR([ActDate]),[NetPrem],"")))</f>
        <v/>
      </c>
      <c r="AE107">
        <f>IF(PERFORMANCE!D8&gt;0,
IF(PERFORMANCE!D8&lt;[ActDate],[NetPrem],""),
IF(TODAY()&lt;[ActDate],[NetPrem],""))</f>
        <v/>
      </c>
      <c r="AG107">
        <f>IF(Table1[SYM]="","",SUMIFS(Table1[NetPrem],Table1[Trade'#],Table1[[Trade'#]],Table1[Leg],"&lt;="&amp;Table1[Leg]))</f>
        <v/>
      </c>
    </row>
    <row r="108">
      <c r="A108" t="inlineStr">
        <is>
          <t>Sold 4 BSX Jul 2 2021 41.5 Put @ 0.7</t>
        </is>
      </c>
      <c r="B108" t="n">
        <v>36</v>
      </c>
      <c r="C108" t="n">
        <v>1</v>
      </c>
      <c r="D108" t="inlineStr">
        <is>
          <t>SP</t>
        </is>
      </c>
      <c r="E108" s="65" t="n">
        <v>44356</v>
      </c>
      <c r="G108" s="65" t="n">
        <v>44379</v>
      </c>
      <c r="H108" t="n">
        <v>41.5</v>
      </c>
      <c r="J108" t="n">
        <v>4</v>
      </c>
      <c r="K108" t="n">
        <v>277.33</v>
      </c>
      <c r="M108" t="inlineStr">
        <is>
          <t>BSX</t>
        </is>
      </c>
      <c r="N108">
        <f>RTD("tos.rtd",,"last", "BSX")</f>
        <v/>
      </c>
      <c r="O108">
        <f>RTD("tos.rtd",,"ASK",".BSX210702P41.5")</f>
        <v/>
      </c>
      <c r="P108">
        <f>IF([TransType]="LS", [OpnPrem]+[ClsPrem],
                                            IF([TransType]="AS", [OpnPrem]+[ClsPrem],
                                               [OpnPrem]-[ClsPrem]))</f>
        <v/>
      </c>
      <c r="Q108" s="66">
        <f>IF([SYM]="","",SUMIFS([NetPrem],[Trade'#],[[Trade'#]],[Leg],"&lt;="&amp;[Leg]))</f>
        <v/>
      </c>
      <c r="R10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8">
        <f>IF([TransType]="SP",100*[Strike]*[['#Contracts]],
IF([TransType]="LS",[Strike]*[['#Contracts]],
IF([TransType]="BP",100*([Strike]-[Strike2])*[['#Contracts]],
IF([TransType]="BC",100*([Strike2]-[Strike])*[['#Contracts]],
IF([TransType]="NC",100*[Strike]*[['#Contracts]],
IF([TransType]="AS",100*[Strike]*[['#Contracts]],0))))))</f>
        <v/>
      </c>
      <c r="T108">
        <f>IF([CloseDate]&gt;0,"",[Cap])</f>
        <v/>
      </c>
      <c r="U108">
        <f>IF([CloseDate]&gt;0,"",
IF([TransType]="BC","",
IF([TransType]="BP",100*[Strike]*[['#Contracts]],
[Cap])))</f>
        <v/>
      </c>
      <c r="V108">
        <f>IF([SYM]="","",[Cap]*[Days])</f>
        <v/>
      </c>
      <c r="W108">
        <f>IF([SYM]="","",SUMIFS([CapDays],[Trade'#],[[Trade'#]],[Leg],"&lt;="&amp;[Leg]))</f>
        <v/>
      </c>
      <c r="X108" s="67">
        <f>IF([TotCapDays],365*[TotPrem]/[TotCapDays],"")</f>
        <v/>
      </c>
      <c r="Y108" s="10">
        <f>IF([SYM]="","",
IF([TransType]="LS",[Strike]-[TotPrem]/[['#Contracts]],
IF([['#Contracts]],[Strike]-[TotPrem]/[['#Contracts]]/100,"")))</f>
        <v/>
      </c>
      <c r="Z108">
        <f>IF([CloseDate]&gt;0,"",
IF([TransType]="LS",['#Contracts],
IF([TransType]="AS",100*[['#Contracts]],
IF([TransType]="SP",100*[['#Contracts]],
IF([TransType]="BP",100*[['#Contracts]],"")))))</f>
        <v/>
      </c>
      <c r="AA108" s="65">
        <f>IF([CloseDate]&gt;0,[CloseDate],
IF([ExpDate]&gt;0,[ExpDate],
TODAY()))</f>
        <v/>
      </c>
      <c r="AB108">
        <f>IF(PERFORMANCE!D8&gt;0,
IF(PERFORMANCE!D8&lt;[ActDate],"",[NetPrem]),
IF(TODAY()&lt;[ActDate],"",[NetPrem]))</f>
        <v/>
      </c>
      <c r="AC108">
        <f>IF(PERFORMANCE!D8&gt;0,
IF(PERFORMANCE!D8&lt;[ActDate],"",
IF(PERFORMANCE!D8 - [ActDate]&lt;366,[NetPrem],"")),
IF(TODAY()&lt;[ActDate],"",
IF(TODAY() - [ActDate]&lt;366,[NetPrem],"")))</f>
        <v/>
      </c>
      <c r="AD108">
        <f>IF(PERFORMANCE!D8&gt;0,
IF(PERFORMANCE!D8&lt;[ActDate],"",
IF(YEAR(PERFORMANCE!D8)=YEAR([ActDate]),[NetPrem],"")),
IF(TODAY()&lt;[ActDate],"",
IF(YEAR(TODAY())=YEAR([ActDate]),[NetPrem],"")))</f>
        <v/>
      </c>
      <c r="AE108">
        <f>IF(PERFORMANCE!D8&gt;0,
IF(PERFORMANCE!D8&lt;[ActDate],[NetPrem],""),
IF(TODAY()&lt;[ActDate],[NetPrem],""))</f>
        <v/>
      </c>
      <c r="AG108">
        <f>IF(Table1[SYM]="","",SUMIFS(Table1[NetPrem],Table1[Trade'#],Table1[[Trade'#]],Table1[Leg],"&lt;="&amp;Table1[Leg]))</f>
        <v/>
      </c>
    </row>
    <row r="109">
      <c r="A109" t="inlineStr">
        <is>
          <t>Sold 1 BLL Jul 16 2021 80.0 Put @ 1.95</t>
        </is>
      </c>
      <c r="B109" t="n">
        <v>37</v>
      </c>
      <c r="C109" t="n">
        <v>1</v>
      </c>
      <c r="D109" t="inlineStr">
        <is>
          <t>SP</t>
        </is>
      </c>
      <c r="E109" s="65" t="n">
        <v>44356</v>
      </c>
      <c r="G109" s="65" t="n">
        <v>44393</v>
      </c>
      <c r="H109" t="n">
        <v>80</v>
      </c>
      <c r="J109" t="n">
        <v>1</v>
      </c>
      <c r="K109" t="n">
        <v>194.34</v>
      </c>
      <c r="M109" t="inlineStr">
        <is>
          <t>BLL</t>
        </is>
      </c>
      <c r="N109">
        <f>RTD("tos.rtd",,"last", "BLL")</f>
        <v/>
      </c>
      <c r="O109">
        <f>RTD("tos.rtd",,"ASK",".BLL210716P80")</f>
        <v/>
      </c>
      <c r="P109">
        <f>IF([TransType]="LS", [OpnPrem]+[ClsPrem],
                                            IF([TransType]="AS", [OpnPrem]+[ClsPrem],
                                               [OpnPrem]-[ClsPrem]))</f>
        <v/>
      </c>
      <c r="Q109" s="66">
        <f>IF([SYM]="","",SUMIFS([NetPrem],[Trade'#],[[Trade'#]],[Leg],"&lt;="&amp;[Leg]))</f>
        <v/>
      </c>
      <c r="R10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9">
        <f>IF([TransType]="SP",100*[Strike]*[['#Contracts]],
IF([TransType]="LS",[Strike]*[['#Contracts]],
IF([TransType]="BP",100*([Strike]-[Strike2])*[['#Contracts]],
IF([TransType]="BC",100*([Strike2]-[Strike])*[['#Contracts]],
IF([TransType]="NC",100*[Strike]*[['#Contracts]],
IF([TransType]="AS",100*[Strike]*[['#Contracts]],0))))))</f>
        <v/>
      </c>
      <c r="T109">
        <f>IF([CloseDate]&gt;0,"",[Cap])</f>
        <v/>
      </c>
      <c r="U109">
        <f>IF([CloseDate]&gt;0,"",
IF([TransType]="BC","",
IF([TransType]="BP",100*[Strike]*[['#Contracts]],
[Cap])))</f>
        <v/>
      </c>
      <c r="V109">
        <f>IF([SYM]="","",[Cap]*[Days])</f>
        <v/>
      </c>
      <c r="W109">
        <f>IF([SYM]="","",SUMIFS([CapDays],[Trade'#],[[Trade'#]],[Leg],"&lt;="&amp;[Leg]))</f>
        <v/>
      </c>
      <c r="X109" s="67">
        <f>IF([TotCapDays],365*[TotPrem]/[TotCapDays],"")</f>
        <v/>
      </c>
      <c r="Y109" s="10">
        <f>IF([SYM]="","",
IF([TransType]="LS",[Strike]-[TotPrem]/[['#Contracts]],
IF([['#Contracts]],[Strike]-[TotPrem]/[['#Contracts]]/100,"")))</f>
        <v/>
      </c>
      <c r="Z109">
        <f>IF([CloseDate]&gt;0,"",
IF([TransType]="LS",['#Contracts],
IF([TransType]="AS",100*[['#Contracts]],
IF([TransType]="SP",100*[['#Contracts]],
IF([TransType]="BP",100*[['#Contracts]],"")))))</f>
        <v/>
      </c>
      <c r="AA109" s="65">
        <f>IF([CloseDate]&gt;0,[CloseDate],
IF([ExpDate]&gt;0,[ExpDate],
TODAY()))</f>
        <v/>
      </c>
      <c r="AB109">
        <f>IF(PERFORMANCE!D8&gt;0,
IF(PERFORMANCE!D8&lt;[ActDate],"",[NetPrem]),
IF(TODAY()&lt;[ActDate],"",[NetPrem]))</f>
        <v/>
      </c>
      <c r="AC109">
        <f>IF(PERFORMANCE!D8&gt;0,
IF(PERFORMANCE!D8&lt;[ActDate],"",
IF(PERFORMANCE!D8 - [ActDate]&lt;366,[NetPrem],"")),
IF(TODAY()&lt;[ActDate],"",
IF(TODAY() - [ActDate]&lt;366,[NetPrem],"")))</f>
        <v/>
      </c>
      <c r="AD109">
        <f>IF(PERFORMANCE!D8&gt;0,
IF(PERFORMANCE!D8&lt;[ActDate],"",
IF(YEAR(PERFORMANCE!D8)=YEAR([ActDate]),[NetPrem],"")),
IF(TODAY()&lt;[ActDate],"",
IF(YEAR(TODAY())=YEAR([ActDate]),[NetPrem],"")))</f>
        <v/>
      </c>
      <c r="AE109">
        <f>IF(PERFORMANCE!D8&gt;0,
IF(PERFORMANCE!D8&lt;[ActDate],[NetPrem],""),
IF(TODAY()&lt;[ActDate],[NetPrem],""))</f>
        <v/>
      </c>
      <c r="AG109">
        <f>IF(Table1[SYM]="","",SUMIFS(Table1[NetPrem],Table1[Trade'#],Table1[[Trade'#]],Table1[Leg],"&lt;="&amp;Table1[Leg]))</f>
        <v/>
      </c>
    </row>
    <row r="110">
      <c r="A110" t="inlineStr">
        <is>
          <t>Sold 3 MU Jun 25 2021 76.0 Put @ 1.03</t>
        </is>
      </c>
      <c r="B110" t="n">
        <v>38</v>
      </c>
      <c r="C110" t="n">
        <v>1</v>
      </c>
      <c r="D110" t="inlineStr">
        <is>
          <t>SP</t>
        </is>
      </c>
      <c r="E110" s="65" t="n">
        <v>44356</v>
      </c>
      <c r="G110" s="65" t="n">
        <v>44372</v>
      </c>
      <c r="H110" t="n">
        <v>76</v>
      </c>
      <c r="J110" t="n">
        <v>3</v>
      </c>
      <c r="K110" t="n">
        <v>307</v>
      </c>
      <c r="M110" t="inlineStr">
        <is>
          <t>MU</t>
        </is>
      </c>
      <c r="N110">
        <f>RTD("tos.rtd",,"last", "MU")</f>
        <v/>
      </c>
      <c r="O110">
        <f>RTD("tos.rtd",,"ASK",".MU210625P76")</f>
        <v/>
      </c>
      <c r="P110">
        <f>IF([TransType]="LS", [OpnPrem]+[ClsPrem],
                                            IF([TransType]="AS", [OpnPrem]+[ClsPrem],
                                               [OpnPrem]-[ClsPrem]))</f>
        <v/>
      </c>
      <c r="Q110" s="66">
        <f>IF([SYM]="","",SUMIFS([NetPrem],[Trade'#],[[Trade'#]],[Leg],"&lt;="&amp;[Leg]))</f>
        <v/>
      </c>
      <c r="R11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0">
        <f>IF([TransType]="SP",100*[Strike]*[['#Contracts]],
IF([TransType]="LS",[Strike]*[['#Contracts]],
IF([TransType]="BP",100*([Strike]-[Strike2])*[['#Contracts]],
IF([TransType]="BC",100*([Strike2]-[Strike])*[['#Contracts]],
IF([TransType]="NC",100*[Strike]*[['#Contracts]],
IF([TransType]="AS",100*[Strike]*[['#Contracts]],0))))))</f>
        <v/>
      </c>
      <c r="T110">
        <f>IF([CloseDate]&gt;0,"",[Cap])</f>
        <v/>
      </c>
      <c r="U110">
        <f>IF([CloseDate]&gt;0,"",
IF([TransType]="BC","",
IF([TransType]="BP",100*[Strike]*[['#Contracts]],
[Cap])))</f>
        <v/>
      </c>
      <c r="V110">
        <f>IF([SYM]="","",[Cap]*[Days])</f>
        <v/>
      </c>
      <c r="W110">
        <f>IF([SYM]="","",SUMIFS([CapDays],[Trade'#],[[Trade'#]],[Leg],"&lt;="&amp;[Leg]))</f>
        <v/>
      </c>
      <c r="X110" s="67">
        <f>IF([TotCapDays],365*[TotPrem]/[TotCapDays],"")</f>
        <v/>
      </c>
      <c r="Y110" s="10">
        <f>IF([SYM]="","",
IF([TransType]="LS",[Strike]-[TotPrem]/[['#Contracts]],
IF([['#Contracts]],[Strike]-[TotPrem]/[['#Contracts]]/100,"")))</f>
        <v/>
      </c>
      <c r="Z110">
        <f>IF([CloseDate]&gt;0,"",
IF([TransType]="LS",['#Contracts],
IF([TransType]="AS",100*[['#Contracts]],
IF([TransType]="SP",100*[['#Contracts]],
IF([TransType]="BP",100*[['#Contracts]],"")))))</f>
        <v/>
      </c>
      <c r="AA110" s="65">
        <f>IF([CloseDate]&gt;0,[CloseDate],
IF([ExpDate]&gt;0,[ExpDate],
TODAY()))</f>
        <v/>
      </c>
      <c r="AB110">
        <f>IF(PERFORMANCE!D8&gt;0,
IF(PERFORMANCE!D8&lt;[ActDate],"",[NetPrem]),
IF(TODAY()&lt;[ActDate],"",[NetPrem]))</f>
        <v/>
      </c>
      <c r="AC110">
        <f>IF(PERFORMANCE!D8&gt;0,
IF(PERFORMANCE!D8&lt;[ActDate],"",
IF(PERFORMANCE!D8 - [ActDate]&lt;366,[NetPrem],"")),
IF(TODAY()&lt;[ActDate],"",
IF(TODAY() - [ActDate]&lt;366,[NetPrem],"")))</f>
        <v/>
      </c>
      <c r="AD110">
        <f>IF(PERFORMANCE!D8&gt;0,
IF(PERFORMANCE!D8&lt;[ActDate],"",
IF(YEAR(PERFORMANCE!D8)=YEAR([ActDate]),[NetPrem],"")),
IF(TODAY()&lt;[ActDate],"",
IF(YEAR(TODAY())=YEAR([ActDate]),[NetPrem],"")))</f>
        <v/>
      </c>
      <c r="AE110">
        <f>IF(PERFORMANCE!D8&gt;0,
IF(PERFORMANCE!D8&lt;[ActDate],[NetPrem],""),
IF(TODAY()&lt;[ActDate],[NetPrem],""))</f>
        <v/>
      </c>
      <c r="AG110">
        <f>IF(Table1[SYM]="","",SUMIFS(Table1[NetPrem],Table1[Trade'#],Table1[[Trade'#]],Table1[Leg],"&lt;="&amp;Table1[Leg]))</f>
        <v/>
      </c>
    </row>
    <row r="111">
      <c r="A111" t="inlineStr">
        <is>
          <t>Sold 2 SAVE Jul 16 2021 35.0 Put @ 2.15</t>
        </is>
      </c>
      <c r="B111" t="n">
        <v>39</v>
      </c>
      <c r="C111" t="n">
        <v>1</v>
      </c>
      <c r="D111" t="inlineStr">
        <is>
          <t>SP</t>
        </is>
      </c>
      <c r="E111" s="65" t="n">
        <v>44357</v>
      </c>
      <c r="G111" s="65" t="n">
        <v>44393</v>
      </c>
      <c r="H111" t="n">
        <v>35</v>
      </c>
      <c r="J111" t="n">
        <v>2</v>
      </c>
      <c r="K111" t="n">
        <v>428.67</v>
      </c>
      <c r="M111" t="inlineStr">
        <is>
          <t>SAVE</t>
        </is>
      </c>
      <c r="N111">
        <f>RTD("tos.rtd",,"last", "SAVE")</f>
        <v/>
      </c>
      <c r="O111">
        <f>RTD("tos.rtd",,"ASK",".SAVE210716P35")</f>
        <v/>
      </c>
      <c r="P111">
        <f>IF([TransType]="LS", [OpnPrem]+[ClsPrem],
                                            IF([TransType]="AS", [OpnPrem]+[ClsPrem],
                                               [OpnPrem]-[ClsPrem]))</f>
        <v/>
      </c>
      <c r="Q111" s="66">
        <f>IF([SYM]="","",SUMIFS([NetPrem],[Trade'#],[[Trade'#]],[Leg],"&lt;="&amp;[Leg]))</f>
        <v/>
      </c>
      <c r="R1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1">
        <f>IF([TransType]="SP",100*[Strike]*[['#Contracts]],
IF([TransType]="LS",[Strike]*[['#Contracts]],
IF([TransType]="BP",100*([Strike]-[Strike2])*[['#Contracts]],
IF([TransType]="BC",100*([Strike2]-[Strike])*[['#Contracts]],
IF([TransType]="NC",100*[Strike]*[['#Contracts]],
IF([TransType]="AS",100*[Strike]*[['#Contracts]],0))))))</f>
        <v/>
      </c>
      <c r="T111">
        <f>IF([CloseDate]&gt;0,"",[Cap])</f>
        <v/>
      </c>
      <c r="U111">
        <f>IF([CloseDate]&gt;0,"",
IF([TransType]="BC","",
IF([TransType]="BP",100*[Strike]*[['#Contracts]],
[Cap])))</f>
        <v/>
      </c>
      <c r="V111">
        <f>IF([SYM]="","",[Cap]*[Days])</f>
        <v/>
      </c>
      <c r="W111">
        <f>IF([SYM]="","",SUMIFS([CapDays],[Trade'#],[[Trade'#]],[Leg],"&lt;="&amp;[Leg]))</f>
        <v/>
      </c>
      <c r="X111" s="67">
        <f>IF([TotCapDays],365*[TotPrem]/[TotCapDays],"")</f>
        <v/>
      </c>
      <c r="Y111" s="10">
        <f>IF([SYM]="","",
IF([TransType]="LS",[Strike]-[TotPrem]/[['#Contracts]],
IF([['#Contracts]],[Strike]-[TotPrem]/[['#Contracts]]/100,"")))</f>
        <v/>
      </c>
      <c r="Z111">
        <f>IF([CloseDate]&gt;0,"",
IF([TransType]="LS",['#Contracts],
IF([TransType]="AS",100*[['#Contracts]],
IF([TransType]="SP",100*[['#Contracts]],
IF([TransType]="BP",100*[['#Contracts]],"")))))</f>
        <v/>
      </c>
      <c r="AA111" s="65">
        <f>IF([CloseDate]&gt;0,[CloseDate],
IF([ExpDate]&gt;0,[ExpDate],
TODAY()))</f>
        <v/>
      </c>
      <c r="AB111">
        <f>IF(PERFORMANCE!D8&gt;0,
IF(PERFORMANCE!D8&lt;[ActDate],"",[NetPrem]),
IF(TODAY()&lt;[ActDate],"",[NetPrem]))</f>
        <v/>
      </c>
      <c r="AC111">
        <f>IF(PERFORMANCE!D8&gt;0,
IF(PERFORMANCE!D8&lt;[ActDate],"",
IF(PERFORMANCE!D8 - [ActDate]&lt;366,[NetPrem],"")),
IF(TODAY()&lt;[ActDate],"",
IF(TODAY() - [ActDate]&lt;366,[NetPrem],"")))</f>
        <v/>
      </c>
      <c r="AD111">
        <f>IF(PERFORMANCE!D8&gt;0,
IF(PERFORMANCE!D8&lt;[ActDate],"",
IF(YEAR(PERFORMANCE!D8)=YEAR([ActDate]),[NetPrem],"")),
IF(TODAY()&lt;[ActDate],"",
IF(YEAR(TODAY())=YEAR([ActDate]),[NetPrem],"")))</f>
        <v/>
      </c>
      <c r="AE111">
        <f>IF(PERFORMANCE!D8&gt;0,
IF(PERFORMANCE!D8&lt;[ActDate],[NetPrem],""),
IF(TODAY()&lt;[ActDate],[NetPrem],""))</f>
        <v/>
      </c>
      <c r="AG111">
        <f>IF(Table1[SYM]="","",SUMIFS(Table1[NetPrem],Table1[Trade'#],Table1[[Trade'#]],Table1[Leg],"&lt;="&amp;Table1[Leg]))</f>
        <v/>
      </c>
    </row>
    <row r="112">
      <c r="A112" t="inlineStr">
        <is>
          <t>Sold 1 CHWY Jul 9 2021 71.5 Put @ 1.88</t>
        </is>
      </c>
      <c r="B112" t="n">
        <v>40</v>
      </c>
      <c r="C112" t="n">
        <v>1</v>
      </c>
      <c r="D112" t="inlineStr">
        <is>
          <t>SP</t>
        </is>
      </c>
      <c r="E112" s="65" t="n">
        <v>44358</v>
      </c>
      <c r="G112" s="65" t="n">
        <v>44386</v>
      </c>
      <c r="H112" t="n">
        <v>71.5</v>
      </c>
      <c r="J112" t="n">
        <v>1</v>
      </c>
      <c r="K112" t="n">
        <v>187.34</v>
      </c>
      <c r="M112" t="inlineStr">
        <is>
          <t>CHWY</t>
        </is>
      </c>
      <c r="N112">
        <f>RTD("tos.rtd",,"last", "CHWY")</f>
        <v/>
      </c>
      <c r="O112">
        <f>RTD("tos.rtd",,"ASK",".CHWY210709P71.5")</f>
        <v/>
      </c>
      <c r="P112">
        <f>IF([TransType]="LS", [OpnPrem]+[ClsPrem],
                                            IF([TransType]="AS", [OpnPrem]+[ClsPrem],
                                               [OpnPrem]-[ClsPrem]))</f>
        <v/>
      </c>
      <c r="Q112" s="66">
        <f>IF([SYM]="","",SUMIFS([NetPrem],[Trade'#],[[Trade'#]],[Leg],"&lt;="&amp;[Leg]))</f>
        <v/>
      </c>
      <c r="R11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2">
        <f>IF([TransType]="SP",100*[Strike]*[['#Contracts]],
IF([TransType]="LS",[Strike]*[['#Contracts]],
IF([TransType]="BP",100*([Strike]-[Strike2])*[['#Contracts]],
IF([TransType]="BC",100*([Strike2]-[Strike])*[['#Contracts]],
IF([TransType]="NC",100*[Strike]*[['#Contracts]],
IF([TransType]="AS",100*[Strike]*[['#Contracts]],0))))))</f>
        <v/>
      </c>
      <c r="T112">
        <f>IF([CloseDate]&gt;0,"",[Cap])</f>
        <v/>
      </c>
      <c r="U112">
        <f>IF([CloseDate]&gt;0,"",
IF([TransType]="BC","",
IF([TransType]="BP",100*[Strike]*[['#Contracts]],
[Cap])))</f>
        <v/>
      </c>
      <c r="V112">
        <f>IF([SYM]="","",[Cap]*[Days])</f>
        <v/>
      </c>
      <c r="W112">
        <f>IF([SYM]="","",SUMIFS([CapDays],[Trade'#],[[Trade'#]],[Leg],"&lt;="&amp;[Leg]))</f>
        <v/>
      </c>
      <c r="X112" s="67">
        <f>IF([TotCapDays],365*[TotPrem]/[TotCapDays],"")</f>
        <v/>
      </c>
      <c r="Y112" s="10">
        <f>IF([SYM]="","",
IF([TransType]="LS",[Strike]-[TotPrem]/[['#Contracts]],
IF([['#Contracts]],[Strike]-[TotPrem]/[['#Contracts]]/100,"")))</f>
        <v/>
      </c>
      <c r="Z112">
        <f>IF([CloseDate]&gt;0,"",
IF([TransType]="LS",['#Contracts],
IF([TransType]="AS",100*[['#Contracts]],
IF([TransType]="SP",100*[['#Contracts]],
IF([TransType]="BP",100*[['#Contracts]],"")))))</f>
        <v/>
      </c>
      <c r="AA112" s="65">
        <f>IF([CloseDate]&gt;0,[CloseDate],
IF([ExpDate]&gt;0,[ExpDate],
TODAY()))</f>
        <v/>
      </c>
      <c r="AB112">
        <f>IF(PERFORMANCE!D8&gt;0,
IF(PERFORMANCE!D8&lt;[ActDate],"",[NetPrem]),
IF(TODAY()&lt;[ActDate],"",[NetPrem]))</f>
        <v/>
      </c>
      <c r="AC112">
        <f>IF(PERFORMANCE!D8&gt;0,
IF(PERFORMANCE!D8&lt;[ActDate],"",
IF(PERFORMANCE!D8 - [ActDate]&lt;366,[NetPrem],"")),
IF(TODAY()&lt;[ActDate],"",
IF(TODAY() - [ActDate]&lt;366,[NetPrem],"")))</f>
        <v/>
      </c>
      <c r="AD112">
        <f>IF(PERFORMANCE!D8&gt;0,
IF(PERFORMANCE!D8&lt;[ActDate],"",
IF(YEAR(PERFORMANCE!D8)=YEAR([ActDate]),[NetPrem],"")),
IF(TODAY()&lt;[ActDate],"",
IF(YEAR(TODAY())=YEAR([ActDate]),[NetPrem],"")))</f>
        <v/>
      </c>
      <c r="AE112">
        <f>IF(PERFORMANCE!D8&gt;0,
IF(PERFORMANCE!D8&lt;[ActDate],[NetPrem],""),
IF(TODAY()&lt;[ActDate],[NetPrem],""))</f>
        <v/>
      </c>
      <c r="AG112">
        <f>IF(Table1[SYM]="","",SUMIFS(Table1[NetPrem],Table1[Trade'#],Table1[[Trade'#]],Table1[Leg],"&lt;="&amp;Table1[Leg]))</f>
        <v/>
      </c>
    </row>
    <row r="113">
      <c r="A113" t="inlineStr">
        <is>
          <t>Bought 3 NRG Jun 18 2021 33.0 Put @ 0.1</t>
        </is>
      </c>
      <c r="B113" t="n">
        <v>41</v>
      </c>
      <c r="C113" t="n">
        <v>1</v>
      </c>
      <c r="D113" t="inlineStr">
        <is>
          <t>SP</t>
        </is>
      </c>
      <c r="E113" s="65" t="n">
        <v>44358</v>
      </c>
      <c r="G113" s="65" t="n">
        <v>44365</v>
      </c>
      <c r="H113" t="n">
        <v>33</v>
      </c>
      <c r="J113" t="n">
        <v>3</v>
      </c>
      <c r="K113" t="n">
        <v>-31.99</v>
      </c>
      <c r="M113" t="inlineStr">
        <is>
          <t>NRG</t>
        </is>
      </c>
      <c r="N113">
        <f>RTD("tos.rtd",,"last", "NRG")</f>
        <v/>
      </c>
      <c r="O113">
        <f>RTD("tos.rtd",,"ASK",".NRG210618P33")</f>
        <v/>
      </c>
      <c r="P113">
        <f>IF([TransType]="LS", [OpnPrem]+[ClsPrem],
                                            IF([TransType]="AS", [OpnPrem]+[ClsPrem],
                                               [OpnPrem]-[ClsPrem]))</f>
        <v/>
      </c>
      <c r="Q113" s="66">
        <f>IF([SYM]="","",SUMIFS([NetPrem],[Trade'#],[[Trade'#]],[Leg],"&lt;="&amp;[Leg]))</f>
        <v/>
      </c>
      <c r="R11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3">
        <f>IF([TransType]="SP",100*[Strike]*[['#Contracts]],
IF([TransType]="LS",[Strike]*[['#Contracts]],
IF([TransType]="BP",100*([Strike]-[Strike2])*[['#Contracts]],
IF([TransType]="BC",100*([Strike2]-[Strike])*[['#Contracts]],
IF([TransType]="NC",100*[Strike]*[['#Contracts]],
IF([TransType]="AS",100*[Strike]*[['#Contracts]],0))))))</f>
        <v/>
      </c>
      <c r="T113">
        <f>IF([CloseDate]&gt;0,"",[Cap])</f>
        <v/>
      </c>
      <c r="U113">
        <f>IF([CloseDate]&gt;0,"",
IF([TransType]="BC","",
IF([TransType]="BP",100*[Strike]*[['#Contracts]],
[Cap])))</f>
        <v/>
      </c>
      <c r="V113">
        <f>IF([SYM]="","",[Cap]*[Days])</f>
        <v/>
      </c>
      <c r="W113">
        <f>IF([SYM]="","",SUMIFS([CapDays],[Trade'#],[[Trade'#]],[Leg],"&lt;="&amp;[Leg]))</f>
        <v/>
      </c>
      <c r="X113" s="67">
        <f>IF([TotCapDays],365*[TotPrem]/[TotCapDays],"")</f>
        <v/>
      </c>
      <c r="Y113" s="10">
        <f>IF([SYM]="","",
IF([TransType]="LS",[Strike]-[TotPrem]/[['#Contracts]],
IF([['#Contracts]],[Strike]-[TotPrem]/[['#Contracts]]/100,"")))</f>
        <v/>
      </c>
      <c r="Z113">
        <f>IF([CloseDate]&gt;0,"",
IF([TransType]="LS",['#Contracts],
IF([TransType]="AS",100*[['#Contracts]],
IF([TransType]="SP",100*[['#Contracts]],
IF([TransType]="BP",100*[['#Contracts]],"")))))</f>
        <v/>
      </c>
      <c r="AA113" s="65">
        <f>IF([CloseDate]&gt;0,[CloseDate],
IF([ExpDate]&gt;0,[ExpDate],
TODAY()))</f>
        <v/>
      </c>
      <c r="AB113">
        <f>IF(PERFORMANCE!D8&gt;0,
IF(PERFORMANCE!D8&lt;[ActDate],"",[NetPrem]),
IF(TODAY()&lt;[ActDate],"",[NetPrem]))</f>
        <v/>
      </c>
      <c r="AC113">
        <f>IF(PERFORMANCE!D8&gt;0,
IF(PERFORMANCE!D8&lt;[ActDate],"",
IF(PERFORMANCE!D8 - [ActDate]&lt;366,[NetPrem],"")),
IF(TODAY()&lt;[ActDate],"",
IF(TODAY() - [ActDate]&lt;366,[NetPrem],"")))</f>
        <v/>
      </c>
      <c r="AD113">
        <f>IF(PERFORMANCE!D8&gt;0,
IF(PERFORMANCE!D8&lt;[ActDate],"",
IF(YEAR(PERFORMANCE!D8)=YEAR([ActDate]),[NetPrem],"")),
IF(TODAY()&lt;[ActDate],"",
IF(YEAR(TODAY())=YEAR([ActDate]),[NetPrem],"")))</f>
        <v/>
      </c>
      <c r="AE113">
        <f>IF(PERFORMANCE!D8&gt;0,
IF(PERFORMANCE!D8&lt;[ActDate],[NetPrem],""),
IF(TODAY()&lt;[ActDate],[NetPrem],""))</f>
        <v/>
      </c>
      <c r="AG113">
        <f>IF(Table1[SYM]="","",SUMIFS(Table1[NetPrem],Table1[Trade'#],Table1[[Trade'#]],Table1[Leg],"&lt;="&amp;Table1[Leg]))</f>
        <v/>
      </c>
    </row>
    <row r="114">
      <c r="A114" t="inlineStr">
        <is>
          <t>Sold 4 DAL Jul 2 2021 46.0 Put @ 1.16</t>
        </is>
      </c>
      <c r="B114" t="n">
        <v>42</v>
      </c>
      <c r="C114" t="n">
        <v>1</v>
      </c>
      <c r="D114" t="inlineStr">
        <is>
          <t>SP</t>
        </is>
      </c>
      <c r="E114" s="65" t="n">
        <v>44358</v>
      </c>
      <c r="G114" s="65" t="n">
        <v>44379</v>
      </c>
      <c r="H114" t="n">
        <v>46</v>
      </c>
      <c r="J114" t="n">
        <v>4</v>
      </c>
      <c r="K114" t="n">
        <v>461.33</v>
      </c>
      <c r="M114" t="inlineStr">
        <is>
          <t>DAL</t>
        </is>
      </c>
      <c r="N114">
        <f>RTD("tos.rtd",,"last", "DAL")</f>
        <v/>
      </c>
      <c r="O114">
        <f>RTD("tos.rtd",,"ASK",".DAL210702P46")</f>
        <v/>
      </c>
      <c r="P114">
        <f>IF([TransType]="LS", [OpnPrem]+[ClsPrem],
                                            IF([TransType]="AS", [OpnPrem]+[ClsPrem],
                                               [OpnPrem]-[ClsPrem]))</f>
        <v/>
      </c>
      <c r="Q114" s="66">
        <f>IF([SYM]="","",SUMIFS([NetPrem],[Trade'#],[[Trade'#]],[Leg],"&lt;="&amp;[Leg]))</f>
        <v/>
      </c>
      <c r="R11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4">
        <f>IF([TransType]="SP",100*[Strike]*[['#Contracts]],
IF([TransType]="LS",[Strike]*[['#Contracts]],
IF([TransType]="BP",100*([Strike]-[Strike2])*[['#Contracts]],
IF([TransType]="BC",100*([Strike2]-[Strike])*[['#Contracts]],
IF([TransType]="NC",100*[Strike]*[['#Contracts]],
IF([TransType]="AS",100*[Strike]*[['#Contracts]],0))))))</f>
        <v/>
      </c>
      <c r="T114">
        <f>IF([CloseDate]&gt;0,"",[Cap])</f>
        <v/>
      </c>
      <c r="U114">
        <f>IF([CloseDate]&gt;0,"",
IF([TransType]="BC","",
IF([TransType]="BP",100*[Strike]*[['#Contracts]],
[Cap])))</f>
        <v/>
      </c>
      <c r="V114">
        <f>IF([SYM]="","",[Cap]*[Days])</f>
        <v/>
      </c>
      <c r="W114">
        <f>IF([SYM]="","",SUMIFS([CapDays],[Trade'#],[[Trade'#]],[Leg],"&lt;="&amp;[Leg]))</f>
        <v/>
      </c>
      <c r="X114" s="67">
        <f>IF([TotCapDays],365*[TotPrem]/[TotCapDays],"")</f>
        <v/>
      </c>
      <c r="Y114" s="10">
        <f>IF([SYM]="","",
IF([TransType]="LS",[Strike]-[TotPrem]/[['#Contracts]],
IF([['#Contracts]],[Strike]-[TotPrem]/[['#Contracts]]/100,"")))</f>
        <v/>
      </c>
      <c r="Z114">
        <f>IF([CloseDate]&gt;0,"",
IF([TransType]="LS",['#Contracts],
IF([TransType]="AS",100*[['#Contracts]],
IF([TransType]="SP",100*[['#Contracts]],
IF([TransType]="BP",100*[['#Contracts]],"")))))</f>
        <v/>
      </c>
      <c r="AA114" s="65">
        <f>IF([CloseDate]&gt;0,[CloseDate],
IF([ExpDate]&gt;0,[ExpDate],
TODAY()))</f>
        <v/>
      </c>
      <c r="AB114">
        <f>IF(PERFORMANCE!D8&gt;0,
IF(PERFORMANCE!D8&lt;[ActDate],"",[NetPrem]),
IF(TODAY()&lt;[ActDate],"",[NetPrem]))</f>
        <v/>
      </c>
      <c r="AC114">
        <f>IF(PERFORMANCE!D8&gt;0,
IF(PERFORMANCE!D8&lt;[ActDate],"",
IF(PERFORMANCE!D8 - [ActDate]&lt;366,[NetPrem],"")),
IF(TODAY()&lt;[ActDate],"",
IF(TODAY() - [ActDate]&lt;366,[NetPrem],"")))</f>
        <v/>
      </c>
      <c r="AD114">
        <f>IF(PERFORMANCE!D8&gt;0,
IF(PERFORMANCE!D8&lt;[ActDate],"",
IF(YEAR(PERFORMANCE!D8)=YEAR([ActDate]),[NetPrem],"")),
IF(TODAY()&lt;[ActDate],"",
IF(YEAR(TODAY())=YEAR([ActDate]),[NetPrem],"")))</f>
        <v/>
      </c>
      <c r="AE114">
        <f>IF(PERFORMANCE!D8&gt;0,
IF(PERFORMANCE!D8&lt;[ActDate],[NetPrem],""),
IF(TODAY()&lt;[ActDate],[NetPrem],""))</f>
        <v/>
      </c>
      <c r="AG114">
        <f>IF(Table1[SYM]="","",SUMIFS(Table1[NetPrem],Table1[Trade'#],Table1[[Trade'#]],Table1[Leg],"&lt;="&amp;Table1[Leg]))</f>
        <v/>
      </c>
    </row>
    <row r="115">
      <c r="A115" t="inlineStr">
        <is>
          <t>Bought 2 IRBT Jun 11 2021 91.0 Put @ 0.1</t>
        </is>
      </c>
      <c r="B115" t="n">
        <v>43</v>
      </c>
      <c r="C115" t="n">
        <v>1</v>
      </c>
      <c r="D115" t="inlineStr">
        <is>
          <t>SP</t>
        </is>
      </c>
      <c r="E115" s="65" t="n">
        <v>44358</v>
      </c>
      <c r="G115" s="65" t="n">
        <v>44358</v>
      </c>
      <c r="H115" t="n">
        <v>91</v>
      </c>
      <c r="J115" t="n">
        <v>2</v>
      </c>
      <c r="K115" t="n">
        <v>-21.33</v>
      </c>
      <c r="M115" t="inlineStr">
        <is>
          <t>IRBT</t>
        </is>
      </c>
      <c r="N115">
        <f>RTD("tos.rtd",,"last", "IRBT")</f>
        <v/>
      </c>
      <c r="O115">
        <f>RTD("tos.rtd",,"ASK",".IRBT210611P91")</f>
        <v/>
      </c>
      <c r="P115">
        <f>IF([TransType]="LS", [OpnPrem]+[ClsPrem],
                                            IF([TransType]="AS", [OpnPrem]+[ClsPrem],
                                               [OpnPrem]-[ClsPrem]))</f>
        <v/>
      </c>
      <c r="Q115" s="66">
        <f>IF([SYM]="","",SUMIFS([NetPrem],[Trade'#],[[Trade'#]],[Leg],"&lt;="&amp;[Leg]))</f>
        <v/>
      </c>
      <c r="R11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5">
        <f>IF([TransType]="SP",100*[Strike]*[['#Contracts]],
IF([TransType]="LS",[Strike]*[['#Contracts]],
IF([TransType]="BP",100*([Strike]-[Strike2])*[['#Contracts]],
IF([TransType]="BC",100*([Strike2]-[Strike])*[['#Contracts]],
IF([TransType]="NC",100*[Strike]*[['#Contracts]],
IF([TransType]="AS",100*[Strike]*[['#Contracts]],0))))))</f>
        <v/>
      </c>
      <c r="T115">
        <f>IF([CloseDate]&gt;0,"",[Cap])</f>
        <v/>
      </c>
      <c r="U115">
        <f>IF([CloseDate]&gt;0,"",
IF([TransType]="BC","",
IF([TransType]="BP",100*[Strike]*[['#Contracts]],
[Cap])))</f>
        <v/>
      </c>
      <c r="V115">
        <f>IF([SYM]="","",[Cap]*[Days])</f>
        <v/>
      </c>
      <c r="W115">
        <f>IF([SYM]="","",SUMIFS([CapDays],[Trade'#],[[Trade'#]],[Leg],"&lt;="&amp;[Leg]))</f>
        <v/>
      </c>
      <c r="X115" s="67">
        <f>IF([TotCapDays],365*[TotPrem]/[TotCapDays],"")</f>
        <v/>
      </c>
      <c r="Y115" s="10">
        <f>IF([SYM]="","",
IF([TransType]="LS",[Strike]-[TotPrem]/[['#Contracts]],
IF([['#Contracts]],[Strike]-[TotPrem]/[['#Contracts]]/100,"")))</f>
        <v/>
      </c>
      <c r="Z115">
        <f>IF([CloseDate]&gt;0,"",
IF([TransType]="LS",['#Contracts],
IF([TransType]="AS",100*[['#Contracts]],
IF([TransType]="SP",100*[['#Contracts]],
IF([TransType]="BP",100*[['#Contracts]],"")))))</f>
        <v/>
      </c>
      <c r="AA115" s="65">
        <f>IF([CloseDate]&gt;0,[CloseDate],
IF([ExpDate]&gt;0,[ExpDate],
TODAY()))</f>
        <v/>
      </c>
      <c r="AB115">
        <f>IF(PERFORMANCE!D8&gt;0,
IF(PERFORMANCE!D8&lt;[ActDate],"",[NetPrem]),
IF(TODAY()&lt;[ActDate],"",[NetPrem]))</f>
        <v/>
      </c>
      <c r="AC115">
        <f>IF(PERFORMANCE!D8&gt;0,
IF(PERFORMANCE!D8&lt;[ActDate],"",
IF(PERFORMANCE!D8 - [ActDate]&lt;366,[NetPrem],"")),
IF(TODAY()&lt;[ActDate],"",
IF(TODAY() - [ActDate]&lt;366,[NetPrem],"")))</f>
        <v/>
      </c>
      <c r="AD115">
        <f>IF(PERFORMANCE!D8&gt;0,
IF(PERFORMANCE!D8&lt;[ActDate],"",
IF(YEAR(PERFORMANCE!D8)=YEAR([ActDate]),[NetPrem],"")),
IF(TODAY()&lt;[ActDate],"",
IF(YEAR(TODAY())=YEAR([ActDate]),[NetPrem],"")))</f>
        <v/>
      </c>
      <c r="AE115">
        <f>IF(PERFORMANCE!D8&gt;0,
IF(PERFORMANCE!D8&lt;[ActDate],[NetPrem],""),
IF(TODAY()&lt;[ActDate],[NetPrem],""))</f>
        <v/>
      </c>
      <c r="AG115">
        <f>IF(Table1[SYM]="","",SUMIFS(Table1[NetPrem],Table1[Trade'#],Table1[[Trade'#]],Table1[Leg],"&lt;="&amp;Table1[Leg]))</f>
        <v/>
      </c>
    </row>
    <row r="116">
      <c r="A116" t="inlineStr">
        <is>
          <t>Sold 3 SBH Jul 16 2021 20.0 Put @ 0.67</t>
        </is>
      </c>
      <c r="B116" t="n">
        <v>44</v>
      </c>
      <c r="C116" t="n">
        <v>1</v>
      </c>
      <c r="D116" t="inlineStr">
        <is>
          <t>SP</t>
        </is>
      </c>
      <c r="E116" s="65" t="n">
        <v>44361</v>
      </c>
      <c r="G116" s="65" t="n">
        <v>44393</v>
      </c>
      <c r="H116" t="n">
        <v>20</v>
      </c>
      <c r="J116" t="n">
        <v>3</v>
      </c>
      <c r="K116" t="n">
        <v>199</v>
      </c>
      <c r="M116" t="inlineStr">
        <is>
          <t>SBH</t>
        </is>
      </c>
      <c r="N116">
        <f>RTD("tos.rtd",,"last", "SBH")</f>
        <v/>
      </c>
      <c r="O116">
        <f>RTD("tos.rtd",,"ASK",".SBH210716P20")</f>
        <v/>
      </c>
      <c r="P116">
        <f>IF([TransType]="LS", [OpnPrem]+[ClsPrem],
                                            IF([TransType]="AS", [OpnPrem]+[ClsPrem],
                                               [OpnPrem]-[ClsPrem]))</f>
        <v/>
      </c>
      <c r="Q116" s="66">
        <f>IF([SYM]="","",SUMIFS([NetPrem],[Trade'#],[[Trade'#]],[Leg],"&lt;="&amp;[Leg]))</f>
        <v/>
      </c>
      <c r="R11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6">
        <f>IF([TransType]="SP",100*[Strike]*[['#Contracts]],
IF([TransType]="LS",[Strike]*[['#Contracts]],
IF([TransType]="BP",100*([Strike]-[Strike2])*[['#Contracts]],
IF([TransType]="BC",100*([Strike2]-[Strike])*[['#Contracts]],
IF([TransType]="NC",100*[Strike]*[['#Contracts]],
IF([TransType]="AS",100*[Strike]*[['#Contracts]],0))))))</f>
        <v/>
      </c>
      <c r="T116">
        <f>IF([CloseDate]&gt;0,"",[Cap])</f>
        <v/>
      </c>
      <c r="U116">
        <f>IF([CloseDate]&gt;0,"",
IF([TransType]="BC","",
IF([TransType]="BP",100*[Strike]*[['#Contracts]],
[Cap])))</f>
        <v/>
      </c>
      <c r="V116">
        <f>IF([SYM]="","",[Cap]*[Days])</f>
        <v/>
      </c>
      <c r="W116">
        <f>IF([SYM]="","",SUMIFS([CapDays],[Trade'#],[[Trade'#]],[Leg],"&lt;="&amp;[Leg]))</f>
        <v/>
      </c>
      <c r="X116" s="67">
        <f>IF([TotCapDays],365*[TotPrem]/[TotCapDays],"")</f>
        <v/>
      </c>
      <c r="Y116" s="10">
        <f>IF([SYM]="","",
IF([TransType]="LS",[Strike]-[TotPrem]/[['#Contracts]],
IF([['#Contracts]],[Strike]-[TotPrem]/[['#Contracts]]/100,"")))</f>
        <v/>
      </c>
      <c r="Z116">
        <f>IF([CloseDate]&gt;0,"",
IF([TransType]="LS",['#Contracts],
IF([TransType]="AS",100*[['#Contracts]],
IF([TransType]="SP",100*[['#Contracts]],
IF([TransType]="BP",100*[['#Contracts]],"")))))</f>
        <v/>
      </c>
      <c r="AA116" s="65">
        <f>IF([CloseDate]&gt;0,[CloseDate],
IF([ExpDate]&gt;0,[ExpDate],
TODAY()))</f>
        <v/>
      </c>
      <c r="AB116">
        <f>IF(PERFORMANCE!D8&gt;0,
IF(PERFORMANCE!D8&lt;[ActDate],"",[NetPrem]),
IF(TODAY()&lt;[ActDate],"",[NetPrem]))</f>
        <v/>
      </c>
      <c r="AC116">
        <f>IF(PERFORMANCE!D8&gt;0,
IF(PERFORMANCE!D8&lt;[ActDate],"",
IF(PERFORMANCE!D8 - [ActDate]&lt;366,[NetPrem],"")),
IF(TODAY()&lt;[ActDate],"",
IF(TODAY() - [ActDate]&lt;366,[NetPrem],"")))</f>
        <v/>
      </c>
      <c r="AD116">
        <f>IF(PERFORMANCE!D8&gt;0,
IF(PERFORMANCE!D8&lt;[ActDate],"",
IF(YEAR(PERFORMANCE!D8)=YEAR([ActDate]),[NetPrem],"")),
IF(TODAY()&lt;[ActDate],"",
IF(YEAR(TODAY())=YEAR([ActDate]),[NetPrem],"")))</f>
        <v/>
      </c>
      <c r="AE116">
        <f>IF(PERFORMANCE!D8&gt;0,
IF(PERFORMANCE!D8&lt;[ActDate],[NetPrem],""),
IF(TODAY()&lt;[ActDate],[NetPrem],""))</f>
        <v/>
      </c>
      <c r="AG116">
        <f>IF(Table1[SYM]="","",SUMIFS(Table1[NetPrem],Table1[Trade'#],Table1[[Trade'#]],Table1[Leg],"&lt;="&amp;Table1[Leg]))</f>
        <v/>
      </c>
    </row>
  </sheetData>
  <mergeCells count="1">
    <mergeCell ref="P7:AE7"/>
  </mergeCells>
  <conditionalFormatting sqref="X9">
    <cfRule dxfId="134" priority="5" type="expression">
      <formula>"o9&lt;0"</formula>
    </cfRule>
    <cfRule dxfId="134" priority="8" type="expression">
      <formula>"o9&gt;0"</formula>
    </cfRule>
    <cfRule dxfId="132" operator="greaterThan" priority="9" type="cellIs">
      <formula>2.332</formula>
    </cfRule>
  </conditionalFormatting>
  <conditionalFormatting sqref="X12">
    <cfRule dxfId="132"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1:K20"/>
  <sheetViews>
    <sheetView topLeftCell="A2" workbookViewId="0" zoomScaleNormal="100">
      <selection activeCell="C8" sqref="C8"/>
    </sheetView>
  </sheetViews>
  <sheetFormatPr baseColWidth="8" defaultRowHeight="15"/>
  <cols>
    <col customWidth="1" max="1" min="1" style="52" width="12.7109375"/>
    <col customWidth="1" max="2" min="2" style="52" width="8"/>
    <col bestFit="1" customWidth="1" max="3" min="3" style="52" width="36"/>
    <col bestFit="1" customWidth="1" max="5" min="4" style="52" width="10.5703125"/>
    <col bestFit="1" customWidth="1" max="6" min="6" style="2" width="10.7109375"/>
    <col customWidth="1" max="7" min="7" style="52" width="8.42578125"/>
    <col bestFit="1" customWidth="1" max="8" min="8" style="52" width="12.5703125"/>
    <col bestFit="1" customWidth="1" max="9" min="9" style="52" width="13.42578125"/>
    <col bestFit="1" customWidth="1" max="10" min="10" style="52" width="15.7109375"/>
    <col bestFit="1" customWidth="1" max="11" min="11" style="52" width="15.85546875"/>
    <col bestFit="1" customWidth="1" max="12" min="12" style="52" width="15.28515625"/>
    <col bestFit="1" customWidth="1" max="13" min="13" style="52" width="15.85546875"/>
    <col bestFit="1" customWidth="1" max="14" min="14" style="52" width="15.28515625"/>
    <col bestFit="1" customWidth="1" max="15" min="15" style="52" width="15.85546875"/>
    <col bestFit="1" customWidth="1" max="16" min="16" style="52" width="15.28515625"/>
    <col bestFit="1" customWidth="1" max="17" min="17" style="52" width="8.85546875"/>
    <col bestFit="1" customWidth="1" max="18" min="18" style="52" width="7.140625"/>
    <col bestFit="1" customWidth="1" max="19" min="19" style="52" width="10.140625"/>
    <col bestFit="1" customWidth="1" max="20" min="20" style="52" width="6.140625"/>
    <col bestFit="1" customWidth="1" max="21" min="21" style="52" width="9.140625"/>
    <col bestFit="1" customWidth="1" max="22" min="22" style="52" width="7"/>
    <col bestFit="1" customWidth="1" max="23" min="23" style="52" width="10"/>
    <col bestFit="1" customWidth="1" max="24" min="24" style="52" width="6"/>
    <col bestFit="1" customWidth="1" max="25" min="25" style="52" width="9"/>
    <col bestFit="1" customWidth="1" max="26" min="26" style="52" width="6.140625"/>
    <col bestFit="1" customWidth="1" max="27" min="27" style="52" width="9.140625"/>
    <col bestFit="1" customWidth="1" max="28" min="28" style="52" width="6.28515625"/>
    <col bestFit="1" customWidth="1" max="29" min="29" style="52" width="9.28515625"/>
    <col bestFit="1" customWidth="1" max="31" min="30" style="52"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30" t="inlineStr">
        <is>
          <t>CloseDate</t>
        </is>
      </c>
      <c r="B4" t="inlineStr">
        <is>
          <t>(blank)</t>
        </is>
      </c>
    </row>
    <row r="6">
      <c r="A6" s="3" t="inlineStr">
        <is>
          <t>ExpDate</t>
        </is>
      </c>
      <c r="B6" s="30" t="inlineStr">
        <is>
          <t>Trade#</t>
        </is>
      </c>
      <c r="C6" s="30" t="inlineStr">
        <is>
          <t>SYM</t>
        </is>
      </c>
      <c r="D6" s="30" t="inlineStr">
        <is>
          <t>Leg</t>
        </is>
      </c>
      <c r="E6" s="30" t="inlineStr">
        <is>
          <t>TransType</t>
        </is>
      </c>
      <c r="F6" s="30" t="inlineStr">
        <is>
          <t>OpenDate</t>
        </is>
      </c>
      <c r="G6" s="30" t="inlineStr">
        <is>
          <t>Strike</t>
        </is>
      </c>
      <c r="H6" s="30" t="inlineStr">
        <is>
          <t>Current value</t>
        </is>
      </c>
      <c r="I6" s="30" t="inlineStr">
        <is>
          <t>ask</t>
        </is>
      </c>
      <c r="J6" s="30" t="inlineStr">
        <is>
          <t>#Contracts</t>
        </is>
      </c>
      <c r="K6" t="inlineStr">
        <is>
          <t>Req uired Cap</t>
        </is>
      </c>
    </row>
    <row r="7">
      <c r="A7" s="2" t="n">
        <v>44337</v>
      </c>
      <c r="B7" t="n">
        <v>1</v>
      </c>
      <c r="C7" t="inlineStr">
        <is>
          <t>Sold 2 JD May 21 2021 77.5 Put @ 3.68</t>
        </is>
      </c>
      <c r="D7" t="n">
        <v>4</v>
      </c>
      <c r="E7" t="inlineStr">
        <is>
          <t>SP</t>
        </is>
      </c>
      <c r="F7" s="2" t="n">
        <v>44302</v>
      </c>
      <c r="G7" t="n">
        <v>77.5</v>
      </c>
      <c r="H7" t="inlineStr">
        <is>
          <t>#N/A</t>
        </is>
      </c>
      <c r="I7" t="inlineStr">
        <is>
          <t>#N/A</t>
        </is>
      </c>
      <c r="J7" s="11" t="n">
        <v>2</v>
      </c>
      <c r="K7" t="n">
        <v>15500</v>
      </c>
    </row>
    <row r="8">
      <c r="B8" t="n">
        <v>18</v>
      </c>
      <c r="C8" t="inlineStr">
        <is>
          <t>Sold 2 EAT May 21 2021 65.0 Put @ 1</t>
        </is>
      </c>
      <c r="D8" t="n">
        <v>1</v>
      </c>
      <c r="E8" t="inlineStr">
        <is>
          <t>SP</t>
        </is>
      </c>
      <c r="F8" s="2" t="n">
        <v>44316</v>
      </c>
      <c r="G8" t="n">
        <v>65</v>
      </c>
      <c r="H8" t="inlineStr">
        <is>
          <t>#N/A</t>
        </is>
      </c>
      <c r="I8" t="inlineStr">
        <is>
          <t>#N/A</t>
        </is>
      </c>
      <c r="J8" s="11" t="n">
        <v>2</v>
      </c>
      <c r="K8" t="n">
        <v>13000</v>
      </c>
    </row>
    <row r="9">
      <c r="C9" t="inlineStr">
        <is>
          <t>Sold 2 EAT May 21 2021 65.0 Put @ 2.3</t>
        </is>
      </c>
      <c r="D9" t="n">
        <v>2</v>
      </c>
      <c r="E9" t="inlineStr">
        <is>
          <t>SP</t>
        </is>
      </c>
      <c r="F9" s="2" t="n">
        <v>44320</v>
      </c>
      <c r="G9" t="n">
        <v>65</v>
      </c>
      <c r="H9" t="inlineStr">
        <is>
          <t>#N/A</t>
        </is>
      </c>
      <c r="I9" t="inlineStr">
        <is>
          <t>#N/A</t>
        </is>
      </c>
      <c r="J9" s="11" t="n">
        <v>2</v>
      </c>
      <c r="K9" t="n">
        <v>13000</v>
      </c>
    </row>
    <row r="10">
      <c r="A10" s="2" t="n">
        <v>44344</v>
      </c>
      <c r="B10" t="n">
        <v>21</v>
      </c>
      <c r="C10" t="inlineStr">
        <is>
          <t>Sold 2 SNAP May 28 2021 50.0 Put @ 1.53</t>
        </is>
      </c>
      <c r="D10" t="n">
        <v>1</v>
      </c>
      <c r="E10" t="inlineStr">
        <is>
          <t>SP</t>
        </is>
      </c>
      <c r="F10" s="2" t="n">
        <v>44326</v>
      </c>
      <c r="G10" t="n">
        <v>50</v>
      </c>
      <c r="H10" t="inlineStr">
        <is>
          <t>#N/A</t>
        </is>
      </c>
      <c r="I10" t="inlineStr">
        <is>
          <t>#N/A</t>
        </is>
      </c>
      <c r="J10" s="11" t="n">
        <v>2</v>
      </c>
      <c r="K10" t="n">
        <v>10000</v>
      </c>
    </row>
    <row r="11">
      <c r="A11" s="2" t="n">
        <v>44351</v>
      </c>
      <c r="B11" t="n">
        <v>20</v>
      </c>
      <c r="C11" t="inlineStr">
        <is>
          <t>Sold 10 AAL Jun 4 2021 21.0 Put @ 0.56</t>
        </is>
      </c>
      <c r="D11" t="n">
        <v>1</v>
      </c>
      <c r="E11" t="inlineStr">
        <is>
          <t>SP</t>
        </is>
      </c>
      <c r="F11" s="2" t="n">
        <v>44323</v>
      </c>
      <c r="G11" t="n">
        <v>21</v>
      </c>
      <c r="H11" t="inlineStr">
        <is>
          <t>#N/A</t>
        </is>
      </c>
      <c r="I11" t="inlineStr">
        <is>
          <t>#N/A</t>
        </is>
      </c>
      <c r="J11" s="11" t="n">
        <v>10</v>
      </c>
      <c r="K11" t="n">
        <v>21000</v>
      </c>
    </row>
    <row r="12">
      <c r="B12" t="n">
        <v>22</v>
      </c>
      <c r="C12" t="inlineStr">
        <is>
          <t>Sold 4 DBX Jun 04 2021 24.5 Put @ 0.67</t>
        </is>
      </c>
      <c r="D12" t="n">
        <v>1</v>
      </c>
      <c r="E12" t="inlineStr">
        <is>
          <t>SP</t>
        </is>
      </c>
      <c r="F12" s="2" t="n">
        <v>44327</v>
      </c>
      <c r="G12" t="n">
        <v>24.5</v>
      </c>
      <c r="H12" t="inlineStr">
        <is>
          <t>#N/A</t>
        </is>
      </c>
      <c r="I12" t="inlineStr">
        <is>
          <t>#N/A</t>
        </is>
      </c>
      <c r="J12" s="11" t="n">
        <v>4</v>
      </c>
      <c r="K12" t="n">
        <v>9800</v>
      </c>
    </row>
    <row r="13">
      <c r="A13" s="2" t="n">
        <v>44358</v>
      </c>
      <c r="B13" t="n">
        <v>6</v>
      </c>
      <c r="C13" t="inlineStr">
        <is>
          <t>Sold 1 SFIX Jun 11 2021 42.0 Put @ 4.87</t>
        </is>
      </c>
      <c r="D13" t="n">
        <v>7</v>
      </c>
      <c r="E13" t="inlineStr">
        <is>
          <t>SP</t>
        </is>
      </c>
      <c r="F13" s="2" t="n">
        <v>44328</v>
      </c>
      <c r="G13" t="n">
        <v>42</v>
      </c>
      <c r="H13" t="n">
        <v>0</v>
      </c>
      <c r="I13" t="n">
        <v>0</v>
      </c>
      <c r="J13" s="11" t="n">
        <v>1</v>
      </c>
      <c r="K13" t="n">
        <v>4200</v>
      </c>
    </row>
    <row r="14">
      <c r="C14" t="inlineStr">
        <is>
          <t>Sold 1 SFIX Jun 11 2021 42.0 Put @ 4.66</t>
        </is>
      </c>
      <c r="D14" t="n">
        <v>9</v>
      </c>
      <c r="E14" t="inlineStr">
        <is>
          <t>SP</t>
        </is>
      </c>
      <c r="F14" s="2" t="n">
        <v>44328</v>
      </c>
      <c r="G14" t="n">
        <v>42</v>
      </c>
      <c r="H14" t="n">
        <v>0</v>
      </c>
      <c r="I14" t="n">
        <v>0</v>
      </c>
      <c r="J14" s="11" t="n">
        <v>1</v>
      </c>
      <c r="K14" t="n">
        <v>4200</v>
      </c>
    </row>
    <row r="15">
      <c r="B15" t="n">
        <v>17</v>
      </c>
      <c r="C15" t="inlineStr">
        <is>
          <t>Sold 2 SFIX Jun 11 2021 43.0 Put @ 6.5</t>
        </is>
      </c>
      <c r="D15" t="n">
        <v>3</v>
      </c>
      <c r="E15" t="inlineStr">
        <is>
          <t>SP</t>
        </is>
      </c>
      <c r="F15" s="2" t="n">
        <v>44322</v>
      </c>
      <c r="G15" t="n">
        <v>43</v>
      </c>
      <c r="H15" t="inlineStr">
        <is>
          <t>#N/A</t>
        </is>
      </c>
      <c r="I15" t="inlineStr">
        <is>
          <t>#N/A</t>
        </is>
      </c>
      <c r="J15" s="11" t="n">
        <v>2</v>
      </c>
      <c r="K15" t="n">
        <v>8600</v>
      </c>
    </row>
    <row r="16">
      <c r="B16" t="n">
        <v>25</v>
      </c>
      <c r="C16" t="inlineStr">
        <is>
          <t>Sold 2 IRBT Jun 11 2021 91.0 Put @ 2.65</t>
        </is>
      </c>
      <c r="D16" t="n">
        <v>1</v>
      </c>
      <c r="E16" t="inlineStr">
        <is>
          <t>SP</t>
        </is>
      </c>
      <c r="F16" s="2" t="n">
        <v>44333</v>
      </c>
      <c r="G16" t="n">
        <v>91</v>
      </c>
      <c r="H16" t="inlineStr">
        <is>
          <t>#N/A</t>
        </is>
      </c>
      <c r="I16" t="inlineStr">
        <is>
          <t>#N/A</t>
        </is>
      </c>
      <c r="J16" s="11" t="n">
        <v>2</v>
      </c>
      <c r="K16" t="n">
        <v>18200</v>
      </c>
    </row>
    <row r="17">
      <c r="A17" s="2" t="n">
        <v>44365</v>
      </c>
      <c r="B17" t="n">
        <v>23</v>
      </c>
      <c r="C17" t="inlineStr">
        <is>
          <t>Sold 2 AMD Jun 18 2021 70.0 Put @ 1.39</t>
        </is>
      </c>
      <c r="D17" t="n">
        <v>1</v>
      </c>
      <c r="E17" t="inlineStr">
        <is>
          <t>SP</t>
        </is>
      </c>
      <c r="F17" s="2" t="n">
        <v>44333</v>
      </c>
      <c r="G17" t="n">
        <v>70</v>
      </c>
      <c r="H17" t="inlineStr">
        <is>
          <t>#N/A</t>
        </is>
      </c>
      <c r="I17" t="inlineStr">
        <is>
          <t>#N/A</t>
        </is>
      </c>
      <c r="J17" s="11" t="n">
        <v>2</v>
      </c>
      <c r="K17" t="n">
        <v>14000</v>
      </c>
    </row>
    <row r="18">
      <c r="B18" t="n">
        <v>24</v>
      </c>
      <c r="C18" t="inlineStr">
        <is>
          <t>Sold 1 NRG Jun 18 2021 33.0 Put @ 0.94</t>
        </is>
      </c>
      <c r="D18" t="n">
        <v>1</v>
      </c>
      <c r="E18" t="inlineStr">
        <is>
          <t>SP</t>
        </is>
      </c>
      <c r="F18" s="2" t="n">
        <v>44333</v>
      </c>
      <c r="G18" t="n">
        <v>33</v>
      </c>
      <c r="H18" t="inlineStr">
        <is>
          <t>#N/A</t>
        </is>
      </c>
      <c r="I18" t="inlineStr">
        <is>
          <t>#N/A</t>
        </is>
      </c>
      <c r="J18" s="11" t="n">
        <v>1</v>
      </c>
      <c r="K18" t="n">
        <v>3300</v>
      </c>
    </row>
    <row r="19">
      <c r="C19" t="inlineStr">
        <is>
          <t>Sold 2 NRG Jun 18 2021 33.0 Put @ 0.94</t>
        </is>
      </c>
      <c r="D19" t="n">
        <v>2</v>
      </c>
      <c r="E19" t="inlineStr">
        <is>
          <t>SP</t>
        </is>
      </c>
      <c r="F19" s="2" t="n">
        <v>44333</v>
      </c>
      <c r="G19" t="n">
        <v>33</v>
      </c>
      <c r="H19" t="inlineStr">
        <is>
          <t>#N/A</t>
        </is>
      </c>
      <c r="I19" t="inlineStr">
        <is>
          <t>#N/A</t>
        </is>
      </c>
      <c r="J19" s="11" t="n">
        <v>2</v>
      </c>
      <c r="K19" t="n">
        <v>6600</v>
      </c>
    </row>
    <row r="20">
      <c r="A20" t="inlineStr">
        <is>
          <t>Grand Total</t>
        </is>
      </c>
      <c r="K20" t="n">
        <v>141400</v>
      </c>
    </row>
  </sheetData>
  <conditionalFormatting sqref="E1:E1048576">
    <cfRule dxfId="96" operator="equal" priority="4" type="cellIs">
      <formula>"(blank)"</formula>
    </cfRule>
    <cfRule dxfId="97" operator="equal" priority="5" type="cellIs">
      <formula>"(blank)"</formula>
    </cfRule>
  </conditionalFormatting>
  <conditionalFormatting sqref="A4:H6 A335:H1048576 A7:F23 A24:G334">
    <cfRule dxfId="96" operator="equal" priority="3" type="cellIs">
      <formula>"(blank)"</formula>
    </cfRule>
  </conditionalFormatting>
  <conditionalFormatting sqref="G7:G17">
    <cfRule dxfId="95" priority="1" type="expression">
      <formula>G7&gt;H7</formula>
    </cfRule>
  </conditionalFormatting>
  <pageMargins bottom="0.75" footer="0.3" header="0.3" left="0.7" right="0.7" top="0.75"/>
  <pageSetup horizontalDpi="0" orientation="landscape" verticalDpi="0"/>
</worksheet>
</file>

<file path=xl/worksheets/sheet5.xml><?xml version="1.0" encoding="utf-8"?>
<worksheet xmlns="http://schemas.openxmlformats.org/spreadsheetml/2006/main">
  <sheetPr>
    <outlinePr summaryBelow="1" summaryRight="1"/>
    <pageSetUpPr/>
  </sheetPr>
  <dimension ref="A1:R262"/>
  <sheetViews>
    <sheetView workbookViewId="0" zoomScaleNormal="100">
      <selection activeCell="J10" sqref="J10"/>
    </sheetView>
  </sheetViews>
  <sheetFormatPr baseColWidth="8" defaultRowHeight="15"/>
  <cols>
    <col customWidth="1" max="1" min="1" style="52" width="43.28515625"/>
    <col customWidth="1" max="2" min="2" style="52" width="9"/>
    <col customWidth="1" max="3" min="3" style="52" width="5.5703125"/>
    <col customWidth="1" max="4" min="4" style="52" width="5.42578125"/>
    <col customWidth="1" max="5" min="5" style="52" width="6.42578125"/>
    <col customWidth="1" max="6" min="6" style="52" width="10.85546875"/>
    <col bestFit="1" customWidth="1" max="8" min="7" style="52" width="10.7109375"/>
    <col bestFit="1" customWidth="1" max="9" min="9" style="52" width="7.42578125"/>
    <col customWidth="1" max="10" min="10" style="49" width="10.7109375"/>
    <col customWidth="1" max="11" min="11" style="52" width="11.28515625"/>
    <col bestFit="1" customWidth="1" max="12" min="12" style="52" width="9.5703125"/>
    <col bestFit="1" customWidth="1" max="13" min="13" style="52" width="6.5703125"/>
    <col bestFit="1" customWidth="1" max="14" min="14" style="52" width="12.7109375"/>
    <col bestFit="1" customWidth="1" max="17" min="17" style="52" width="16.140625"/>
  </cols>
  <sheetData>
    <row r="1">
      <c r="A1" t="inlineStr">
        <is>
          <t>Enter the desired trade number in the yellow box. If changes have been made to the DATA sheet, then this pivot must be refreshed.</t>
        </is>
      </c>
    </row>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0">
        <f>IF(GETPIVOTDATA(" Shares",$A$6)=0,"N/A",(GETPIVOTDATA(" BEcap",$A$6)-GETPIVOTDATA(" NetPrem",$A$6))/GETPIVOTDATA(" Shares",$A$6))</f>
        <v/>
      </c>
      <c r="Q4" t="inlineStr">
        <is>
          <t>net prem</t>
        </is>
      </c>
      <c r="R4" t="inlineStr">
        <is>
          <t>capdays</t>
        </is>
      </c>
    </row>
    <row r="5">
      <c r="K5" s="6" t="inlineStr">
        <is>
          <t>Required Capital =</t>
        </is>
      </c>
      <c r="L5" s="6" t="n"/>
      <c r="M5" s="6" t="n"/>
      <c r="N5" s="50">
        <f>GETPIVOTDATA(" OpenCap",$A$6)</f>
        <v/>
      </c>
      <c r="Q5" s="49">
        <f>SUM(J:J)/2</f>
        <v/>
      </c>
      <c r="R5">
        <f>SUM(K:K)/2</f>
        <v/>
      </c>
    </row>
    <row r="6">
      <c r="A6" s="30" t="inlineStr">
        <is>
          <t>SYM</t>
        </is>
      </c>
      <c r="B6" s="30" t="inlineStr">
        <is>
          <t>Leg</t>
        </is>
      </c>
      <c r="C6" s="30" t="inlineStr">
        <is>
          <t>TransType</t>
        </is>
      </c>
      <c r="D6" s="30" t="inlineStr">
        <is>
          <t>Strike</t>
        </is>
      </c>
      <c r="E6" s="30" t="inlineStr">
        <is>
          <t>#Contracts</t>
        </is>
      </c>
      <c r="F6" s="30" t="inlineStr">
        <is>
          <t>OpenDate</t>
        </is>
      </c>
      <c r="G6" s="30" t="inlineStr">
        <is>
          <t>CloseDate</t>
        </is>
      </c>
      <c r="H6" s="30" t="inlineStr">
        <is>
          <t>ExpDate</t>
        </is>
      </c>
      <c r="I6" s="30" t="inlineStr">
        <is>
          <t>Days</t>
        </is>
      </c>
      <c r="J6" s="49" t="inlineStr">
        <is>
          <t xml:space="preserve"> NetPrem</t>
        </is>
      </c>
      <c r="K6" t="inlineStr">
        <is>
          <t xml:space="preserve"> CapDays</t>
        </is>
      </c>
      <c r="L6" t="inlineStr">
        <is>
          <t xml:space="preserve"> OpenCap</t>
        </is>
      </c>
      <c r="M6" t="inlineStr">
        <is>
          <t xml:space="preserve"> BEcap</t>
        </is>
      </c>
      <c r="N6" t="inlineStr">
        <is>
          <t xml:space="preserve"> Shares</t>
        </is>
      </c>
    </row>
    <row r="7">
      <c r="A7" t="inlineStr">
        <is>
          <t>Sold 2 JD Apr 16 2021 80.0 Put @ 1.54</t>
        </is>
      </c>
      <c r="B7" t="n">
        <v>1</v>
      </c>
      <c r="C7" t="inlineStr">
        <is>
          <t>SP</t>
        </is>
      </c>
      <c r="D7" t="n">
        <v>80</v>
      </c>
      <c r="E7" t="n">
        <v>2</v>
      </c>
      <c r="F7" s="2" t="n">
        <v>44277</v>
      </c>
      <c r="G7" s="2" t="n">
        <v>44280</v>
      </c>
      <c r="H7" s="2" t="n">
        <v>44302</v>
      </c>
      <c r="I7" s="11" t="n">
        <v>3</v>
      </c>
      <c r="J7" s="49" t="n">
        <v>306.67</v>
      </c>
      <c r="K7" t="n">
        <v>48000</v>
      </c>
      <c r="L7" t="n">
        <v>0</v>
      </c>
      <c r="M7" t="n">
        <v>0</v>
      </c>
      <c r="N7" t="n">
        <v>0</v>
      </c>
      <c r="Q7" t="inlineStr">
        <is>
          <t>Annualized ROI =</t>
        </is>
      </c>
      <c r="R7" s="1">
        <f>365*(Q5/R5)</f>
        <v/>
      </c>
    </row>
    <row r="8">
      <c r="A8" t="inlineStr">
        <is>
          <t>Bought 2 JD Apr 16 2021 65.0 Put @ 0.37</t>
        </is>
      </c>
      <c r="B8" t="n">
        <v>2</v>
      </c>
      <c r="C8" t="inlineStr">
        <is>
          <t>SP</t>
        </is>
      </c>
      <c r="D8" t="n">
        <v>65</v>
      </c>
      <c r="E8" t="n">
        <v>2</v>
      </c>
      <c r="F8" s="2" t="n">
        <v>44280</v>
      </c>
      <c r="G8" s="2" t="n">
        <v>44280</v>
      </c>
      <c r="H8" s="2" t="n">
        <v>44302</v>
      </c>
      <c r="I8" s="11" t="n">
        <v>1</v>
      </c>
      <c r="J8" s="49" t="n">
        <v>-75.33</v>
      </c>
      <c r="K8" t="n">
        <v>13000</v>
      </c>
      <c r="L8" t="n">
        <v>0</v>
      </c>
      <c r="M8" t="n">
        <v>0</v>
      </c>
      <c r="N8" t="n">
        <v>0</v>
      </c>
    </row>
    <row r="9">
      <c r="A9" t="inlineStr">
        <is>
          <t>Bought 2 JD Apr 16 2021 80.0 Put @ 2.89</t>
        </is>
      </c>
      <c r="B9" t="n">
        <v>3</v>
      </c>
      <c r="C9" t="inlineStr">
        <is>
          <t>SP</t>
        </is>
      </c>
      <c r="D9" t="n">
        <v>80</v>
      </c>
      <c r="E9" t="n">
        <v>2</v>
      </c>
      <c r="F9" s="2" t="n">
        <v>44302</v>
      </c>
      <c r="G9" s="2" t="n">
        <v>44302</v>
      </c>
      <c r="H9" s="2" t="n">
        <v>44302</v>
      </c>
      <c r="I9" s="11" t="n">
        <v>1</v>
      </c>
      <c r="J9" s="49" t="n">
        <v>-579.33</v>
      </c>
      <c r="K9" t="n">
        <v>16000</v>
      </c>
      <c r="L9" t="n">
        <v>0</v>
      </c>
      <c r="M9" t="n">
        <v>0</v>
      </c>
      <c r="N9" t="n">
        <v>0</v>
      </c>
    </row>
    <row r="10">
      <c r="A10" t="inlineStr">
        <is>
          <t>Sold 2 JD May 21 2021 77.5 Put @ 3.68</t>
        </is>
      </c>
      <c r="B10" t="n">
        <v>4</v>
      </c>
      <c r="C10" t="inlineStr">
        <is>
          <t>SP</t>
        </is>
      </c>
      <c r="D10" t="n">
        <v>77.5</v>
      </c>
      <c r="E10" t="n">
        <v>2</v>
      </c>
      <c r="F10" s="2" t="n">
        <v>44302</v>
      </c>
      <c r="G10" t="inlineStr">
        <is>
          <t>(blank)</t>
        </is>
      </c>
      <c r="H10" s="2" t="n">
        <v>44337</v>
      </c>
      <c r="I10" s="11" t="n">
        <v>35</v>
      </c>
      <c r="J10" s="49" t="n">
        <v>734.67</v>
      </c>
      <c r="K10" t="n">
        <v>542500</v>
      </c>
      <c r="L10" t="n">
        <v>15500</v>
      </c>
      <c r="M10" t="n">
        <v>15500</v>
      </c>
      <c r="N10" t="n">
        <v>200</v>
      </c>
    </row>
    <row r="11">
      <c r="A11" t="inlineStr">
        <is>
          <t>Grand Total</t>
        </is>
      </c>
      <c r="J11" s="49" t="n">
        <v>386.6799999999999</v>
      </c>
      <c r="K11" t="n">
        <v>619500</v>
      </c>
      <c r="L11" t="n">
        <v>15500</v>
      </c>
      <c r="M11" t="n">
        <v>15500</v>
      </c>
      <c r="N11" t="n">
        <v>200</v>
      </c>
    </row>
    <row r="18">
      <c r="K18" s="6" t="inlineStr">
        <is>
          <t>Annualized ROI =</t>
        </is>
      </c>
      <c r="L18" s="6" t="n"/>
      <c r="M18" s="6" t="n"/>
      <c r="N18" s="7">
        <f>365*GETPIVOTDATA(" NetPrem",$A21)/GETPIVOTDATA(" CapDays",A21)</f>
        <v/>
      </c>
    </row>
    <row r="19">
      <c r="A19" t="inlineStr">
        <is>
          <t>Trade#</t>
        </is>
      </c>
      <c r="B19" s="5" t="n">
        <v>2</v>
      </c>
      <c r="K19" s="6" t="inlineStr">
        <is>
          <t>Break Even =</t>
        </is>
      </c>
      <c r="L19" s="6" t="n"/>
      <c r="M19" s="6" t="n"/>
      <c r="N19" s="50">
        <f>IF(GETPIVOTDATA(" Shares",A21)=0,"N/A",(GETPIVOTDATA(" BEcap",A21)-GETPIVOTDATA(" NetPrem",A21))/GETPIVOTDATA(" Shares",A21))</f>
        <v/>
      </c>
    </row>
    <row r="20">
      <c r="K20" s="6" t="inlineStr">
        <is>
          <t>Required Capital =</t>
        </is>
      </c>
      <c r="L20" s="6" t="n"/>
      <c r="M20" s="6" t="n"/>
      <c r="N20" s="50">
        <f>GETPIVOTDATA(" OpenCap",A21)</f>
        <v/>
      </c>
    </row>
    <row r="21">
      <c r="A21" s="30" t="inlineStr">
        <is>
          <t>SYM</t>
        </is>
      </c>
      <c r="B21" s="30" t="inlineStr">
        <is>
          <t>Leg</t>
        </is>
      </c>
      <c r="C21" s="30" t="inlineStr">
        <is>
          <t>TransType</t>
        </is>
      </c>
      <c r="D21" s="30" t="inlineStr">
        <is>
          <t>Strike</t>
        </is>
      </c>
      <c r="E21" s="30" t="inlineStr">
        <is>
          <t>#Contracts</t>
        </is>
      </c>
      <c r="F21" s="30" t="inlineStr">
        <is>
          <t>OpenDate</t>
        </is>
      </c>
      <c r="G21" s="30" t="inlineStr">
        <is>
          <t>CloseDate</t>
        </is>
      </c>
      <c r="H21" s="30" t="inlineStr">
        <is>
          <t>ExpDate</t>
        </is>
      </c>
      <c r="I21" s="30" t="inlineStr">
        <is>
          <t>Days</t>
        </is>
      </c>
      <c r="J21" s="49" t="inlineStr">
        <is>
          <t xml:space="preserve"> NetPrem</t>
        </is>
      </c>
      <c r="K21" t="inlineStr">
        <is>
          <t xml:space="preserve"> CapDays</t>
        </is>
      </c>
      <c r="L21" t="inlineStr">
        <is>
          <t xml:space="preserve"> OpenCap</t>
        </is>
      </c>
      <c r="M21" t="inlineStr">
        <is>
          <t xml:space="preserve"> BEcap</t>
        </is>
      </c>
      <c r="N21" t="inlineStr">
        <is>
          <t xml:space="preserve"> Shares</t>
        </is>
      </c>
    </row>
    <row r="22">
      <c r="A22" t="inlineStr">
        <is>
          <t>Sold 2 WPM Apr 16 2021 36.0 Put @ 0.56</t>
        </is>
      </c>
      <c r="B22" t="n">
        <v>1</v>
      </c>
      <c r="C22" t="inlineStr">
        <is>
          <t>SP</t>
        </is>
      </c>
      <c r="D22" t="n">
        <v>36</v>
      </c>
      <c r="E22" t="n">
        <v>2</v>
      </c>
      <c r="F22" s="2" t="n">
        <v>44279</v>
      </c>
      <c r="G22" s="2" t="n">
        <v>44291</v>
      </c>
      <c r="H22" s="2" t="n">
        <v>44302</v>
      </c>
      <c r="I22" s="11" t="n">
        <v>12</v>
      </c>
      <c r="J22" s="49" t="n">
        <v>110.67</v>
      </c>
      <c r="K22" t="n">
        <v>86400</v>
      </c>
      <c r="L22" t="n">
        <v>0</v>
      </c>
      <c r="M22" t="n">
        <v>0</v>
      </c>
      <c r="N22" t="n">
        <v>0</v>
      </c>
    </row>
    <row r="23">
      <c r="A23" t="inlineStr">
        <is>
          <t>Bought 2 WPM Apr 16 2021 36.0 Put @ 0.09</t>
        </is>
      </c>
      <c r="B23" t="n">
        <v>2</v>
      </c>
      <c r="C23" t="inlineStr">
        <is>
          <t>SP</t>
        </is>
      </c>
      <c r="D23" t="n">
        <v>36</v>
      </c>
      <c r="E23" t="n">
        <v>2</v>
      </c>
      <c r="F23" s="2" t="n">
        <v>44291</v>
      </c>
      <c r="G23" s="2" t="n">
        <v>44291</v>
      </c>
      <c r="H23" s="2" t="n">
        <v>44302</v>
      </c>
      <c r="I23" s="11" t="n">
        <v>1</v>
      </c>
      <c r="J23" s="49" t="n">
        <v>-19.33</v>
      </c>
      <c r="K23" t="n">
        <v>7200</v>
      </c>
      <c r="L23" t="n">
        <v>0</v>
      </c>
      <c r="M23" t="n">
        <v>0</v>
      </c>
      <c r="N23" t="n">
        <v>0</v>
      </c>
    </row>
    <row r="24">
      <c r="A24" t="inlineStr">
        <is>
          <t>Grand Total</t>
        </is>
      </c>
      <c r="J24" s="49" t="n">
        <v>91.34</v>
      </c>
      <c r="K24" t="n">
        <v>93600</v>
      </c>
      <c r="L24" t="n">
        <v>0</v>
      </c>
      <c r="M24" t="n">
        <v>0</v>
      </c>
      <c r="N24" t="n">
        <v>0</v>
      </c>
    </row>
    <row r="27">
      <c r="K27" s="6" t="inlineStr">
        <is>
          <t>Annualized ROI =</t>
        </is>
      </c>
      <c r="L27" s="6" t="n"/>
      <c r="M27" s="6" t="n"/>
      <c r="N27" s="7">
        <f>365*GETPIVOTDATA(" NetPrem",$A30)/GETPIVOTDATA(" CapDays",A30)</f>
        <v/>
      </c>
    </row>
    <row r="28">
      <c r="A28" t="inlineStr">
        <is>
          <t>Trade#</t>
        </is>
      </c>
      <c r="B28" s="5" t="n">
        <v>3</v>
      </c>
      <c r="K28" s="6" t="inlineStr">
        <is>
          <t>Break Even =</t>
        </is>
      </c>
      <c r="L28" s="6" t="n"/>
      <c r="M28" s="6" t="n"/>
      <c r="N28" s="50">
        <f>IF(GETPIVOTDATA(" Shares",A30)=0,"N/A",(GETPIVOTDATA(" BEcap",A30)-GETPIVOTDATA(" NetPrem",A30))/GETPIVOTDATA(" Shares",A30))</f>
        <v/>
      </c>
      <c r="Q28" s="11" t="n"/>
    </row>
    <row r="29">
      <c r="K29" s="6" t="inlineStr">
        <is>
          <t>Required Capital =</t>
        </is>
      </c>
      <c r="L29" s="6" t="n"/>
      <c r="M29" s="6" t="n"/>
      <c r="N29" s="50">
        <f>GETPIVOTDATA(" OpenCap",A30)</f>
        <v/>
      </c>
    </row>
    <row r="30">
      <c r="A30" s="30" t="inlineStr">
        <is>
          <t>SYM</t>
        </is>
      </c>
      <c r="B30" s="30" t="inlineStr">
        <is>
          <t>Leg</t>
        </is>
      </c>
      <c r="C30" s="30" t="inlineStr">
        <is>
          <t>TransType</t>
        </is>
      </c>
      <c r="D30" s="30" t="inlineStr">
        <is>
          <t>Strike</t>
        </is>
      </c>
      <c r="E30" s="30" t="inlineStr">
        <is>
          <t>#Contracts</t>
        </is>
      </c>
      <c r="F30" s="30" t="inlineStr">
        <is>
          <t>OpenDate</t>
        </is>
      </c>
      <c r="G30" s="30" t="inlineStr">
        <is>
          <t>CloseDate</t>
        </is>
      </c>
      <c r="H30" s="30" t="inlineStr">
        <is>
          <t>ExpDate</t>
        </is>
      </c>
      <c r="I30" s="30" t="inlineStr">
        <is>
          <t>Days</t>
        </is>
      </c>
      <c r="J30" s="49" t="inlineStr">
        <is>
          <t xml:space="preserve"> NetPrem</t>
        </is>
      </c>
      <c r="K30" t="inlineStr">
        <is>
          <t xml:space="preserve"> CapDays</t>
        </is>
      </c>
      <c r="L30" t="inlineStr">
        <is>
          <t xml:space="preserve"> OpenCap</t>
        </is>
      </c>
      <c r="M30" t="inlineStr">
        <is>
          <t xml:space="preserve"> BEcap</t>
        </is>
      </c>
      <c r="N30" t="inlineStr">
        <is>
          <t xml:space="preserve"> Shares</t>
        </is>
      </c>
    </row>
    <row r="31">
      <c r="A31" t="inlineStr">
        <is>
          <t>Sold 2 CCL Apr 16 2021 24.0 Put @ 0.84</t>
        </is>
      </c>
      <c r="B31" t="n">
        <v>1</v>
      </c>
      <c r="C31" t="inlineStr">
        <is>
          <t>SP</t>
        </is>
      </c>
      <c r="D31" t="n">
        <v>24</v>
      </c>
      <c r="E31" t="n">
        <v>2</v>
      </c>
      <c r="F31" s="2" t="n">
        <v>44284</v>
      </c>
      <c r="G31" s="2" t="n">
        <v>44287</v>
      </c>
      <c r="H31" s="2" t="n">
        <v>44302</v>
      </c>
      <c r="I31" s="11" t="n">
        <v>3</v>
      </c>
      <c r="J31" s="49" t="n">
        <v>166.67</v>
      </c>
      <c r="K31" t="n">
        <v>14400</v>
      </c>
      <c r="L31" t="n">
        <v>0</v>
      </c>
      <c r="M31" t="n">
        <v>0</v>
      </c>
      <c r="N31" t="n">
        <v>0</v>
      </c>
    </row>
    <row r="32">
      <c r="A32" t="inlineStr">
        <is>
          <t>Sold 10 CCL Apr 16 2021 24.0 Put @ 0.57</t>
        </is>
      </c>
      <c r="B32" t="n">
        <v>2</v>
      </c>
      <c r="C32" t="inlineStr">
        <is>
          <t>SP</t>
        </is>
      </c>
      <c r="D32" t="n">
        <v>24</v>
      </c>
      <c r="E32" t="n">
        <v>10</v>
      </c>
      <c r="F32" s="2" t="n">
        <v>44285</v>
      </c>
      <c r="G32" s="2" t="n">
        <v>44287</v>
      </c>
      <c r="H32" s="2" t="n">
        <v>44302</v>
      </c>
      <c r="I32" s="11" t="n">
        <v>2</v>
      </c>
      <c r="J32" s="49" t="n">
        <v>563.34</v>
      </c>
      <c r="K32" t="n">
        <v>48000</v>
      </c>
      <c r="L32" t="n">
        <v>0</v>
      </c>
      <c r="M32" t="n">
        <v>0</v>
      </c>
      <c r="N32" t="n">
        <v>0</v>
      </c>
    </row>
    <row r="33">
      <c r="A33" t="inlineStr">
        <is>
          <t>Bought 12 CCL Apr 16 2021 24.0 Put @ 0.35</t>
        </is>
      </c>
      <c r="B33" t="n">
        <v>3</v>
      </c>
      <c r="C33" t="inlineStr">
        <is>
          <t>SP</t>
        </is>
      </c>
      <c r="D33" t="n">
        <v>24</v>
      </c>
      <c r="E33" t="n">
        <v>12</v>
      </c>
      <c r="F33" s="2" t="n">
        <v>44287</v>
      </c>
      <c r="G33" s="2" t="n">
        <v>44287</v>
      </c>
      <c r="H33" s="2" t="n">
        <v>44302</v>
      </c>
      <c r="I33" s="11" t="n">
        <v>1</v>
      </c>
      <c r="J33" s="49" t="n">
        <v>-427.97</v>
      </c>
      <c r="K33" t="n">
        <v>28800</v>
      </c>
      <c r="L33" t="n">
        <v>0</v>
      </c>
      <c r="M33" t="n">
        <v>0</v>
      </c>
      <c r="N33" t="n">
        <v>0</v>
      </c>
    </row>
    <row r="34">
      <c r="A34" t="inlineStr">
        <is>
          <t>Grand Total</t>
        </is>
      </c>
      <c r="J34" s="49" t="n">
        <v>302.04</v>
      </c>
      <c r="K34" t="n">
        <v>91200</v>
      </c>
      <c r="L34" t="n">
        <v>0</v>
      </c>
      <c r="M34" t="n">
        <v>0</v>
      </c>
      <c r="N34" t="n">
        <v>0</v>
      </c>
    </row>
    <row r="37">
      <c r="K37" s="6" t="inlineStr">
        <is>
          <t>Annualized ROI =</t>
        </is>
      </c>
      <c r="L37" s="6" t="n"/>
      <c r="M37" s="6" t="n"/>
      <c r="N37" s="7">
        <f>365*GETPIVOTDATA(" NetPrem",$A40)/GETPIVOTDATA(" CapDays",A40)</f>
        <v/>
      </c>
    </row>
    <row r="38">
      <c r="A38" t="inlineStr">
        <is>
          <t>Trade#</t>
        </is>
      </c>
      <c r="B38" s="5" t="n">
        <v>4</v>
      </c>
      <c r="K38" s="6" t="inlineStr">
        <is>
          <t>Break Even =</t>
        </is>
      </c>
      <c r="L38" s="6" t="n"/>
      <c r="M38" s="6" t="n"/>
      <c r="N38" s="50">
        <f>IF(GETPIVOTDATA(" Shares",A40)=0,"N/A",(GETPIVOTDATA(" BEcap",A40)-GETPIVOTDATA(" NetPrem",A40))/GETPIVOTDATA(" Shares",A40))</f>
        <v/>
      </c>
    </row>
    <row r="39">
      <c r="K39" s="6" t="inlineStr">
        <is>
          <t>Required Capital =</t>
        </is>
      </c>
      <c r="L39" s="6" t="n"/>
      <c r="M39" s="6" t="n"/>
      <c r="N39" s="50">
        <f>GETPIVOTDATA(" OpenCap",A40)</f>
        <v/>
      </c>
    </row>
    <row r="40">
      <c r="A40" s="30" t="inlineStr">
        <is>
          <t>SYM</t>
        </is>
      </c>
      <c r="B40" s="30" t="inlineStr">
        <is>
          <t>Leg</t>
        </is>
      </c>
      <c r="C40" s="30" t="inlineStr">
        <is>
          <t>TransType</t>
        </is>
      </c>
      <c r="D40" s="30" t="inlineStr">
        <is>
          <t>Strike</t>
        </is>
      </c>
      <c r="E40" s="30" t="inlineStr">
        <is>
          <t>#Contracts</t>
        </is>
      </c>
      <c r="F40" s="30" t="inlineStr">
        <is>
          <t>OpenDate</t>
        </is>
      </c>
      <c r="G40" s="30" t="inlineStr">
        <is>
          <t>CloseDate</t>
        </is>
      </c>
      <c r="H40" s="30" t="inlineStr">
        <is>
          <t>ExpDate</t>
        </is>
      </c>
      <c r="I40" s="30" t="inlineStr">
        <is>
          <t>Days</t>
        </is>
      </c>
      <c r="J40" s="49" t="inlineStr">
        <is>
          <t xml:space="preserve"> NetPrem</t>
        </is>
      </c>
      <c r="K40" t="inlineStr">
        <is>
          <t xml:space="preserve"> CapDays</t>
        </is>
      </c>
      <c r="L40" t="inlineStr">
        <is>
          <t xml:space="preserve"> OpenCap</t>
        </is>
      </c>
      <c r="M40" t="inlineStr">
        <is>
          <t xml:space="preserve"> BEcap</t>
        </is>
      </c>
      <c r="N40" t="inlineStr">
        <is>
          <t xml:space="preserve"> Shares</t>
        </is>
      </c>
    </row>
    <row r="41">
      <c r="A41" t="inlineStr">
        <is>
          <t>Sold 2 VIAC Apr 9 2021 42.0 Put @ 0.49</t>
        </is>
      </c>
      <c r="B41" t="n">
        <v>1</v>
      </c>
      <c r="C41" t="inlineStr">
        <is>
          <t>SP</t>
        </is>
      </c>
      <c r="D41" t="n">
        <v>42</v>
      </c>
      <c r="E41" t="n">
        <v>2</v>
      </c>
      <c r="F41" s="2" t="n">
        <v>44287</v>
      </c>
      <c r="G41" s="2" t="n">
        <v>44292</v>
      </c>
      <c r="H41" s="2" t="n">
        <v>44295</v>
      </c>
      <c r="I41" s="11" t="n">
        <v>5</v>
      </c>
      <c r="J41" s="49" t="n">
        <v>96.67</v>
      </c>
      <c r="K41" t="n">
        <v>42000</v>
      </c>
      <c r="L41" t="n">
        <v>0</v>
      </c>
      <c r="M41" t="n">
        <v>0</v>
      </c>
      <c r="N41" t="n">
        <v>0</v>
      </c>
    </row>
    <row r="42">
      <c r="A42" t="inlineStr">
        <is>
          <t>Bought 2 VIAC Apr 9 2021 42.0 Put @ 0.9</t>
        </is>
      </c>
      <c r="B42" t="n">
        <v>2</v>
      </c>
      <c r="C42" t="inlineStr">
        <is>
          <t>SP</t>
        </is>
      </c>
      <c r="D42" t="n">
        <v>42</v>
      </c>
      <c r="E42" t="n">
        <v>2</v>
      </c>
      <c r="F42" s="2" t="n">
        <v>44292</v>
      </c>
      <c r="G42" s="2" t="n">
        <v>44292</v>
      </c>
      <c r="H42" s="2" t="n">
        <v>44295</v>
      </c>
      <c r="I42" s="11" t="n">
        <v>1</v>
      </c>
      <c r="J42" s="49" t="n">
        <v>-181.33</v>
      </c>
      <c r="K42" t="n">
        <v>8400</v>
      </c>
      <c r="L42" t="n">
        <v>0</v>
      </c>
      <c r="M42" t="n">
        <v>0</v>
      </c>
      <c r="N42" t="n">
        <v>0</v>
      </c>
    </row>
    <row r="43">
      <c r="A43" t="inlineStr">
        <is>
          <t>Sold 2 VIAC Apr 23 2021 40.0 Put @ 1.21</t>
        </is>
      </c>
      <c r="B43" t="n">
        <v>3</v>
      </c>
      <c r="C43" t="inlineStr">
        <is>
          <t>SP</t>
        </is>
      </c>
      <c r="D43" t="n">
        <v>40</v>
      </c>
      <c r="E43" t="n">
        <v>2</v>
      </c>
      <c r="F43" s="2" t="n">
        <v>44292</v>
      </c>
      <c r="G43" s="2" t="n">
        <v>44308</v>
      </c>
      <c r="H43" s="2" t="n">
        <v>44309</v>
      </c>
      <c r="I43" s="11" t="n">
        <v>16</v>
      </c>
      <c r="J43" s="49" t="n">
        <v>240.67</v>
      </c>
      <c r="K43" t="n">
        <v>128000</v>
      </c>
      <c r="L43" t="n">
        <v>0</v>
      </c>
      <c r="M43" t="n">
        <v>0</v>
      </c>
      <c r="N43" t="n">
        <v>0</v>
      </c>
    </row>
    <row r="44">
      <c r="A44" t="inlineStr">
        <is>
          <t>Bought 2 VIAC Apr 23 2021 40.0 Put @ 0.14</t>
        </is>
      </c>
      <c r="B44" t="n">
        <v>3</v>
      </c>
      <c r="C44" t="inlineStr">
        <is>
          <t>SP</t>
        </is>
      </c>
      <c r="D44" t="n">
        <v>40</v>
      </c>
      <c r="E44" t="n">
        <v>2</v>
      </c>
      <c r="F44" s="2" t="n">
        <v>44308</v>
      </c>
      <c r="G44" s="2" t="n">
        <v>44308</v>
      </c>
      <c r="H44" s="2" t="n">
        <v>44309</v>
      </c>
      <c r="I44" s="11" t="n">
        <v>1</v>
      </c>
      <c r="J44" s="49" t="n">
        <v>-29.33</v>
      </c>
      <c r="K44" t="n">
        <v>8000</v>
      </c>
      <c r="L44" t="n">
        <v>0</v>
      </c>
      <c r="M44" t="n">
        <v>0</v>
      </c>
      <c r="N44" t="n">
        <v>0</v>
      </c>
    </row>
    <row r="45">
      <c r="A45" t="inlineStr">
        <is>
          <t>Grand Total</t>
        </is>
      </c>
      <c r="J45" s="49" t="n">
        <v>126.68</v>
      </c>
      <c r="K45" t="n">
        <v>186400</v>
      </c>
      <c r="L45" t="n">
        <v>0</v>
      </c>
      <c r="M45" t="n">
        <v>0</v>
      </c>
      <c r="N45" t="n">
        <v>0</v>
      </c>
    </row>
    <row r="48">
      <c r="K48" s="6" t="inlineStr">
        <is>
          <t>Annualized ROI =</t>
        </is>
      </c>
      <c r="L48" s="6" t="n"/>
      <c r="M48" s="6" t="n"/>
      <c r="N48" s="7">
        <f>365*GETPIVOTDATA(" NetPrem",$A51)/GETPIVOTDATA(" CapDays",A51)</f>
        <v/>
      </c>
    </row>
    <row r="49">
      <c r="A49" t="inlineStr">
        <is>
          <t>Trade#</t>
        </is>
      </c>
      <c r="B49" s="5" t="n">
        <v>5</v>
      </c>
      <c r="K49" s="6" t="inlineStr">
        <is>
          <t>Break Even =</t>
        </is>
      </c>
      <c r="L49" s="6" t="n"/>
      <c r="M49" s="6" t="n"/>
      <c r="N49" s="50">
        <f>IF(GETPIVOTDATA(" Shares",A51)=0,"N/A",(GETPIVOTDATA(" BEcap",A51)-GETPIVOTDATA(" NetPrem",A51))/GETPIVOTDATA(" Shares",A51))</f>
        <v/>
      </c>
    </row>
    <row r="50">
      <c r="K50" s="6" t="inlineStr">
        <is>
          <t>Required Capital =</t>
        </is>
      </c>
      <c r="L50" s="6" t="n"/>
      <c r="M50" s="6" t="n"/>
      <c r="N50" s="50">
        <f>GETPIVOTDATA(" OpenCap",A51)</f>
        <v/>
      </c>
    </row>
    <row r="51">
      <c r="A51" s="30" t="inlineStr">
        <is>
          <t>SYM</t>
        </is>
      </c>
      <c r="B51" s="30" t="inlineStr">
        <is>
          <t>Leg</t>
        </is>
      </c>
      <c r="C51" s="30" t="inlineStr">
        <is>
          <t>TransType</t>
        </is>
      </c>
      <c r="D51" s="30" t="inlineStr">
        <is>
          <t>Strike</t>
        </is>
      </c>
      <c r="E51" s="30" t="inlineStr">
        <is>
          <t>#Contracts</t>
        </is>
      </c>
      <c r="F51" s="30" t="inlineStr">
        <is>
          <t>OpenDate</t>
        </is>
      </c>
      <c r="G51" s="30" t="inlineStr">
        <is>
          <t>CloseDate</t>
        </is>
      </c>
      <c r="H51" s="30" t="inlineStr">
        <is>
          <t>ExpDate</t>
        </is>
      </c>
      <c r="I51" s="30" t="inlineStr">
        <is>
          <t>Days</t>
        </is>
      </c>
      <c r="J51" s="49" t="inlineStr">
        <is>
          <t xml:space="preserve"> NetPrem</t>
        </is>
      </c>
      <c r="K51" t="inlineStr">
        <is>
          <t xml:space="preserve"> CapDays</t>
        </is>
      </c>
      <c r="L51" t="inlineStr">
        <is>
          <t xml:space="preserve"> OpenCap</t>
        </is>
      </c>
      <c r="M51" t="inlineStr">
        <is>
          <t xml:space="preserve"> BEcap</t>
        </is>
      </c>
      <c r="N51" t="inlineStr">
        <is>
          <t xml:space="preserve"> Shares</t>
        </is>
      </c>
    </row>
    <row r="52">
      <c r="A52" t="inlineStr">
        <is>
          <t>Sold 4 APA Apr 16 2021 18.0 Put @ 0.73</t>
        </is>
      </c>
      <c r="B52" t="n">
        <v>1</v>
      </c>
      <c r="C52" t="inlineStr">
        <is>
          <t>SP</t>
        </is>
      </c>
      <c r="D52" t="n">
        <v>18</v>
      </c>
      <c r="E52" t="n">
        <v>4</v>
      </c>
      <c r="F52" s="2" t="n">
        <v>44291</v>
      </c>
      <c r="G52" s="2" t="n">
        <v>44295</v>
      </c>
      <c r="H52" s="2" t="n">
        <v>44302</v>
      </c>
      <c r="I52" s="11" t="n">
        <v>4</v>
      </c>
      <c r="J52" s="49" t="n">
        <v>289.33</v>
      </c>
      <c r="K52" t="n">
        <v>28800</v>
      </c>
      <c r="L52" t="n">
        <v>0</v>
      </c>
      <c r="M52" t="n">
        <v>0</v>
      </c>
      <c r="N52" t="n">
        <v>0</v>
      </c>
    </row>
    <row r="53">
      <c r="A53" t="inlineStr">
        <is>
          <t>Bought 4 APA Apr 16 2021 18.0 Put @ 0.92</t>
        </is>
      </c>
      <c r="B53" t="n">
        <v>2</v>
      </c>
      <c r="C53" t="inlineStr">
        <is>
          <t>SP</t>
        </is>
      </c>
      <c r="D53" t="n">
        <v>18</v>
      </c>
      <c r="E53" t="n">
        <v>4</v>
      </c>
      <c r="F53" s="2" t="n">
        <v>44295</v>
      </c>
      <c r="G53" s="2" t="n">
        <v>44295</v>
      </c>
      <c r="H53" s="2" t="n">
        <v>44302</v>
      </c>
      <c r="I53" s="11" t="n">
        <v>1</v>
      </c>
      <c r="J53" s="49" t="n">
        <v>-370.66</v>
      </c>
      <c r="K53" t="n">
        <v>7200</v>
      </c>
      <c r="L53" t="n">
        <v>0</v>
      </c>
      <c r="M53" t="n">
        <v>0</v>
      </c>
      <c r="N53" t="n">
        <v>0</v>
      </c>
    </row>
    <row r="54">
      <c r="A54" t="inlineStr">
        <is>
          <t>Sold 4 APA Apr 23 2021 17.0 Put @ 0.57</t>
        </is>
      </c>
      <c r="B54" t="n">
        <v>3</v>
      </c>
      <c r="C54" t="inlineStr">
        <is>
          <t>SP</t>
        </is>
      </c>
      <c r="D54" t="n">
        <v>17</v>
      </c>
      <c r="E54" t="n">
        <v>4</v>
      </c>
      <c r="F54" s="2" t="n">
        <v>44295</v>
      </c>
      <c r="G54" s="2" t="n">
        <v>44308</v>
      </c>
      <c r="H54" s="2" t="n">
        <v>44309</v>
      </c>
      <c r="I54" s="11" t="n">
        <v>13</v>
      </c>
      <c r="J54" s="49" t="n">
        <v>225.33</v>
      </c>
      <c r="K54" t="n">
        <v>88400</v>
      </c>
      <c r="L54" t="n">
        <v>0</v>
      </c>
      <c r="M54" t="n">
        <v>0</v>
      </c>
      <c r="N54" t="n">
        <v>0</v>
      </c>
    </row>
    <row r="55">
      <c r="A55" t="inlineStr">
        <is>
          <t>Bought 4 APA Apr 23 2021 17.0 Put @ 0.07</t>
        </is>
      </c>
      <c r="B55" t="n">
        <v>4</v>
      </c>
      <c r="C55" t="inlineStr">
        <is>
          <t>SP</t>
        </is>
      </c>
      <c r="D55" t="n">
        <v>17</v>
      </c>
      <c r="E55" t="n">
        <v>4</v>
      </c>
      <c r="F55" s="2" t="n">
        <v>44308</v>
      </c>
      <c r="G55" s="2" t="n">
        <v>44308</v>
      </c>
      <c r="H55" s="2" t="n">
        <v>44309</v>
      </c>
      <c r="I55" s="11" t="n">
        <v>1</v>
      </c>
      <c r="J55" s="49" t="n">
        <v>-30.66</v>
      </c>
      <c r="K55" t="n">
        <v>6800</v>
      </c>
      <c r="L55" t="n">
        <v>0</v>
      </c>
      <c r="M55" t="n">
        <v>0</v>
      </c>
      <c r="N55" t="n">
        <v>0</v>
      </c>
    </row>
    <row r="56">
      <c r="A56" t="inlineStr">
        <is>
          <t>Grand Total</t>
        </is>
      </c>
      <c r="J56" s="49" t="n">
        <v>113.34</v>
      </c>
      <c r="K56" t="n">
        <v>131200</v>
      </c>
      <c r="L56" t="n">
        <v>0</v>
      </c>
      <c r="M56" t="n">
        <v>0</v>
      </c>
      <c r="N56" t="n">
        <v>0</v>
      </c>
    </row>
    <row r="59">
      <c r="K59" s="6" t="inlineStr">
        <is>
          <t>Annualized ROI =</t>
        </is>
      </c>
      <c r="L59" s="6" t="n"/>
      <c r="M59" s="6" t="n"/>
      <c r="N59" s="7">
        <f>365*GETPIVOTDATA(" NetPrem",$A62)/GETPIVOTDATA(" CapDays",A62)</f>
        <v/>
      </c>
    </row>
    <row r="60">
      <c r="A60" t="inlineStr">
        <is>
          <t>Trade#</t>
        </is>
      </c>
      <c r="B60" s="5" t="n">
        <v>6</v>
      </c>
      <c r="K60" s="6" t="inlineStr">
        <is>
          <t>Break Even =</t>
        </is>
      </c>
      <c r="L60" s="6" t="n"/>
      <c r="M60" s="6" t="n"/>
      <c r="N60" s="50">
        <f>IF(GETPIVOTDATA(" Shares",A62)=0,"N/A",(GETPIVOTDATA(" BEcap",A62)-GETPIVOTDATA(" NetPrem",A62))/GETPIVOTDATA(" Shares",A62))</f>
        <v/>
      </c>
    </row>
    <row r="61">
      <c r="K61" s="6" t="inlineStr">
        <is>
          <t>Required Capital =</t>
        </is>
      </c>
      <c r="L61" s="6" t="n"/>
      <c r="M61" s="6" t="n"/>
      <c r="N61" s="50">
        <f>GETPIVOTDATA(" OpenCap",A62)</f>
        <v/>
      </c>
    </row>
    <row r="62">
      <c r="A62" s="30" t="inlineStr">
        <is>
          <t>SYM</t>
        </is>
      </c>
      <c r="B62" s="30" t="inlineStr">
        <is>
          <t>Leg</t>
        </is>
      </c>
      <c r="C62" s="30" t="inlineStr">
        <is>
          <t>TransType</t>
        </is>
      </c>
      <c r="D62" s="30" t="inlineStr">
        <is>
          <t>Strike</t>
        </is>
      </c>
      <c r="E62" s="30" t="inlineStr">
        <is>
          <t>#Contracts</t>
        </is>
      </c>
      <c r="F62" s="30" t="inlineStr">
        <is>
          <t>OpenDate</t>
        </is>
      </c>
      <c r="G62" s="30" t="inlineStr">
        <is>
          <t>CloseDate</t>
        </is>
      </c>
      <c r="H62" s="30" t="inlineStr">
        <is>
          <t>ExpDate</t>
        </is>
      </c>
      <c r="I62" s="30" t="inlineStr">
        <is>
          <t>Days</t>
        </is>
      </c>
      <c r="J62" s="49" t="inlineStr">
        <is>
          <t xml:space="preserve"> NetPrem</t>
        </is>
      </c>
      <c r="K62" t="inlineStr">
        <is>
          <t xml:space="preserve"> CapDays</t>
        </is>
      </c>
      <c r="L62" t="inlineStr">
        <is>
          <t xml:space="preserve"> OpenCap</t>
        </is>
      </c>
      <c r="M62" t="inlineStr">
        <is>
          <t xml:space="preserve"> BEcap</t>
        </is>
      </c>
      <c r="N62" t="inlineStr">
        <is>
          <t xml:space="preserve"> Shares</t>
        </is>
      </c>
    </row>
    <row r="63">
      <c r="A63" t="inlineStr">
        <is>
          <t>Sold 2 SFIX Apr 16 2021 45.0 Put @ 1.13</t>
        </is>
      </c>
      <c r="B63" t="n">
        <v>1</v>
      </c>
      <c r="C63" t="inlineStr">
        <is>
          <t>SP</t>
        </is>
      </c>
      <c r="D63" t="n">
        <v>45</v>
      </c>
      <c r="E63" t="n">
        <v>2</v>
      </c>
      <c r="F63" s="2" t="n">
        <v>44291</v>
      </c>
      <c r="G63" s="2" t="n">
        <v>44301</v>
      </c>
      <c r="H63" s="2" t="n">
        <v>44302</v>
      </c>
      <c r="I63" s="11" t="n">
        <v>10</v>
      </c>
      <c r="J63" s="49" t="n">
        <v>224.67</v>
      </c>
      <c r="K63" t="n">
        <v>90000</v>
      </c>
      <c r="L63" t="n">
        <v>0</v>
      </c>
      <c r="M63" t="n">
        <v>0</v>
      </c>
      <c r="N63" t="n">
        <v>0</v>
      </c>
    </row>
    <row r="64">
      <c r="A64" t="inlineStr">
        <is>
          <t>Bought 2 SFIX Apr 16 2021 45.0 Put @ 0.49</t>
        </is>
      </c>
      <c r="B64" t="n">
        <v>2</v>
      </c>
      <c r="C64" t="inlineStr">
        <is>
          <t>SP</t>
        </is>
      </c>
      <c r="D64" t="n">
        <v>45</v>
      </c>
      <c r="E64" t="n">
        <v>2</v>
      </c>
      <c r="F64" s="2" t="n">
        <v>44301</v>
      </c>
      <c r="G64" s="2" t="n">
        <v>44301</v>
      </c>
      <c r="H64" s="2" t="n">
        <v>44302</v>
      </c>
      <c r="I64" s="11" t="n">
        <v>1</v>
      </c>
      <c r="J64" s="49" t="n">
        <v>-99.33</v>
      </c>
      <c r="K64" t="n">
        <v>9000</v>
      </c>
      <c r="L64" t="n">
        <v>0</v>
      </c>
      <c r="M64" t="n">
        <v>0</v>
      </c>
      <c r="N64" t="n">
        <v>0</v>
      </c>
    </row>
    <row r="65">
      <c r="A65" t="inlineStr">
        <is>
          <t>Sold 2 SFIX Apr 30 2021 45.0 Put @ 1.93</t>
        </is>
      </c>
      <c r="B65" t="n">
        <v>3</v>
      </c>
      <c r="C65" t="inlineStr">
        <is>
          <t>SP</t>
        </is>
      </c>
      <c r="D65" t="n">
        <v>45</v>
      </c>
      <c r="E65" t="n">
        <v>2</v>
      </c>
      <c r="F65" s="2" t="n">
        <v>44301</v>
      </c>
      <c r="G65" s="2" t="n">
        <v>44316</v>
      </c>
      <c r="H65" s="2" t="n">
        <v>44316</v>
      </c>
      <c r="I65" s="11" t="n">
        <v>15</v>
      </c>
      <c r="J65" s="49" t="n">
        <v>384.67</v>
      </c>
      <c r="K65" t="n">
        <v>135000</v>
      </c>
      <c r="L65" t="n">
        <v>0</v>
      </c>
      <c r="M65" t="n">
        <v>0</v>
      </c>
      <c r="N65" t="n">
        <v>0</v>
      </c>
    </row>
    <row r="66">
      <c r="A66" t="inlineStr">
        <is>
          <t>Bought 2 SFIX Apr 30 2021 45.0 Put @ 1.14</t>
        </is>
      </c>
      <c r="B66" t="n">
        <v>4</v>
      </c>
      <c r="C66" t="inlineStr">
        <is>
          <t>SP</t>
        </is>
      </c>
      <c r="D66" t="n">
        <v>45</v>
      </c>
      <c r="E66" t="n">
        <v>2</v>
      </c>
      <c r="F66" s="2" t="n">
        <v>44316</v>
      </c>
      <c r="G66" s="2" t="n">
        <v>44316</v>
      </c>
      <c r="H66" s="2" t="n">
        <v>44316</v>
      </c>
      <c r="I66" s="11" t="n">
        <v>1</v>
      </c>
      <c r="J66" s="49" t="n">
        <v>-229.33</v>
      </c>
      <c r="K66" t="n">
        <v>9000</v>
      </c>
      <c r="L66" t="n">
        <v>0</v>
      </c>
      <c r="M66" t="n">
        <v>0</v>
      </c>
      <c r="N66" t="n">
        <v>0</v>
      </c>
    </row>
    <row r="67">
      <c r="A67" t="inlineStr">
        <is>
          <t>Sold 2 SFIX May 21 2021 44.5 Put @ 2.78</t>
        </is>
      </c>
      <c r="B67" t="n">
        <v>5</v>
      </c>
      <c r="C67" t="inlineStr">
        <is>
          <t>SP</t>
        </is>
      </c>
      <c r="D67" t="n">
        <v>44.5</v>
      </c>
      <c r="E67" t="n">
        <v>2</v>
      </c>
      <c r="F67" s="2" t="n">
        <v>44316</v>
      </c>
      <c r="G67" s="2" t="n">
        <v>44328</v>
      </c>
      <c r="H67" s="2" t="n">
        <v>44337</v>
      </c>
      <c r="I67" s="11" t="n">
        <v>12</v>
      </c>
      <c r="J67" s="49" t="n">
        <v>554.67</v>
      </c>
      <c r="K67" t="n">
        <v>106800</v>
      </c>
      <c r="L67" t="n">
        <v>0</v>
      </c>
      <c r="M67" t="n">
        <v>0</v>
      </c>
      <c r="N67" t="n">
        <v>0</v>
      </c>
    </row>
    <row r="68">
      <c r="A68" t="inlineStr">
        <is>
          <t>Bought 1 SFIX May 21 2021 44.5 Put @ 3.47</t>
        </is>
      </c>
      <c r="B68" t="n">
        <v>6</v>
      </c>
      <c r="C68" t="inlineStr">
        <is>
          <t>SP</t>
        </is>
      </c>
      <c r="D68" t="n">
        <v>44.5</v>
      </c>
      <c r="E68" t="n">
        <v>1</v>
      </c>
      <c r="F68" s="2" t="n">
        <v>44328</v>
      </c>
      <c r="G68" s="2" t="n">
        <v>44328</v>
      </c>
      <c r="H68" s="2" t="n">
        <v>44337</v>
      </c>
      <c r="I68" s="11" t="n">
        <v>1</v>
      </c>
      <c r="J68" s="49" t="n">
        <v>-347.66</v>
      </c>
      <c r="K68" t="n">
        <v>4450</v>
      </c>
      <c r="L68" t="n">
        <v>0</v>
      </c>
      <c r="M68" t="n">
        <v>0</v>
      </c>
      <c r="N68" t="n">
        <v>0</v>
      </c>
    </row>
    <row r="69">
      <c r="A69" t="inlineStr">
        <is>
          <t>Sold 1 SFIX Jun 11 2021 42.0 Put @ 4.87</t>
        </is>
      </c>
      <c r="B69" t="n">
        <v>7</v>
      </c>
      <c r="C69" t="inlineStr">
        <is>
          <t>SP</t>
        </is>
      </c>
      <c r="D69" t="n">
        <v>42</v>
      </c>
      <c r="E69" t="n">
        <v>1</v>
      </c>
      <c r="F69" s="2" t="n">
        <v>44328</v>
      </c>
      <c r="G69" t="inlineStr">
        <is>
          <t>(blank)</t>
        </is>
      </c>
      <c r="H69" s="2" t="n">
        <v>44358</v>
      </c>
      <c r="I69" s="11" t="n">
        <v>30</v>
      </c>
      <c r="J69" s="49" t="n">
        <v>486.34</v>
      </c>
      <c r="K69" t="n">
        <v>126000</v>
      </c>
      <c r="L69" t="n">
        <v>4200</v>
      </c>
      <c r="M69" t="n">
        <v>4200</v>
      </c>
      <c r="N69" t="n">
        <v>100</v>
      </c>
    </row>
    <row r="70">
      <c r="A70" t="inlineStr">
        <is>
          <t>Bought 1 SFIX May 21 2021 44.5 Put @ 4.4</t>
        </is>
      </c>
      <c r="B70" t="n">
        <v>8</v>
      </c>
      <c r="C70" t="inlineStr">
        <is>
          <t>SP</t>
        </is>
      </c>
      <c r="D70" t="n">
        <v>44.5</v>
      </c>
      <c r="E70" t="n">
        <v>1</v>
      </c>
      <c r="F70" s="2" t="n">
        <v>44328</v>
      </c>
      <c r="G70" s="2" t="n">
        <v>44328</v>
      </c>
      <c r="H70" s="2" t="n">
        <v>44337</v>
      </c>
      <c r="I70" s="11" t="n">
        <v>1</v>
      </c>
      <c r="J70" s="49" t="n">
        <v>-440.66</v>
      </c>
      <c r="K70" t="n">
        <v>4450</v>
      </c>
      <c r="L70" t="n">
        <v>0</v>
      </c>
      <c r="M70" t="n">
        <v>0</v>
      </c>
      <c r="N70" t="n">
        <v>0</v>
      </c>
    </row>
    <row r="71">
      <c r="A71" t="inlineStr">
        <is>
          <t>Sold 1 SFIX Jun 11 2021 42.0 Put @ 4.66</t>
        </is>
      </c>
      <c r="B71" t="n">
        <v>9</v>
      </c>
      <c r="C71" t="inlineStr">
        <is>
          <t>SP</t>
        </is>
      </c>
      <c r="D71" t="n">
        <v>42</v>
      </c>
      <c r="E71" t="n">
        <v>1</v>
      </c>
      <c r="F71" s="2" t="n">
        <v>44328</v>
      </c>
      <c r="G71" t="inlineStr">
        <is>
          <t>(blank)</t>
        </is>
      </c>
      <c r="H71" s="2" t="n">
        <v>44358</v>
      </c>
      <c r="I71" s="11" t="n">
        <v>30</v>
      </c>
      <c r="J71" s="49" t="n">
        <v>465.34</v>
      </c>
      <c r="K71" t="n">
        <v>126000</v>
      </c>
      <c r="L71" t="n">
        <v>4200</v>
      </c>
      <c r="M71" t="n">
        <v>4200</v>
      </c>
      <c r="N71" t="n">
        <v>100</v>
      </c>
    </row>
    <row r="72">
      <c r="A72" t="inlineStr">
        <is>
          <t>Grand Total</t>
        </is>
      </c>
      <c r="J72" s="49" t="n">
        <v>998.7099999999998</v>
      </c>
      <c r="K72" t="n">
        <v>610700</v>
      </c>
      <c r="L72" t="n">
        <v>8400</v>
      </c>
      <c r="M72" t="n">
        <v>8400</v>
      </c>
      <c r="N72" t="n">
        <v>200</v>
      </c>
    </row>
    <row r="75">
      <c r="K75" s="6" t="inlineStr">
        <is>
          <t>Annualized ROI =</t>
        </is>
      </c>
      <c r="L75" s="6" t="n"/>
      <c r="M75" s="6" t="n"/>
      <c r="N75" s="7">
        <f>365*GETPIVOTDATA(" NetPrem",$A78)/GETPIVOTDATA(" CapDays",A78)</f>
        <v/>
      </c>
    </row>
    <row r="76">
      <c r="A76" t="inlineStr">
        <is>
          <t>Trade#</t>
        </is>
      </c>
      <c r="B76" s="5" t="n">
        <v>7</v>
      </c>
      <c r="K76" s="6" t="inlineStr">
        <is>
          <t>Break Even =</t>
        </is>
      </c>
      <c r="L76" s="6" t="n"/>
      <c r="M76" s="6" t="n"/>
      <c r="N76" s="50">
        <f>IF(GETPIVOTDATA(" Shares",A78)=0,"N/A",(GETPIVOTDATA(" BEcap",A78)-GETPIVOTDATA(" NetPrem",A78))/GETPIVOTDATA(" Shares",A78))</f>
        <v/>
      </c>
    </row>
    <row r="77">
      <c r="K77" s="6" t="inlineStr">
        <is>
          <t>Required Capital =</t>
        </is>
      </c>
      <c r="L77" s="6" t="n"/>
      <c r="M77" s="6" t="n"/>
      <c r="N77" s="50">
        <f>GETPIVOTDATA(" OpenCap",A78)</f>
        <v/>
      </c>
    </row>
    <row r="78">
      <c r="A78" s="30" t="inlineStr">
        <is>
          <t>SYM</t>
        </is>
      </c>
      <c r="B78" s="30" t="inlineStr">
        <is>
          <t>Leg</t>
        </is>
      </c>
      <c r="C78" s="30" t="inlineStr">
        <is>
          <t>TransType</t>
        </is>
      </c>
      <c r="D78" s="30" t="inlineStr">
        <is>
          <t>Strike</t>
        </is>
      </c>
      <c r="E78" s="30" t="inlineStr">
        <is>
          <t>#Contracts</t>
        </is>
      </c>
      <c r="F78" s="30" t="inlineStr">
        <is>
          <t>OpenDate</t>
        </is>
      </c>
      <c r="G78" s="30" t="inlineStr">
        <is>
          <t>CloseDate</t>
        </is>
      </c>
      <c r="H78" s="30" t="inlineStr">
        <is>
          <t>ExpDate</t>
        </is>
      </c>
      <c r="I78" s="30" t="inlineStr">
        <is>
          <t>Days</t>
        </is>
      </c>
      <c r="J78" s="49" t="inlineStr">
        <is>
          <t xml:space="preserve"> NetPrem</t>
        </is>
      </c>
      <c r="K78" t="inlineStr">
        <is>
          <t xml:space="preserve"> CapDays</t>
        </is>
      </c>
      <c r="L78" t="inlineStr">
        <is>
          <t xml:space="preserve"> OpenCap</t>
        </is>
      </c>
      <c r="M78" t="inlineStr">
        <is>
          <t xml:space="preserve"> BEcap</t>
        </is>
      </c>
      <c r="N78" t="inlineStr">
        <is>
          <t xml:space="preserve"> Shares</t>
        </is>
      </c>
    </row>
    <row r="79">
      <c r="A79" t="inlineStr">
        <is>
          <t>Sold 10 SBGI Apr 16 2021 28.0 Put @ 0.37</t>
        </is>
      </c>
      <c r="B79" t="n">
        <v>1</v>
      </c>
      <c r="C79" t="inlineStr">
        <is>
          <t>SP</t>
        </is>
      </c>
      <c r="D79" t="n">
        <v>28</v>
      </c>
      <c r="E79" t="n">
        <v>10</v>
      </c>
      <c r="F79" s="2" t="n">
        <v>44292</v>
      </c>
      <c r="G79" s="2" t="n">
        <v>44302</v>
      </c>
      <c r="H79" s="2" t="n">
        <v>44302</v>
      </c>
      <c r="I79" s="11" t="n">
        <v>10</v>
      </c>
      <c r="J79" s="49" t="n">
        <v>363.34</v>
      </c>
      <c r="K79" t="n">
        <v>280000</v>
      </c>
      <c r="L79" t="n">
        <v>0</v>
      </c>
      <c r="M79" t="n">
        <v>0</v>
      </c>
      <c r="N79" t="n">
        <v>0</v>
      </c>
      <c r="P79" s="1" t="n"/>
    </row>
    <row r="80">
      <c r="A80" t="inlineStr">
        <is>
          <t>Grand Total</t>
        </is>
      </c>
      <c r="J80" s="49" t="n">
        <v>363.34</v>
      </c>
      <c r="K80" t="n">
        <v>280000</v>
      </c>
      <c r="L80" t="n">
        <v>0</v>
      </c>
      <c r="M80" t="n">
        <v>0</v>
      </c>
      <c r="N80" t="n">
        <v>0</v>
      </c>
    </row>
    <row r="83">
      <c r="K83" s="6" t="inlineStr">
        <is>
          <t>Annualized ROI =</t>
        </is>
      </c>
      <c r="L83" s="6" t="n"/>
      <c r="M83" s="6" t="n"/>
      <c r="N83" s="7">
        <f>365*GETPIVOTDATA(" NetPrem",$A86)/GETPIVOTDATA(" CapDays",A86)</f>
        <v/>
      </c>
    </row>
    <row r="84">
      <c r="A84" t="inlineStr">
        <is>
          <t>Trade#</t>
        </is>
      </c>
      <c r="B84" s="5" t="n">
        <v>8</v>
      </c>
      <c r="K84" s="6" t="inlineStr">
        <is>
          <t>Break Even =</t>
        </is>
      </c>
      <c r="L84" s="6" t="n"/>
      <c r="M84" s="6" t="n"/>
      <c r="N84" s="50">
        <f>IF(GETPIVOTDATA(" Shares",A86)=0,"N/A",(GETPIVOTDATA(" BEcap",A86)-GETPIVOTDATA(" NetPrem",A86))/GETPIVOTDATA(" Shares",A86))</f>
        <v/>
      </c>
    </row>
    <row r="85">
      <c r="K85" s="6" t="inlineStr">
        <is>
          <t>Required Capital =</t>
        </is>
      </c>
      <c r="L85" s="6" t="n"/>
      <c r="M85" s="6" t="n"/>
      <c r="N85" s="50">
        <f>GETPIVOTDATA(" OpenCap",A86)</f>
        <v/>
      </c>
    </row>
    <row r="86">
      <c r="A86" s="30" t="inlineStr">
        <is>
          <t>SYM</t>
        </is>
      </c>
      <c r="B86" s="30" t="inlineStr">
        <is>
          <t>Leg</t>
        </is>
      </c>
      <c r="C86" s="30" t="inlineStr">
        <is>
          <t>TransType</t>
        </is>
      </c>
      <c r="D86" s="30" t="inlineStr">
        <is>
          <t>Strike</t>
        </is>
      </c>
      <c r="E86" s="30" t="inlineStr">
        <is>
          <t>#Contracts</t>
        </is>
      </c>
      <c r="F86" s="30" t="inlineStr">
        <is>
          <t>OpenDate</t>
        </is>
      </c>
      <c r="G86" s="30" t="inlineStr">
        <is>
          <t>CloseDate</t>
        </is>
      </c>
      <c r="H86" s="30" t="inlineStr">
        <is>
          <t>ExpDate</t>
        </is>
      </c>
      <c r="I86" s="30" t="inlineStr">
        <is>
          <t>Days</t>
        </is>
      </c>
      <c r="J86" s="49" t="inlineStr">
        <is>
          <t xml:space="preserve"> NetPrem</t>
        </is>
      </c>
      <c r="K86" t="inlineStr">
        <is>
          <t xml:space="preserve"> CapDays</t>
        </is>
      </c>
      <c r="L86" t="inlineStr">
        <is>
          <t xml:space="preserve"> OpenCap</t>
        </is>
      </c>
      <c r="M86" t="inlineStr">
        <is>
          <t xml:space="preserve"> BEcap</t>
        </is>
      </c>
      <c r="N86" t="inlineStr">
        <is>
          <t xml:space="preserve"> Shares</t>
        </is>
      </c>
    </row>
    <row r="87">
      <c r="A87" t="inlineStr">
        <is>
          <t>Sold 10 AAL May 7 2021 22.0 Put @ 0.86</t>
        </is>
      </c>
      <c r="B87" t="n">
        <v>1</v>
      </c>
      <c r="C87" t="inlineStr">
        <is>
          <t>SP</t>
        </is>
      </c>
      <c r="D87" t="n">
        <v>22</v>
      </c>
      <c r="E87" t="n">
        <v>10</v>
      </c>
      <c r="F87" s="2" t="n">
        <v>44294</v>
      </c>
      <c r="G87" s="2" t="n">
        <v>44323</v>
      </c>
      <c r="H87" s="2" t="n">
        <v>44323</v>
      </c>
      <c r="I87" s="11" t="n">
        <v>29</v>
      </c>
      <c r="J87" s="49" t="n">
        <v>853.34</v>
      </c>
      <c r="K87" t="n">
        <v>638000</v>
      </c>
      <c r="L87" t="n">
        <v>0</v>
      </c>
      <c r="M87" t="n">
        <v>0</v>
      </c>
      <c r="N87" t="n">
        <v>0</v>
      </c>
      <c r="P87" s="1" t="n"/>
    </row>
    <row r="88">
      <c r="A88" t="inlineStr">
        <is>
          <t>Bought 10 AAL May 7 2021 22.0 Put @ 0.61</t>
        </is>
      </c>
      <c r="B88" t="n">
        <v>2</v>
      </c>
      <c r="C88" t="inlineStr">
        <is>
          <t>SP</t>
        </is>
      </c>
      <c r="D88" t="n">
        <v>22</v>
      </c>
      <c r="E88" t="n">
        <v>10</v>
      </c>
      <c r="F88" s="2" t="n">
        <v>44323</v>
      </c>
      <c r="G88" s="2" t="n">
        <v>44323</v>
      </c>
      <c r="H88" s="2" t="n">
        <v>44323</v>
      </c>
      <c r="I88" s="11" t="n">
        <v>1</v>
      </c>
      <c r="J88" s="49" t="n">
        <v>-616.64</v>
      </c>
      <c r="K88" t="n">
        <v>22000</v>
      </c>
      <c r="L88" t="n">
        <v>0</v>
      </c>
      <c r="M88" t="n">
        <v>0</v>
      </c>
      <c r="N88" t="n">
        <v>0</v>
      </c>
    </row>
    <row r="89">
      <c r="A89" t="inlineStr">
        <is>
          <t>Sold 10 AAL May 28 2021 21.5 Put @ 0.98</t>
        </is>
      </c>
      <c r="B89" t="n">
        <v>3</v>
      </c>
      <c r="C89" t="inlineStr">
        <is>
          <t>SP</t>
        </is>
      </c>
      <c r="D89" t="n">
        <v>21.5</v>
      </c>
      <c r="E89" t="n">
        <v>10</v>
      </c>
      <c r="F89" s="2" t="n">
        <v>44323</v>
      </c>
      <c r="G89" s="2" t="n">
        <v>44323</v>
      </c>
      <c r="H89" s="2" t="n">
        <v>44344</v>
      </c>
      <c r="I89" s="11" t="n">
        <v>1</v>
      </c>
      <c r="J89" s="49" t="n">
        <v>973.34</v>
      </c>
      <c r="K89" t="n">
        <v>21500</v>
      </c>
      <c r="L89" t="n">
        <v>0</v>
      </c>
      <c r="M89" t="n">
        <v>0</v>
      </c>
      <c r="N89" t="n">
        <v>0</v>
      </c>
    </row>
    <row r="90">
      <c r="A90" t="inlineStr">
        <is>
          <t>Bought 10 AAL May 28 2021 21.5 Put @ 0.74</t>
        </is>
      </c>
      <c r="B90" t="n">
        <v>4</v>
      </c>
      <c r="C90" t="inlineStr">
        <is>
          <t>SP</t>
        </is>
      </c>
      <c r="D90" t="n">
        <v>21.5</v>
      </c>
      <c r="E90" t="n">
        <v>10</v>
      </c>
      <c r="F90" s="2" t="n">
        <v>44323</v>
      </c>
      <c r="G90" s="2" t="n">
        <v>44323</v>
      </c>
      <c r="H90" s="2" t="n">
        <v>44344</v>
      </c>
      <c r="I90" s="11" t="n">
        <v>1</v>
      </c>
      <c r="J90" s="49" t="n">
        <v>-746.64</v>
      </c>
      <c r="K90" t="n">
        <v>21500</v>
      </c>
      <c r="L90" t="n">
        <v>0</v>
      </c>
      <c r="M90" t="n">
        <v>0</v>
      </c>
      <c r="N90" t="n">
        <v>0</v>
      </c>
    </row>
    <row r="91">
      <c r="A91" t="inlineStr">
        <is>
          <t>Grand Total</t>
        </is>
      </c>
      <c r="J91" s="49" t="n">
        <v>463.4</v>
      </c>
      <c r="K91" t="n">
        <v>703000</v>
      </c>
      <c r="L91" t="n">
        <v>0</v>
      </c>
      <c r="M91" t="n">
        <v>0</v>
      </c>
      <c r="N91" t="n">
        <v>0</v>
      </c>
    </row>
    <row customHeight="1" ht="16.5" r="93" s="52"/>
    <row r="95">
      <c r="K95" s="6" t="inlineStr">
        <is>
          <t>Annualized ROI =</t>
        </is>
      </c>
      <c r="L95" s="6" t="n"/>
      <c r="M95" s="6" t="n"/>
      <c r="N95" s="7">
        <f>365*GETPIVOTDATA(" NetPrem",$A98)/GETPIVOTDATA(" CapDays",A98)</f>
        <v/>
      </c>
    </row>
    <row r="96">
      <c r="A96" t="inlineStr">
        <is>
          <t>Trade#</t>
        </is>
      </c>
      <c r="B96" s="5" t="n">
        <v>9</v>
      </c>
      <c r="K96" s="6" t="inlineStr">
        <is>
          <t>Break Even =</t>
        </is>
      </c>
      <c r="L96" s="6" t="n"/>
      <c r="M96" s="6" t="n"/>
      <c r="N96" s="50">
        <f>IF(GETPIVOTDATA(" Shares",A98)=0,"N/A",(GETPIVOTDATA(" BEcap",A98)-GETPIVOTDATA(" NetPrem",A98))/GETPIVOTDATA(" Shares",A98))</f>
        <v/>
      </c>
    </row>
    <row r="97">
      <c r="K97" s="6" t="inlineStr">
        <is>
          <t>Required Capital =</t>
        </is>
      </c>
      <c r="L97" s="6" t="n"/>
      <c r="M97" s="6" t="n"/>
      <c r="N97" s="50">
        <f>GETPIVOTDATA(" OpenCap",A98)</f>
        <v/>
      </c>
    </row>
    <row r="98">
      <c r="A98" s="30" t="inlineStr">
        <is>
          <t>SYM</t>
        </is>
      </c>
      <c r="B98" s="30" t="inlineStr">
        <is>
          <t>Leg</t>
        </is>
      </c>
      <c r="C98" s="30" t="inlineStr">
        <is>
          <t>TransType</t>
        </is>
      </c>
      <c r="D98" s="30" t="inlineStr">
        <is>
          <t>Strike</t>
        </is>
      </c>
      <c r="E98" s="30" t="inlineStr">
        <is>
          <t>#Contracts</t>
        </is>
      </c>
      <c r="F98" s="30" t="inlineStr">
        <is>
          <t>OpenDate</t>
        </is>
      </c>
      <c r="G98" s="30" t="inlineStr">
        <is>
          <t>CloseDate</t>
        </is>
      </c>
      <c r="H98" s="30" t="inlineStr">
        <is>
          <t>ExpDate</t>
        </is>
      </c>
      <c r="I98" s="30" t="inlineStr">
        <is>
          <t>Days</t>
        </is>
      </c>
      <c r="J98" s="49" t="inlineStr">
        <is>
          <t xml:space="preserve"> NetPrem</t>
        </is>
      </c>
      <c r="K98" t="inlineStr">
        <is>
          <t xml:space="preserve"> CapDays</t>
        </is>
      </c>
      <c r="L98" t="inlineStr">
        <is>
          <t xml:space="preserve"> OpenCap</t>
        </is>
      </c>
      <c r="M98" t="inlineStr">
        <is>
          <t xml:space="preserve"> BEcap</t>
        </is>
      </c>
      <c r="N98" t="inlineStr">
        <is>
          <t xml:space="preserve"> Shares</t>
        </is>
      </c>
    </row>
    <row r="99">
      <c r="A99" t="inlineStr">
        <is>
          <t>Sold 10 CCL May 7 2021 25.0 Put @ 0.44</t>
        </is>
      </c>
      <c r="B99" t="n">
        <v>1</v>
      </c>
      <c r="C99" t="inlineStr">
        <is>
          <t>SP</t>
        </is>
      </c>
      <c r="D99" t="n">
        <v>25</v>
      </c>
      <c r="E99" t="n">
        <v>10</v>
      </c>
      <c r="F99" s="2" t="n">
        <v>44294</v>
      </c>
      <c r="G99" s="2" t="n">
        <v>44322</v>
      </c>
      <c r="H99" s="2" t="n">
        <v>44323</v>
      </c>
      <c r="I99" s="11" t="n">
        <v>28</v>
      </c>
      <c r="J99" s="49" t="n">
        <v>433.34</v>
      </c>
      <c r="K99" t="n">
        <v>700000</v>
      </c>
      <c r="L99" t="n">
        <v>0</v>
      </c>
      <c r="M99" t="n">
        <v>0</v>
      </c>
      <c r="N99" t="n">
        <v>0</v>
      </c>
      <c r="P99" s="1" t="n"/>
    </row>
    <row r="100">
      <c r="A100" t="inlineStr">
        <is>
          <t>Bought 10 CCL May 07 2021 25.0 Put @ 0.04</t>
        </is>
      </c>
      <c r="B100" t="n">
        <v>2</v>
      </c>
      <c r="C100" t="inlineStr">
        <is>
          <t>SP</t>
        </is>
      </c>
      <c r="D100" t="n">
        <v>25</v>
      </c>
      <c r="E100" t="n">
        <v>10</v>
      </c>
      <c r="F100" s="2" t="n">
        <v>44319</v>
      </c>
      <c r="G100" s="2" t="n">
        <v>44322</v>
      </c>
      <c r="H100" s="2" t="n">
        <v>44323</v>
      </c>
      <c r="I100" s="11" t="n">
        <v>3</v>
      </c>
      <c r="J100" s="49" t="n">
        <v>-40.14</v>
      </c>
      <c r="K100" t="n">
        <v>75000</v>
      </c>
      <c r="L100" t="n">
        <v>0</v>
      </c>
      <c r="M100" t="n">
        <v>0</v>
      </c>
      <c r="N100" t="n">
        <v>0</v>
      </c>
    </row>
    <row r="101">
      <c r="A101" t="inlineStr">
        <is>
          <t>Grand Total</t>
        </is>
      </c>
      <c r="J101" s="49" t="n">
        <v>393.2</v>
      </c>
      <c r="K101" t="n">
        <v>775000</v>
      </c>
      <c r="L101" t="n">
        <v>0</v>
      </c>
      <c r="M101" t="n">
        <v>0</v>
      </c>
      <c r="N101" t="n">
        <v>0</v>
      </c>
    </row>
    <row r="107">
      <c r="K107" s="6" t="inlineStr">
        <is>
          <t>Annualized ROI =</t>
        </is>
      </c>
      <c r="L107" s="6" t="n"/>
      <c r="M107" s="6" t="n"/>
      <c r="N107" s="7">
        <f>365*GETPIVOTDATA(" NetPrem",$A110)/GETPIVOTDATA(" CapDays",A110)</f>
        <v/>
      </c>
    </row>
    <row r="108">
      <c r="A108" t="inlineStr">
        <is>
          <t>Trade#</t>
        </is>
      </c>
      <c r="B108" s="5" t="n">
        <v>10</v>
      </c>
      <c r="K108" s="6" t="inlineStr">
        <is>
          <t>Break Even =</t>
        </is>
      </c>
      <c r="L108" s="6" t="n"/>
      <c r="M108" s="6" t="n"/>
      <c r="N108" s="50">
        <f>IF(GETPIVOTDATA(" Shares",A110)=0,"N/A",(GETPIVOTDATA(" BEcap",A110)-GETPIVOTDATA(" NetPrem",A110))/GETPIVOTDATA(" Shares",A110))</f>
        <v/>
      </c>
    </row>
    <row r="109">
      <c r="K109" s="6" t="inlineStr">
        <is>
          <t>Required Capital =</t>
        </is>
      </c>
      <c r="L109" s="6" t="n"/>
      <c r="M109" s="6" t="n"/>
      <c r="N109" s="50">
        <f>GETPIVOTDATA(" OpenCap",A110)</f>
        <v/>
      </c>
    </row>
    <row r="110">
      <c r="A110" s="30" t="inlineStr">
        <is>
          <t>SYM</t>
        </is>
      </c>
      <c r="B110" s="30" t="inlineStr">
        <is>
          <t>Leg</t>
        </is>
      </c>
      <c r="C110" s="30" t="inlineStr">
        <is>
          <t>TransType</t>
        </is>
      </c>
      <c r="D110" s="30" t="inlineStr">
        <is>
          <t>Strike</t>
        </is>
      </c>
      <c r="E110" s="30" t="inlineStr">
        <is>
          <t>#Contracts</t>
        </is>
      </c>
      <c r="F110" s="30" t="inlineStr">
        <is>
          <t>OpenDate</t>
        </is>
      </c>
      <c r="G110" s="30" t="inlineStr">
        <is>
          <t>CloseDate</t>
        </is>
      </c>
      <c r="H110" s="30" t="inlineStr">
        <is>
          <t>ExpDate</t>
        </is>
      </c>
      <c r="I110" s="30" t="inlineStr">
        <is>
          <t>Days</t>
        </is>
      </c>
      <c r="J110" s="49" t="inlineStr">
        <is>
          <t xml:space="preserve"> NetPrem</t>
        </is>
      </c>
      <c r="K110" t="inlineStr">
        <is>
          <t xml:space="preserve"> CapDays</t>
        </is>
      </c>
      <c r="L110" t="inlineStr">
        <is>
          <t xml:space="preserve"> OpenCap</t>
        </is>
      </c>
      <c r="M110" t="inlineStr">
        <is>
          <t xml:space="preserve"> BEcap</t>
        </is>
      </c>
      <c r="N110" t="inlineStr">
        <is>
          <t xml:space="preserve"> Shares</t>
        </is>
      </c>
    </row>
    <row r="111">
      <c r="A111" t="inlineStr">
        <is>
          <t>Sold 3 GE Apr 30 2021 13.0 Put @ 0.35</t>
        </is>
      </c>
      <c r="B111" t="n">
        <v>1</v>
      </c>
      <c r="C111" t="inlineStr">
        <is>
          <t>SP</t>
        </is>
      </c>
      <c r="D111" t="n">
        <v>13</v>
      </c>
      <c r="E111" t="n">
        <v>3</v>
      </c>
      <c r="F111" s="2" t="n">
        <v>44295</v>
      </c>
      <c r="G111" s="2" t="n">
        <v>44313</v>
      </c>
      <c r="H111" s="2" t="n">
        <v>44316</v>
      </c>
      <c r="I111" s="11" t="n">
        <v>18</v>
      </c>
      <c r="J111" s="49" t="n">
        <v>103</v>
      </c>
      <c r="K111" t="n">
        <v>70200</v>
      </c>
      <c r="L111" t="n">
        <v>0</v>
      </c>
      <c r="M111" t="n">
        <v>0</v>
      </c>
      <c r="N111" t="n">
        <v>0</v>
      </c>
    </row>
    <row r="112">
      <c r="A112" t="inlineStr">
        <is>
          <t>Bought 2 GE Apr 30 2021 13.0 Put @ 0.09</t>
        </is>
      </c>
      <c r="B112" t="n">
        <v>2</v>
      </c>
      <c r="C112" t="inlineStr">
        <is>
          <t>SP</t>
        </is>
      </c>
      <c r="D112" t="n">
        <v>13</v>
      </c>
      <c r="E112" t="n">
        <v>2</v>
      </c>
      <c r="F112" s="2" t="n">
        <v>44313</v>
      </c>
      <c r="G112" s="2" t="n">
        <v>44313</v>
      </c>
      <c r="H112" s="2" t="n">
        <v>44316</v>
      </c>
      <c r="I112" s="11" t="n">
        <v>1</v>
      </c>
      <c r="J112" s="49" t="n">
        <v>-19.33</v>
      </c>
      <c r="K112" t="n">
        <v>2600</v>
      </c>
      <c r="L112" t="n">
        <v>0</v>
      </c>
      <c r="M112" t="n">
        <v>0</v>
      </c>
      <c r="N112" t="n">
        <v>0</v>
      </c>
    </row>
    <row r="113">
      <c r="A113" t="inlineStr">
        <is>
          <t>Bought 1 GE Apr 30 2021 13.0 Put @ 0.09</t>
        </is>
      </c>
      <c r="B113" t="n">
        <v>3</v>
      </c>
      <c r="C113" t="inlineStr">
        <is>
          <t>SP</t>
        </is>
      </c>
      <c r="D113" t="n">
        <v>13</v>
      </c>
      <c r="E113" t="n">
        <v>1</v>
      </c>
      <c r="F113" s="2" t="n">
        <v>44313</v>
      </c>
      <c r="G113" s="2" t="n">
        <v>44313</v>
      </c>
      <c r="H113" s="2" t="n">
        <v>44316</v>
      </c>
      <c r="I113" s="11" t="n">
        <v>1</v>
      </c>
      <c r="J113" s="49" t="n">
        <v>-9.66</v>
      </c>
      <c r="K113" t="n">
        <v>1300</v>
      </c>
      <c r="L113" t="n">
        <v>0</v>
      </c>
      <c r="M113" t="n">
        <v>0</v>
      </c>
      <c r="N113" t="n">
        <v>0</v>
      </c>
    </row>
    <row r="114">
      <c r="A114" t="inlineStr">
        <is>
          <t>Grand Total</t>
        </is>
      </c>
      <c r="J114" s="49" t="n">
        <v>74.01000000000001</v>
      </c>
      <c r="K114" t="n">
        <v>74100</v>
      </c>
      <c r="L114" t="n">
        <v>0</v>
      </c>
      <c r="M114" t="n">
        <v>0</v>
      </c>
      <c r="N114" t="n">
        <v>0</v>
      </c>
    </row>
    <row r="117">
      <c r="K117" s="6" t="inlineStr">
        <is>
          <t>Annualized ROI =</t>
        </is>
      </c>
      <c r="L117" s="6" t="n"/>
      <c r="M117" s="6" t="n"/>
      <c r="N117" s="7">
        <f>365*GETPIVOTDATA(" NetPrem",$A120)/GETPIVOTDATA(" CapDays",A120)</f>
        <v/>
      </c>
    </row>
    <row r="118">
      <c r="A118" t="inlineStr">
        <is>
          <t>Trade#</t>
        </is>
      </c>
      <c r="B118" s="5" t="n">
        <v>11</v>
      </c>
      <c r="K118" s="6" t="inlineStr">
        <is>
          <t>Break Even =</t>
        </is>
      </c>
      <c r="L118" s="6" t="n"/>
      <c r="M118" s="6" t="n"/>
      <c r="N118" s="50">
        <f>IF(GETPIVOTDATA(" Shares",A120)=0,"N/A",(GETPIVOTDATA(" BEcap",A120)-GETPIVOTDATA(" NetPrem",A120))/GETPIVOTDATA(" Shares",A120))</f>
        <v/>
      </c>
    </row>
    <row r="119">
      <c r="K119" s="6" t="inlineStr">
        <is>
          <t>Required Capital =</t>
        </is>
      </c>
      <c r="L119" s="6" t="n"/>
      <c r="M119" s="6" t="n"/>
      <c r="N119" s="50">
        <f>GETPIVOTDATA(" OpenCap",A120)</f>
        <v/>
      </c>
    </row>
    <row r="120">
      <c r="A120" s="30" t="inlineStr">
        <is>
          <t>SYM</t>
        </is>
      </c>
      <c r="B120" s="30" t="inlineStr">
        <is>
          <t>Leg</t>
        </is>
      </c>
      <c r="C120" s="30" t="inlineStr">
        <is>
          <t>TransType</t>
        </is>
      </c>
      <c r="D120" s="30" t="inlineStr">
        <is>
          <t>Strike</t>
        </is>
      </c>
      <c r="E120" s="30" t="inlineStr">
        <is>
          <t>#Contracts</t>
        </is>
      </c>
      <c r="F120" s="30" t="inlineStr">
        <is>
          <t>OpenDate</t>
        </is>
      </c>
      <c r="G120" s="30" t="inlineStr">
        <is>
          <t>CloseDate</t>
        </is>
      </c>
      <c r="H120" s="30" t="inlineStr">
        <is>
          <t>ExpDate</t>
        </is>
      </c>
      <c r="I120" s="30" t="inlineStr">
        <is>
          <t>Days</t>
        </is>
      </c>
      <c r="J120" s="49" t="inlineStr">
        <is>
          <t xml:space="preserve"> NetPrem</t>
        </is>
      </c>
      <c r="K120" t="inlineStr">
        <is>
          <t xml:space="preserve"> CapDays</t>
        </is>
      </c>
      <c r="L120" t="inlineStr">
        <is>
          <t xml:space="preserve"> OpenCap</t>
        </is>
      </c>
      <c r="M120" t="inlineStr">
        <is>
          <t xml:space="preserve"> BEcap</t>
        </is>
      </c>
      <c r="N120" t="inlineStr">
        <is>
          <t xml:space="preserve"> Shares</t>
        </is>
      </c>
    </row>
    <row r="121">
      <c r="A121" t="inlineStr">
        <is>
          <t>Sold 4 CPB May 21 2021 48.0 Put @ 0.6</t>
        </is>
      </c>
      <c r="B121" t="n">
        <v>1</v>
      </c>
      <c r="C121" t="inlineStr">
        <is>
          <t>SP</t>
        </is>
      </c>
      <c r="D121" t="n">
        <v>48</v>
      </c>
      <c r="E121" t="n">
        <v>4</v>
      </c>
      <c r="F121" s="2" t="n">
        <v>44305</v>
      </c>
      <c r="G121" s="2" t="n">
        <v>44330</v>
      </c>
      <c r="H121" s="2" t="n">
        <v>44337</v>
      </c>
      <c r="I121" s="11" t="n">
        <v>25</v>
      </c>
      <c r="J121" s="49" t="n">
        <v>237.33</v>
      </c>
      <c r="K121" t="n">
        <v>480000</v>
      </c>
      <c r="L121" t="n">
        <v>0</v>
      </c>
      <c r="M121" t="n">
        <v>0</v>
      </c>
      <c r="N121" t="n">
        <v>0</v>
      </c>
      <c r="P121" s="1" t="n"/>
    </row>
    <row r="122">
      <c r="A122" t="inlineStr">
        <is>
          <t>Bought 4 CPB May 21 2021 48.0 Put @ 0.15</t>
        </is>
      </c>
      <c r="B122" t="n">
        <v>2</v>
      </c>
      <c r="C122" t="inlineStr">
        <is>
          <t>SP</t>
        </is>
      </c>
      <c r="D122" t="n">
        <v>48</v>
      </c>
      <c r="E122" t="n">
        <v>4</v>
      </c>
      <c r="F122" s="2" t="n">
        <v>44330</v>
      </c>
      <c r="G122" s="2" t="n">
        <v>44330</v>
      </c>
      <c r="H122" s="2" t="n">
        <v>44337</v>
      </c>
      <c r="I122" s="11" t="n">
        <v>1</v>
      </c>
      <c r="J122" s="49" t="n">
        <v>-62.66</v>
      </c>
      <c r="K122" t="n">
        <v>19200</v>
      </c>
      <c r="L122" t="n">
        <v>0</v>
      </c>
      <c r="M122" t="n">
        <v>0</v>
      </c>
      <c r="N122" t="n">
        <v>0</v>
      </c>
    </row>
    <row r="123">
      <c r="A123" t="inlineStr">
        <is>
          <t>Grand Total</t>
        </is>
      </c>
      <c r="J123" s="49" t="n">
        <v>174.67</v>
      </c>
      <c r="K123" t="n">
        <v>499200</v>
      </c>
      <c r="L123" t="n">
        <v>0</v>
      </c>
      <c r="M123" t="n">
        <v>0</v>
      </c>
      <c r="N123" t="n">
        <v>0</v>
      </c>
    </row>
    <row r="129">
      <c r="K129" s="6" t="inlineStr">
        <is>
          <t>Annualized ROI =</t>
        </is>
      </c>
      <c r="L129" s="6" t="n"/>
      <c r="M129" s="6" t="n"/>
      <c r="N129" s="7">
        <f>365*GETPIVOTDATA(" NetPrem",$A132)/GETPIVOTDATA(" CapDays",A132)</f>
        <v/>
      </c>
    </row>
    <row r="130">
      <c r="A130" t="inlineStr">
        <is>
          <t>Trade#</t>
        </is>
      </c>
      <c r="B130" s="5" t="n">
        <v>12</v>
      </c>
      <c r="K130" s="6" t="inlineStr">
        <is>
          <t>Break Even =</t>
        </is>
      </c>
      <c r="L130" s="6" t="n"/>
      <c r="M130" s="6" t="n"/>
      <c r="N130" s="50">
        <f>IF(GETPIVOTDATA(" Shares",A132)=0,"N/A",(GETPIVOTDATA(" BEcap",A132)-GETPIVOTDATA(" NetPrem",A132))/GETPIVOTDATA(" Shares",A132))</f>
        <v/>
      </c>
    </row>
    <row r="131">
      <c r="K131" s="6" t="inlineStr">
        <is>
          <t>Required Capital =</t>
        </is>
      </c>
      <c r="L131" s="6" t="n"/>
      <c r="M131" s="6" t="n"/>
      <c r="N131" s="50">
        <f>GETPIVOTDATA(" OpenCap",A132)</f>
        <v/>
      </c>
    </row>
    <row r="132">
      <c r="A132" s="30" t="inlineStr">
        <is>
          <t>SYM</t>
        </is>
      </c>
      <c r="B132" s="30" t="inlineStr">
        <is>
          <t>Leg</t>
        </is>
      </c>
      <c r="C132" s="30" t="inlineStr">
        <is>
          <t>TransType</t>
        </is>
      </c>
      <c r="D132" s="30" t="inlineStr">
        <is>
          <t>Strike</t>
        </is>
      </c>
      <c r="E132" s="30" t="inlineStr">
        <is>
          <t>#Contracts</t>
        </is>
      </c>
      <c r="F132" s="30" t="inlineStr">
        <is>
          <t>OpenDate</t>
        </is>
      </c>
      <c r="G132" s="30" t="inlineStr">
        <is>
          <t>CloseDate</t>
        </is>
      </c>
      <c r="H132" s="30" t="inlineStr">
        <is>
          <t>ExpDate</t>
        </is>
      </c>
      <c r="I132" s="30" t="inlineStr">
        <is>
          <t>Days</t>
        </is>
      </c>
      <c r="J132" s="49" t="inlineStr">
        <is>
          <t xml:space="preserve"> NetPrem</t>
        </is>
      </c>
      <c r="K132" t="inlineStr">
        <is>
          <t xml:space="preserve"> CapDays</t>
        </is>
      </c>
      <c r="L132" t="inlineStr">
        <is>
          <t xml:space="preserve"> OpenCap</t>
        </is>
      </c>
      <c r="M132" t="inlineStr">
        <is>
          <t xml:space="preserve"> BEcap</t>
        </is>
      </c>
      <c r="N132" t="inlineStr">
        <is>
          <t xml:space="preserve"> Shares</t>
        </is>
      </c>
    </row>
    <row r="133">
      <c r="A133" t="inlineStr">
        <is>
          <t>Sold 3 GBX May 21 2021 40.0 Put @ 0.8</t>
        </is>
      </c>
      <c r="B133" t="n">
        <v>1</v>
      </c>
      <c r="C133" t="inlineStr">
        <is>
          <t>SP</t>
        </is>
      </c>
      <c r="D133" t="n">
        <v>40</v>
      </c>
      <c r="E133" t="n">
        <v>3</v>
      </c>
      <c r="F133" s="2" t="n">
        <v>44305</v>
      </c>
      <c r="G133" s="2" t="n">
        <v>44313</v>
      </c>
      <c r="H133" s="2" t="n">
        <v>44337</v>
      </c>
      <c r="I133" s="11" t="n">
        <v>8</v>
      </c>
      <c r="J133" s="49" t="n">
        <v>238</v>
      </c>
      <c r="K133" t="n">
        <v>96000</v>
      </c>
      <c r="L133" t="n">
        <v>0</v>
      </c>
      <c r="M133" t="n">
        <v>0</v>
      </c>
      <c r="N133" t="n">
        <v>0</v>
      </c>
    </row>
    <row r="134">
      <c r="A134" t="inlineStr">
        <is>
          <t>Bought 3 GBX May 21 2021 40.0 Put @ 0.22</t>
        </is>
      </c>
      <c r="B134" t="n">
        <v>2</v>
      </c>
      <c r="C134" t="inlineStr">
        <is>
          <t>SP</t>
        </is>
      </c>
      <c r="D134" t="n">
        <v>40</v>
      </c>
      <c r="E134" t="n">
        <v>3</v>
      </c>
      <c r="F134" s="2" t="n">
        <v>44313</v>
      </c>
      <c r="G134" s="2" t="n">
        <v>44313</v>
      </c>
      <c r="H134" s="2" t="n">
        <v>44337</v>
      </c>
      <c r="I134" s="11" t="n">
        <v>1</v>
      </c>
      <c r="J134" s="49" t="n">
        <v>-67.98999999999999</v>
      </c>
      <c r="K134" t="n">
        <v>12000</v>
      </c>
      <c r="L134" t="n">
        <v>0</v>
      </c>
      <c r="M134" t="n">
        <v>0</v>
      </c>
      <c r="N134" t="n">
        <v>0</v>
      </c>
    </row>
    <row r="135">
      <c r="A135" t="inlineStr">
        <is>
          <t>Grand Total</t>
        </is>
      </c>
      <c r="J135" s="49" t="n">
        <v>170.01</v>
      </c>
      <c r="K135" t="n">
        <v>108000</v>
      </c>
      <c r="L135" t="n">
        <v>0</v>
      </c>
      <c r="M135" t="n">
        <v>0</v>
      </c>
      <c r="N135" t="n">
        <v>0</v>
      </c>
    </row>
    <row r="138">
      <c r="K138" s="6" t="inlineStr">
        <is>
          <t>Annualized ROI =</t>
        </is>
      </c>
      <c r="L138" s="6" t="n"/>
      <c r="M138" s="6" t="n"/>
      <c r="N138" s="7">
        <f>365*GETPIVOTDATA(" NetPrem",$A141)/GETPIVOTDATA(" CapDays",A141)</f>
        <v/>
      </c>
    </row>
    <row r="139">
      <c r="A139" t="inlineStr">
        <is>
          <t>Trade#</t>
        </is>
      </c>
      <c r="B139" s="5" t="n">
        <v>13</v>
      </c>
      <c r="K139" s="6" t="inlineStr">
        <is>
          <t>Break Even =</t>
        </is>
      </c>
      <c r="L139" s="6" t="n"/>
      <c r="M139" s="6" t="n"/>
      <c r="N139" s="50">
        <f>IF(GETPIVOTDATA(" Shares",A141)=0,"N/A",(GETPIVOTDATA(" BEcap",A141)-GETPIVOTDATA(" NetPrem",A141))/GETPIVOTDATA(" Shares",A141))</f>
        <v/>
      </c>
    </row>
    <row r="140">
      <c r="K140" s="6" t="inlineStr">
        <is>
          <t>Required Capital =</t>
        </is>
      </c>
      <c r="L140" s="6" t="n"/>
      <c r="M140" s="6" t="n"/>
      <c r="N140" s="50">
        <f>GETPIVOTDATA(" OpenCap",A141)</f>
        <v/>
      </c>
    </row>
    <row r="141">
      <c r="A141" s="30" t="inlineStr">
        <is>
          <t>SYM</t>
        </is>
      </c>
      <c r="B141" s="30" t="inlineStr">
        <is>
          <t>Leg</t>
        </is>
      </c>
      <c r="C141" s="30" t="inlineStr">
        <is>
          <t>TransType</t>
        </is>
      </c>
      <c r="D141" s="30" t="inlineStr">
        <is>
          <t>Strike</t>
        </is>
      </c>
      <c r="E141" s="30" t="inlineStr">
        <is>
          <t>#Contracts</t>
        </is>
      </c>
      <c r="F141" s="30" t="inlineStr">
        <is>
          <t>OpenDate</t>
        </is>
      </c>
      <c r="G141" s="30" t="inlineStr">
        <is>
          <t>CloseDate</t>
        </is>
      </c>
      <c r="H141" s="30" t="inlineStr">
        <is>
          <t>ExpDate</t>
        </is>
      </c>
      <c r="I141" s="30" t="inlineStr">
        <is>
          <t>Days</t>
        </is>
      </c>
      <c r="J141" s="49" t="inlineStr">
        <is>
          <t xml:space="preserve"> NetPrem</t>
        </is>
      </c>
      <c r="K141" t="inlineStr">
        <is>
          <t xml:space="preserve"> CapDays</t>
        </is>
      </c>
      <c r="L141" t="inlineStr">
        <is>
          <t xml:space="preserve"> OpenCap</t>
        </is>
      </c>
      <c r="M141" t="inlineStr">
        <is>
          <t xml:space="preserve"> BEcap</t>
        </is>
      </c>
      <c r="N141" t="inlineStr">
        <is>
          <t xml:space="preserve"> Shares</t>
        </is>
      </c>
    </row>
    <row r="142">
      <c r="A142" t="inlineStr">
        <is>
          <t>Sold 10 CCL May 21 2021 24.5 Put @ 0.37</t>
        </is>
      </c>
      <c r="B142" t="n">
        <v>1</v>
      </c>
      <c r="C142" t="inlineStr">
        <is>
          <t>SP</t>
        </is>
      </c>
      <c r="D142" t="n">
        <v>24.5</v>
      </c>
      <c r="E142" t="n">
        <v>10</v>
      </c>
      <c r="F142" s="2" t="n">
        <v>44308</v>
      </c>
      <c r="G142" s="2" t="n">
        <v>44330</v>
      </c>
      <c r="H142" s="2" t="n">
        <v>44337</v>
      </c>
      <c r="I142" s="11" t="n">
        <v>22</v>
      </c>
      <c r="J142" s="49" t="n">
        <v>363.34</v>
      </c>
      <c r="K142" t="n">
        <v>539000</v>
      </c>
      <c r="L142" t="n">
        <v>0</v>
      </c>
      <c r="M142" t="n">
        <v>0</v>
      </c>
      <c r="N142" t="n">
        <v>0</v>
      </c>
    </row>
    <row r="143">
      <c r="A143" t="inlineStr">
        <is>
          <t>Bought 10 CCL May 21 2021 24.5 Put @ 0.09</t>
        </is>
      </c>
      <c r="B143" t="n">
        <v>2</v>
      </c>
      <c r="C143" t="inlineStr">
        <is>
          <t>SP</t>
        </is>
      </c>
      <c r="D143" t="n">
        <v>24.5</v>
      </c>
      <c r="E143" t="n">
        <v>10</v>
      </c>
      <c r="F143" s="2" t="n">
        <v>44330</v>
      </c>
      <c r="G143" s="2" t="n">
        <v>44330</v>
      </c>
      <c r="H143" s="2" t="n">
        <v>44337</v>
      </c>
      <c r="I143" s="11" t="n">
        <v>1</v>
      </c>
      <c r="J143" s="49" t="n">
        <v>-96.64</v>
      </c>
      <c r="K143" t="n">
        <v>24500</v>
      </c>
      <c r="L143" t="n">
        <v>0</v>
      </c>
      <c r="M143" t="n">
        <v>0</v>
      </c>
      <c r="N143" t="n">
        <v>0</v>
      </c>
    </row>
    <row r="144">
      <c r="A144" t="inlineStr">
        <is>
          <t>Grand Total</t>
        </is>
      </c>
      <c r="J144" s="49" t="n">
        <v>266.7</v>
      </c>
      <c r="K144" t="n">
        <v>563500</v>
      </c>
      <c r="L144" t="n">
        <v>0</v>
      </c>
      <c r="M144" t="n">
        <v>0</v>
      </c>
      <c r="N144" t="n">
        <v>0</v>
      </c>
    </row>
    <row r="150">
      <c r="K150" s="6" t="inlineStr">
        <is>
          <t>Annualized ROI =</t>
        </is>
      </c>
      <c r="L150" s="6" t="n"/>
      <c r="M150" s="6" t="n"/>
      <c r="N150" s="7">
        <f>365*GETPIVOTDATA(" NetPrem",$A153)/GETPIVOTDATA(" CapDays",A153)</f>
        <v/>
      </c>
    </row>
    <row r="151">
      <c r="A151" t="inlineStr">
        <is>
          <t>Trade#</t>
        </is>
      </c>
      <c r="B151" s="5" t="n">
        <v>14</v>
      </c>
      <c r="K151" s="6" t="inlineStr">
        <is>
          <t>Break Even =</t>
        </is>
      </c>
      <c r="L151" s="6" t="n"/>
      <c r="M151" s="6" t="n"/>
      <c r="N151" s="50">
        <f>IF(GETPIVOTDATA(" Shares",A153)=0,"N/A",(GETPIVOTDATA(" BEcap",A153)-GETPIVOTDATA(" NetPrem",A153))/GETPIVOTDATA(" Shares",A153))</f>
        <v/>
      </c>
    </row>
    <row r="152">
      <c r="K152" s="6" t="inlineStr">
        <is>
          <t>Required Capital =</t>
        </is>
      </c>
      <c r="L152" s="6" t="n"/>
      <c r="M152" s="6" t="n"/>
      <c r="N152" s="50">
        <f>GETPIVOTDATA(" OpenCap",A153)</f>
        <v/>
      </c>
    </row>
    <row r="153">
      <c r="A153" s="30" t="inlineStr">
        <is>
          <t>SYM</t>
        </is>
      </c>
      <c r="B153" s="30" t="inlineStr">
        <is>
          <t>Leg</t>
        </is>
      </c>
      <c r="C153" s="30" t="inlineStr">
        <is>
          <t>TransType</t>
        </is>
      </c>
      <c r="D153" s="30" t="inlineStr">
        <is>
          <t>Strike</t>
        </is>
      </c>
      <c r="E153" s="30" t="inlineStr">
        <is>
          <t>#Contracts</t>
        </is>
      </c>
      <c r="F153" s="30" t="inlineStr">
        <is>
          <t>OpenDate</t>
        </is>
      </c>
      <c r="G153" s="30" t="inlineStr">
        <is>
          <t>CloseDate</t>
        </is>
      </c>
      <c r="H153" s="30" t="inlineStr">
        <is>
          <t>ExpDate</t>
        </is>
      </c>
      <c r="I153" s="30" t="inlineStr">
        <is>
          <t>Days</t>
        </is>
      </c>
      <c r="J153" s="49" t="inlineStr">
        <is>
          <t xml:space="preserve"> NetPrem</t>
        </is>
      </c>
      <c r="K153" t="inlineStr">
        <is>
          <t xml:space="preserve"> CapDays</t>
        </is>
      </c>
      <c r="L153" t="inlineStr">
        <is>
          <t xml:space="preserve"> OpenCap</t>
        </is>
      </c>
      <c r="M153" t="inlineStr">
        <is>
          <t xml:space="preserve"> BEcap</t>
        </is>
      </c>
      <c r="N153" t="inlineStr">
        <is>
          <t xml:space="preserve"> Shares</t>
        </is>
      </c>
    </row>
    <row r="154">
      <c r="A154" t="inlineStr">
        <is>
          <t>Sold 3 BIG May 21 2021 62.5 Put @ 1.29</t>
        </is>
      </c>
      <c r="B154" t="n">
        <v>1</v>
      </c>
      <c r="C154" t="inlineStr">
        <is>
          <t>SP</t>
        </is>
      </c>
      <c r="D154" t="n">
        <v>62.5</v>
      </c>
      <c r="E154" t="n">
        <v>3</v>
      </c>
      <c r="F154" s="2" t="n">
        <v>44312</v>
      </c>
      <c r="G154" s="2" t="n">
        <v>44322</v>
      </c>
      <c r="H154" s="2" t="n">
        <v>44337</v>
      </c>
      <c r="I154" s="11" t="n">
        <v>10</v>
      </c>
      <c r="J154" s="49" t="n">
        <v>385</v>
      </c>
      <c r="K154" t="n">
        <v>187500</v>
      </c>
      <c r="L154" t="n">
        <v>0</v>
      </c>
      <c r="M154" t="n">
        <v>0</v>
      </c>
      <c r="N154" t="n">
        <v>0</v>
      </c>
    </row>
    <row r="155">
      <c r="A155" t="inlineStr">
        <is>
          <t>Bought 2 BIG May 21 2021 62.5 Put @ 0.32</t>
        </is>
      </c>
      <c r="B155" t="n">
        <v>2</v>
      </c>
      <c r="C155" t="inlineStr">
        <is>
          <t>SP</t>
        </is>
      </c>
      <c r="D155" t="n">
        <v>62.5</v>
      </c>
      <c r="E155" t="n">
        <v>2</v>
      </c>
      <c r="F155" s="2" t="n">
        <v>44322</v>
      </c>
      <c r="G155" s="2" t="n">
        <v>44322</v>
      </c>
      <c r="H155" s="2" t="n">
        <v>44337</v>
      </c>
      <c r="I155" s="11" t="n">
        <v>1</v>
      </c>
      <c r="J155" s="49" t="n">
        <v>-65.33</v>
      </c>
      <c r="K155" t="n">
        <v>12500</v>
      </c>
      <c r="L155" t="n">
        <v>0</v>
      </c>
      <c r="M155" t="n">
        <v>0</v>
      </c>
      <c r="N155" t="n">
        <v>0</v>
      </c>
    </row>
    <row r="156">
      <c r="A156" t="inlineStr">
        <is>
          <t>Bought 1 BIG May 21 2021 62.5 Put @ 0.32</t>
        </is>
      </c>
      <c r="B156" t="n">
        <v>3</v>
      </c>
      <c r="C156" t="inlineStr">
        <is>
          <t>SP</t>
        </is>
      </c>
      <c r="D156" t="n">
        <v>62.5</v>
      </c>
      <c r="E156" t="n">
        <v>1</v>
      </c>
      <c r="F156" s="2" t="n">
        <v>44322</v>
      </c>
      <c r="G156" s="2" t="n">
        <v>44322</v>
      </c>
      <c r="H156" s="2" t="n">
        <v>44337</v>
      </c>
      <c r="I156" s="11" t="n">
        <v>1</v>
      </c>
      <c r="J156" s="49" t="n">
        <v>-32.66</v>
      </c>
      <c r="K156" t="n">
        <v>6250</v>
      </c>
      <c r="L156" t="n">
        <v>0</v>
      </c>
      <c r="M156" t="n">
        <v>0</v>
      </c>
      <c r="N156" t="n">
        <v>0</v>
      </c>
    </row>
    <row r="157">
      <c r="A157" t="inlineStr">
        <is>
          <t>Grand Total</t>
        </is>
      </c>
      <c r="J157" s="49" t="n">
        <v>287.01</v>
      </c>
      <c r="K157" t="n">
        <v>206250</v>
      </c>
      <c r="L157" t="n">
        <v>0</v>
      </c>
      <c r="M157" t="n">
        <v>0</v>
      </c>
      <c r="N157" t="n">
        <v>0</v>
      </c>
    </row>
    <row r="162">
      <c r="K162" s="6" t="inlineStr">
        <is>
          <t>Annualized ROI =</t>
        </is>
      </c>
      <c r="L162" s="6" t="n"/>
      <c r="M162" s="6" t="n"/>
      <c r="N162" s="7">
        <f>365*GETPIVOTDATA(" NetPrem",$A165)/GETPIVOTDATA(" CapDays",A165)</f>
        <v/>
      </c>
    </row>
    <row r="163">
      <c r="A163" t="inlineStr">
        <is>
          <t>Trade#</t>
        </is>
      </c>
      <c r="B163" s="5" t="n">
        <v>15</v>
      </c>
      <c r="K163" s="6" t="inlineStr">
        <is>
          <t>Break Even =</t>
        </is>
      </c>
      <c r="L163" s="6" t="n"/>
      <c r="M163" s="6" t="n"/>
      <c r="N163" s="50">
        <f>IF(GETPIVOTDATA(" Shares",A165)=0,"N/A",(GETPIVOTDATA(" BEcap",A165)-GETPIVOTDATA(" NetPrem",A165))/GETPIVOTDATA(" Shares",A165))</f>
        <v/>
      </c>
    </row>
    <row r="164">
      <c r="K164" s="6" t="inlineStr">
        <is>
          <t>Required Capital =</t>
        </is>
      </c>
      <c r="L164" s="6" t="n"/>
      <c r="M164" s="6" t="n"/>
      <c r="N164" s="50">
        <f>GETPIVOTDATA(" OpenCap",A165)</f>
        <v/>
      </c>
    </row>
    <row r="165">
      <c r="A165" s="30" t="inlineStr">
        <is>
          <t>SYM</t>
        </is>
      </c>
      <c r="B165" s="30" t="inlineStr">
        <is>
          <t>Leg</t>
        </is>
      </c>
      <c r="C165" s="30" t="inlineStr">
        <is>
          <t>TransType</t>
        </is>
      </c>
      <c r="D165" s="30" t="inlineStr">
        <is>
          <t>Strike</t>
        </is>
      </c>
      <c r="E165" s="30" t="inlineStr">
        <is>
          <t>#Contracts</t>
        </is>
      </c>
      <c r="F165" s="30" t="inlineStr">
        <is>
          <t>OpenDate</t>
        </is>
      </c>
      <c r="G165" s="30" t="inlineStr">
        <is>
          <t>CloseDate</t>
        </is>
      </c>
      <c r="H165" s="30" t="inlineStr">
        <is>
          <t>ExpDate</t>
        </is>
      </c>
      <c r="I165" s="30" t="inlineStr">
        <is>
          <t>Days</t>
        </is>
      </c>
      <c r="J165" s="49" t="inlineStr">
        <is>
          <t xml:space="preserve"> NetPrem</t>
        </is>
      </c>
      <c r="K165" t="inlineStr">
        <is>
          <t xml:space="preserve"> CapDays</t>
        </is>
      </c>
      <c r="L165" t="inlineStr">
        <is>
          <t xml:space="preserve"> OpenCap</t>
        </is>
      </c>
      <c r="M165" t="inlineStr">
        <is>
          <t xml:space="preserve"> BEcap</t>
        </is>
      </c>
      <c r="N165" t="inlineStr">
        <is>
          <t xml:space="preserve"> Shares</t>
        </is>
      </c>
    </row>
    <row r="166">
      <c r="A166" t="inlineStr">
        <is>
          <t>Sold 6 BBBY May 14 2021 23.5 Put @ 0.52</t>
        </is>
      </c>
      <c r="B166" t="n">
        <v>1</v>
      </c>
      <c r="C166" t="inlineStr">
        <is>
          <t>SP</t>
        </is>
      </c>
      <c r="D166" t="n">
        <v>23.5</v>
      </c>
      <c r="E166" t="n">
        <v>6</v>
      </c>
      <c r="F166" s="2" t="n">
        <v>44312</v>
      </c>
      <c r="G166" s="2" t="n">
        <v>44329</v>
      </c>
      <c r="H166" s="2" t="n">
        <v>44330</v>
      </c>
      <c r="I166" s="11" t="n">
        <v>17</v>
      </c>
      <c r="J166" s="49" t="n">
        <v>308.01</v>
      </c>
      <c r="K166" t="n">
        <v>239700</v>
      </c>
      <c r="L166" t="n">
        <v>0</v>
      </c>
      <c r="M166" t="n">
        <v>0</v>
      </c>
      <c r="N166" t="n">
        <v>0</v>
      </c>
    </row>
    <row r="167">
      <c r="A167" t="inlineStr">
        <is>
          <t>Bought 6 BBBY May 14 2021 23.5 Put @ 0.68</t>
        </is>
      </c>
      <c r="B167" t="n">
        <v>2</v>
      </c>
      <c r="C167" t="inlineStr">
        <is>
          <t>SP</t>
        </is>
      </c>
      <c r="D167" t="n">
        <v>23.5</v>
      </c>
      <c r="E167" t="n">
        <v>6</v>
      </c>
      <c r="F167" s="2" t="n">
        <v>44329</v>
      </c>
      <c r="G167" s="2" t="n">
        <v>44329</v>
      </c>
      <c r="H167" s="2" t="n">
        <v>44330</v>
      </c>
      <c r="I167" s="11" t="n">
        <v>1</v>
      </c>
      <c r="J167" s="49" t="n">
        <v>-411.98</v>
      </c>
      <c r="K167" t="n">
        <v>14100</v>
      </c>
      <c r="L167" t="n">
        <v>0</v>
      </c>
      <c r="M167" t="n">
        <v>0</v>
      </c>
      <c r="N167" t="n">
        <v>0</v>
      </c>
    </row>
    <row r="168">
      <c r="A168" t="inlineStr">
        <is>
          <t>Sold 6 BBBY May 21 2021 23.0 Put @ 0.94</t>
        </is>
      </c>
      <c r="B168" t="n">
        <v>3</v>
      </c>
      <c r="C168" t="inlineStr">
        <is>
          <t>SP</t>
        </is>
      </c>
      <c r="D168" t="n">
        <v>23</v>
      </c>
      <c r="E168" t="n">
        <v>6</v>
      </c>
      <c r="F168" s="2" t="n">
        <v>44329</v>
      </c>
      <c r="G168" s="2" t="n">
        <v>44330</v>
      </c>
      <c r="H168" s="2" t="n">
        <v>44337</v>
      </c>
      <c r="I168" s="11" t="n">
        <v>1</v>
      </c>
      <c r="J168" s="49" t="n">
        <v>560.01</v>
      </c>
      <c r="K168" t="n">
        <v>13800</v>
      </c>
      <c r="L168" t="n">
        <v>0</v>
      </c>
      <c r="M168" t="n">
        <v>0</v>
      </c>
      <c r="N168" t="n">
        <v>0</v>
      </c>
    </row>
    <row r="169">
      <c r="A169" t="inlineStr">
        <is>
          <t>Bought 6 BBBY May 21 2021 23.0 Put @ 0.19</t>
        </is>
      </c>
      <c r="B169" t="n">
        <v>4</v>
      </c>
      <c r="C169" t="inlineStr">
        <is>
          <t>SP</t>
        </is>
      </c>
      <c r="D169" t="n">
        <v>23</v>
      </c>
      <c r="E169" t="n">
        <v>6</v>
      </c>
      <c r="F169" s="2" t="n">
        <v>44330</v>
      </c>
      <c r="G169" s="2" t="n">
        <v>44330</v>
      </c>
      <c r="H169" s="2" t="n">
        <v>44337</v>
      </c>
      <c r="I169" s="11" t="n">
        <v>1</v>
      </c>
      <c r="J169" s="49" t="n">
        <v>-117.98</v>
      </c>
      <c r="K169" t="n">
        <v>13800</v>
      </c>
      <c r="L169" t="n">
        <v>0</v>
      </c>
      <c r="M169" t="n">
        <v>0</v>
      </c>
      <c r="N169" t="n">
        <v>0</v>
      </c>
    </row>
    <row r="170">
      <c r="A170" t="inlineStr">
        <is>
          <t>Grand Total</t>
        </is>
      </c>
      <c r="J170" s="49" t="n">
        <v>338.0599999999999</v>
      </c>
      <c r="K170" t="n">
        <v>281400</v>
      </c>
      <c r="L170" t="n">
        <v>0</v>
      </c>
      <c r="M170" t="n">
        <v>0</v>
      </c>
      <c r="N170" t="n">
        <v>0</v>
      </c>
    </row>
    <row r="174">
      <c r="K174" s="6" t="inlineStr">
        <is>
          <t>Annualized ROI =</t>
        </is>
      </c>
      <c r="L174" s="6" t="n"/>
      <c r="M174" s="6" t="n"/>
      <c r="N174" s="7">
        <f>365*GETPIVOTDATA(" NetPrem",$A177)/GETPIVOTDATA(" CapDays",A177)</f>
        <v/>
      </c>
    </row>
    <row r="175">
      <c r="A175" t="inlineStr">
        <is>
          <t>Trade#</t>
        </is>
      </c>
      <c r="B175" s="5" t="n">
        <v>16</v>
      </c>
      <c r="K175" s="6" t="inlineStr">
        <is>
          <t>Break Even =</t>
        </is>
      </c>
      <c r="L175" s="6" t="n"/>
      <c r="M175" s="6" t="n"/>
      <c r="N175" s="50">
        <f>IF(GETPIVOTDATA(" Shares",A177)=0,"N/A",(GETPIVOTDATA(" BEcap",A177)-GETPIVOTDATA(" NetPrem",A177))/GETPIVOTDATA(" Shares",A177))</f>
        <v/>
      </c>
    </row>
    <row r="176">
      <c r="K176" s="6" t="inlineStr">
        <is>
          <t>Required Capital =</t>
        </is>
      </c>
      <c r="L176" s="6" t="n"/>
      <c r="M176" s="6" t="n"/>
      <c r="N176" s="50">
        <f>GETPIVOTDATA(" OpenCap",A177)</f>
        <v/>
      </c>
    </row>
    <row r="177">
      <c r="A177" s="30" t="inlineStr">
        <is>
          <t>SYM</t>
        </is>
      </c>
      <c r="B177" s="30" t="inlineStr">
        <is>
          <t>Leg</t>
        </is>
      </c>
      <c r="C177" s="30" t="inlineStr">
        <is>
          <t>TransType</t>
        </is>
      </c>
      <c r="D177" s="30" t="inlineStr">
        <is>
          <t>Strike</t>
        </is>
      </c>
      <c r="E177" s="30" t="inlineStr">
        <is>
          <t>#Contracts</t>
        </is>
      </c>
      <c r="F177" s="30" t="inlineStr">
        <is>
          <t>OpenDate</t>
        </is>
      </c>
      <c r="G177" s="30" t="inlineStr">
        <is>
          <t>CloseDate</t>
        </is>
      </c>
      <c r="H177" s="30" t="inlineStr">
        <is>
          <t>ExpDate</t>
        </is>
      </c>
      <c r="I177" s="30" t="inlineStr">
        <is>
          <t>Days</t>
        </is>
      </c>
      <c r="J177" s="49" t="inlineStr">
        <is>
          <t xml:space="preserve"> NetPrem</t>
        </is>
      </c>
      <c r="K177" t="inlineStr">
        <is>
          <t xml:space="preserve"> CapDays</t>
        </is>
      </c>
      <c r="L177" t="inlineStr">
        <is>
          <t xml:space="preserve"> OpenCap</t>
        </is>
      </c>
      <c r="M177" t="inlineStr">
        <is>
          <t xml:space="preserve"> BEcap</t>
        </is>
      </c>
      <c r="N177" t="inlineStr">
        <is>
          <t xml:space="preserve"> Shares</t>
        </is>
      </c>
    </row>
    <row r="178">
      <c r="A178" t="inlineStr">
        <is>
          <t>Sold 4 UAL May 14 2021 51.0 Put @ 0.83</t>
        </is>
      </c>
      <c r="J178" s="49" t="n">
        <v>329.33</v>
      </c>
      <c r="K178" t="n">
        <v>326400</v>
      </c>
      <c r="L178" t="n">
        <v>0</v>
      </c>
      <c r="M178" t="n">
        <v>0</v>
      </c>
      <c r="N178" t="n">
        <v>0</v>
      </c>
    </row>
    <row r="179">
      <c r="A179" t="inlineStr">
        <is>
          <t>Bought 4 UAL May 14 2021 51.0 Put @ 0.37</t>
        </is>
      </c>
      <c r="B179" t="n">
        <v>2</v>
      </c>
      <c r="C179" t="inlineStr">
        <is>
          <t>SP</t>
        </is>
      </c>
      <c r="D179" t="n">
        <v>51</v>
      </c>
      <c r="E179" t="n">
        <v>4</v>
      </c>
      <c r="F179" s="2" t="n">
        <v>44329</v>
      </c>
      <c r="G179" s="2" t="n">
        <v>44329</v>
      </c>
      <c r="H179" s="2" t="n">
        <v>44330</v>
      </c>
      <c r="I179" s="11" t="n">
        <v>1</v>
      </c>
      <c r="J179" s="49" t="n">
        <v>-150.66</v>
      </c>
      <c r="K179" t="n">
        <v>20400</v>
      </c>
      <c r="L179" t="n">
        <v>0</v>
      </c>
      <c r="M179" t="n">
        <v>0</v>
      </c>
      <c r="N179" t="n">
        <v>0</v>
      </c>
    </row>
    <row r="180">
      <c r="A180" t="inlineStr">
        <is>
          <t>Sold 4 UAL May 21 2021 50.0 Put @ 0.85</t>
        </is>
      </c>
      <c r="B180" t="n">
        <v>3</v>
      </c>
      <c r="C180" t="inlineStr">
        <is>
          <t>SP</t>
        </is>
      </c>
      <c r="D180" t="n">
        <v>50</v>
      </c>
      <c r="E180" t="n">
        <v>4</v>
      </c>
      <c r="F180" s="2" t="n">
        <v>44329</v>
      </c>
      <c r="G180" s="2" t="n">
        <v>44330</v>
      </c>
      <c r="H180" s="2" t="n">
        <v>44337</v>
      </c>
      <c r="I180" s="11" t="n">
        <v>1</v>
      </c>
      <c r="J180" s="49" t="n">
        <v>337.33</v>
      </c>
      <c r="K180" t="n">
        <v>20000</v>
      </c>
      <c r="L180" t="n">
        <v>0</v>
      </c>
      <c r="M180" t="n">
        <v>0</v>
      </c>
      <c r="N180" t="n">
        <v>0</v>
      </c>
    </row>
    <row r="181">
      <c r="A181" t="inlineStr">
        <is>
          <t>Bought 4 UAL May 21 2021 50.0 Put @ 0.15</t>
        </is>
      </c>
      <c r="B181" t="n">
        <v>4</v>
      </c>
      <c r="C181" t="inlineStr">
        <is>
          <t>SP</t>
        </is>
      </c>
      <c r="D181" t="n">
        <v>50</v>
      </c>
      <c r="E181" t="n">
        <v>4</v>
      </c>
      <c r="F181" s="2" t="n">
        <v>44330</v>
      </c>
      <c r="G181" s="2" t="n">
        <v>44330</v>
      </c>
      <c r="H181" s="2" t="n">
        <v>44337</v>
      </c>
      <c r="I181" s="11" t="n">
        <v>1</v>
      </c>
      <c r="J181" s="49" t="n">
        <v>-62.66</v>
      </c>
      <c r="K181" t="n">
        <v>20000</v>
      </c>
      <c r="L181" t="n">
        <v>0</v>
      </c>
      <c r="M181" t="n">
        <v>0</v>
      </c>
      <c r="N181" t="n">
        <v>0</v>
      </c>
    </row>
    <row r="182">
      <c r="A182" t="inlineStr">
        <is>
          <t>Grand Total</t>
        </is>
      </c>
      <c r="J182" s="49" t="n">
        <v>453.34</v>
      </c>
      <c r="K182" t="n">
        <v>386800</v>
      </c>
      <c r="L182" t="n">
        <v>0</v>
      </c>
      <c r="M182" t="n">
        <v>0</v>
      </c>
      <c r="N182" t="n">
        <v>0</v>
      </c>
    </row>
    <row r="186">
      <c r="K186" s="6" t="inlineStr">
        <is>
          <t>Annualized ROI =</t>
        </is>
      </c>
      <c r="L186" s="6" t="n"/>
      <c r="M186" s="6" t="n"/>
      <c r="N186" s="7">
        <f>365*GETPIVOTDATA(" NetPrem",$A189)/GETPIVOTDATA(" CapDays",A189)</f>
        <v/>
      </c>
    </row>
    <row r="187">
      <c r="A187" t="inlineStr">
        <is>
          <t>Trade#</t>
        </is>
      </c>
      <c r="B187" s="5" t="n">
        <v>17</v>
      </c>
      <c r="K187" s="6" t="inlineStr">
        <is>
          <t>Break Even =</t>
        </is>
      </c>
      <c r="L187" s="6" t="n"/>
      <c r="M187" s="6" t="n"/>
      <c r="N187" s="50">
        <f>IF(GETPIVOTDATA(" Shares",A189)=0,"N/A",(GETPIVOTDATA(" BEcap",A189)-GETPIVOTDATA(" NetPrem",A189))/GETPIVOTDATA(" Shares",A189))</f>
        <v/>
      </c>
    </row>
    <row r="188">
      <c r="K188" s="6" t="inlineStr">
        <is>
          <t>Required Capital =</t>
        </is>
      </c>
      <c r="L188" s="6" t="n"/>
      <c r="M188" s="6" t="n"/>
      <c r="N188" s="50">
        <f>GETPIVOTDATA(" OpenCap",A189)</f>
        <v/>
      </c>
    </row>
    <row r="189">
      <c r="A189" s="30" t="inlineStr">
        <is>
          <t>`</t>
        </is>
      </c>
      <c r="B189" s="30" t="inlineStr">
        <is>
          <t>Leg</t>
        </is>
      </c>
      <c r="C189" s="30" t="inlineStr">
        <is>
          <t>TransType</t>
        </is>
      </c>
      <c r="D189" s="30" t="inlineStr">
        <is>
          <t>Strike</t>
        </is>
      </c>
      <c r="E189" s="30" t="inlineStr">
        <is>
          <t>#Contracts</t>
        </is>
      </c>
      <c r="F189" s="30" t="inlineStr">
        <is>
          <t>OpenDate</t>
        </is>
      </c>
      <c r="G189" s="30" t="inlineStr">
        <is>
          <t>CloseDate</t>
        </is>
      </c>
      <c r="H189" s="30" t="inlineStr">
        <is>
          <t>ExpDate</t>
        </is>
      </c>
      <c r="I189" s="30" t="inlineStr">
        <is>
          <t>Days</t>
        </is>
      </c>
      <c r="J189" s="49" t="inlineStr">
        <is>
          <t xml:space="preserve"> NetPrem</t>
        </is>
      </c>
      <c r="K189" t="inlineStr">
        <is>
          <t xml:space="preserve"> CapDays</t>
        </is>
      </c>
      <c r="L189" t="inlineStr">
        <is>
          <t xml:space="preserve"> OpenCap</t>
        </is>
      </c>
      <c r="M189" t="inlineStr">
        <is>
          <t xml:space="preserve"> BEcap</t>
        </is>
      </c>
      <c r="N189" t="inlineStr">
        <is>
          <t xml:space="preserve"> Shares</t>
        </is>
      </c>
    </row>
    <row r="190">
      <c r="A190" t="inlineStr">
        <is>
          <t>Sold 2 SFIX May 07 2021 45.0 Put @ 0.97</t>
        </is>
      </c>
      <c r="B190" t="n">
        <v>1</v>
      </c>
      <c r="C190" t="inlineStr">
        <is>
          <t>SP</t>
        </is>
      </c>
      <c r="D190" t="n">
        <v>45</v>
      </c>
      <c r="E190" t="n">
        <v>2</v>
      </c>
      <c r="F190" s="2" t="n">
        <v>44314</v>
      </c>
      <c r="G190" s="2" t="n">
        <v>44322</v>
      </c>
      <c r="H190" s="2" t="n">
        <v>44323</v>
      </c>
      <c r="I190" s="11" t="n">
        <v>8</v>
      </c>
      <c r="J190" s="49" t="n">
        <v>192.67</v>
      </c>
      <c r="K190" t="n">
        <v>72000</v>
      </c>
      <c r="L190" t="n">
        <v>0</v>
      </c>
      <c r="M190" t="n">
        <v>0</v>
      </c>
      <c r="N190" t="n">
        <v>0</v>
      </c>
    </row>
    <row r="191">
      <c r="A191" t="inlineStr">
        <is>
          <t>Sold 2 SFIX Jun 11 2021 43.0 Put @ 6.5</t>
        </is>
      </c>
      <c r="B191" t="n">
        <v>3</v>
      </c>
      <c r="C191" t="inlineStr">
        <is>
          <t>SP</t>
        </is>
      </c>
      <c r="D191" t="n">
        <v>43</v>
      </c>
      <c r="E191" t="n">
        <v>2</v>
      </c>
      <c r="F191" s="2" t="n">
        <v>44322</v>
      </c>
      <c r="G191" t="inlineStr">
        <is>
          <t>(blank)</t>
        </is>
      </c>
      <c r="H191" s="2" t="n">
        <v>44358</v>
      </c>
      <c r="I191" s="11" t="n">
        <v>36</v>
      </c>
      <c r="J191" s="49" t="n">
        <v>1298.66</v>
      </c>
      <c r="K191" t="n">
        <v>309600</v>
      </c>
      <c r="L191" t="n">
        <v>8600</v>
      </c>
      <c r="M191" t="n">
        <v>8600</v>
      </c>
      <c r="N191" t="n">
        <v>200</v>
      </c>
    </row>
    <row r="192">
      <c r="A192" t="inlineStr">
        <is>
          <t>Bought 2 SFIX May 07 2021 45.0 Put @ 6.2</t>
        </is>
      </c>
      <c r="B192" t="n">
        <v>2</v>
      </c>
      <c r="C192" t="inlineStr">
        <is>
          <t>SP</t>
        </is>
      </c>
      <c r="D192" t="n">
        <v>45</v>
      </c>
      <c r="E192" t="n">
        <v>2</v>
      </c>
      <c r="F192" s="2" t="n">
        <v>44322</v>
      </c>
      <c r="G192" s="2" t="n">
        <v>44322</v>
      </c>
      <c r="H192" s="2" t="n">
        <v>44323</v>
      </c>
      <c r="I192" s="11" t="n">
        <v>1</v>
      </c>
      <c r="J192" s="49" t="n">
        <v>-1241.33</v>
      </c>
      <c r="K192" t="n">
        <v>9000</v>
      </c>
      <c r="L192" t="n">
        <v>0</v>
      </c>
      <c r="M192" t="n">
        <v>0</v>
      </c>
      <c r="N192" t="n">
        <v>0</v>
      </c>
    </row>
    <row r="193">
      <c r="A193" t="inlineStr">
        <is>
          <t>Grand Total</t>
        </is>
      </c>
      <c r="J193" s="49" t="n">
        <v>250.0000000000002</v>
      </c>
      <c r="K193" t="n">
        <v>390600</v>
      </c>
      <c r="L193" t="n">
        <v>8600</v>
      </c>
      <c r="M193" t="n">
        <v>8600</v>
      </c>
      <c r="N193" t="n">
        <v>200</v>
      </c>
    </row>
    <row r="198">
      <c r="K198" s="6" t="inlineStr">
        <is>
          <t>Annualized ROI =</t>
        </is>
      </c>
      <c r="L198" s="6" t="n"/>
      <c r="M198" s="6" t="n"/>
      <c r="N198" s="7">
        <f>365*GETPIVOTDATA(" NetPrem",$A201)/GETPIVOTDATA(" CapDays",A201)</f>
        <v/>
      </c>
    </row>
    <row r="199">
      <c r="A199" t="inlineStr">
        <is>
          <t>Trade#</t>
        </is>
      </c>
      <c r="B199" s="5" t="n">
        <v>18</v>
      </c>
      <c r="K199" s="6" t="inlineStr">
        <is>
          <t>Break Even =</t>
        </is>
      </c>
      <c r="L199" s="6" t="n"/>
      <c r="M199" s="6" t="n"/>
      <c r="N199" s="50">
        <f>IF(GETPIVOTDATA(" Shares",A201)=0,"N/A",(GETPIVOTDATA(" BEcap",A201)-GETPIVOTDATA(" NetPrem",A201))/GETPIVOTDATA(" Shares",A201))</f>
        <v/>
      </c>
    </row>
    <row r="200">
      <c r="K200" s="6" t="inlineStr">
        <is>
          <t>Required Capital =</t>
        </is>
      </c>
      <c r="L200" s="6" t="n"/>
      <c r="M200" s="6" t="n"/>
      <c r="N200" s="50">
        <f>GETPIVOTDATA(" OpenCap",A201)</f>
        <v/>
      </c>
    </row>
    <row r="201">
      <c r="A201" s="30" t="inlineStr">
        <is>
          <t>SYM</t>
        </is>
      </c>
      <c r="B201" s="30" t="inlineStr">
        <is>
          <t>Leg</t>
        </is>
      </c>
      <c r="C201" s="30" t="inlineStr">
        <is>
          <t>TransType</t>
        </is>
      </c>
      <c r="D201" s="30" t="inlineStr">
        <is>
          <t>Strike</t>
        </is>
      </c>
      <c r="E201" s="30" t="inlineStr">
        <is>
          <t>#Contracts</t>
        </is>
      </c>
      <c r="F201" s="30" t="inlineStr">
        <is>
          <t>OpenDate</t>
        </is>
      </c>
      <c r="G201" s="30" t="inlineStr">
        <is>
          <t>CloseDate</t>
        </is>
      </c>
      <c r="H201" s="30" t="inlineStr">
        <is>
          <t>ExpDate</t>
        </is>
      </c>
      <c r="I201" s="30" t="inlineStr">
        <is>
          <t>Days</t>
        </is>
      </c>
      <c r="J201" s="49" t="inlineStr">
        <is>
          <t xml:space="preserve"> NetPrem</t>
        </is>
      </c>
      <c r="K201" t="inlineStr">
        <is>
          <t xml:space="preserve"> CapDays</t>
        </is>
      </c>
      <c r="L201" t="inlineStr">
        <is>
          <t xml:space="preserve"> OpenCap</t>
        </is>
      </c>
      <c r="M201" t="inlineStr">
        <is>
          <t xml:space="preserve"> BEcap</t>
        </is>
      </c>
      <c r="N201" t="inlineStr">
        <is>
          <t xml:space="preserve"> Shares</t>
        </is>
      </c>
    </row>
    <row r="202">
      <c r="A202" t="inlineStr">
        <is>
          <t>Sold 2 EAT May 21 2021 65.0 Put @ 1</t>
        </is>
      </c>
      <c r="B202" t="n">
        <v>1</v>
      </c>
      <c r="C202" t="inlineStr">
        <is>
          <t>SP</t>
        </is>
      </c>
      <c r="D202" t="n">
        <v>65</v>
      </c>
      <c r="E202" t="n">
        <v>2</v>
      </c>
      <c r="F202" s="2" t="n">
        <v>44316</v>
      </c>
      <c r="G202" t="inlineStr">
        <is>
          <t>(blank)</t>
        </is>
      </c>
      <c r="H202" s="2" t="n">
        <v>44337</v>
      </c>
      <c r="I202" s="11" t="n">
        <v>21</v>
      </c>
      <c r="J202" s="49" t="n">
        <v>198.67</v>
      </c>
      <c r="K202" t="n">
        <v>273000</v>
      </c>
      <c r="L202" t="n">
        <v>13000</v>
      </c>
      <c r="M202" t="n">
        <v>13000</v>
      </c>
      <c r="N202" t="n">
        <v>200</v>
      </c>
    </row>
    <row r="203">
      <c r="A203" t="inlineStr">
        <is>
          <t>Sold 2 EAT May 21 2021 65.0 Put @ 2.3</t>
        </is>
      </c>
      <c r="B203" t="n">
        <v>2</v>
      </c>
      <c r="C203" t="inlineStr">
        <is>
          <t>SP</t>
        </is>
      </c>
      <c r="D203" t="n">
        <v>65</v>
      </c>
      <c r="E203" t="n">
        <v>2</v>
      </c>
      <c r="F203" s="2" t="n">
        <v>44320</v>
      </c>
      <c r="G203" t="inlineStr">
        <is>
          <t>(blank)</t>
        </is>
      </c>
      <c r="H203" s="2" t="n">
        <v>44337</v>
      </c>
      <c r="I203" s="11" t="n">
        <v>17</v>
      </c>
      <c r="J203" s="49" t="n">
        <v>458.67</v>
      </c>
      <c r="K203" t="n">
        <v>221000</v>
      </c>
      <c r="L203" t="n">
        <v>13000</v>
      </c>
      <c r="M203" t="n">
        <v>13000</v>
      </c>
      <c r="N203" t="n">
        <v>200</v>
      </c>
    </row>
    <row r="204">
      <c r="A204" t="inlineStr">
        <is>
          <t>Grand Total</t>
        </is>
      </c>
      <c r="J204" s="49" t="n">
        <v>657.34</v>
      </c>
      <c r="K204" t="n">
        <v>494000</v>
      </c>
      <c r="L204" t="n">
        <v>26000</v>
      </c>
      <c r="M204" t="n">
        <v>26000</v>
      </c>
      <c r="N204" t="n">
        <v>400</v>
      </c>
    </row>
    <row r="209">
      <c r="K209" s="6" t="inlineStr">
        <is>
          <t>Annualized ROI =</t>
        </is>
      </c>
      <c r="L209" s="6" t="n"/>
      <c r="M209" s="6" t="n"/>
      <c r="N209" s="7">
        <f>365*GETPIVOTDATA(" NetPrem",$A212)/GETPIVOTDATA(" CapDays",A212)</f>
        <v/>
      </c>
    </row>
    <row r="210">
      <c r="A210" t="inlineStr">
        <is>
          <t>Trade#</t>
        </is>
      </c>
      <c r="B210" s="5" t="n">
        <v>19</v>
      </c>
      <c r="K210" s="6" t="inlineStr">
        <is>
          <t>Break Even =</t>
        </is>
      </c>
      <c r="L210" s="6" t="n"/>
      <c r="M210" s="6" t="n"/>
      <c r="N210" s="50">
        <f>IF(GETPIVOTDATA(" Shares",A212)=0,"N/A",(GETPIVOTDATA(" BEcap",A212)-GETPIVOTDATA(" NetPrem",A212))/GETPIVOTDATA(" Shares",A212))</f>
        <v/>
      </c>
    </row>
    <row r="211">
      <c r="K211" s="6" t="inlineStr">
        <is>
          <t>Required Capital =</t>
        </is>
      </c>
      <c r="L211" s="6" t="n"/>
      <c r="M211" s="6" t="n"/>
      <c r="N211" s="50">
        <f>GETPIVOTDATA(" OpenCap",A212)</f>
        <v/>
      </c>
    </row>
    <row r="212">
      <c r="A212" s="30" t="inlineStr">
        <is>
          <t>SYM</t>
        </is>
      </c>
      <c r="B212" s="30" t="inlineStr">
        <is>
          <t>Leg</t>
        </is>
      </c>
      <c r="C212" s="30" t="inlineStr">
        <is>
          <t>TransType</t>
        </is>
      </c>
      <c r="D212" s="30" t="inlineStr">
        <is>
          <t>Strike</t>
        </is>
      </c>
      <c r="E212" s="30" t="inlineStr">
        <is>
          <t>#Contracts</t>
        </is>
      </c>
      <c r="F212" s="30" t="inlineStr">
        <is>
          <t>OpenDate</t>
        </is>
      </c>
      <c r="G212" s="30" t="inlineStr">
        <is>
          <t>CloseDate</t>
        </is>
      </c>
      <c r="H212" s="30" t="inlineStr">
        <is>
          <t>ExpDate</t>
        </is>
      </c>
      <c r="I212" s="30" t="inlineStr">
        <is>
          <t>Days</t>
        </is>
      </c>
      <c r="J212" s="49" t="inlineStr">
        <is>
          <t xml:space="preserve"> NetPrem</t>
        </is>
      </c>
      <c r="K212" t="inlineStr">
        <is>
          <t xml:space="preserve"> CapDays</t>
        </is>
      </c>
      <c r="L212" t="inlineStr">
        <is>
          <t xml:space="preserve"> OpenCap</t>
        </is>
      </c>
      <c r="M212" t="inlineStr">
        <is>
          <t xml:space="preserve"> BEcap</t>
        </is>
      </c>
      <c r="N212" t="inlineStr">
        <is>
          <t xml:space="preserve"> Shares</t>
        </is>
      </c>
    </row>
    <row r="213">
      <c r="A213" t="inlineStr">
        <is>
          <t>Sold 2 PCAR Jun 18 2021 90.0 Put @ 2.5</t>
        </is>
      </c>
      <c r="B213" t="n">
        <v>1</v>
      </c>
      <c r="C213" t="inlineStr">
        <is>
          <t>SP</t>
        </is>
      </c>
      <c r="D213" t="n">
        <v>90</v>
      </c>
      <c r="E213" t="n">
        <v>2</v>
      </c>
      <c r="F213" s="2" t="n">
        <v>44322</v>
      </c>
      <c r="G213" s="2" t="n">
        <v>44326</v>
      </c>
      <c r="H213" s="2" t="n">
        <v>44365</v>
      </c>
      <c r="I213" s="11" t="n">
        <v>4</v>
      </c>
      <c r="J213" s="49" t="n">
        <v>498.67</v>
      </c>
      <c r="K213" t="n">
        <v>72000</v>
      </c>
      <c r="L213" t="n">
        <v>0</v>
      </c>
      <c r="M213" t="n">
        <v>0</v>
      </c>
      <c r="N213" t="n">
        <v>0</v>
      </c>
    </row>
    <row r="214">
      <c r="A214" t="inlineStr">
        <is>
          <t>Bought 2 PCAR Jun 18 2021 90.0 Put @ 0.86</t>
        </is>
      </c>
      <c r="B214" t="n">
        <v>2</v>
      </c>
      <c r="C214" t="inlineStr">
        <is>
          <t>SP</t>
        </is>
      </c>
      <c r="D214" t="n">
        <v>90</v>
      </c>
      <c r="E214" t="n">
        <v>2</v>
      </c>
      <c r="F214" s="2" t="n">
        <v>44326</v>
      </c>
      <c r="G214" s="2" t="n">
        <v>44326</v>
      </c>
      <c r="H214" s="2" t="n">
        <v>44365</v>
      </c>
      <c r="I214" s="11" t="n">
        <v>1</v>
      </c>
      <c r="J214" s="49" t="n">
        <v>-173.33</v>
      </c>
      <c r="K214" t="n">
        <v>18000</v>
      </c>
      <c r="L214" t="n">
        <v>0</v>
      </c>
      <c r="M214" t="n">
        <v>0</v>
      </c>
      <c r="N214" t="n">
        <v>0</v>
      </c>
    </row>
    <row r="215">
      <c r="A215" t="inlineStr">
        <is>
          <t>Grand Total</t>
        </is>
      </c>
      <c r="J215" s="49" t="n">
        <v>325.34</v>
      </c>
      <c r="K215" t="n">
        <v>90000</v>
      </c>
      <c r="L215" t="n">
        <v>0</v>
      </c>
      <c r="M215" t="n">
        <v>0</v>
      </c>
      <c r="N215" t="n">
        <v>0</v>
      </c>
    </row>
    <row r="221">
      <c r="K221" s="6" t="inlineStr">
        <is>
          <t>Annualized ROI =</t>
        </is>
      </c>
      <c r="L221" s="6" t="n"/>
      <c r="M221" s="6" t="n"/>
      <c r="N221" s="7">
        <f>365*GETPIVOTDATA(" NetPrem",$A224)/GETPIVOTDATA(" CapDays",A224)</f>
        <v/>
      </c>
    </row>
    <row r="222">
      <c r="A222" t="inlineStr">
        <is>
          <t>Trade#</t>
        </is>
      </c>
      <c r="B222" s="5" t="n">
        <v>20</v>
      </c>
      <c r="K222" s="6" t="inlineStr">
        <is>
          <t>Break Even =</t>
        </is>
      </c>
      <c r="L222" s="6" t="n"/>
      <c r="M222" s="6" t="n"/>
      <c r="N222" s="50">
        <f>IF(GETPIVOTDATA(" Shares",A224)=0,"N/A",(GETPIVOTDATA(" BEcap",A224)-GETPIVOTDATA(" NetPrem",A224))/GETPIVOTDATA(" Shares",A224))</f>
        <v/>
      </c>
    </row>
    <row r="223">
      <c r="K223" s="6" t="inlineStr">
        <is>
          <t>Required Capital =</t>
        </is>
      </c>
      <c r="L223" s="6" t="n"/>
      <c r="M223" s="6" t="n"/>
      <c r="N223" s="50">
        <f>GETPIVOTDATA(" OpenCap",A224)</f>
        <v/>
      </c>
    </row>
    <row r="224">
      <c r="A224" s="30" t="inlineStr">
        <is>
          <t>SYM</t>
        </is>
      </c>
      <c r="B224" s="30" t="inlineStr">
        <is>
          <t>Leg</t>
        </is>
      </c>
      <c r="C224" s="30" t="inlineStr">
        <is>
          <t>TransType</t>
        </is>
      </c>
      <c r="D224" s="30" t="inlineStr">
        <is>
          <t>Strike</t>
        </is>
      </c>
      <c r="E224" s="30" t="inlineStr">
        <is>
          <t>#Contracts</t>
        </is>
      </c>
      <c r="F224" s="30" t="inlineStr">
        <is>
          <t>OpenDate</t>
        </is>
      </c>
      <c r="G224" s="30" t="inlineStr">
        <is>
          <t>CloseDate</t>
        </is>
      </c>
      <c r="H224" s="30" t="inlineStr">
        <is>
          <t>ExpDate</t>
        </is>
      </c>
      <c r="I224" s="30" t="inlineStr">
        <is>
          <t>Days</t>
        </is>
      </c>
      <c r="J224" s="49" t="inlineStr">
        <is>
          <t xml:space="preserve"> NetPrem</t>
        </is>
      </c>
      <c r="K224" t="inlineStr">
        <is>
          <t xml:space="preserve"> CapDays</t>
        </is>
      </c>
      <c r="L224" t="inlineStr">
        <is>
          <t xml:space="preserve"> OpenCap</t>
        </is>
      </c>
      <c r="M224" t="inlineStr">
        <is>
          <t xml:space="preserve"> BEcap</t>
        </is>
      </c>
      <c r="N224" t="inlineStr">
        <is>
          <t xml:space="preserve"> Shares</t>
        </is>
      </c>
    </row>
    <row r="225">
      <c r="A225" t="inlineStr">
        <is>
          <t>Sold 10 AAL Jun 4 2021 21.0 Put @ 0.56</t>
        </is>
      </c>
      <c r="B225" t="n">
        <v>1</v>
      </c>
      <c r="C225" t="inlineStr">
        <is>
          <t>SP</t>
        </is>
      </c>
      <c r="D225" t="n">
        <v>21</v>
      </c>
      <c r="E225" t="n">
        <v>10</v>
      </c>
      <c r="F225" s="2" t="n">
        <v>44323</v>
      </c>
      <c r="G225" t="inlineStr">
        <is>
          <t>(blank)</t>
        </is>
      </c>
      <c r="H225" s="2" t="n">
        <v>44351</v>
      </c>
      <c r="I225" s="11" t="n">
        <v>28</v>
      </c>
      <c r="J225" s="49" t="n">
        <v>553.34</v>
      </c>
      <c r="K225" t="n">
        <v>588000</v>
      </c>
      <c r="L225" t="n">
        <v>21000</v>
      </c>
      <c r="M225" t="n">
        <v>21000</v>
      </c>
      <c r="N225" t="n">
        <v>1000</v>
      </c>
    </row>
    <row r="226">
      <c r="A226" t="inlineStr">
        <is>
          <t>Grand Total</t>
        </is>
      </c>
      <c r="J226" s="49" t="n">
        <v>553.34</v>
      </c>
      <c r="K226" t="n">
        <v>588000</v>
      </c>
      <c r="L226" t="n">
        <v>21000</v>
      </c>
      <c r="M226" t="n">
        <v>21000</v>
      </c>
      <c r="N226" t="n">
        <v>1000</v>
      </c>
    </row>
    <row r="233">
      <c r="K233" s="6" t="inlineStr">
        <is>
          <t>Annualized ROI =</t>
        </is>
      </c>
      <c r="L233" s="6" t="n"/>
      <c r="M233" s="6" t="n"/>
      <c r="N233" s="7">
        <f>365*GETPIVOTDATA(" NetPrem",$A236)/GETPIVOTDATA(" CapDays",A236)</f>
        <v/>
      </c>
    </row>
    <row r="234">
      <c r="A234" t="inlineStr">
        <is>
          <t>Trade#</t>
        </is>
      </c>
      <c r="B234" s="5" t="n">
        <v>21</v>
      </c>
      <c r="K234" s="6" t="inlineStr">
        <is>
          <t>Break Even =</t>
        </is>
      </c>
      <c r="L234" s="6" t="n"/>
      <c r="M234" s="6" t="n"/>
      <c r="N234" s="50">
        <f>IF(GETPIVOTDATA(" Shares",A236)=0,"N/A",(GETPIVOTDATA(" BEcap",A236)-GETPIVOTDATA(" NetPrem",A236))/GETPIVOTDATA(" Shares",A236))</f>
        <v/>
      </c>
    </row>
    <row r="235">
      <c r="K235" s="6" t="inlineStr">
        <is>
          <t>Required Capital =</t>
        </is>
      </c>
      <c r="L235" s="6" t="n"/>
      <c r="M235" s="6" t="n"/>
      <c r="N235" s="50">
        <f>GETPIVOTDATA(" OpenCap",A236)</f>
        <v/>
      </c>
    </row>
    <row r="236">
      <c r="A236" s="30" t="inlineStr">
        <is>
          <t>SYM</t>
        </is>
      </c>
      <c r="B236" s="30" t="inlineStr">
        <is>
          <t>Leg</t>
        </is>
      </c>
      <c r="C236" s="30" t="inlineStr">
        <is>
          <t>TransType</t>
        </is>
      </c>
      <c r="D236" s="30" t="inlineStr">
        <is>
          <t>Strike</t>
        </is>
      </c>
      <c r="E236" s="30" t="inlineStr">
        <is>
          <t>#Contracts</t>
        </is>
      </c>
      <c r="F236" s="30" t="inlineStr">
        <is>
          <t>OpenDate</t>
        </is>
      </c>
      <c r="G236" s="30" t="inlineStr">
        <is>
          <t>CloseDate</t>
        </is>
      </c>
      <c r="H236" s="30" t="inlineStr">
        <is>
          <t>ExpDate</t>
        </is>
      </c>
      <c r="I236" s="30" t="inlineStr">
        <is>
          <t>Days</t>
        </is>
      </c>
      <c r="J236" s="49" t="inlineStr">
        <is>
          <t xml:space="preserve"> NetPrem</t>
        </is>
      </c>
      <c r="K236" t="inlineStr">
        <is>
          <t xml:space="preserve"> CapDays</t>
        </is>
      </c>
      <c r="L236" t="inlineStr">
        <is>
          <t xml:space="preserve"> OpenCap</t>
        </is>
      </c>
      <c r="M236" t="inlineStr">
        <is>
          <t xml:space="preserve"> BEcap</t>
        </is>
      </c>
      <c r="N236" t="inlineStr">
        <is>
          <t xml:space="preserve"> Shares</t>
        </is>
      </c>
    </row>
    <row r="237">
      <c r="A237" t="inlineStr">
        <is>
          <t>Sold 2 SNAP May 28 2021 50.0 Put @ 1.53</t>
        </is>
      </c>
      <c r="B237" t="n">
        <v>1</v>
      </c>
      <c r="C237" t="inlineStr">
        <is>
          <t>SP</t>
        </is>
      </c>
      <c r="D237" t="n">
        <v>50</v>
      </c>
      <c r="E237" t="n">
        <v>2</v>
      </c>
      <c r="F237" s="2" t="n">
        <v>44326</v>
      </c>
      <c r="G237" t="inlineStr">
        <is>
          <t>(blank)</t>
        </is>
      </c>
      <c r="H237" s="2" t="n">
        <v>44344</v>
      </c>
      <c r="I237" s="11" t="n">
        <v>18</v>
      </c>
      <c r="J237" s="49" t="n">
        <v>304.67</v>
      </c>
      <c r="K237" t="n">
        <v>180000</v>
      </c>
      <c r="L237" t="n">
        <v>10000</v>
      </c>
      <c r="M237" t="n">
        <v>10000</v>
      </c>
      <c r="N237" t="n">
        <v>200</v>
      </c>
    </row>
    <row r="238">
      <c r="A238" t="inlineStr">
        <is>
          <t>Grand Total</t>
        </is>
      </c>
      <c r="J238" s="49" t="n">
        <v>304.67</v>
      </c>
      <c r="K238" t="n">
        <v>180000</v>
      </c>
      <c r="L238" t="n">
        <v>10000</v>
      </c>
      <c r="M238" t="n">
        <v>10000</v>
      </c>
      <c r="N238" t="n">
        <v>200</v>
      </c>
    </row>
    <row r="245">
      <c r="K245" s="6" t="inlineStr">
        <is>
          <t>Annualized ROI =</t>
        </is>
      </c>
      <c r="L245" s="6" t="n"/>
      <c r="M245" s="6" t="n"/>
      <c r="N245" s="7">
        <f>365*GETPIVOTDATA(" NetPrem",$A248)/GETPIVOTDATA(" CapDays",A248)</f>
        <v/>
      </c>
    </row>
    <row r="246">
      <c r="A246" t="inlineStr">
        <is>
          <t>Trade#</t>
        </is>
      </c>
      <c r="B246" s="5" t="n">
        <v>22</v>
      </c>
      <c r="K246" s="6" t="inlineStr">
        <is>
          <t>Break Even =</t>
        </is>
      </c>
      <c r="L246" s="6" t="n"/>
      <c r="M246" s="6" t="n"/>
      <c r="N246" s="50">
        <f>IF(GETPIVOTDATA(" Shares",A248)=0,"N/A",(GETPIVOTDATA(" BEcap",A248)-GETPIVOTDATA(" NetPrem",A248))/GETPIVOTDATA(" Shares",A248))</f>
        <v/>
      </c>
    </row>
    <row r="247">
      <c r="K247" s="6" t="inlineStr">
        <is>
          <t>Required Capital =</t>
        </is>
      </c>
      <c r="L247" s="6" t="n"/>
      <c r="M247" s="6" t="n"/>
      <c r="N247" s="50">
        <f>GETPIVOTDATA(" OpenCap",A248)</f>
        <v/>
      </c>
    </row>
    <row r="248">
      <c r="A248" s="30" t="inlineStr">
        <is>
          <t>SYM</t>
        </is>
      </c>
      <c r="B248" s="30" t="inlineStr">
        <is>
          <t>Leg</t>
        </is>
      </c>
      <c r="C248" s="30" t="inlineStr">
        <is>
          <t>TransType</t>
        </is>
      </c>
      <c r="D248" s="30" t="inlineStr">
        <is>
          <t>Strike</t>
        </is>
      </c>
      <c r="E248" s="30" t="inlineStr">
        <is>
          <t>#Contracts</t>
        </is>
      </c>
      <c r="F248" s="30" t="inlineStr">
        <is>
          <t>OpenDate</t>
        </is>
      </c>
      <c r="G248" s="30" t="inlineStr">
        <is>
          <t>CloseDate</t>
        </is>
      </c>
      <c r="H248" s="30" t="inlineStr">
        <is>
          <t>ExpDate</t>
        </is>
      </c>
      <c r="I248" s="30" t="inlineStr">
        <is>
          <t>Days</t>
        </is>
      </c>
      <c r="J248" s="49" t="inlineStr">
        <is>
          <t xml:space="preserve"> NetPrem</t>
        </is>
      </c>
      <c r="K248" t="inlineStr">
        <is>
          <t xml:space="preserve"> CapDays</t>
        </is>
      </c>
      <c r="L248" t="inlineStr">
        <is>
          <t xml:space="preserve"> OpenCap</t>
        </is>
      </c>
      <c r="M248" t="inlineStr">
        <is>
          <t xml:space="preserve"> BEcap</t>
        </is>
      </c>
      <c r="N248" t="inlineStr">
        <is>
          <t xml:space="preserve"> Shares</t>
        </is>
      </c>
    </row>
    <row r="249">
      <c r="A249" t="inlineStr">
        <is>
          <t>Sold 4 DBX Jun 04 2021 24.5 Put @ 0.67</t>
        </is>
      </c>
      <c r="B249" t="n">
        <v>1</v>
      </c>
      <c r="C249" t="inlineStr">
        <is>
          <t>SP</t>
        </is>
      </c>
      <c r="D249" t="n">
        <v>24.5</v>
      </c>
      <c r="E249" t="n">
        <v>4</v>
      </c>
      <c r="F249" s="2" t="n">
        <v>44327</v>
      </c>
      <c r="G249" t="inlineStr">
        <is>
          <t>(blank)</t>
        </is>
      </c>
      <c r="H249" s="2" t="n">
        <v>44351</v>
      </c>
      <c r="I249" s="11" t="n">
        <v>24</v>
      </c>
      <c r="J249" s="49" t="n">
        <v>265.33</v>
      </c>
      <c r="K249" t="n">
        <v>235200</v>
      </c>
      <c r="L249" t="n">
        <v>9800</v>
      </c>
      <c r="M249" t="n">
        <v>9800</v>
      </c>
      <c r="N249" t="n">
        <v>400</v>
      </c>
    </row>
    <row r="250">
      <c r="A250" t="inlineStr">
        <is>
          <t>Grand Total</t>
        </is>
      </c>
      <c r="J250" s="49" t="n">
        <v>265.33</v>
      </c>
      <c r="K250" t="n">
        <v>235200</v>
      </c>
      <c r="L250" t="n">
        <v>9800</v>
      </c>
      <c r="M250" t="n">
        <v>9800</v>
      </c>
      <c r="N250" t="n">
        <v>400</v>
      </c>
    </row>
    <row r="252">
      <c r="A252" t="inlineStr">
        <is>
          <t xml:space="preserve">  </t>
        </is>
      </c>
    </row>
    <row r="257">
      <c r="K257" s="6" t="inlineStr">
        <is>
          <t>Annualized ROI =</t>
        </is>
      </c>
      <c r="L257" s="6" t="n"/>
      <c r="M257" s="6" t="n"/>
      <c r="N257" s="7">
        <f>365*GETPIVOTDATA(" NetPrem",$A260)/GETPIVOTDATA(" CapDays",A260)</f>
        <v/>
      </c>
    </row>
    <row r="258">
      <c r="A258" t="inlineStr">
        <is>
          <t>Trade#</t>
        </is>
      </c>
      <c r="B258" s="5" t="n">
        <v>23</v>
      </c>
      <c r="K258" s="6" t="inlineStr">
        <is>
          <t>Break Even =</t>
        </is>
      </c>
      <c r="L258" s="6" t="n"/>
      <c r="M258" s="6" t="n"/>
      <c r="N258" s="50">
        <f>IF(GETPIVOTDATA(" Shares",A260)=0,"N/A",(GETPIVOTDATA(" BEcap",A260)-GETPIVOTDATA(" NetPrem",A260))/GETPIVOTDATA(" Shares",A260))</f>
        <v/>
      </c>
    </row>
    <row r="259">
      <c r="K259" s="6" t="inlineStr">
        <is>
          <t>Required Capital =</t>
        </is>
      </c>
      <c r="L259" s="6" t="n"/>
      <c r="M259" s="6" t="n"/>
      <c r="N259" s="50">
        <f>GETPIVOTDATA(" OpenCap",A260)</f>
        <v/>
      </c>
    </row>
    <row r="260">
      <c r="A260" s="30" t="inlineStr">
        <is>
          <t>SYM</t>
        </is>
      </c>
      <c r="B260" s="30" t="inlineStr">
        <is>
          <t>Leg</t>
        </is>
      </c>
      <c r="C260" s="30" t="inlineStr">
        <is>
          <t>TransType</t>
        </is>
      </c>
      <c r="D260" s="30" t="inlineStr">
        <is>
          <t>Strike</t>
        </is>
      </c>
      <c r="E260" s="30" t="inlineStr">
        <is>
          <t>#Contracts</t>
        </is>
      </c>
      <c r="F260" s="30" t="inlineStr">
        <is>
          <t>OpenDate</t>
        </is>
      </c>
      <c r="G260" s="30" t="inlineStr">
        <is>
          <t>CloseDate</t>
        </is>
      </c>
      <c r="H260" s="30" t="inlineStr">
        <is>
          <t>ExpDate</t>
        </is>
      </c>
      <c r="I260" s="30" t="inlineStr">
        <is>
          <t>Days</t>
        </is>
      </c>
      <c r="J260" s="49" t="inlineStr">
        <is>
          <t xml:space="preserve"> NetPrem</t>
        </is>
      </c>
      <c r="K260" t="inlineStr">
        <is>
          <t xml:space="preserve"> CapDays</t>
        </is>
      </c>
      <c r="L260" t="inlineStr">
        <is>
          <t xml:space="preserve"> OpenCap</t>
        </is>
      </c>
      <c r="M260" t="inlineStr">
        <is>
          <t xml:space="preserve"> BEcap</t>
        </is>
      </c>
      <c r="N260" t="inlineStr">
        <is>
          <t xml:space="preserve"> Shares</t>
        </is>
      </c>
    </row>
    <row r="261">
      <c r="A261" t="inlineStr">
        <is>
          <t>Sold 2 AMD Jun 18 2021 70.0 Put @ 1.39</t>
        </is>
      </c>
      <c r="B261" t="n">
        <v>1</v>
      </c>
      <c r="C261" t="inlineStr">
        <is>
          <t>SP</t>
        </is>
      </c>
      <c r="D261" t="n">
        <v>70</v>
      </c>
      <c r="E261" t="n">
        <v>2</v>
      </c>
      <c r="F261" s="2" t="n">
        <v>44333</v>
      </c>
      <c r="G261" t="inlineStr">
        <is>
          <t>(blank)</t>
        </is>
      </c>
      <c r="H261" s="2" t="n">
        <v>44365</v>
      </c>
      <c r="I261" s="11" t="n">
        <v>32</v>
      </c>
      <c r="J261" s="49" t="n">
        <v>276.67</v>
      </c>
      <c r="K261" t="n">
        <v>448000</v>
      </c>
      <c r="L261" t="n">
        <v>14000</v>
      </c>
      <c r="M261" t="n">
        <v>14000</v>
      </c>
      <c r="N261" t="n">
        <v>200</v>
      </c>
    </row>
    <row r="262">
      <c r="A262" t="inlineStr">
        <is>
          <t>Grand Total</t>
        </is>
      </c>
      <c r="J262" s="49" t="n">
        <v>276.67</v>
      </c>
      <c r="K262" t="n">
        <v>448000</v>
      </c>
      <c r="L262" t="n">
        <v>14000</v>
      </c>
      <c r="M262" t="n">
        <v>14000</v>
      </c>
      <c r="N262" t="n">
        <v>200</v>
      </c>
    </row>
  </sheetData>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S23"/>
  <sheetViews>
    <sheetView workbookViewId="0">
      <selection activeCell="B16" sqref="B16"/>
    </sheetView>
  </sheetViews>
  <sheetFormatPr baseColWidth="8" defaultRowHeight="15"/>
  <cols>
    <col customWidth="1" max="1" min="1" style="52" width="10.42578125"/>
    <col customWidth="1" max="13" min="2" style="52" width="9.7109375"/>
    <col customWidth="1" max="14" min="14" style="52" width="11.28515625"/>
    <col bestFit="1" customWidth="1" max="15" min="15" style="52" width="8.42578125"/>
    <col customWidth="1" max="16" min="16" style="4" width="12.28515625"/>
    <col bestFit="1" customWidth="1" max="17" min="17" style="52" width="8.42578125"/>
    <col customWidth="1" max="18" min="18" style="10" width="12"/>
    <col bestFit="1" customWidth="1" max="27" min="19" style="52" width="7.7109375"/>
    <col bestFit="1" customWidth="1" max="28" min="28" style="52" width="6.7109375"/>
    <col bestFit="1" customWidth="1" max="29" min="29" style="52" width="7.7109375"/>
    <col bestFit="1" customWidth="1" max="30" min="30" style="52" width="6.7109375"/>
    <col bestFit="1" customWidth="1" max="33" min="31" style="52" width="7.7109375"/>
    <col bestFit="1" customWidth="1" max="35" min="34" style="52" width="6.7109375"/>
    <col bestFit="1" customWidth="1" max="38" min="36" style="52" width="7.7109375"/>
    <col bestFit="1" customWidth="1" max="39" min="39" style="52" width="6.7109375"/>
    <col bestFit="1" customWidth="1" max="43" min="40" style="52" width="7.7109375"/>
    <col bestFit="1" customWidth="1" max="45" min="44" style="52" width="6.7109375"/>
    <col bestFit="1" customWidth="1" max="46" min="46" style="52" width="5.7109375"/>
    <col bestFit="1" customWidth="1" max="59" min="47" style="52" width="6.7109375"/>
    <col bestFit="1" customWidth="1" max="60" min="60" style="52" width="5.7109375"/>
    <col bestFit="1" customWidth="1" max="61" min="61" style="52" width="4"/>
    <col bestFit="1" customWidth="1" max="63" min="62" style="52" width="5"/>
    <col bestFit="1" customWidth="1" max="67" min="64" style="52" width="6"/>
    <col bestFit="1" customWidth="1" max="68" min="68" style="52" width="3"/>
    <col bestFit="1" customWidth="1" max="73" min="69" style="52" width="6"/>
    <col bestFit="1" customWidth="1" max="74" min="74" style="52" width="3"/>
    <col bestFit="1" customWidth="1" max="75" min="75" style="52" width="6"/>
    <col bestFit="1" customWidth="1" max="77" min="76" style="52" width="3"/>
    <col bestFit="1" customWidth="1" max="82" min="78" style="52" width="6"/>
    <col bestFit="1" customWidth="1" max="84" min="83" style="52" width="3"/>
    <col bestFit="1" customWidth="1" max="86" min="85" style="52" width="6"/>
    <col bestFit="1" customWidth="1" max="87" min="87" style="52" width="3"/>
    <col bestFit="1" customWidth="1" max="93" min="88" style="52" width="6"/>
    <col bestFit="1" customWidth="1" max="95" min="94" style="52" width="5"/>
    <col bestFit="1" customWidth="1" max="99" min="96" style="52" width="6"/>
    <col bestFit="1" customWidth="1" max="100" min="100" style="52" width="3"/>
    <col bestFit="1" customWidth="1" max="101" min="101" style="52" width="6"/>
    <col bestFit="1" customWidth="1" max="102" min="102" style="52" width="3"/>
    <col bestFit="1" customWidth="1" max="103" min="103" style="52" width="5"/>
    <col bestFit="1" customWidth="1" max="107" min="104" style="52" width="6"/>
    <col bestFit="1" customWidth="1" max="108" min="108" style="52" width="3"/>
    <col bestFit="1" customWidth="1" max="109" min="109" style="52" width="6"/>
    <col bestFit="1" customWidth="1" max="110" min="110" style="52" width="3"/>
    <col bestFit="1" customWidth="1" max="119" min="111" style="52" width="6"/>
    <col bestFit="1" customWidth="1" max="120" min="120" style="52" width="3"/>
    <col bestFit="1" customWidth="1" max="122" min="121" style="52" width="6"/>
    <col bestFit="1" customWidth="1" max="124" min="123" style="52" width="3"/>
    <col bestFit="1" customWidth="1" max="133" min="125" style="52" width="6"/>
    <col bestFit="1" customWidth="1" max="138" min="134" style="52" width="7"/>
    <col bestFit="1" customWidth="1" max="139" min="139" style="52" width="4"/>
    <col bestFit="1" customWidth="1" max="167" min="140" style="52" width="7"/>
    <col bestFit="1" customWidth="1" max="168" min="168" style="52" width="6"/>
    <col bestFit="1" customWidth="1" max="174" min="169" style="52" width="7"/>
    <col bestFit="1" customWidth="1" max="175" min="175" style="52" width="4"/>
    <col bestFit="1" customWidth="1" max="183" min="176" style="52" width="7"/>
    <col bestFit="1" customWidth="1" max="184" min="184" style="52" width="6"/>
    <col bestFit="1" customWidth="1" max="185" min="185" style="52" width="7"/>
    <col bestFit="1" customWidth="1" max="186" min="186" style="52" width="6"/>
    <col bestFit="1" customWidth="1" max="190" min="187" style="52" width="7"/>
    <col bestFit="1" customWidth="1" max="191" min="191" style="52" width="6"/>
    <col bestFit="1" customWidth="1" max="212" min="192" style="52" width="7"/>
    <col bestFit="1" customWidth="1" max="213" min="213" style="52" width="6"/>
    <col bestFit="1" customWidth="1" max="230" min="214" style="52" width="7"/>
    <col bestFit="1" customWidth="1" max="240" min="231" style="52" width="8"/>
    <col bestFit="1" customWidth="1" max="241" min="241" style="52" width="10.42578125"/>
    <col bestFit="1" customWidth="1" max="242" min="242" style="52" width="11.28515625"/>
    <col bestFit="1" customWidth="1" max="243" min="243" style="52" width="10.42578125"/>
    <col bestFit="1" customWidth="1" max="244" min="244" style="52" width="7.85546875"/>
    <col bestFit="1" customWidth="1" max="245" min="245" style="52" width="10.42578125"/>
    <col bestFit="1" customWidth="1" max="246" min="246" style="52" width="7.85546875"/>
    <col bestFit="1" customWidth="1" max="247" min="247" style="52" width="10.42578125"/>
    <col bestFit="1" customWidth="1" max="248" min="248" style="52" width="7.85546875"/>
    <col bestFit="1" customWidth="1" max="249" min="249" style="52" width="10.42578125"/>
    <col bestFit="1" customWidth="1" max="250" min="250" style="52" width="7.85546875"/>
    <col bestFit="1" customWidth="1" max="251" min="251" style="52" width="10.42578125"/>
    <col bestFit="1" customWidth="1" max="252" min="252" style="52" width="7.85546875"/>
    <col bestFit="1" customWidth="1" max="253" min="253" style="52" width="10.42578125"/>
    <col bestFit="1" customWidth="1" max="254" min="254" style="52" width="7.85546875"/>
    <col bestFit="1" customWidth="1" max="255" min="255" style="52" width="10.42578125"/>
    <col bestFit="1" customWidth="1" max="256" min="256" style="52" width="4.85546875"/>
    <col bestFit="1" customWidth="1" max="258" min="257" style="52" width="7.85546875"/>
    <col bestFit="1" customWidth="1" max="259" min="259" style="52" width="10.42578125"/>
    <col bestFit="1" customWidth="1" max="260" min="260" style="52" width="7.85546875"/>
    <col bestFit="1" customWidth="1" max="261" min="261" style="52" width="10.42578125"/>
    <col bestFit="1" customWidth="1" max="262" min="262" style="52" width="7.85546875"/>
    <col bestFit="1" customWidth="1" max="263" min="263" style="52" width="10.42578125"/>
    <col bestFit="1" customWidth="1" max="264" min="264" style="52" width="4.85546875"/>
    <col bestFit="1" customWidth="1" max="265" min="265" style="52" width="7.85546875"/>
    <col bestFit="1" customWidth="1" max="266" min="266" style="52" width="4.85546875"/>
    <col bestFit="1" customWidth="1" max="268" min="267" style="52" width="7.85546875"/>
    <col bestFit="1" customWidth="1" max="269" min="269" style="52" width="10.42578125"/>
    <col bestFit="1" customWidth="1" max="270" min="270" style="52" width="7.85546875"/>
    <col bestFit="1" customWidth="1" max="271" min="271" style="52" width="10.42578125"/>
    <col bestFit="1" customWidth="1" max="272" min="272" style="52" width="7.85546875"/>
    <col bestFit="1" customWidth="1" max="273" min="273" style="52" width="10.42578125"/>
    <col bestFit="1" customWidth="1" max="274" min="274" style="52" width="7.85546875"/>
    <col bestFit="1" customWidth="1" max="275" min="275" style="52" width="10.42578125"/>
    <col bestFit="1" customWidth="1" max="276" min="276" style="52" width="7.85546875"/>
    <col bestFit="1" customWidth="1" max="277" min="277" style="52" width="10.42578125"/>
    <col bestFit="1" customWidth="1" max="278" min="278" style="52" width="7.85546875"/>
    <col bestFit="1" customWidth="1" max="279" min="279" style="52" width="10.42578125"/>
    <col bestFit="1" customWidth="1" max="280" min="280" style="52" width="7.85546875"/>
    <col bestFit="1" customWidth="1" max="281" min="281" style="52" width="10.42578125"/>
    <col bestFit="1" customWidth="1" max="282" min="282" style="52" width="7.85546875"/>
    <col bestFit="1" customWidth="1" max="283" min="283" style="52" width="10.42578125"/>
    <col bestFit="1" customWidth="1" max="284" min="284" style="52" width="7.85546875"/>
    <col bestFit="1" customWidth="1" max="285" min="285" style="52" width="10.42578125"/>
    <col bestFit="1" customWidth="1" max="286" min="286" style="52" width="8.85546875"/>
    <col bestFit="1" customWidth="1" max="287" min="287" style="52" width="11.42578125"/>
    <col bestFit="1" customWidth="1" max="288" min="288" style="52" width="8.85546875"/>
    <col bestFit="1" customWidth="1" max="289" min="289" style="52" width="11.42578125"/>
    <col bestFit="1" customWidth="1" max="290" min="290" style="52" width="8.85546875"/>
    <col bestFit="1" customWidth="1" max="291" min="291" style="52" width="11.42578125"/>
    <col bestFit="1" customWidth="1" max="292" min="292" style="52" width="8.85546875"/>
    <col bestFit="1" customWidth="1" max="293" min="293" style="52" width="11.42578125"/>
    <col bestFit="1" customWidth="1" max="294" min="294" style="52" width="8.85546875"/>
    <col bestFit="1" customWidth="1" max="295" min="295" style="52" width="11.42578125"/>
    <col bestFit="1" customWidth="1" max="296" min="296" style="52" width="8.85546875"/>
    <col bestFit="1" customWidth="1" max="297" min="297" style="52" width="11.42578125"/>
    <col bestFit="1" customWidth="1" max="298" min="298" style="52" width="5.85546875"/>
    <col bestFit="1" customWidth="1" max="300" min="299" style="52" width="8.85546875"/>
    <col bestFit="1" customWidth="1" max="301" min="301" style="52" width="11.42578125"/>
    <col bestFit="1" customWidth="1" max="302" min="302" style="52" width="8.85546875"/>
    <col bestFit="1" customWidth="1" max="303" min="303" style="52" width="11.42578125"/>
    <col bestFit="1" customWidth="1" max="304" min="304" style="52" width="8.85546875"/>
    <col bestFit="1" customWidth="1" max="305" min="305" style="52" width="11.42578125"/>
    <col bestFit="1" customWidth="1" max="306" min="306" style="52" width="8.85546875"/>
    <col bestFit="1" customWidth="1" max="307" min="307" style="52" width="11.42578125"/>
    <col bestFit="1" customWidth="1" max="308" min="308" style="52" width="8.85546875"/>
    <col bestFit="1" customWidth="1" max="309" min="309" style="52" width="11.42578125"/>
    <col bestFit="1" customWidth="1" max="310" min="310" style="52" width="8.85546875"/>
    <col bestFit="1" customWidth="1" max="311" min="311" style="52" width="11.42578125"/>
    <col bestFit="1" customWidth="1" max="312" min="312" style="52" width="8.85546875"/>
    <col bestFit="1" customWidth="1" max="313" min="313" style="52" width="11.42578125"/>
    <col bestFit="1" customWidth="1" max="314" min="314" style="52" width="8.85546875"/>
    <col bestFit="1" customWidth="1" max="315" min="315" style="52" width="11.42578125"/>
    <col bestFit="1" customWidth="1" max="316" min="316" style="52" width="8.85546875"/>
    <col bestFit="1" customWidth="1" max="317" min="317" style="52" width="11.42578125"/>
    <col bestFit="1" customWidth="1" max="318" min="318" style="52" width="8.85546875"/>
    <col bestFit="1" customWidth="1" max="319" min="319" style="52" width="11.42578125"/>
    <col bestFit="1" customWidth="1" max="320" min="320" style="52" width="8.85546875"/>
    <col bestFit="1" customWidth="1" max="321" min="321" style="52" width="11.42578125"/>
    <col bestFit="1" customWidth="1" max="322" min="322" style="52" width="8.85546875"/>
    <col bestFit="1" customWidth="1" max="323" min="323" style="52" width="11.42578125"/>
    <col bestFit="1" customWidth="1" max="324" min="324" style="52" width="8.85546875"/>
    <col bestFit="1" customWidth="1" max="325" min="325" style="52" width="11.42578125"/>
    <col bestFit="1" customWidth="1" max="326" min="326" style="52" width="8.85546875"/>
    <col bestFit="1" customWidth="1" max="327" min="327" style="52" width="11.42578125"/>
    <col bestFit="1" customWidth="1" max="328" min="328" style="52" width="8.85546875"/>
    <col bestFit="1" customWidth="1" max="329" min="329" style="52" width="11.42578125"/>
    <col bestFit="1" customWidth="1" max="330" min="330" style="52" width="8.85546875"/>
    <col bestFit="1" customWidth="1" max="331" min="331" style="52" width="11.42578125"/>
    <col bestFit="1" customWidth="1" max="332" min="332" style="52" width="8.85546875"/>
    <col bestFit="1" customWidth="1" max="333" min="333" style="52" width="11.42578125"/>
    <col bestFit="1" customWidth="1" max="334" min="334" style="52" width="8.85546875"/>
    <col bestFit="1" customWidth="1" max="335" min="335" style="52" width="11.42578125"/>
    <col bestFit="1" customWidth="1" max="336" min="336" style="52" width="8.85546875"/>
    <col bestFit="1" customWidth="1" max="337" min="337" style="52" width="11.42578125"/>
    <col bestFit="1" customWidth="1" max="338" min="338" style="52" width="8.85546875"/>
    <col bestFit="1" customWidth="1" max="339" min="339" style="52" width="11.42578125"/>
    <col bestFit="1" customWidth="1" max="340" min="340" style="52" width="8.85546875"/>
    <col bestFit="1" customWidth="1" max="341" min="341" style="52" width="11.42578125"/>
    <col bestFit="1" customWidth="1" max="342" min="342" style="52" width="8.85546875"/>
    <col bestFit="1" customWidth="1" max="343" min="343" style="52" width="11.42578125"/>
    <col bestFit="1" customWidth="1" max="344" min="344" style="52" width="8.85546875"/>
    <col bestFit="1" customWidth="1" max="345" min="345" style="52" width="11.42578125"/>
    <col bestFit="1" customWidth="1" max="346" min="346" style="52" width="8.85546875"/>
    <col bestFit="1" customWidth="1" max="348" min="348" style="52" width="11.42578125"/>
    <col bestFit="1" customWidth="1" max="349" min="349" style="52" width="8.85546875"/>
    <col bestFit="1" customWidth="1" max="350" min="350" style="52" width="11.42578125"/>
    <col bestFit="1" customWidth="1" max="351" min="351" style="52" width="8.85546875"/>
    <col bestFit="1" customWidth="1" max="352" min="352" style="52" width="11.42578125"/>
    <col bestFit="1" customWidth="1" max="353" min="353" style="52" width="8.85546875"/>
    <col bestFit="1" customWidth="1" max="354" min="354" style="52" width="11.42578125"/>
    <col bestFit="1" customWidth="1" max="355" min="355" style="52" width="8.85546875"/>
    <col bestFit="1" customWidth="1" max="356" min="356" style="52" width="11.42578125"/>
    <col bestFit="1" customWidth="1" max="357" min="357" style="52" width="8.85546875"/>
    <col bestFit="1" customWidth="1" max="358" min="358" style="52" width="11.42578125"/>
    <col bestFit="1" customWidth="1" max="359" min="359" style="52" width="8.85546875"/>
    <col bestFit="1" customWidth="1" max="360" min="360" style="52" width="11.42578125"/>
    <col bestFit="1" customWidth="1" max="361" min="361" style="52" width="7.85546875"/>
    <col bestFit="1" customWidth="1" max="362" min="362" style="52" width="10.42578125"/>
    <col bestFit="1" customWidth="1" max="363" min="363" style="52" width="8.85546875"/>
    <col bestFit="1" customWidth="1" max="364" min="364" style="52" width="11.42578125"/>
    <col bestFit="1" customWidth="1" max="365" min="365" style="52" width="8.85546875"/>
    <col bestFit="1" customWidth="1" max="366" min="366" style="52" width="11.42578125"/>
    <col bestFit="1" customWidth="1" max="367" min="367" style="52" width="8.85546875"/>
    <col bestFit="1" customWidth="1" max="368" min="368" style="52" width="11.42578125"/>
    <col bestFit="1" customWidth="1" max="369" min="369" style="52" width="8.85546875"/>
    <col bestFit="1" customWidth="1" max="370" min="370" style="52" width="11.42578125"/>
    <col bestFit="1" customWidth="1" max="371" min="371" style="52" width="8.85546875"/>
    <col bestFit="1" customWidth="1" max="372" min="372" style="52" width="11.42578125"/>
    <col bestFit="1" customWidth="1" max="373" min="373" style="52" width="8.85546875"/>
    <col bestFit="1" customWidth="1" max="374" min="374" style="52" width="11.42578125"/>
    <col bestFit="1" customWidth="1" max="375" min="375" style="52" width="8.85546875"/>
    <col bestFit="1" customWidth="1" max="376" min="376" style="52" width="11.42578125"/>
    <col bestFit="1" customWidth="1" max="377" min="377" style="52" width="5.85546875"/>
    <col bestFit="1" customWidth="1" max="379" min="378" style="52" width="8.85546875"/>
    <col bestFit="1" customWidth="1" max="380" min="380" style="52" width="11.42578125"/>
    <col bestFit="1" customWidth="1" max="381" min="381" style="52" width="8.85546875"/>
    <col bestFit="1" customWidth="1" max="382" min="382" style="52" width="11.42578125"/>
    <col bestFit="1" customWidth="1" max="383" min="383" style="52" width="8.85546875"/>
    <col bestFit="1" customWidth="1" max="384" min="384" style="52" width="11.42578125"/>
    <col bestFit="1" customWidth="1" max="385" min="385" style="52" width="8.85546875"/>
    <col bestFit="1" customWidth="1" max="386" min="386" style="52" width="11.42578125"/>
    <col bestFit="1" customWidth="1" max="387" min="387" style="52" width="8.85546875"/>
    <col bestFit="1" customWidth="1" max="388" min="388" style="52" width="11.42578125"/>
    <col bestFit="1" customWidth="1" max="389" min="389" style="52" width="8.85546875"/>
    <col bestFit="1" customWidth="1" max="390" min="390" style="52" width="11.42578125"/>
    <col bestFit="1" customWidth="1" max="391" min="391" style="52" width="8.85546875"/>
    <col bestFit="1" customWidth="1" max="392" min="392" style="52" width="11.42578125"/>
    <col bestFit="1" customWidth="1" max="393" min="393" style="52" width="8.85546875"/>
    <col bestFit="1" customWidth="1" max="394" min="394" style="52" width="11.42578125"/>
    <col bestFit="1" customWidth="1" max="395" min="395" style="52" width="8.85546875"/>
    <col bestFit="1" customWidth="1" max="396" min="396" style="52" width="11.42578125"/>
    <col bestFit="1" customWidth="1" max="397" min="397" style="52" width="7.85546875"/>
    <col bestFit="1" customWidth="1" max="398" min="398" style="52" width="10.42578125"/>
    <col bestFit="1" customWidth="1" max="399" min="399" style="52" width="8.85546875"/>
    <col bestFit="1" customWidth="1" max="400" min="400" style="52" width="11.42578125"/>
    <col bestFit="1" customWidth="1" max="401" min="401" style="52" width="7.85546875"/>
    <col bestFit="1" customWidth="1" max="402" min="402" style="52" width="10.42578125"/>
    <col bestFit="1" customWidth="1" max="403" min="403" style="52" width="8.85546875"/>
    <col bestFit="1" customWidth="1" max="404" min="404" style="52" width="11.42578125"/>
    <col bestFit="1" customWidth="1" max="405" min="405" style="52" width="8.85546875"/>
    <col bestFit="1" customWidth="1" max="406" min="406" style="52" width="11.42578125"/>
    <col bestFit="1" customWidth="1" max="407" min="407" style="52" width="8.85546875"/>
    <col bestFit="1" customWidth="1" max="408" min="408" style="52" width="11.42578125"/>
    <col bestFit="1" customWidth="1" max="409" min="409" style="52" width="8.85546875"/>
    <col bestFit="1" customWidth="1" max="410" min="410" style="52" width="11.42578125"/>
    <col bestFit="1" customWidth="1" max="411" min="411" style="52" width="7.85546875"/>
    <col bestFit="1" customWidth="1" max="412" min="412" style="52" width="10.42578125"/>
    <col bestFit="1" customWidth="1" max="413" min="413" style="52" width="8.85546875"/>
    <col bestFit="1" customWidth="1" max="414" min="414" style="52" width="11.42578125"/>
    <col bestFit="1" customWidth="1" max="415" min="415" style="52" width="8.85546875"/>
    <col bestFit="1" customWidth="1" max="416" min="416" style="52" width="11.42578125"/>
    <col bestFit="1" customWidth="1" max="417" min="417" style="52" width="8.85546875"/>
    <col bestFit="1" customWidth="1" max="418" min="418" style="52" width="11.42578125"/>
    <col bestFit="1" customWidth="1" max="419" min="419" style="52" width="8.85546875"/>
    <col bestFit="1" customWidth="1" max="420" min="420" style="52" width="11.42578125"/>
    <col bestFit="1" customWidth="1" max="421" min="421" style="52" width="8.85546875"/>
    <col bestFit="1" customWidth="1" max="422" min="422" style="52" width="11.42578125"/>
    <col bestFit="1" customWidth="1" max="423" min="423" style="52" width="8.85546875"/>
    <col bestFit="1" customWidth="1" max="424" min="424" style="52" width="11.42578125"/>
    <col bestFit="1" customWidth="1" max="425" min="425" style="52" width="8.85546875"/>
    <col bestFit="1" customWidth="1" max="426" min="426" style="52" width="11.42578125"/>
    <col bestFit="1" customWidth="1" max="427" min="427" style="52" width="8.85546875"/>
    <col bestFit="1" customWidth="1" max="428" min="428" style="52" width="11.42578125"/>
    <col bestFit="1" customWidth="1" max="429" min="429" style="52" width="8.85546875"/>
    <col bestFit="1" customWidth="1" max="430" min="430" style="52" width="11.42578125"/>
    <col bestFit="1" customWidth="1" max="431" min="431" style="52" width="8.85546875"/>
    <col bestFit="1" customWidth="1" max="432" min="432" style="52" width="11.42578125"/>
    <col bestFit="1" customWidth="1" max="433" min="433" style="52" width="8.85546875"/>
    <col bestFit="1" customWidth="1" max="434" min="434" style="52" width="11.42578125"/>
    <col bestFit="1" customWidth="1" max="435" min="435" style="52" width="8.85546875"/>
    <col bestFit="1" customWidth="1" max="436" min="436" style="52" width="11.42578125"/>
    <col bestFit="1" customWidth="1" max="437" min="437" style="52" width="8.85546875"/>
    <col bestFit="1" customWidth="1" max="438" min="438" style="52" width="11.42578125"/>
    <col bestFit="1" customWidth="1" max="439" min="439" style="52" width="8.85546875"/>
    <col bestFit="1" customWidth="1" max="440" min="440" style="52" width="11.42578125"/>
    <col bestFit="1" customWidth="1" max="441" min="441" style="52" width="8.85546875"/>
    <col bestFit="1" customWidth="1" max="442" min="442" style="52" width="11.42578125"/>
    <col bestFit="1" customWidth="1" max="443" min="443" style="52" width="8.85546875"/>
    <col bestFit="1" customWidth="1" max="444" min="444" style="52" width="11.42578125"/>
    <col bestFit="1" customWidth="1" max="445" min="445" style="52" width="8.85546875"/>
    <col bestFit="1" customWidth="1" max="446" min="446" style="52" width="11.42578125"/>
    <col bestFit="1" customWidth="1" max="447" min="447" style="52" width="8.85546875"/>
    <col bestFit="1" customWidth="1" max="448" min="448" style="52" width="11.42578125"/>
    <col bestFit="1" customWidth="1" max="449" min="449" style="52" width="8.85546875"/>
    <col bestFit="1" customWidth="1" max="450" min="450" style="52" width="11.42578125"/>
    <col bestFit="1" customWidth="1" max="451" min="451" style="52" width="8.85546875"/>
    <col bestFit="1" customWidth="1" max="452" min="452" style="52" width="11.42578125"/>
    <col bestFit="1" customWidth="1" max="453" min="453" style="52" width="8.85546875"/>
    <col bestFit="1" customWidth="1" max="454" min="454" style="52" width="11.42578125"/>
    <col bestFit="1" customWidth="1" max="455" min="455" style="52" width="8.85546875"/>
    <col bestFit="1" customWidth="1" max="456" min="456" style="52" width="11.42578125"/>
    <col bestFit="1" customWidth="1" max="457" min="457" style="52" width="8.85546875"/>
    <col bestFit="1" customWidth="1" max="458" min="458" style="52" width="11.42578125"/>
    <col bestFit="1" customWidth="1" max="459" min="459" style="52" width="8.85546875"/>
    <col bestFit="1" customWidth="1" max="460" min="460" style="52" width="11.42578125"/>
    <col bestFit="1" customWidth="1" max="461" min="461" style="52" width="8.85546875"/>
    <col bestFit="1" customWidth="1" max="462" min="462" style="52" width="11.42578125"/>
    <col bestFit="1" customWidth="1" max="463" min="463" style="52" width="7.85546875"/>
    <col bestFit="1" customWidth="1" max="464" min="464" style="52" width="10.42578125"/>
    <col bestFit="1" customWidth="1" max="465" min="465" style="52" width="8.85546875"/>
    <col bestFit="1" customWidth="1" max="466" min="466" style="52" width="11.42578125"/>
    <col bestFit="1" customWidth="1" max="467" min="467" style="52" width="8.85546875"/>
    <col bestFit="1" customWidth="1" max="468" min="468" style="52" width="11.42578125"/>
    <col bestFit="1" customWidth="1" max="469" min="469" style="52" width="8.85546875"/>
    <col bestFit="1" customWidth="1" max="470" min="470" style="52" width="11.42578125"/>
    <col bestFit="1" customWidth="1" max="471" min="471" style="52" width="8.85546875"/>
    <col bestFit="1" customWidth="1" max="472" min="472" style="52" width="11.42578125"/>
    <col bestFit="1" customWidth="1" max="473" min="473" style="52" width="8.85546875"/>
    <col bestFit="1" customWidth="1" max="474" min="474" style="52" width="11.42578125"/>
    <col bestFit="1" customWidth="1" max="475" min="475" style="52" width="8.85546875"/>
    <col bestFit="1" customWidth="1" max="476" min="476" style="52" width="11.42578125"/>
    <col bestFit="1" customWidth="1" max="477" min="477" style="52" width="8.85546875"/>
    <col bestFit="1" customWidth="1" max="478" min="478" style="52" width="11.42578125"/>
    <col bestFit="1" customWidth="1" max="479" min="479" style="52" width="8.85546875"/>
    <col bestFit="1" customWidth="1" max="480" min="480" style="52" width="11.42578125"/>
    <col bestFit="1" customWidth="1" max="481" min="481" style="52" width="8.85546875"/>
    <col bestFit="1" customWidth="1" max="482" min="482" style="52" width="11.42578125"/>
    <col bestFit="1" customWidth="1" max="483" min="483" style="52" width="8.85546875"/>
    <col bestFit="1" customWidth="1" max="484" min="484" style="52" width="11.42578125"/>
    <col bestFit="1" customWidth="1" max="485" min="485" style="52" width="8.85546875"/>
    <col bestFit="1" customWidth="1" max="486" min="486" style="52" width="11.42578125"/>
    <col bestFit="1" customWidth="1" max="487" min="487" style="52" width="8.85546875"/>
    <col bestFit="1" customWidth="1" max="488" min="488" style="52" width="11.42578125"/>
    <col bestFit="1" customWidth="1" max="489" min="489" style="52" width="8.85546875"/>
    <col bestFit="1" customWidth="1" max="490" min="490" style="52" width="11.42578125"/>
    <col bestFit="1" customWidth="1" max="491" min="491" style="52" width="8.85546875"/>
    <col bestFit="1" customWidth="1" max="492" min="492" style="52" width="11.42578125"/>
    <col bestFit="1" customWidth="1" max="493" min="493" style="52" width="8.85546875"/>
    <col bestFit="1" customWidth="1" max="494" min="494" style="52" width="11.42578125"/>
    <col bestFit="1" customWidth="1" max="495" min="495" style="52" width="8.85546875"/>
    <col bestFit="1" customWidth="1" max="496" min="496" style="52" width="11.42578125"/>
    <col bestFit="1" customWidth="1" max="497" min="497" style="52" width="8.85546875"/>
    <col bestFit="1" customWidth="1" max="498" min="498" style="52" width="11.42578125"/>
    <col bestFit="1" customWidth="1" max="499" min="499" style="52" width="8.85546875"/>
    <col bestFit="1" customWidth="1" max="500" min="500" style="52" width="11.42578125"/>
    <col bestFit="1" customWidth="1" max="501" min="501" style="52" width="8.85546875"/>
    <col bestFit="1" customWidth="1" max="502" min="502" style="52" width="11.42578125"/>
    <col bestFit="1" customWidth="1" max="503" min="503" style="52" width="9.85546875"/>
    <col bestFit="1" customWidth="1" max="504" min="504" style="52" width="12.42578125"/>
    <col bestFit="1" customWidth="1" max="505" min="505" style="52" width="9.85546875"/>
    <col bestFit="1" customWidth="1" max="506" min="506" style="52" width="12.42578125"/>
    <col bestFit="1" customWidth="1" max="507" min="507" style="52" width="9.85546875"/>
    <col bestFit="1" customWidth="1" max="508" min="508" style="52" width="12.42578125"/>
    <col bestFit="1" customWidth="1" max="509" min="509" style="52" width="9.85546875"/>
    <col bestFit="1" customWidth="1" max="510" min="510" style="52" width="12.42578125"/>
    <col bestFit="1" customWidth="1" max="511" min="511" style="52" width="9.85546875"/>
    <col bestFit="1" customWidth="1" max="512" min="512" style="52" width="12.42578125"/>
    <col bestFit="1" customWidth="1" max="513" min="513" style="52" width="9.85546875"/>
    <col bestFit="1" customWidth="1" max="514" min="514" style="52" width="12.42578125"/>
    <col bestFit="1" customWidth="1" max="515" min="515" style="52" width="9.85546875"/>
    <col bestFit="1" customWidth="1" max="516" min="516" style="52" width="12.42578125"/>
    <col bestFit="1" customWidth="1" max="517" min="517" style="52" width="9.85546875"/>
    <col bestFit="1" customWidth="1" max="518" min="518" style="52" width="12.42578125"/>
    <col bestFit="1" customWidth="1" max="519" min="519" style="52" width="9.85546875"/>
    <col bestFit="1" customWidth="1" max="520" min="520" style="52" width="12.42578125"/>
    <col bestFit="1" customWidth="1" max="521" min="521" style="52" width="9.85546875"/>
    <col bestFit="1" customWidth="1" max="522" min="522" style="52" width="12.42578125"/>
    <col bestFit="1" customWidth="1" max="523" min="523" style="52" width="9.85546875"/>
    <col bestFit="1" customWidth="1" max="524" min="524" style="52" width="12.42578125"/>
    <col bestFit="1" customWidth="1" max="526" min="526" style="52" width="5.85546875"/>
    <col bestFit="1" customWidth="1" max="527" min="527" style="52"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7" t="inlineStr">
        <is>
          <t>TODAY'S DATE</t>
        </is>
      </c>
      <c r="D7" t="inlineStr">
        <is>
          <t>PERFORMANCE DATE</t>
        </is>
      </c>
    </row>
    <row r="8">
      <c r="A8" s="37">
        <f>TODAY()</f>
        <v/>
      </c>
      <c r="D8" s="38" t="n"/>
      <c r="E8" t="inlineStr">
        <is>
          <t>(mm/dd/yy)</t>
        </is>
      </c>
    </row>
    <row r="9">
      <c r="A9" s="37" t="n"/>
      <c r="D9" s="37" t="n"/>
    </row>
    <row customHeight="1" ht="30" r="11" s="52">
      <c r="A11" s="8" t="inlineStr">
        <is>
          <t xml:space="preserve"> YTD</t>
        </is>
      </c>
      <c r="B11" s="8" t="inlineStr">
        <is>
          <t xml:space="preserve"> 1YR</t>
        </is>
      </c>
      <c r="C11" s="8" t="inlineStr">
        <is>
          <t xml:space="preserve"> Inception</t>
        </is>
      </c>
      <c r="D11" s="8" t="inlineStr">
        <is>
          <t>Not
Booked</t>
        </is>
      </c>
      <c r="E11" s="8" t="n"/>
      <c r="H11" s="30" t="n"/>
      <c r="I11" s="30" t="n"/>
      <c r="J11" s="30" t="n"/>
      <c r="K11" s="30" t="n"/>
      <c r="L11" s="30" t="n"/>
    </row>
    <row r="12">
      <c r="A12" s="49" t="n">
        <v>3984.870000000002</v>
      </c>
      <c r="B12" s="49" t="n">
        <v>3984.870000000002</v>
      </c>
      <c r="C12" s="49" t="n">
        <v>3984.870000000002</v>
      </c>
      <c r="D12" s="49" t="n">
        <v>4459.02</v>
      </c>
    </row>
    <row r="13">
      <c r="A13" s="37" t="n"/>
      <c r="D13" s="37" t="n"/>
    </row>
    <row r="14">
      <c r="A14" s="37" t="n"/>
      <c r="D14" s="37" t="n"/>
    </row>
    <row r="16">
      <c r="B16" s="37" t="inlineStr">
        <is>
          <t>Mar</t>
        </is>
      </c>
      <c r="C16" s="37" t="inlineStr">
        <is>
          <t>Apr</t>
        </is>
      </c>
      <c r="D16" s="37" t="inlineStr">
        <is>
          <t>May</t>
        </is>
      </c>
      <c r="E16" s="37" t="inlineStr">
        <is>
          <t>Jun</t>
        </is>
      </c>
      <c r="F16" s="37" t="inlineStr">
        <is>
          <t>Grand Total</t>
        </is>
      </c>
    </row>
    <row r="17">
      <c r="A17" t="inlineStr">
        <is>
          <t>Sum of NetPrem</t>
        </is>
      </c>
      <c r="B17" t="n">
        <v>231.34</v>
      </c>
      <c r="C17" t="n">
        <v>942.1099999999999</v>
      </c>
      <c r="D17" t="n">
        <v>3116.090000000001</v>
      </c>
      <c r="E17" t="n">
        <v>4154.35</v>
      </c>
      <c r="F17" t="n">
        <v>8443.890000000001</v>
      </c>
    </row>
    <row r="18">
      <c r="S18" s="1" t="n"/>
    </row>
    <row r="19">
      <c r="S19" s="1" t="n"/>
    </row>
    <row r="20">
      <c r="S20" s="1" t="n"/>
    </row>
    <row r="21">
      <c r="F21" s="30" t="n"/>
      <c r="G21" s="30" t="n"/>
      <c r="H21" s="30" t="n"/>
      <c r="I21" s="30" t="n"/>
      <c r="J21" s="30" t="n"/>
      <c r="K21" s="30" t="n"/>
      <c r="L21" s="30" t="n"/>
      <c r="M21" s="30" t="n"/>
      <c r="N21" s="30" t="n"/>
      <c r="O21" s="30" t="n"/>
      <c r="P21" s="31" t="n"/>
      <c r="Q21" s="30" t="n"/>
      <c r="R21" s="32" t="n"/>
      <c r="S21" s="33" t="n"/>
    </row>
    <row r="22">
      <c r="F22" s="30" t="n"/>
      <c r="G22" s="30" t="n"/>
      <c r="H22" s="30" t="n"/>
      <c r="I22" s="30" t="n"/>
      <c r="J22" s="30" t="n"/>
      <c r="K22" s="30" t="n"/>
      <c r="L22" s="30" t="n"/>
      <c r="M22" s="30" t="n"/>
      <c r="N22" s="30" t="n"/>
      <c r="O22" s="30" t="n"/>
      <c r="P22" s="31" t="n"/>
      <c r="Q22" s="30" t="n"/>
      <c r="R22" s="32" t="n"/>
      <c r="S22" s="33" t="n"/>
    </row>
    <row r="23">
      <c r="S23" s="1" t="n"/>
    </row>
  </sheetData>
  <pageMargins bottom="0.75" footer="0.3" header="0.3" left="0.1" right="0" top="0.75"/>
  <pageSetup horizontalDpi="0" orientation="landscape"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2021-06-26T22:13:30Z</dcterms:modified>
  <cp:lastModifiedBy>Justin Kramer</cp:lastModifiedBy>
  <cp:lastPrinted>2018-12-26T20:29:26Z</cp:lastPrinted>
</cp:coreProperties>
</file>