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jkramer\Downloads\new excel\"/>
    </mc:Choice>
  </mc:AlternateContent>
  <xr:revisionPtr revIDLastSave="0" documentId="13_ncr:1_{4012DB21-DB3B-422D-80FE-D586533C92C0}" xr6:coauthVersionLast="47" xr6:coauthVersionMax="47" xr10:uidLastSave="{00000000-0000-0000-0000-000000000000}"/>
  <bookViews>
    <workbookView xWindow="-120" yWindow="-120" windowWidth="29040" windowHeight="15840" activeTab="2" xr2:uid="{00000000-000D-0000-FFFF-FFFF00000000}"/>
  </bookViews>
  <sheets>
    <sheet name="README" sheetId="1" r:id="rId1"/>
    <sheet name="check new aroi shhet" sheetId="2" r:id="rId2"/>
    <sheet name="DATA" sheetId="3" r:id="rId3"/>
    <sheet name="OPEN POSITIONS" sheetId="4" r:id="rId4"/>
    <sheet name="CAMPAIGN" sheetId="5" r:id="rId5"/>
    <sheet name="PERFORMANCE" sheetId="6" r:id="rId6"/>
  </sheets>
  <calcPr calcId="191029" refMode="R1C1"/>
  <pivotCaches>
    <pivotCache cacheId="4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6" l="1"/>
  <c r="R5" i="5"/>
  <c r="Q5" i="5"/>
  <c r="R7" i="5" s="1"/>
  <c r="AA78" i="3"/>
  <c r="Z78" i="3"/>
  <c r="U78" i="3"/>
  <c r="T78" i="3"/>
  <c r="S78" i="3"/>
  <c r="P78" i="3"/>
  <c r="O78" i="3"/>
  <c r="N78" i="3"/>
  <c r="AG77" i="3"/>
  <c r="AE77" i="3"/>
  <c r="AA77" i="3"/>
  <c r="Z77" i="3"/>
  <c r="U77" i="3"/>
  <c r="T77" i="3"/>
  <c r="S77" i="3"/>
  <c r="P77" i="3"/>
  <c r="AD77" i="3" s="1"/>
  <c r="O77" i="3"/>
  <c r="N77" i="3"/>
  <c r="AG76" i="3"/>
  <c r="AA76" i="3"/>
  <c r="Z76" i="3"/>
  <c r="U76" i="3"/>
  <c r="T76" i="3"/>
  <c r="S76" i="3"/>
  <c r="Q76" i="3"/>
  <c r="Y76" i="3" s="1"/>
  <c r="P76" i="3"/>
  <c r="O76" i="3"/>
  <c r="N76" i="3"/>
  <c r="AA75" i="3"/>
  <c r="AE75" i="3" s="1"/>
  <c r="Z75" i="3"/>
  <c r="U75" i="3"/>
  <c r="T75" i="3"/>
  <c r="S75" i="3"/>
  <c r="P75" i="3"/>
  <c r="O75" i="3"/>
  <c r="N75" i="3"/>
  <c r="AG74" i="3"/>
  <c r="AE74" i="3"/>
  <c r="AD74" i="3"/>
  <c r="AA74" i="3"/>
  <c r="Z74" i="3"/>
  <c r="U74" i="3"/>
  <c r="T74" i="3"/>
  <c r="S74" i="3"/>
  <c r="Q74" i="3"/>
  <c r="Y74" i="3" s="1"/>
  <c r="P74" i="3"/>
  <c r="AB74" i="3" s="1"/>
  <c r="O74" i="3"/>
  <c r="N74" i="3"/>
  <c r="AB73" i="3"/>
  <c r="AA73" i="3"/>
  <c r="Z73" i="3"/>
  <c r="U73" i="3"/>
  <c r="T73" i="3"/>
  <c r="S73" i="3"/>
  <c r="Q73" i="3"/>
  <c r="Y73" i="3" s="1"/>
  <c r="P73" i="3"/>
  <c r="AG73" i="3" s="1"/>
  <c r="O73" i="3"/>
  <c r="N73" i="3"/>
  <c r="AE72" i="3"/>
  <c r="AD72" i="3"/>
  <c r="AC72" i="3"/>
  <c r="AB72" i="3"/>
  <c r="AA72" i="3"/>
  <c r="Z72" i="3"/>
  <c r="U72" i="3"/>
  <c r="T72" i="3"/>
  <c r="S72" i="3"/>
  <c r="Q72" i="3"/>
  <c r="Y72" i="3" s="1"/>
  <c r="P72" i="3"/>
  <c r="AG72" i="3" s="1"/>
  <c r="O72" i="3"/>
  <c r="N72" i="3"/>
  <c r="AE71" i="3"/>
  <c r="AA71" i="3"/>
  <c r="Z71" i="3"/>
  <c r="U71" i="3"/>
  <c r="T71" i="3"/>
  <c r="S71" i="3"/>
  <c r="P71" i="3"/>
  <c r="O71" i="3"/>
  <c r="N71" i="3"/>
  <c r="AA70" i="3"/>
  <c r="Z70" i="3"/>
  <c r="T70" i="3"/>
  <c r="S70" i="3"/>
  <c r="U70" i="3" s="1"/>
  <c r="P70" i="3"/>
  <c r="Q70" i="3" s="1"/>
  <c r="Y70" i="3" s="1"/>
  <c r="O70" i="3"/>
  <c r="N70" i="3"/>
  <c r="AE69" i="3"/>
  <c r="AD69" i="3"/>
  <c r="AA69" i="3"/>
  <c r="Z69" i="3"/>
  <c r="U69" i="3"/>
  <c r="S69" i="3"/>
  <c r="T69" i="3" s="1"/>
  <c r="P69" i="3"/>
  <c r="Q69" i="3" s="1"/>
  <c r="Y69" i="3" s="1"/>
  <c r="O69" i="3"/>
  <c r="N69" i="3"/>
  <c r="AG68" i="3"/>
  <c r="AA68" i="3"/>
  <c r="Z68" i="3"/>
  <c r="U68" i="3"/>
  <c r="T68" i="3"/>
  <c r="S68" i="3"/>
  <c r="Q68" i="3"/>
  <c r="Y68" i="3" s="1"/>
  <c r="P68" i="3"/>
  <c r="O68" i="3"/>
  <c r="N68" i="3"/>
  <c r="AD67" i="3"/>
  <c r="AC67" i="3"/>
  <c r="AB67" i="3"/>
  <c r="AA67" i="3"/>
  <c r="AE67" i="3" s="1"/>
  <c r="Z67" i="3"/>
  <c r="U67" i="3"/>
  <c r="T67" i="3"/>
  <c r="S67" i="3"/>
  <c r="Q67" i="3"/>
  <c r="Y67" i="3" s="1"/>
  <c r="P67" i="3"/>
  <c r="AG67" i="3" s="1"/>
  <c r="O67" i="3"/>
  <c r="N67" i="3"/>
  <c r="AE66" i="3"/>
  <c r="AD66" i="3"/>
  <c r="AA66" i="3"/>
  <c r="AC66" i="3" s="1"/>
  <c r="Z66" i="3"/>
  <c r="T66" i="3"/>
  <c r="S66" i="3"/>
  <c r="U66" i="3" s="1"/>
  <c r="Q66" i="3"/>
  <c r="Y66" i="3" s="1"/>
  <c r="P66" i="3"/>
  <c r="AB66" i="3" s="1"/>
  <c r="O66" i="3"/>
  <c r="N66" i="3"/>
  <c r="AB65" i="3"/>
  <c r="AA65" i="3"/>
  <c r="Z65" i="3"/>
  <c r="Y65" i="3"/>
  <c r="T65" i="3"/>
  <c r="S65" i="3"/>
  <c r="Q65" i="3"/>
  <c r="P65" i="3"/>
  <c r="AG65" i="3" s="1"/>
  <c r="O65" i="3"/>
  <c r="N65" i="3"/>
  <c r="AE64" i="3"/>
  <c r="AD64" i="3"/>
  <c r="AC64" i="3"/>
  <c r="AB64" i="3"/>
  <c r="AA64" i="3"/>
  <c r="Z64" i="3"/>
  <c r="U64" i="3"/>
  <c r="T64" i="3"/>
  <c r="S64" i="3"/>
  <c r="P64" i="3"/>
  <c r="O64" i="3"/>
  <c r="N64" i="3"/>
  <c r="AE63" i="3"/>
  <c r="AA63" i="3"/>
  <c r="AD63" i="3" s="1"/>
  <c r="Z63" i="3"/>
  <c r="U63" i="3"/>
  <c r="T63" i="3"/>
  <c r="S63" i="3"/>
  <c r="Q63" i="3"/>
  <c r="Y63" i="3" s="1"/>
  <c r="P63" i="3"/>
  <c r="AG63" i="3" s="1"/>
  <c r="O63" i="3"/>
  <c r="N63" i="3"/>
  <c r="AC62" i="3"/>
  <c r="AB62" i="3"/>
  <c r="AA62" i="3"/>
  <c r="Z62" i="3"/>
  <c r="U62" i="3"/>
  <c r="T62" i="3"/>
  <c r="S62" i="3"/>
  <c r="P62" i="3"/>
  <c r="Q62" i="3" s="1"/>
  <c r="Y62" i="3" s="1"/>
  <c r="O62" i="3"/>
  <c r="N62" i="3"/>
  <c r="AE61" i="3"/>
  <c r="AC61" i="3"/>
  <c r="AA61" i="3"/>
  <c r="Z61" i="3"/>
  <c r="U61" i="3"/>
  <c r="T61" i="3"/>
  <c r="S61" i="3"/>
  <c r="P61" i="3"/>
  <c r="AD61" i="3" s="1"/>
  <c r="O61" i="3"/>
  <c r="N61" i="3"/>
  <c r="AA60" i="3"/>
  <c r="Z60" i="3"/>
  <c r="U60" i="3"/>
  <c r="T60" i="3"/>
  <c r="S60" i="3"/>
  <c r="P60" i="3"/>
  <c r="AG61" i="3" s="1"/>
  <c r="O60" i="3"/>
  <c r="N60" i="3"/>
  <c r="AD59" i="3"/>
  <c r="AC59" i="3"/>
  <c r="AB59" i="3"/>
  <c r="AA59" i="3"/>
  <c r="AE59" i="3" s="1"/>
  <c r="Z59" i="3"/>
  <c r="U59" i="3"/>
  <c r="T59" i="3"/>
  <c r="S59" i="3"/>
  <c r="P59" i="3"/>
  <c r="O59" i="3"/>
  <c r="N59" i="3"/>
  <c r="AG58" i="3"/>
  <c r="AE58" i="3"/>
  <c r="AA58" i="3"/>
  <c r="Z58" i="3"/>
  <c r="U58" i="3"/>
  <c r="T58" i="3"/>
  <c r="S58" i="3"/>
  <c r="P58" i="3"/>
  <c r="AG60" i="3" s="1"/>
  <c r="O58" i="3"/>
  <c r="N58" i="3"/>
  <c r="AA57" i="3"/>
  <c r="AB57" i="3" s="1"/>
  <c r="Z57" i="3"/>
  <c r="U57" i="3"/>
  <c r="T57" i="3"/>
  <c r="S57" i="3"/>
  <c r="Q57" i="3"/>
  <c r="Y57" i="3" s="1"/>
  <c r="P57" i="3"/>
  <c r="O57" i="3"/>
  <c r="N57" i="3"/>
  <c r="AE56" i="3"/>
  <c r="AD56" i="3"/>
  <c r="AC56" i="3"/>
  <c r="AB56" i="3"/>
  <c r="AA56" i="3"/>
  <c r="Z56" i="3"/>
  <c r="U56" i="3"/>
  <c r="T56" i="3"/>
  <c r="S56" i="3"/>
  <c r="P56" i="3"/>
  <c r="O56" i="3"/>
  <c r="N56" i="3"/>
  <c r="AG55" i="3"/>
  <c r="AE55" i="3"/>
  <c r="AA55" i="3"/>
  <c r="AD55" i="3" s="1"/>
  <c r="Z55" i="3"/>
  <c r="U55" i="3"/>
  <c r="T55" i="3"/>
  <c r="S55" i="3"/>
  <c r="Q55" i="3"/>
  <c r="Y55" i="3" s="1"/>
  <c r="P55" i="3"/>
  <c r="O55" i="3"/>
  <c r="N55" i="3"/>
  <c r="AC54" i="3"/>
  <c r="AB54" i="3"/>
  <c r="AA54" i="3"/>
  <c r="Z54" i="3"/>
  <c r="U54" i="3"/>
  <c r="T54" i="3"/>
  <c r="S54" i="3"/>
  <c r="P54" i="3"/>
  <c r="AG57" i="3" s="1"/>
  <c r="O54" i="3"/>
  <c r="N54" i="3"/>
  <c r="AE53" i="3"/>
  <c r="AA53" i="3"/>
  <c r="Z53" i="3"/>
  <c r="U53" i="3"/>
  <c r="T53" i="3"/>
  <c r="S53" i="3"/>
  <c r="P53" i="3"/>
  <c r="AD53" i="3" s="1"/>
  <c r="O53" i="3"/>
  <c r="N53" i="3"/>
  <c r="AA52" i="3"/>
  <c r="Z52" i="3"/>
  <c r="U52" i="3"/>
  <c r="T52" i="3"/>
  <c r="S52" i="3"/>
  <c r="P52" i="3"/>
  <c r="AG52" i="3" s="1"/>
  <c r="O52" i="3"/>
  <c r="N52" i="3"/>
  <c r="AD51" i="3"/>
  <c r="AC51" i="3"/>
  <c r="AA51" i="3"/>
  <c r="AE51" i="3" s="1"/>
  <c r="Z51" i="3"/>
  <c r="U51" i="3"/>
  <c r="T51" i="3"/>
  <c r="S51" i="3"/>
  <c r="Q51" i="3"/>
  <c r="Y51" i="3" s="1"/>
  <c r="P51" i="3"/>
  <c r="AG51" i="3" s="1"/>
  <c r="O51" i="3"/>
  <c r="N51" i="3"/>
  <c r="AG50" i="3"/>
  <c r="AE50" i="3"/>
  <c r="AA50" i="3"/>
  <c r="AC50" i="3" s="1"/>
  <c r="Z50" i="3"/>
  <c r="U50" i="3"/>
  <c r="T50" i="3"/>
  <c r="S50" i="3"/>
  <c r="Q50" i="3"/>
  <c r="Y50" i="3" s="1"/>
  <c r="P50" i="3"/>
  <c r="AB50" i="3" s="1"/>
  <c r="O50" i="3"/>
  <c r="N50" i="3"/>
  <c r="AB49" i="3"/>
  <c r="AA49" i="3"/>
  <c r="Z49" i="3"/>
  <c r="Y49" i="3"/>
  <c r="U49" i="3"/>
  <c r="T49" i="3"/>
  <c r="S49" i="3"/>
  <c r="Q49" i="3"/>
  <c r="P49" i="3"/>
  <c r="AG49" i="3" s="1"/>
  <c r="O49" i="3"/>
  <c r="N49" i="3"/>
  <c r="AE48" i="3"/>
  <c r="AD48" i="3"/>
  <c r="AC48" i="3"/>
  <c r="AB48" i="3"/>
  <c r="AA48" i="3"/>
  <c r="Z48" i="3"/>
  <c r="U48" i="3"/>
  <c r="T48" i="3"/>
  <c r="S48" i="3"/>
  <c r="P48" i="3"/>
  <c r="O48" i="3"/>
  <c r="N48" i="3"/>
  <c r="AE47" i="3"/>
  <c r="AA47" i="3"/>
  <c r="AD47" i="3" s="1"/>
  <c r="Z47" i="3"/>
  <c r="U47" i="3"/>
  <c r="T47" i="3"/>
  <c r="S47" i="3"/>
  <c r="Q47" i="3"/>
  <c r="Y47" i="3" s="1"/>
  <c r="P47" i="3"/>
  <c r="AG47" i="3" s="1"/>
  <c r="O47" i="3"/>
  <c r="N47" i="3"/>
  <c r="AA46" i="3"/>
  <c r="Z46" i="3"/>
  <c r="U46" i="3"/>
  <c r="T46" i="3"/>
  <c r="S46" i="3"/>
  <c r="P46" i="3"/>
  <c r="O46" i="3"/>
  <c r="N46" i="3"/>
  <c r="AG45" i="3"/>
  <c r="AE45" i="3"/>
  <c r="AA45" i="3"/>
  <c r="Z45" i="3"/>
  <c r="U45" i="3"/>
  <c r="T45" i="3"/>
  <c r="S45" i="3"/>
  <c r="P45" i="3"/>
  <c r="O45" i="3"/>
  <c r="N45" i="3"/>
  <c r="AG44" i="3"/>
  <c r="AA44" i="3"/>
  <c r="Z44" i="3"/>
  <c r="U44" i="3"/>
  <c r="T44" i="3"/>
  <c r="S44" i="3"/>
  <c r="Q44" i="3"/>
  <c r="Y44" i="3" s="1"/>
  <c r="P44" i="3"/>
  <c r="O44" i="3"/>
  <c r="N44" i="3"/>
  <c r="AA43" i="3"/>
  <c r="Z43" i="3"/>
  <c r="U43" i="3"/>
  <c r="T43" i="3"/>
  <c r="S43" i="3"/>
  <c r="P43" i="3"/>
  <c r="O43" i="3"/>
  <c r="N43" i="3"/>
  <c r="AG42" i="3"/>
  <c r="AE42" i="3"/>
  <c r="AD42" i="3"/>
  <c r="AA42" i="3"/>
  <c r="AC42" i="3" s="1"/>
  <c r="Z42" i="3"/>
  <c r="U42" i="3"/>
  <c r="T42" i="3"/>
  <c r="S42" i="3"/>
  <c r="Q42" i="3"/>
  <c r="Y42" i="3" s="1"/>
  <c r="P42" i="3"/>
  <c r="O42" i="3"/>
  <c r="N42" i="3"/>
  <c r="AB41" i="3"/>
  <c r="AA41" i="3"/>
  <c r="Z41" i="3"/>
  <c r="U41" i="3"/>
  <c r="T41" i="3"/>
  <c r="S41" i="3"/>
  <c r="Q41" i="3"/>
  <c r="Y41" i="3" s="1"/>
  <c r="P41" i="3"/>
  <c r="O41" i="3"/>
  <c r="N41" i="3"/>
  <c r="AE40" i="3"/>
  <c r="AD40" i="3"/>
  <c r="AC40" i="3"/>
  <c r="AB40" i="3"/>
  <c r="AA40" i="3"/>
  <c r="Z40" i="3"/>
  <c r="U40" i="3"/>
  <c r="T40" i="3"/>
  <c r="S40" i="3"/>
  <c r="Q40" i="3"/>
  <c r="Y40" i="3" s="1"/>
  <c r="P40" i="3"/>
  <c r="AG41" i="3" s="1"/>
  <c r="O40" i="3"/>
  <c r="N40" i="3"/>
  <c r="AE39" i="3"/>
  <c r="AA39" i="3"/>
  <c r="Z39" i="3"/>
  <c r="U39" i="3"/>
  <c r="T39" i="3"/>
  <c r="S39" i="3"/>
  <c r="P39" i="3"/>
  <c r="O39" i="3"/>
  <c r="N39" i="3"/>
  <c r="AA38" i="3"/>
  <c r="Z38" i="3"/>
  <c r="U38" i="3"/>
  <c r="T38" i="3"/>
  <c r="S38" i="3"/>
  <c r="P38" i="3"/>
  <c r="O38" i="3"/>
  <c r="N38" i="3"/>
  <c r="AE37" i="3"/>
  <c r="AD37" i="3"/>
  <c r="AC37" i="3"/>
  <c r="AA37" i="3"/>
  <c r="Z37" i="3"/>
  <c r="U37" i="3"/>
  <c r="T37" i="3"/>
  <c r="S37" i="3"/>
  <c r="P37" i="3"/>
  <c r="O37" i="3"/>
  <c r="N37" i="3"/>
  <c r="AG36" i="3"/>
  <c r="AA36" i="3"/>
  <c r="Z36" i="3"/>
  <c r="Y36" i="3"/>
  <c r="U36" i="3"/>
  <c r="T36" i="3"/>
  <c r="S36" i="3"/>
  <c r="Q36" i="3"/>
  <c r="P36" i="3"/>
  <c r="O36" i="3"/>
  <c r="N36" i="3"/>
  <c r="AA35" i="3"/>
  <c r="AE35" i="3" s="1"/>
  <c r="Z35" i="3"/>
  <c r="U35" i="3"/>
  <c r="T35" i="3"/>
  <c r="S35" i="3"/>
  <c r="P35" i="3"/>
  <c r="Q35" i="3" s="1"/>
  <c r="Y35" i="3" s="1"/>
  <c r="O35" i="3"/>
  <c r="N35" i="3"/>
  <c r="AE34" i="3"/>
  <c r="AD34" i="3"/>
  <c r="AA34" i="3"/>
  <c r="Z34" i="3"/>
  <c r="S34" i="3"/>
  <c r="U34" i="3" s="1"/>
  <c r="P34" i="3"/>
  <c r="O34" i="3"/>
  <c r="N34" i="3"/>
  <c r="AA33" i="3"/>
  <c r="Z33" i="3"/>
  <c r="U33" i="3"/>
  <c r="T33" i="3"/>
  <c r="S33" i="3"/>
  <c r="P33" i="3"/>
  <c r="O33" i="3"/>
  <c r="N33" i="3"/>
  <c r="AE32" i="3"/>
  <c r="AD32" i="3"/>
  <c r="AC32" i="3"/>
  <c r="AB32" i="3"/>
  <c r="AA32" i="3"/>
  <c r="Z32" i="3"/>
  <c r="U32" i="3"/>
  <c r="T32" i="3"/>
  <c r="S32" i="3"/>
  <c r="P32" i="3"/>
  <c r="O32" i="3"/>
  <c r="N32" i="3"/>
  <c r="AE31" i="3"/>
  <c r="AB31" i="3"/>
  <c r="AA31" i="3"/>
  <c r="AD31" i="3" s="1"/>
  <c r="Z31" i="3"/>
  <c r="U31" i="3"/>
  <c r="T31" i="3"/>
  <c r="S31" i="3"/>
  <c r="P31" i="3"/>
  <c r="AC31" i="3" s="1"/>
  <c r="O31" i="3"/>
  <c r="N31" i="3"/>
  <c r="AB30" i="3"/>
  <c r="AA30" i="3"/>
  <c r="AD30" i="3" s="1"/>
  <c r="Z30" i="3"/>
  <c r="U30" i="3"/>
  <c r="T30" i="3"/>
  <c r="S30" i="3"/>
  <c r="P30" i="3"/>
  <c r="O30" i="3"/>
  <c r="N30" i="3"/>
  <c r="AE29" i="3"/>
  <c r="AA29" i="3"/>
  <c r="Z29" i="3"/>
  <c r="U29" i="3"/>
  <c r="T29" i="3"/>
  <c r="S29" i="3"/>
  <c r="P29" i="3"/>
  <c r="O29" i="3"/>
  <c r="N29" i="3"/>
  <c r="AA28" i="3"/>
  <c r="Z28" i="3"/>
  <c r="U28" i="3"/>
  <c r="T28" i="3"/>
  <c r="S28" i="3"/>
  <c r="P28" i="3"/>
  <c r="Q34" i="3" s="1"/>
  <c r="Y34" i="3" s="1"/>
  <c r="O28" i="3"/>
  <c r="N28" i="3"/>
  <c r="AG27" i="3"/>
  <c r="AA27" i="3"/>
  <c r="Z27" i="3"/>
  <c r="U27" i="3"/>
  <c r="T27" i="3"/>
  <c r="S27" i="3"/>
  <c r="Q27" i="3"/>
  <c r="Y27" i="3" s="1"/>
  <c r="P27" i="3"/>
  <c r="O27" i="3"/>
  <c r="N27" i="3"/>
  <c r="AG26" i="3"/>
  <c r="AA26" i="3"/>
  <c r="AB26" i="3" s="1"/>
  <c r="Z26" i="3"/>
  <c r="U26" i="3"/>
  <c r="T26" i="3"/>
  <c r="S26" i="3"/>
  <c r="Q26" i="3"/>
  <c r="Y26" i="3" s="1"/>
  <c r="P26" i="3"/>
  <c r="O26" i="3"/>
  <c r="N26" i="3"/>
  <c r="AD25" i="3"/>
  <c r="AC25" i="3"/>
  <c r="AA25" i="3"/>
  <c r="AB25" i="3" s="1"/>
  <c r="Z25" i="3"/>
  <c r="U25" i="3"/>
  <c r="T25" i="3"/>
  <c r="S25" i="3"/>
  <c r="P25" i="3"/>
  <c r="O25" i="3"/>
  <c r="N25" i="3"/>
  <c r="AE24" i="3"/>
  <c r="AA24" i="3"/>
  <c r="Z24" i="3"/>
  <c r="U24" i="3"/>
  <c r="T24" i="3"/>
  <c r="S24" i="3"/>
  <c r="P24" i="3"/>
  <c r="O24" i="3"/>
  <c r="N24" i="3"/>
  <c r="AE23" i="3"/>
  <c r="AA23" i="3"/>
  <c r="Z23" i="3"/>
  <c r="U23" i="3"/>
  <c r="T23" i="3"/>
  <c r="S23" i="3"/>
  <c r="P23" i="3"/>
  <c r="O23" i="3"/>
  <c r="N23" i="3"/>
  <c r="AB22" i="3"/>
  <c r="AA22" i="3"/>
  <c r="Z22" i="3"/>
  <c r="U22" i="3"/>
  <c r="T22" i="3"/>
  <c r="S22" i="3"/>
  <c r="P22" i="3"/>
  <c r="O22" i="3"/>
  <c r="N22" i="3"/>
  <c r="AD21" i="3"/>
  <c r="AC21" i="3"/>
  <c r="AA21" i="3"/>
  <c r="AB21" i="3" s="1"/>
  <c r="Z21" i="3"/>
  <c r="U21" i="3"/>
  <c r="T21" i="3"/>
  <c r="S21" i="3"/>
  <c r="P21" i="3"/>
  <c r="O21" i="3"/>
  <c r="N21" i="3"/>
  <c r="AG20" i="3"/>
  <c r="AE20" i="3"/>
  <c r="AA20" i="3"/>
  <c r="Z20" i="3"/>
  <c r="U20" i="3"/>
  <c r="T20" i="3"/>
  <c r="S20" i="3"/>
  <c r="Q20" i="3"/>
  <c r="Y20" i="3" s="1"/>
  <c r="P20" i="3"/>
  <c r="O20" i="3"/>
  <c r="N20" i="3"/>
  <c r="AE19" i="3"/>
  <c r="AB19" i="3"/>
  <c r="AA19" i="3"/>
  <c r="Z19" i="3"/>
  <c r="U19" i="3"/>
  <c r="T19" i="3"/>
  <c r="S19" i="3"/>
  <c r="Q19" i="3"/>
  <c r="Y19" i="3" s="1"/>
  <c r="P19" i="3"/>
  <c r="AG19" i="3" s="1"/>
  <c r="O19" i="3"/>
  <c r="N19" i="3"/>
  <c r="AE18" i="3"/>
  <c r="AD18" i="3"/>
  <c r="AC18" i="3"/>
  <c r="AB18" i="3"/>
  <c r="AA18" i="3"/>
  <c r="Z18" i="3"/>
  <c r="U18" i="3"/>
  <c r="T18" i="3"/>
  <c r="S18" i="3"/>
  <c r="Q18" i="3"/>
  <c r="Y18" i="3" s="1"/>
  <c r="P18" i="3"/>
  <c r="O18" i="3"/>
  <c r="N18" i="3"/>
  <c r="AE17" i="3"/>
  <c r="AC17" i="3"/>
  <c r="AA17" i="3"/>
  <c r="Z17" i="3"/>
  <c r="U17" i="3"/>
  <c r="T17" i="3"/>
  <c r="S17" i="3"/>
  <c r="P17" i="3"/>
  <c r="AD17" i="3" s="1"/>
  <c r="O17" i="3"/>
  <c r="N17" i="3"/>
  <c r="AB16" i="3"/>
  <c r="AA16" i="3"/>
  <c r="AE16" i="3" s="1"/>
  <c r="Z16" i="3"/>
  <c r="U16" i="3"/>
  <c r="T16" i="3"/>
  <c r="S16" i="3"/>
  <c r="P16" i="3"/>
  <c r="AC16" i="3" s="1"/>
  <c r="O16" i="3"/>
  <c r="N16" i="3"/>
  <c r="AE15" i="3"/>
  <c r="AA15" i="3"/>
  <c r="Z15" i="3"/>
  <c r="U15" i="3"/>
  <c r="T15" i="3"/>
  <c r="S15" i="3"/>
  <c r="P15" i="3"/>
  <c r="AG16" i="3" s="1"/>
  <c r="O15" i="3"/>
  <c r="N15" i="3"/>
  <c r="AD14" i="3"/>
  <c r="AA14" i="3"/>
  <c r="Z14" i="3"/>
  <c r="U14" i="3"/>
  <c r="T14" i="3"/>
  <c r="S14" i="3"/>
  <c r="P14" i="3"/>
  <c r="AG14" i="3" s="1"/>
  <c r="O14" i="3"/>
  <c r="N14" i="3"/>
  <c r="AD13" i="3"/>
  <c r="AC13" i="3"/>
  <c r="AA13" i="3"/>
  <c r="AB13" i="3" s="1"/>
  <c r="Z13" i="3"/>
  <c r="U13" i="3"/>
  <c r="T13" i="3"/>
  <c r="S13" i="3"/>
  <c r="Q13" i="3"/>
  <c r="Y13" i="3" s="1"/>
  <c r="P13" i="3"/>
  <c r="Q14" i="3" s="1"/>
  <c r="Y14" i="3" s="1"/>
  <c r="O13" i="3"/>
  <c r="N13" i="3"/>
  <c r="AB12" i="3"/>
  <c r="AA12" i="3"/>
  <c r="AE12" i="3" s="1"/>
  <c r="Z12" i="3"/>
  <c r="Y12" i="3"/>
  <c r="U12" i="3"/>
  <c r="T12" i="3"/>
  <c r="S12" i="3"/>
  <c r="Q12" i="3"/>
  <c r="P12" i="3"/>
  <c r="AG12" i="3" s="1"/>
  <c r="O12" i="3"/>
  <c r="N12" i="3"/>
  <c r="AE11" i="3"/>
  <c r="AB11" i="3"/>
  <c r="AA11" i="3"/>
  <c r="Z11" i="3"/>
  <c r="Y11" i="3"/>
  <c r="U11" i="3"/>
  <c r="T11" i="3"/>
  <c r="S11" i="3"/>
  <c r="Q11" i="3"/>
  <c r="P11" i="3"/>
  <c r="O11" i="3"/>
  <c r="N11" i="3"/>
  <c r="AE10" i="3"/>
  <c r="AD10" i="3"/>
  <c r="AC10" i="3"/>
  <c r="AB10" i="3"/>
  <c r="AA10" i="3"/>
  <c r="Z10" i="3"/>
  <c r="U10" i="3"/>
  <c r="T10" i="3"/>
  <c r="S10" i="3"/>
  <c r="P10" i="3"/>
  <c r="O10" i="3"/>
  <c r="N10" i="3"/>
  <c r="AE9" i="3"/>
  <c r="AC9" i="3"/>
  <c r="AA9" i="3"/>
  <c r="Z9" i="3"/>
  <c r="U9" i="3"/>
  <c r="T9" i="3"/>
  <c r="S9" i="3"/>
  <c r="Q9" i="3"/>
  <c r="Y9" i="3" s="1"/>
  <c r="P9" i="3"/>
  <c r="AG9" i="3" s="1"/>
  <c r="O9" i="3"/>
  <c r="N9" i="3"/>
  <c r="Z64" i="2"/>
  <c r="T64" i="2"/>
  <c r="X64" i="2" s="1"/>
  <c r="R64" i="2"/>
  <c r="O64" i="2"/>
  <c r="N64" i="2"/>
  <c r="L64" i="2"/>
  <c r="Z63" i="2"/>
  <c r="X63" i="2"/>
  <c r="T63" i="2"/>
  <c r="S63" i="2"/>
  <c r="R63" i="2"/>
  <c r="P63" i="2"/>
  <c r="O63" i="2"/>
  <c r="N63" i="2"/>
  <c r="L63" i="2"/>
  <c r="Z62" i="2"/>
  <c r="Y62" i="2"/>
  <c r="W62" i="2"/>
  <c r="T62" i="2"/>
  <c r="S62" i="2"/>
  <c r="R62" i="2"/>
  <c r="O62" i="2"/>
  <c r="N62" i="2"/>
  <c r="L62" i="2"/>
  <c r="P62" i="2" s="1"/>
  <c r="Z61" i="2"/>
  <c r="W61" i="2"/>
  <c r="U61" i="2"/>
  <c r="T61" i="2"/>
  <c r="S61" i="2"/>
  <c r="Y61" i="2" s="1"/>
  <c r="R61" i="2"/>
  <c r="P61" i="2"/>
  <c r="O61" i="2"/>
  <c r="N61" i="2"/>
  <c r="L61" i="2"/>
  <c r="Z43" i="2"/>
  <c r="T43" i="2"/>
  <c r="S43" i="2"/>
  <c r="U43" i="2" s="1"/>
  <c r="O43" i="2"/>
  <c r="X43" i="2" s="1"/>
  <c r="N43" i="2"/>
  <c r="P43" i="2" s="1"/>
  <c r="L43" i="2"/>
  <c r="Z42" i="2"/>
  <c r="X42" i="2"/>
  <c r="T42" i="2"/>
  <c r="R42" i="2"/>
  <c r="O42" i="2"/>
  <c r="N42" i="2"/>
  <c r="P42" i="2" s="1"/>
  <c r="L42" i="2"/>
  <c r="Z41" i="2"/>
  <c r="X41" i="2"/>
  <c r="T41" i="2"/>
  <c r="R41" i="2"/>
  <c r="O41" i="2"/>
  <c r="N41" i="2"/>
  <c r="S41" i="2" s="1"/>
  <c r="L41" i="2"/>
  <c r="P41" i="2" s="1"/>
  <c r="Z40" i="2"/>
  <c r="T40" i="2"/>
  <c r="X40" i="2" s="1"/>
  <c r="S40" i="2"/>
  <c r="U40" i="2" s="1"/>
  <c r="R40" i="2"/>
  <c r="P40" i="2"/>
  <c r="O40" i="2"/>
  <c r="N40" i="2"/>
  <c r="Y40" i="2" s="1"/>
  <c r="AA40" i="2" s="1"/>
  <c r="L40" i="2"/>
  <c r="Z39" i="2"/>
  <c r="Y39" i="2"/>
  <c r="W39" i="2"/>
  <c r="T39" i="2"/>
  <c r="X39" i="2" s="1"/>
  <c r="S39" i="2"/>
  <c r="R39" i="2"/>
  <c r="O39" i="2"/>
  <c r="N39" i="2"/>
  <c r="L39" i="2"/>
  <c r="U39" i="2" s="1"/>
  <c r="Z12" i="2"/>
  <c r="X12" i="2"/>
  <c r="T12" i="2"/>
  <c r="Q12" i="2"/>
  <c r="R12" i="2" s="1"/>
  <c r="O12" i="2"/>
  <c r="N12" i="2"/>
  <c r="S12" i="2" s="1"/>
  <c r="L12" i="2"/>
  <c r="I12" i="2"/>
  <c r="F12" i="2"/>
  <c r="G12" i="2" s="1"/>
  <c r="E12" i="2"/>
  <c r="Z11" i="2"/>
  <c r="Q11" i="2"/>
  <c r="R11" i="2" s="1"/>
  <c r="O11" i="2"/>
  <c r="N11" i="2"/>
  <c r="S11" i="2" s="1"/>
  <c r="L11" i="2"/>
  <c r="I11" i="2"/>
  <c r="G11" i="2"/>
  <c r="F11" i="2"/>
  <c r="E11" i="2"/>
  <c r="T11" i="2" s="1"/>
  <c r="X11" i="2" s="1"/>
  <c r="T10" i="2"/>
  <c r="R10" i="2"/>
  <c r="Q10" i="2"/>
  <c r="O10" i="2"/>
  <c r="X10" i="2" s="1"/>
  <c r="N10" i="2"/>
  <c r="S10" i="2" s="1"/>
  <c r="L10" i="2"/>
  <c r="P10" i="2" s="1"/>
  <c r="I10" i="2"/>
  <c r="F10" i="2"/>
  <c r="G10" i="2" s="1"/>
  <c r="E10" i="2"/>
  <c r="Z10" i="2" s="1"/>
  <c r="Z9" i="2"/>
  <c r="R9" i="2"/>
  <c r="O9" i="2"/>
  <c r="N9" i="2"/>
  <c r="S9" i="2" s="1"/>
  <c r="W9" i="2" s="1"/>
  <c r="L9" i="2"/>
  <c r="I9" i="2"/>
  <c r="G9" i="2"/>
  <c r="F9" i="2"/>
  <c r="E9" i="2"/>
  <c r="T9" i="2" s="1"/>
  <c r="X9" i="2" s="1"/>
  <c r="Z8" i="2"/>
  <c r="Q8" i="2"/>
  <c r="R8" i="2" s="1"/>
  <c r="O8" i="2"/>
  <c r="N8" i="2"/>
  <c r="S8" i="2" s="1"/>
  <c r="L8" i="2"/>
  <c r="I8" i="2"/>
  <c r="F8" i="2"/>
  <c r="G8" i="2" s="1"/>
  <c r="E8" i="2"/>
  <c r="T8" i="2" s="1"/>
  <c r="X8" i="2" s="1"/>
  <c r="T7" i="2"/>
  <c r="X7" i="2" s="1"/>
  <c r="R7" i="2"/>
  <c r="S7" i="2" s="1"/>
  <c r="Q7" i="2"/>
  <c r="O7" i="2"/>
  <c r="N7" i="2"/>
  <c r="L7" i="2"/>
  <c r="P7" i="2" s="1"/>
  <c r="I7" i="2"/>
  <c r="F7" i="2"/>
  <c r="G7" i="2" s="1"/>
  <c r="E7" i="2"/>
  <c r="Z7" i="2" s="1"/>
  <c r="Z6" i="2"/>
  <c r="Q6" i="2"/>
  <c r="R6" i="2" s="1"/>
  <c r="O6" i="2"/>
  <c r="N6" i="2"/>
  <c r="N19" i="2" s="1"/>
  <c r="L6" i="2"/>
  <c r="I6" i="2"/>
  <c r="F6" i="2"/>
  <c r="G6" i="2" s="1"/>
  <c r="E6" i="2"/>
  <c r="T6" i="2" s="1"/>
  <c r="X6" i="2" s="1"/>
  <c r="Q5" i="2"/>
  <c r="R5" i="2" s="1"/>
  <c r="S5" i="2" s="1"/>
  <c r="O5" i="2"/>
  <c r="N5" i="2"/>
  <c r="P5" i="2" s="1"/>
  <c r="M5" i="2"/>
  <c r="L5" i="2"/>
  <c r="I5" i="2"/>
  <c r="I20" i="2" s="1"/>
  <c r="F5" i="2"/>
  <c r="G5" i="2" s="1"/>
  <c r="E5" i="2"/>
  <c r="Z5" i="2" s="1"/>
  <c r="N234" i="5"/>
  <c r="N200" i="5"/>
  <c r="N174" i="5"/>
  <c r="N139" i="5"/>
  <c r="N109" i="5"/>
  <c r="N83" i="5"/>
  <c r="N49" i="5"/>
  <c r="N20" i="5"/>
  <c r="N3" i="5"/>
  <c r="R75" i="3"/>
  <c r="R67" i="3"/>
  <c r="R59" i="3"/>
  <c r="R51" i="3"/>
  <c r="R43" i="3"/>
  <c r="R35" i="3"/>
  <c r="R27" i="3"/>
  <c r="N259" i="5"/>
  <c r="N233" i="5"/>
  <c r="N199" i="5"/>
  <c r="N164" i="5"/>
  <c r="N138" i="5"/>
  <c r="N108" i="5"/>
  <c r="N77" i="5"/>
  <c r="N48" i="5"/>
  <c r="N19" i="5"/>
  <c r="R72" i="3"/>
  <c r="R64" i="3"/>
  <c r="R56" i="3"/>
  <c r="R48" i="3"/>
  <c r="R40" i="3"/>
  <c r="R32" i="3"/>
  <c r="N258" i="5"/>
  <c r="N223" i="5"/>
  <c r="N198" i="5"/>
  <c r="N163" i="5"/>
  <c r="N131" i="5"/>
  <c r="N107" i="5"/>
  <c r="N76" i="5"/>
  <c r="N39" i="5"/>
  <c r="N18" i="5"/>
  <c r="R77" i="3"/>
  <c r="R69" i="3"/>
  <c r="R61" i="3"/>
  <c r="R53" i="3"/>
  <c r="R45" i="3"/>
  <c r="R37" i="3"/>
  <c r="N257" i="5"/>
  <c r="N222" i="5"/>
  <c r="N188" i="5"/>
  <c r="N162" i="5"/>
  <c r="N130" i="5"/>
  <c r="N97" i="5"/>
  <c r="N75" i="5"/>
  <c r="N38" i="5"/>
  <c r="R74" i="3"/>
  <c r="R66" i="3"/>
  <c r="R58" i="3"/>
  <c r="R50" i="3"/>
  <c r="R42" i="3"/>
  <c r="R34" i="3"/>
  <c r="N209" i="5"/>
  <c r="N140" i="5"/>
  <c r="N84" i="5"/>
  <c r="N27" i="5"/>
  <c r="R47" i="3"/>
  <c r="R31" i="3"/>
  <c r="N247" i="5"/>
  <c r="N187" i="5"/>
  <c r="N129" i="5"/>
  <c r="N61" i="5"/>
  <c r="R70" i="3"/>
  <c r="R38" i="3"/>
  <c r="R26" i="3"/>
  <c r="R19" i="3"/>
  <c r="R11" i="3"/>
  <c r="N246" i="5"/>
  <c r="N186" i="5"/>
  <c r="N119" i="5"/>
  <c r="N60" i="5"/>
  <c r="R65" i="3"/>
  <c r="R52" i="3"/>
  <c r="R33" i="3"/>
  <c r="R25" i="3"/>
  <c r="R16" i="3"/>
  <c r="N245" i="5"/>
  <c r="N176" i="5"/>
  <c r="N118" i="5"/>
  <c r="N59" i="5"/>
  <c r="N5" i="5"/>
  <c r="R68" i="3"/>
  <c r="R62" i="3"/>
  <c r="R55" i="3"/>
  <c r="R49" i="3"/>
  <c r="R21" i="3"/>
  <c r="R13" i="3"/>
  <c r="N235" i="5"/>
  <c r="N175" i="5"/>
  <c r="N117" i="5"/>
  <c r="N50" i="5"/>
  <c r="N4" i="5"/>
  <c r="R78" i="3"/>
  <c r="R46" i="3"/>
  <c r="R36" i="3"/>
  <c r="N221" i="5"/>
  <c r="N152" i="5"/>
  <c r="N96" i="5"/>
  <c r="N37" i="5"/>
  <c r="R71" i="3"/>
  <c r="R39" i="3"/>
  <c r="R28" i="3"/>
  <c r="R24" i="3"/>
  <c r="R15" i="3"/>
  <c r="N211" i="5"/>
  <c r="N151" i="5"/>
  <c r="N95" i="5"/>
  <c r="N29" i="5"/>
  <c r="R60" i="3"/>
  <c r="R57" i="3"/>
  <c r="R30" i="3"/>
  <c r="R29" i="3"/>
  <c r="R23" i="3"/>
  <c r="R20" i="3"/>
  <c r="R12" i="3"/>
  <c r="N210" i="5"/>
  <c r="N150" i="5"/>
  <c r="N85" i="5"/>
  <c r="N28" i="5"/>
  <c r="R76" i="3"/>
  <c r="R73" i="3"/>
  <c r="R63" i="3"/>
  <c r="R54" i="3"/>
  <c r="R22" i="3"/>
  <c r="R9" i="3"/>
  <c r="R18" i="3"/>
  <c r="R17" i="3"/>
  <c r="R14" i="3"/>
  <c r="R10" i="3"/>
  <c r="R44" i="3"/>
  <c r="R41" i="3"/>
  <c r="V10" i="3" l="1"/>
  <c r="V14" i="3"/>
  <c r="V17" i="3"/>
  <c r="V18" i="3"/>
  <c r="V9" i="3"/>
  <c r="V12" i="3"/>
  <c r="V20" i="3"/>
  <c r="V29" i="3"/>
  <c r="V24" i="3"/>
  <c r="V71" i="3"/>
  <c r="W71" i="3" s="1"/>
  <c r="V21" i="3"/>
  <c r="V34" i="3"/>
  <c r="V42" i="3"/>
  <c r="V50" i="3"/>
  <c r="V58" i="3"/>
  <c r="V66" i="3"/>
  <c r="V74" i="3"/>
  <c r="V37" i="3"/>
  <c r="V45" i="3"/>
  <c r="V53" i="3"/>
  <c r="V61" i="3"/>
  <c r="V69" i="3"/>
  <c r="W69" i="3" s="1"/>
  <c r="X69" i="3" s="1"/>
  <c r="V77" i="3"/>
  <c r="V32" i="3"/>
  <c r="V40" i="3"/>
  <c r="V48" i="3"/>
  <c r="V56" i="3"/>
  <c r="V64" i="3"/>
  <c r="V72" i="3"/>
  <c r="W72" i="3" s="1"/>
  <c r="X72" i="3" s="1"/>
  <c r="V59" i="3"/>
  <c r="W8" i="2"/>
  <c r="U8" i="2"/>
  <c r="W10" i="2"/>
  <c r="Y10" i="2"/>
  <c r="AA10" i="2" s="1"/>
  <c r="U10" i="2"/>
  <c r="U41" i="2"/>
  <c r="W41" i="2"/>
  <c r="W5" i="2"/>
  <c r="W7" i="2"/>
  <c r="U7" i="2"/>
  <c r="Y7" i="2"/>
  <c r="AA7" i="2" s="1"/>
  <c r="V13" i="3"/>
  <c r="W11" i="2"/>
  <c r="U11" i="2"/>
  <c r="W30" i="2"/>
  <c r="S30" i="2"/>
  <c r="U12" i="2"/>
  <c r="W12" i="2"/>
  <c r="T5" i="2"/>
  <c r="X5" i="2" s="1"/>
  <c r="Y11" i="2"/>
  <c r="AA11" i="2" s="1"/>
  <c r="AC23" i="3"/>
  <c r="AB23" i="3"/>
  <c r="AC39" i="3"/>
  <c r="AB39" i="3"/>
  <c r="V43" i="3"/>
  <c r="P8" i="2"/>
  <c r="P9" i="2"/>
  <c r="P11" i="2"/>
  <c r="W40" i="2"/>
  <c r="Y43" i="2"/>
  <c r="AA43" i="2" s="1"/>
  <c r="AA61" i="2"/>
  <c r="Y63" i="2"/>
  <c r="AA63" i="2" s="1"/>
  <c r="AD11" i="3"/>
  <c r="AC11" i="3"/>
  <c r="AD12" i="3"/>
  <c r="AE14" i="3"/>
  <c r="AC14" i="3"/>
  <c r="AB14" i="3"/>
  <c r="AD19" i="3"/>
  <c r="AC19" i="3"/>
  <c r="Q23" i="3"/>
  <c r="Y23" i="3" s="1"/>
  <c r="AG34" i="3"/>
  <c r="V25" i="3"/>
  <c r="P39" i="2"/>
  <c r="X61" i="2"/>
  <c r="S64" i="2"/>
  <c r="Y64" i="2" s="1"/>
  <c r="AA64" i="2" s="1"/>
  <c r="P64" i="2"/>
  <c r="V16" i="3"/>
  <c r="AG21" i="3"/>
  <c r="AE27" i="3"/>
  <c r="AD27" i="3"/>
  <c r="AC27" i="3"/>
  <c r="AB27" i="3"/>
  <c r="V51" i="3"/>
  <c r="S6" i="2"/>
  <c r="Y6" i="2"/>
  <c r="AA6" i="2" s="1"/>
  <c r="P6" i="2"/>
  <c r="S42" i="2"/>
  <c r="Y42" i="2" s="1"/>
  <c r="AA42" i="2" s="1"/>
  <c r="W43" i="2"/>
  <c r="AD29" i="3"/>
  <c r="AC29" i="3"/>
  <c r="Y5" i="2"/>
  <c r="AA5" i="2" s="1"/>
  <c r="U62" i="2"/>
  <c r="V11" i="3"/>
  <c r="AD24" i="3"/>
  <c r="AC24" i="3"/>
  <c r="AB24" i="3"/>
  <c r="V26" i="3"/>
  <c r="V35" i="3"/>
  <c r="W35" i="3" s="1"/>
  <c r="X35" i="3" s="1"/>
  <c r="V67" i="3"/>
  <c r="W63" i="2"/>
  <c r="U63" i="2"/>
  <c r="Y8" i="2"/>
  <c r="AA8" i="2" s="1"/>
  <c r="L20" i="2"/>
  <c r="AA39" i="2"/>
  <c r="V22" i="3"/>
  <c r="U9" i="2"/>
  <c r="X62" i="2"/>
  <c r="AD15" i="3"/>
  <c r="AC15" i="3"/>
  <c r="AB15" i="3"/>
  <c r="V19" i="3"/>
  <c r="AE22" i="3"/>
  <c r="AD22" i="3"/>
  <c r="AC22" i="3"/>
  <c r="AG24" i="3"/>
  <c r="AG29" i="3"/>
  <c r="V31" i="3"/>
  <c r="AE43" i="3"/>
  <c r="AD43" i="3"/>
  <c r="AC43" i="3"/>
  <c r="AB43" i="3"/>
  <c r="V75" i="3"/>
  <c r="AG39" i="3"/>
  <c r="AG17" i="3"/>
  <c r="Q16" i="3"/>
  <c r="Y16" i="3" s="1"/>
  <c r="Q15" i="3"/>
  <c r="Y15" i="3" s="1"/>
  <c r="Y9" i="2"/>
  <c r="AA9" i="2" s="1"/>
  <c r="Y12" i="2"/>
  <c r="AA12" i="2" s="1"/>
  <c r="P12" i="2"/>
  <c r="Y41" i="2"/>
  <c r="AA41" i="2" s="1"/>
  <c r="AA62" i="2"/>
  <c r="V15" i="3"/>
  <c r="AG15" i="3"/>
  <c r="Q17" i="3"/>
  <c r="Y17" i="3" s="1"/>
  <c r="AD20" i="3"/>
  <c r="AB20" i="3"/>
  <c r="Q21" i="3"/>
  <c r="Y21" i="3" s="1"/>
  <c r="AC20" i="3"/>
  <c r="Q25" i="3"/>
  <c r="Y25" i="3" s="1"/>
  <c r="V27" i="3"/>
  <c r="AG28" i="3"/>
  <c r="AC28" i="3"/>
  <c r="AC26" i="3"/>
  <c r="AE26" i="3"/>
  <c r="AD26" i="3"/>
  <c r="V28" i="3"/>
  <c r="AE46" i="3"/>
  <c r="AD46" i="3"/>
  <c r="V47" i="3"/>
  <c r="AB53" i="3"/>
  <c r="Q60" i="3"/>
  <c r="Y60" i="3" s="1"/>
  <c r="AE60" i="3"/>
  <c r="AD60" i="3"/>
  <c r="AC60" i="3"/>
  <c r="AB60" i="3"/>
  <c r="AD71" i="3"/>
  <c r="AC71" i="3"/>
  <c r="AB71" i="3"/>
  <c r="AE78" i="3"/>
  <c r="AD78" i="3"/>
  <c r="AG10" i="3"/>
  <c r="AE13" i="3"/>
  <c r="AD16" i="3"/>
  <c r="AG18" i="3"/>
  <c r="AE21" i="3"/>
  <c r="AD23" i="3"/>
  <c r="Q24" i="3"/>
  <c r="Y24" i="3" s="1"/>
  <c r="AE25" i="3"/>
  <c r="Q28" i="3"/>
  <c r="Y28" i="3" s="1"/>
  <c r="AB29" i="3"/>
  <c r="AC30" i="3"/>
  <c r="Q38" i="3"/>
  <c r="Y38" i="3" s="1"/>
  <c r="AG38" i="3"/>
  <c r="Q37" i="3"/>
  <c r="Y37" i="3" s="1"/>
  <c r="Q39" i="3"/>
  <c r="Y39" i="3" s="1"/>
  <c r="V41" i="3"/>
  <c r="V44" i="3"/>
  <c r="AB46" i="3"/>
  <c r="AD50" i="3"/>
  <c r="AC53" i="3"/>
  <c r="V54" i="3"/>
  <c r="AE62" i="3"/>
  <c r="AD62" i="3"/>
  <c r="V63" i="3"/>
  <c r="Q71" i="3"/>
  <c r="Y71" i="3" s="1"/>
  <c r="V73" i="3"/>
  <c r="AB75" i="3"/>
  <c r="V76" i="3"/>
  <c r="AB78" i="3"/>
  <c r="AB9" i="3"/>
  <c r="Q10" i="3"/>
  <c r="Y10" i="3" s="1"/>
  <c r="AG13" i="3"/>
  <c r="AB17" i="3"/>
  <c r="V23" i="3"/>
  <c r="AE28" i="3"/>
  <c r="AB28" i="3"/>
  <c r="V30" i="3"/>
  <c r="AE30" i="3"/>
  <c r="AG31" i="3"/>
  <c r="AE36" i="3"/>
  <c r="AD36" i="3"/>
  <c r="AC36" i="3"/>
  <c r="AB36" i="3"/>
  <c r="AG37" i="3"/>
  <c r="AD39" i="3"/>
  <c r="Q43" i="3"/>
  <c r="Y43" i="3" s="1"/>
  <c r="AG43" i="3"/>
  <c r="AC46" i="3"/>
  <c r="AE49" i="3"/>
  <c r="AD49" i="3"/>
  <c r="AC49" i="3"/>
  <c r="AC55" i="3"/>
  <c r="AB55" i="3"/>
  <c r="V57" i="3"/>
  <c r="V60" i="3"/>
  <c r="AE65" i="3"/>
  <c r="AD65" i="3"/>
  <c r="AC65" i="3"/>
  <c r="AG66" i="3"/>
  <c r="AG69" i="3"/>
  <c r="AC75" i="3"/>
  <c r="AC78" i="3"/>
  <c r="AE33" i="3"/>
  <c r="AD33" i="3"/>
  <c r="AC33" i="3"/>
  <c r="AE38" i="3"/>
  <c r="AD38" i="3"/>
  <c r="V39" i="3"/>
  <c r="Q46" i="3"/>
  <c r="Y46" i="3" s="1"/>
  <c r="AG46" i="3"/>
  <c r="Q45" i="3"/>
  <c r="Y45" i="3" s="1"/>
  <c r="AB45" i="3"/>
  <c r="Q59" i="3"/>
  <c r="Y59" i="3" s="1"/>
  <c r="AB58" i="3"/>
  <c r="AG59" i="3"/>
  <c r="Q61" i="3"/>
  <c r="Y61" i="3" s="1"/>
  <c r="AE68" i="3"/>
  <c r="AD68" i="3"/>
  <c r="AC68" i="3"/>
  <c r="AB68" i="3"/>
  <c r="AE70" i="3"/>
  <c r="AD70" i="3"/>
  <c r="AD75" i="3"/>
  <c r="AB77" i="3"/>
  <c r="AD9" i="3"/>
  <c r="AG11" i="3"/>
  <c r="AC12" i="3"/>
  <c r="AG22" i="3"/>
  <c r="AG33" i="3"/>
  <c r="Q30" i="3"/>
  <c r="Y30" i="3" s="1"/>
  <c r="AG30" i="3"/>
  <c r="Q32" i="3"/>
  <c r="Y32" i="3" s="1"/>
  <c r="AG32" i="3"/>
  <c r="Q29" i="3"/>
  <c r="Y29" i="3" s="1"/>
  <c r="AD28" i="3"/>
  <c r="Q33" i="3"/>
  <c r="Y33" i="3" s="1"/>
  <c r="AB33" i="3"/>
  <c r="AB35" i="3"/>
  <c r="V36" i="3"/>
  <c r="AB38" i="3"/>
  <c r="AC45" i="3"/>
  <c r="V46" i="3"/>
  <c r="Q52" i="3"/>
  <c r="Y52" i="3" s="1"/>
  <c r="AE52" i="3"/>
  <c r="AD52" i="3"/>
  <c r="AC52" i="3"/>
  <c r="AB52" i="3"/>
  <c r="AG53" i="3"/>
  <c r="Q58" i="3"/>
  <c r="Y58" i="3" s="1"/>
  <c r="AB61" i="3"/>
  <c r="AB70" i="3"/>
  <c r="AG71" i="3"/>
  <c r="AC74" i="3"/>
  <c r="AC77" i="3"/>
  <c r="V78" i="3"/>
  <c r="AG25" i="3"/>
  <c r="AG23" i="3"/>
  <c r="AC35" i="3"/>
  <c r="AC38" i="3"/>
  <c r="AD45" i="3"/>
  <c r="AC47" i="3"/>
  <c r="Q48" i="3"/>
  <c r="Y48" i="3" s="1"/>
  <c r="AB47" i="3"/>
  <c r="AG48" i="3"/>
  <c r="V49" i="3"/>
  <c r="AE54" i="3"/>
  <c r="AD54" i="3"/>
  <c r="V55" i="3"/>
  <c r="AC58" i="3"/>
  <c r="V62" i="3"/>
  <c r="V68" i="3"/>
  <c r="AC70" i="3"/>
  <c r="Q22" i="3"/>
  <c r="Y22" i="3" s="1"/>
  <c r="Q31" i="3"/>
  <c r="Y31" i="3" s="1"/>
  <c r="V33" i="3"/>
  <c r="AD35" i="3"/>
  <c r="AB37" i="3"/>
  <c r="AE41" i="3"/>
  <c r="AD41" i="3"/>
  <c r="AC41" i="3"/>
  <c r="AB51" i="3"/>
  <c r="V52" i="3"/>
  <c r="AD58" i="3"/>
  <c r="AC63" i="3"/>
  <c r="AB63" i="3"/>
  <c r="V65" i="3"/>
  <c r="U65" i="3"/>
  <c r="AB69" i="3"/>
  <c r="AE73" i="3"/>
  <c r="AD73" i="3"/>
  <c r="AC73" i="3"/>
  <c r="Q78" i="3"/>
  <c r="Y78" i="3" s="1"/>
  <c r="AG78" i="3"/>
  <c r="Q77" i="3"/>
  <c r="Y77" i="3" s="1"/>
  <c r="AC34" i="3"/>
  <c r="V38" i="3"/>
  <c r="AE44" i="3"/>
  <c r="AD44" i="3"/>
  <c r="AC44" i="3"/>
  <c r="AB44" i="3"/>
  <c r="AE57" i="3"/>
  <c r="AD57" i="3"/>
  <c r="AC57" i="3"/>
  <c r="AC69" i="3"/>
  <c r="V70" i="3"/>
  <c r="W70" i="3" s="1"/>
  <c r="X70" i="3" s="1"/>
  <c r="AE76" i="3"/>
  <c r="AD76" i="3"/>
  <c r="AC76" i="3"/>
  <c r="AB76" i="3"/>
  <c r="AG40" i="3"/>
  <c r="Q53" i="3"/>
  <c r="Y53" i="3" s="1"/>
  <c r="AG56" i="3"/>
  <c r="AG64" i="3"/>
  <c r="AG35" i="3"/>
  <c r="Q56" i="3"/>
  <c r="Y56" i="3" s="1"/>
  <c r="Q64" i="3"/>
  <c r="Y64" i="3" s="1"/>
  <c r="AG75" i="3"/>
  <c r="T34" i="3"/>
  <c r="AB34" i="3"/>
  <c r="AB42" i="3"/>
  <c r="AG54" i="3"/>
  <c r="AG62" i="3"/>
  <c r="AG70" i="3"/>
  <c r="Q75" i="3"/>
  <c r="Y75" i="3" s="1"/>
  <c r="Q54" i="3"/>
  <c r="Y54" i="3" s="1"/>
  <c r="W76" i="3" l="1"/>
  <c r="X76" i="3" s="1"/>
  <c r="W78" i="3"/>
  <c r="X78" i="3" s="1"/>
  <c r="W77" i="3"/>
  <c r="X77" i="3" s="1"/>
  <c r="W17" i="3"/>
  <c r="X17" i="3" s="1"/>
  <c r="W16" i="3"/>
  <c r="X16" i="3" s="1"/>
  <c r="W15" i="3"/>
  <c r="X15" i="3" s="1"/>
  <c r="W36" i="3"/>
  <c r="X36" i="3" s="1"/>
  <c r="W38" i="3"/>
  <c r="X38" i="3" s="1"/>
  <c r="W39" i="3"/>
  <c r="X39" i="3" s="1"/>
  <c r="W37" i="3"/>
  <c r="X37" i="3" s="1"/>
  <c r="W68" i="3"/>
  <c r="X68" i="3" s="1"/>
  <c r="W67" i="3"/>
  <c r="X67" i="3" s="1"/>
  <c r="W6" i="2"/>
  <c r="U6" i="2"/>
  <c r="W60" i="3"/>
  <c r="X60" i="3" s="1"/>
  <c r="W59" i="3"/>
  <c r="X59" i="3" s="1"/>
  <c r="W61" i="3"/>
  <c r="X61" i="3" s="1"/>
  <c r="W58" i="3"/>
  <c r="X58" i="3" s="1"/>
  <c r="W65" i="3"/>
  <c r="X65" i="3" s="1"/>
  <c r="W66" i="3"/>
  <c r="X66" i="3" s="1"/>
  <c r="W62" i="3"/>
  <c r="X62" i="3" s="1"/>
  <c r="W63" i="3"/>
  <c r="X63" i="3" s="1"/>
  <c r="W64" i="3"/>
  <c r="X64" i="3" s="1"/>
  <c r="W73" i="3"/>
  <c r="X73" i="3" s="1"/>
  <c r="W75" i="3"/>
  <c r="X75" i="3" s="1"/>
  <c r="W74" i="3"/>
  <c r="X74" i="3" s="1"/>
  <c r="W52" i="3"/>
  <c r="X52" i="3" s="1"/>
  <c r="W51" i="3"/>
  <c r="X51" i="3" s="1"/>
  <c r="W53" i="3"/>
  <c r="X53" i="3" s="1"/>
  <c r="U5" i="2"/>
  <c r="W23" i="3"/>
  <c r="X23" i="3" s="1"/>
  <c r="W22" i="3"/>
  <c r="X22" i="3" s="1"/>
  <c r="W25" i="3"/>
  <c r="X25" i="3" s="1"/>
  <c r="W24" i="3"/>
  <c r="X24" i="3" s="1"/>
  <c r="W28" i="3"/>
  <c r="X28" i="3" s="1"/>
  <c r="W33" i="3"/>
  <c r="X33" i="3" s="1"/>
  <c r="W29" i="3"/>
  <c r="X29" i="3" s="1"/>
  <c r="W30" i="3"/>
  <c r="X30" i="3" s="1"/>
  <c r="W27" i="3"/>
  <c r="X27" i="3" s="1"/>
  <c r="W34" i="3"/>
  <c r="X34" i="3" s="1"/>
  <c r="W31" i="3"/>
  <c r="X31" i="3" s="1"/>
  <c r="W26" i="3"/>
  <c r="X26" i="3" s="1"/>
  <c r="W32" i="3"/>
  <c r="X32" i="3" s="1"/>
  <c r="U64" i="2"/>
  <c r="W64" i="2"/>
  <c r="W44" i="3"/>
  <c r="X44" i="3" s="1"/>
  <c r="W43" i="3"/>
  <c r="X43" i="3" s="1"/>
  <c r="W42" i="3"/>
  <c r="X42" i="3" s="1"/>
  <c r="W12" i="3"/>
  <c r="X12" i="3" s="1"/>
  <c r="W11" i="3"/>
  <c r="X11" i="3" s="1"/>
  <c r="W9" i="3"/>
  <c r="X9" i="3" s="1"/>
  <c r="W10" i="3"/>
  <c r="X10" i="3" s="1"/>
  <c r="W20" i="3"/>
  <c r="X20" i="3" s="1"/>
  <c r="W21" i="3"/>
  <c r="X21" i="3" s="1"/>
  <c r="W18" i="3"/>
  <c r="X18" i="3" s="1"/>
  <c r="W19" i="3"/>
  <c r="X19" i="3" s="1"/>
  <c r="W23" i="2"/>
  <c r="S23" i="2"/>
  <c r="Z20" i="2"/>
  <c r="Z23" i="2" s="1"/>
  <c r="W14" i="3"/>
  <c r="X14" i="3" s="1"/>
  <c r="W13" i="3"/>
  <c r="X13" i="3" s="1"/>
  <c r="W46" i="3"/>
  <c r="X46" i="3" s="1"/>
  <c r="W45" i="3"/>
  <c r="X45" i="3" s="1"/>
  <c r="U42" i="2"/>
  <c r="W42" i="2"/>
  <c r="X71" i="3"/>
  <c r="W49" i="3"/>
  <c r="X49" i="3" s="1"/>
  <c r="W50" i="3"/>
  <c r="X50" i="3" s="1"/>
  <c r="W57" i="3"/>
  <c r="X57" i="3" s="1"/>
  <c r="W54" i="3"/>
  <c r="X54" i="3" s="1"/>
  <c r="W56" i="3"/>
  <c r="X56" i="3" s="1"/>
  <c r="W55" i="3"/>
  <c r="X55" i="3" s="1"/>
  <c r="W47" i="3"/>
  <c r="X47" i="3" s="1"/>
  <c r="W48" i="3"/>
  <c r="X48" i="3" s="1"/>
  <c r="W41" i="3"/>
  <c r="X41" i="3" s="1"/>
  <c r="W40" i="3"/>
  <c r="X40"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 kramer</author>
  </authors>
  <commentList>
    <comment ref="J2" authorId="0" shapeId="0" xr:uid="{00000000-0006-0000-0100-000001000000}">
      <text>
        <r>
          <rPr>
            <sz val="11"/>
            <color theme="1"/>
            <rFont val="Calibri"/>
            <family val="2"/>
            <scheme val="minor"/>
          </rPr>
          <t xml:space="preserve">paul kramer:
Eneter strike difference for spreads or just strike for Calls/Puts
</t>
        </r>
      </text>
    </comment>
    <comment ref="K2" authorId="0" shapeId="0" xr:uid="{00000000-0006-0000-0100-000002000000}">
      <text>
        <r>
          <rPr>
            <sz val="11"/>
            <color theme="1"/>
            <rFont val="Calibri"/>
            <family val="2"/>
            <scheme val="minor"/>
          </rPr>
          <t>paul kramer:
# of Contracts</t>
        </r>
      </text>
    </comment>
    <comment ref="M2" authorId="0" shapeId="0" xr:uid="{00000000-0006-0000-0100-000003000000}">
      <text>
        <r>
          <rPr>
            <sz val="11"/>
            <color theme="1"/>
            <rFont val="Calibri"/>
            <family val="2"/>
            <scheme val="minor"/>
          </rPr>
          <t>paul kramer:
Eneter Preimum differecne for spreads or just premium for calls/puts</t>
        </r>
      </text>
    </comment>
    <comment ref="N2" authorId="0" shapeId="0" xr:uid="{00000000-0006-0000-0100-000004000000}">
      <text>
        <r>
          <rPr>
            <sz val="11"/>
            <color theme="1"/>
            <rFont val="Calibri"/>
            <family val="2"/>
            <scheme val="minor"/>
          </rPr>
          <t xml:space="preserve">paul kramer:Modified to take into acount -.65 com x # of contracts
</t>
        </r>
      </text>
    </comment>
    <comment ref="Q2" authorId="0" shapeId="0" xr:uid="{00000000-0006-0000-0100-000005000000}">
      <text>
        <r>
          <rPr>
            <sz val="11"/>
            <color theme="1"/>
            <rFont val="Calibri"/>
            <family val="2"/>
            <scheme val="minor"/>
          </rPr>
          <t xml:space="preserve">Enter the premium it costs to close the trade
</t>
        </r>
      </text>
    </comment>
  </commentList>
</comments>
</file>

<file path=xl/sharedStrings.xml><?xml version="1.0" encoding="utf-8"?>
<sst xmlns="http://schemas.openxmlformats.org/spreadsheetml/2006/main" count="1130" uniqueCount="316">
  <si>
    <t>There are four sheets besides this README sheet.  The following is a brief summary.</t>
  </si>
  <si>
    <t xml:space="preserve">DATA - </t>
  </si>
  <si>
    <t xml:space="preserve">This sheet is where all trades are entered. Each trade is identified by Stock Symbol, Trade number, and Leg number.  When adding a </t>
  </si>
  <si>
    <t xml:space="preserve"> </t>
  </si>
  <si>
    <t xml:space="preserve">new trade, a unique trade number must be assigned.  I start with 1 and increment for each new trade.  New trades can be added </t>
  </si>
  <si>
    <t>anywhere on the sheet but if added at the beginning, then it is easy to keep track of the last used trade number. If multiple trades</t>
  </si>
  <si>
    <t>are made for the same stock symbol that are to be grouped together as a single campaign, then Leg number is used to distinguish</t>
  </si>
  <si>
    <t xml:space="preserve">between the trades.  When adding a new trade to an existing campaign, insert a new line ahead of the top line for that campaign, </t>
  </si>
  <si>
    <t>fill in the stock symbol, use the same trade number, and set a new leg number.  See details for this sheet below.</t>
  </si>
  <si>
    <t xml:space="preserve">OPEN POSITIONS - </t>
  </si>
  <si>
    <t>This sheet will show all open positions.  It is sorted by expiration date to make it easy to see which ones might need attention first.</t>
  </si>
  <si>
    <t>Trade number is the primary identifier for each open position, but stock symbol and leg number are also shown.  Total capital required</t>
  </si>
  <si>
    <t>for the open positions is provided so you can determine if you have capital for opening a new position. The trade number can be used</t>
  </si>
  <si>
    <t>to find an open transaction on the DATA sheet.  It can also be input on the CAMPAIGN sheet to display more information relating to</t>
  </si>
  <si>
    <t xml:space="preserve">the overall campaign such as annualized return and break even value.  </t>
  </si>
  <si>
    <t>CAMPAIGN -</t>
  </si>
  <si>
    <t xml:space="preserve">Will show all trades corresponding to a specified Trade number and summarize annualized return, stock break even value, and total </t>
  </si>
  <si>
    <t>capital required for the trade.</t>
  </si>
  <si>
    <t>PERFORMANCE -</t>
  </si>
  <si>
    <t>Shows premiums booked for Year To Date (YTD), prior twelve months (1YR), and since  inception.  Total premiums not yet booked</t>
  </si>
  <si>
    <t xml:space="preserve">are also shown.  Premiums collected (both booked and not booked) are shown by year and month. </t>
  </si>
  <si>
    <t>DATA sheet details - The first 12 columns are for input:</t>
  </si>
  <si>
    <t>SYM</t>
  </si>
  <si>
    <t>Stock symbol</t>
  </si>
  <si>
    <t>Trade#</t>
  </si>
  <si>
    <t>Unique identifier for each separate campaign.</t>
  </si>
  <si>
    <t>Leg</t>
  </si>
  <si>
    <t>Identifies each separate leg of a campaign.  This isn't required but it helps with the display on the CAMPAIGN sheet.</t>
  </si>
  <si>
    <t>TransType</t>
  </si>
  <si>
    <t>Identifies the type of trade.  The sheet currently supports the following:</t>
  </si>
  <si>
    <t>SP</t>
  </si>
  <si>
    <t>Short PUT</t>
  </si>
  <si>
    <t>BP</t>
  </si>
  <si>
    <t>Bull PUT Spread</t>
  </si>
  <si>
    <t>BC</t>
  </si>
  <si>
    <t>Bear CALL Spread</t>
  </si>
  <si>
    <t>LC</t>
  </si>
  <si>
    <t>Long CALL</t>
  </si>
  <si>
    <t>DIV</t>
  </si>
  <si>
    <t>Dividends</t>
  </si>
  <si>
    <t>CC</t>
  </si>
  <si>
    <t>Covered CALL</t>
  </si>
  <si>
    <t>LS</t>
  </si>
  <si>
    <t>Long Stock</t>
  </si>
  <si>
    <t>AS</t>
  </si>
  <si>
    <t>Assigned Stock (Put Exercised)</t>
  </si>
  <si>
    <t>OpenDate</t>
  </si>
  <si>
    <t>Date when position opened.</t>
  </si>
  <si>
    <t>CloseDate</t>
  </si>
  <si>
    <t>Date position is closed. If position expires worthless, CloseDate must be set to expiration date.</t>
  </si>
  <si>
    <t>ExpDate</t>
  </si>
  <si>
    <t>Option expiration date. Leave blank for LS, AS, and DIV.</t>
  </si>
  <si>
    <t>Strike</t>
  </si>
  <si>
    <t>This is the option's strike. For a bull put or bear call spread this will be the strike of the short position.</t>
  </si>
  <si>
    <t>Strike2</t>
  </si>
  <si>
    <t>The strike for the long position in a bull put or bear call spread.</t>
  </si>
  <si>
    <t>#Contracts</t>
  </si>
  <si>
    <t>Number of contracts for options. For long stock (LS), the number of shares.</t>
  </si>
  <si>
    <t>OpnPrem</t>
  </si>
  <si>
    <t>Premium received less commissions and fees. If an earlier position was rolled, the cost of closing that position</t>
  </si>
  <si>
    <t xml:space="preserve">is deducted from the premiums recieved for the new position. If an option was bought to close the position, </t>
  </si>
  <si>
    <t>the premiums paid along with commissions may be deducted here or entered in the next column.</t>
  </si>
  <si>
    <t>For long stock (LS) only enter the fees paid as a negative number.</t>
  </si>
  <si>
    <t>ClsPrem</t>
  </si>
  <si>
    <t>This was added more recently so that premiums paid to close a position can be entered separately.</t>
  </si>
  <si>
    <t>For long stock (LS) enter the sale proceeds, minus purchase price and fees paid for the sale.</t>
  </si>
  <si>
    <t>NOTE:</t>
  </si>
  <si>
    <t>For DIV, set OpenDate and CloseDate to date the dividend is received.  Set OpnPrem to the amount of dividends received.</t>
  </si>
  <si>
    <t>All other input fields are left blank.</t>
  </si>
  <si>
    <t xml:space="preserve">The remaining columns are automatically computed.  There is no way to protect against typing into these fields so you just need to </t>
  </si>
  <si>
    <t>make sure you don't.  The following brief descriptions apply:</t>
  </si>
  <si>
    <t>NetPrem</t>
  </si>
  <si>
    <t>Net premiums received for this leg.</t>
  </si>
  <si>
    <t>TotPrem</t>
  </si>
  <si>
    <t>Total premiums for all legs of a campaign.  This isn't needed here but I like to see it.</t>
  </si>
  <si>
    <t>Days</t>
  </si>
  <si>
    <t>Number of days a position was open.  If the position is currently open, then this will be number of days from open to expiration.</t>
  </si>
  <si>
    <t>Cap</t>
  </si>
  <si>
    <t>Capital requirement for the leg.</t>
  </si>
  <si>
    <t>OpenCap</t>
  </si>
  <si>
    <t>Capital required if the position is still open.</t>
  </si>
  <si>
    <t>Becap</t>
  </si>
  <si>
    <t>This is capital required that is used in computing the break even value. Uusally this is the same as OpenCap but there are cases where it is different.</t>
  </si>
  <si>
    <t>CapDays</t>
  </si>
  <si>
    <t>This is capital required for leg (Cap) times the number of days open (Days).</t>
  </si>
  <si>
    <t>TotCapDays</t>
  </si>
  <si>
    <t>The sum of CapDays for all legs in a campaign.</t>
  </si>
  <si>
    <t>AROI</t>
  </si>
  <si>
    <t>Annualized return on investment.  I should probably remove this because it isn't always correct. For the correct value, see the CAMPAIGN sheet.</t>
  </si>
  <si>
    <t>BreakEven</t>
  </si>
  <si>
    <t>The break even stock value. As with AROI, this isn't always correct.  See the CAMPAIGN sheet for the correct value.</t>
  </si>
  <si>
    <t>ActShares</t>
  </si>
  <si>
    <t>This is basically the number of shares held or controlled and is used in computing the break even value on the CAMPAIGN sheet.</t>
  </si>
  <si>
    <t>ActDate</t>
  </si>
  <si>
    <t>If the position is closed, this is the closed date.  For an open position of type LS or AS it will be the current date.  Otherwise it is the expiration date.</t>
  </si>
  <si>
    <t>Inception</t>
  </si>
  <si>
    <t>All premiums booked since inception.</t>
  </si>
  <si>
    <t>1YR</t>
  </si>
  <si>
    <t>All premiums booked within the last 12 months.</t>
  </si>
  <si>
    <t>YTD</t>
  </si>
  <si>
    <t>All premiums booked in the current year.</t>
  </si>
  <si>
    <t>Unbooked</t>
  </si>
  <si>
    <t xml:space="preserve">Premiums that have not been booked. </t>
  </si>
  <si>
    <t>OPEN POSITIONS sheet details</t>
  </si>
  <si>
    <t xml:space="preserve">This will display all open positions.  If changes have been made on the DATA sheet, then this pivot table must be refreshed. Right click on </t>
  </si>
  <si>
    <t>any cell in the table and select "Refresh" from the menu. Columns are as described for the DATA sheet.</t>
  </si>
  <si>
    <t>CAMPAIGN sheet details</t>
  </si>
  <si>
    <t xml:space="preserve">Trade# is an input field. Enter the trade number corresponding to the campaign you want displayed in the yellow cell.  If changes have </t>
  </si>
  <si>
    <t xml:space="preserve">been made on the DATA sheet, then this pivot table must be refreshed. Right click on any cell in the table and select "Refresh" from the </t>
  </si>
  <si>
    <t>menu. Columns are as described for the DATA sheet.  The green area indicates the annualized ROI, break even value, and required capital.</t>
  </si>
  <si>
    <t>PERFORMANCE sheet details</t>
  </si>
  <si>
    <t xml:space="preserve">Provides totals for premiums collected as of current date.  You can enter another date in the yellow box (mm/dd/yy) to obtain the values </t>
  </si>
  <si>
    <t xml:space="preserve">as of that date. Clear the selected date to go back to using the current date. NOTE - if an alternate date is selected or cleared, you MUST </t>
  </si>
  <si>
    <t>refresh the pivot tables.  Right click on any cell in one of the two tables and select "Refresh" from the menu.</t>
  </si>
  <si>
    <t xml:space="preserve">Expected </t>
  </si>
  <si>
    <t xml:space="preserve">Actual </t>
  </si>
  <si>
    <t>Expected</t>
  </si>
  <si>
    <t>Actual</t>
  </si>
  <si>
    <t>% of Max Profit</t>
  </si>
  <si>
    <t xml:space="preserve">% of Time </t>
  </si>
  <si>
    <t>(Cost to Close)</t>
  </si>
  <si>
    <t>SYMBOL</t>
  </si>
  <si>
    <t>Transaction</t>
  </si>
  <si>
    <t>Initial Date</t>
  </si>
  <si>
    <t>End Date</t>
  </si>
  <si>
    <t>MARKET</t>
  </si>
  <si>
    <t>S</t>
  </si>
  <si>
    <t>C</t>
  </si>
  <si>
    <t>P</t>
  </si>
  <si>
    <t>P Total</t>
  </si>
  <si>
    <t xml:space="preserve"> Hold</t>
  </si>
  <si>
    <t>Annuallized</t>
  </si>
  <si>
    <t>Close</t>
  </si>
  <si>
    <t xml:space="preserve">Cost To Close </t>
  </si>
  <si>
    <t>Net P</t>
  </si>
  <si>
    <t>Hold</t>
  </si>
  <si>
    <t xml:space="preserve"> Annuallized</t>
  </si>
  <si>
    <t>Actual/Expected</t>
  </si>
  <si>
    <t xml:space="preserve">Remaining Profit </t>
  </si>
  <si>
    <t>Remaining Days</t>
  </si>
  <si>
    <t>Remaining ROI</t>
  </si>
  <si>
    <t>JD</t>
  </si>
  <si>
    <t>SFIX</t>
  </si>
  <si>
    <t>2 SFIX</t>
  </si>
  <si>
    <t>SBGI</t>
  </si>
  <si>
    <t>VIAC</t>
  </si>
  <si>
    <t>BIG</t>
  </si>
  <si>
    <t xml:space="preserve">4 APA 16 APRIL PUT 17  SOLD TO OPEN for.57 </t>
  </si>
  <si>
    <t>GE</t>
  </si>
  <si>
    <t xml:space="preserve">3 GE APRIL 30 13 PUT SOLD TO OPEN  </t>
  </si>
  <si>
    <t>AAL</t>
  </si>
  <si>
    <t xml:space="preserve"> 10 AAL MAY 07 22 PUT SOLD TO OPEN  </t>
  </si>
  <si>
    <t>CCL</t>
  </si>
  <si>
    <t xml:space="preserve">10 CCL MAY 07 25 PUT SOLD TO OPEN  </t>
  </si>
  <si>
    <t xml:space="preserve">Assests </t>
  </si>
  <si>
    <t>Assest (un Lev)</t>
  </si>
  <si>
    <t>No Spreads Actual Lev</t>
  </si>
  <si>
    <t>Actual Lev</t>
  </si>
  <si>
    <t>Potential Premium</t>
  </si>
  <si>
    <t>Cash</t>
  </si>
  <si>
    <t>Long Stock+Cash</t>
  </si>
  <si>
    <t>(Long Stock+Cash) - Actual Lev</t>
  </si>
  <si>
    <t>Actual Lev % of Cash</t>
  </si>
  <si>
    <t>Actual Lev % of Total Assest</t>
  </si>
  <si>
    <t>Buying Power % of Un Leveraged Assest</t>
  </si>
  <si>
    <t>No Spread</t>
  </si>
  <si>
    <t>Potential Adds</t>
  </si>
  <si>
    <t>Price Target</t>
  </si>
  <si>
    <t>earnings date</t>
  </si>
  <si>
    <t>ex div date</t>
  </si>
  <si>
    <t>RSI</t>
  </si>
  <si>
    <t>MACD</t>
  </si>
  <si>
    <t>dbx</t>
  </si>
  <si>
    <t>8/5 unconf</t>
  </si>
  <si>
    <t>no div</t>
  </si>
  <si>
    <t>2 bars rising</t>
  </si>
  <si>
    <t>PCAR</t>
  </si>
  <si>
    <t>SNAP</t>
  </si>
  <si>
    <t>175 or 200</t>
  </si>
  <si>
    <t>7/20/21 unconf</t>
  </si>
  <si>
    <t>1 bar rising</t>
  </si>
  <si>
    <t>WU</t>
  </si>
  <si>
    <t>8/3 unconf</t>
  </si>
  <si>
    <t>no rising bars</t>
  </si>
  <si>
    <t>TGI</t>
  </si>
  <si>
    <t>3 bars rising</t>
  </si>
  <si>
    <t>% of Time</t>
  </si>
  <si>
    <t>sfIX</t>
  </si>
  <si>
    <t>90 or 106</t>
  </si>
  <si>
    <t>After paste in values from"data to transfer", do a find  / replace with blank on three date columns</t>
  </si>
  <si>
    <t>INPUT</t>
  </si>
  <si>
    <t>CALCULATED</t>
  </si>
  <si>
    <t>Symbol</t>
  </si>
  <si>
    <t>Current value</t>
  </si>
  <si>
    <t>ask</t>
  </si>
  <si>
    <t>BEcap</t>
  </si>
  <si>
    <t>UnBooked</t>
  </si>
  <si>
    <t>Sold 2 JD Apr 16 2021 80.0 Put @ 1.54</t>
  </si>
  <si>
    <t>Bought 2 JD Apr 16 2021 65.0 Put @ 0.37</t>
  </si>
  <si>
    <t>Bought 2 JD Apr 16 2021 80.0 Put @ 2.89</t>
  </si>
  <si>
    <t>Sold 2 JD May 21 2021 77.5 Put @ 3.68</t>
  </si>
  <si>
    <t>Sold 2 WPM Apr 16 2021 36.0 Put @ 0.56</t>
  </si>
  <si>
    <t>WPM</t>
  </si>
  <si>
    <t>Bought 2 WPM Apr 16 2021 36.0 Put @ 0.09</t>
  </si>
  <si>
    <t>Sold 2 CCL Apr 16 2021 24.0 Put @ 0.84</t>
  </si>
  <si>
    <t>Sold 10 CCL Apr 16 2021 24.0 Put @ 0.57</t>
  </si>
  <si>
    <t>Bought 12 CCL Apr 16 2021 24.0 Put @ 0.35</t>
  </si>
  <si>
    <t>Sold 2 VIAC Apr 9 2021 42.0 Put @ 0.49</t>
  </si>
  <si>
    <t>Bought 2 VIAC Apr 9 2021 42.0 Put @ 0.9</t>
  </si>
  <si>
    <t>Bought 2 VIAC Apr 23 2021 40.0 Put @ 0.14</t>
  </si>
  <si>
    <t>Sold 2 VIAC Apr 23 2021 40.0 Put @ 1.21</t>
  </si>
  <si>
    <t>Sold 4 APA Apr 16 2021 18.0 Put @ 0.73</t>
  </si>
  <si>
    <t>APA</t>
  </si>
  <si>
    <t>Bought 4 APA Apr 16 2021 18.0 Put @ 0.92</t>
  </si>
  <si>
    <t>Sold 4 APA Apr 23 2021 17.0 Put @ 0.57</t>
  </si>
  <si>
    <t>Bought 4 APA Apr 23 2021 17.0 Put @ 0.07</t>
  </si>
  <si>
    <t>Sold 2 SFIX Apr 16 2021 45.0 Put @ 1.13</t>
  </si>
  <si>
    <t>Bought 2 SFIX Apr 16 2021 45.0 Put @ 0.49</t>
  </si>
  <si>
    <t>Sold 2 SFIX Apr 30 2021 45.0 Put @ 1.93</t>
  </si>
  <si>
    <t>Bought 2 SFIX Apr 30 2021 45.0 Put @ 1.14</t>
  </si>
  <si>
    <t>Sold 2 SFIX May 21 2021 44.5 Put @ 2.78</t>
  </si>
  <si>
    <t>Bought 1 SFIX May 21 2021 44.5 Put @ 3.47</t>
  </si>
  <si>
    <t>Sold 1 SFIX Jun 11 2021 42.0 Put @ 4.87</t>
  </si>
  <si>
    <t>Bought 1 SFIX May 21 2021 44.5 Put @ 4.4</t>
  </si>
  <si>
    <t>Sold 1 SFIX Jun 11 2021 42.0 Put @ 4.66</t>
  </si>
  <si>
    <t>Sold 10 SBGI Apr 16 2021 28.0 Put @ 0.37</t>
  </si>
  <si>
    <t>Sold 10 AAL May 7 2021 22.0 Put @ 0.86</t>
  </si>
  <si>
    <t>Bought 10 AAL May 7 2021 22.0 Put @ 0.61</t>
  </si>
  <si>
    <t>Sold 10 AAL May 28 2021 21.5 Put @ 0.98</t>
  </si>
  <si>
    <t>Bought 10 AAL May 28 2021 21.5 Put @ 0.74</t>
  </si>
  <si>
    <t>Sold 10 CCL May 7 2021 25.0 Put @ 0.44</t>
  </si>
  <si>
    <t>Bought 10 CCL May 07 2021 25.0 Put @ 0.04</t>
  </si>
  <si>
    <t>Sold 3 GE Apr 30 2021 13.0 Put @ 0.35</t>
  </si>
  <si>
    <t>Bought 2 GE Apr 30 2021 13.0 Put @ 0.09</t>
  </si>
  <si>
    <t>Bought 1 GE Apr 30 2021 13.0 Put @ 0.09</t>
  </si>
  <si>
    <t>Sold 4 CPB May 21 2021 48.0 Put @ 0.6</t>
  </si>
  <si>
    <t>CPB</t>
  </si>
  <si>
    <t>Bought 4 CPB May 21 2021 48.0 Put @ 0.15</t>
  </si>
  <si>
    <t>Sold 3 GBX May 21 2021 40.0 Put @ 0.8</t>
  </si>
  <si>
    <t>GBX</t>
  </si>
  <si>
    <t>Bought 3 GBX May 21 2021 40.0 Put @ 0.22</t>
  </si>
  <si>
    <t>Sold 10 CCL May 21 2021 24.5 Put @ 0.37</t>
  </si>
  <si>
    <t>Bought 10 CCL May 21 2021 24.5 Put @ 0.09</t>
  </si>
  <si>
    <t>Sold 3 BIG May 21 2021 62.5 Put @ 1.29</t>
  </si>
  <si>
    <t>Bought 2 BIG May 21 2021 62.5 Put @ 0.32</t>
  </si>
  <si>
    <t>Bought 1 BIG May 21 2021 62.5 Put @ 0.32</t>
  </si>
  <si>
    <t>Sold 6 BBBY May 14 2021 23.5 Put @ 0.52</t>
  </si>
  <si>
    <t>BBBY</t>
  </si>
  <si>
    <t>Bought 6 BBBY May 14 2021 23.5 Put @ 0.68</t>
  </si>
  <si>
    <t>Sold 6 BBBY May 21 2021 23.0 Put @ 0.94</t>
  </si>
  <si>
    <t>Bought 6 BBBY May 21 2021 23.0 Put @ 0.19</t>
  </si>
  <si>
    <t>Sold 4 UAL May 14 2021 51.0 Put @ 0.83</t>
  </si>
  <si>
    <t>UAL</t>
  </si>
  <si>
    <t>Bought 4 UAL May 14 2021 51.0 Put @ 0.37</t>
  </si>
  <si>
    <t>Sold 4 UAL May 21 2021 50.0 Put @ 0.85</t>
  </si>
  <si>
    <t>Bought 4 UAL May 21 2021 50.0 Put @ 0.15</t>
  </si>
  <si>
    <t>Sold 2 SFIX May 07 2021 45.0 Put @ 0.97</t>
  </si>
  <si>
    <t>Bought 2 SFIX May 07 2021 45.0 Put @ 6.2</t>
  </si>
  <si>
    <t>Sold 2 SFIX Jun 11 2021 43.0 Put @ 6.5</t>
  </si>
  <si>
    <t>Sold 2 EAT May 21 2021 65.0 Put @ 1</t>
  </si>
  <si>
    <t>EAT</t>
  </si>
  <si>
    <t>Sold 2 EAT May 21 2021 65.0 Put @ 2.3</t>
  </si>
  <si>
    <t>Sold 2 PCAR Jun 18 2021 90.0 Put @ 2.5</t>
  </si>
  <si>
    <t>Bought 2 PCAR Jun 18 2021 90.0 Put @ 0.86</t>
  </si>
  <si>
    <t>Sold 10 AAL Jun 4 2021 21.0 Put @ 0.56</t>
  </si>
  <si>
    <t>Sold 2 SNAP May 28 2021 50.0 Put @ 1.53</t>
  </si>
  <si>
    <t>Sold 4 DBX Jun 04 2021 24.5 Put @ 0.67</t>
  </si>
  <si>
    <t>DBX</t>
  </si>
  <si>
    <t>Sold 2 AMD Jun 18 2021 70.0 Put @ 1.39</t>
  </si>
  <si>
    <t>AMD</t>
  </si>
  <si>
    <t>Sold 1 NRG Jun 18 2021 33.0 Put @ 0.94</t>
  </si>
  <si>
    <t>NRG</t>
  </si>
  <si>
    <t>Sold 2 NRG Jun 18 2021 33.0 Put @ 0.94</t>
  </si>
  <si>
    <t>Bought 3 NRG Jun 18 2021 33.0 Put @ 5</t>
  </si>
  <si>
    <t>Sold 2 IRBT Jun 11 2021 91.0 Put @ 2.65</t>
  </si>
  <si>
    <t>IRBT</t>
  </si>
  <si>
    <t>Sold 5 IRBT Jun 11 2021 91.0 Put @ 2.65</t>
  </si>
  <si>
    <t>Bought 7 IRBT Jun 11 2021 91.0 Put @ 3.0</t>
  </si>
  <si>
    <t>This pivot table displays the open campaigns (positions).  If "CloseDate" is changed, it must be set back to "(blank)" to show the open positions.</t>
  </si>
  <si>
    <t>If changes have been made to the DATA sheet, then this pivot table must be refreshed. To refresh, right click on any cell in the pivot table and select "Refresh" from the menu.</t>
  </si>
  <si>
    <t>Highlighted means ITM</t>
  </si>
  <si>
    <t>(blank)</t>
  </si>
  <si>
    <t>Req uired Cap</t>
  </si>
  <si>
    <t>#N/A</t>
  </si>
  <si>
    <t>Grand Total</t>
  </si>
  <si>
    <t>Enter the desired trade number in the yellow box. If changes have been made to the DATA sheet, then this pivot must be refreshed.</t>
  </si>
  <si>
    <t>To refresh, right click on any cell in the pivot table and select "Refresh" from the menu.</t>
  </si>
  <si>
    <t>Annualized ROI =</t>
  </si>
  <si>
    <t>From beginning</t>
  </si>
  <si>
    <t>Break Even =</t>
  </si>
  <si>
    <t>net prem</t>
  </si>
  <si>
    <t>capdays</t>
  </si>
  <si>
    <t>Required Capital =</t>
  </si>
  <si>
    <t xml:space="preserve"> NetPrem</t>
  </si>
  <si>
    <t xml:space="preserve"> CapDays</t>
  </si>
  <si>
    <t xml:space="preserve"> OpenCap</t>
  </si>
  <si>
    <t xml:space="preserve"> BEcap</t>
  </si>
  <si>
    <t xml:space="preserve"> Shares</t>
  </si>
  <si>
    <t>`</t>
  </si>
  <si>
    <t xml:space="preserve">  </t>
  </si>
  <si>
    <t>NOTE - YTD, 1YR, Inception, and Not Booked values are based on the date selected.  If the yellow box is blank, the current date is used. If a date is</t>
  </si>
  <si>
    <t>entered in the yellow box, that date will be used.</t>
  </si>
  <si>
    <t>If a change is made in the yellow box, a new date is entered or the date is cleared, then the pivot tables MUST be refreshed. Right click on any cell</t>
  </si>
  <si>
    <t>in either pivot table and select "Refresh" from the menu.</t>
  </si>
  <si>
    <t>TODAY'S DATE</t>
  </si>
  <si>
    <t>PERFORMANCE DATE</t>
  </si>
  <si>
    <t>(mm/dd/yy)</t>
  </si>
  <si>
    <t xml:space="preserve"> YTD</t>
  </si>
  <si>
    <t xml:space="preserve"> 1YR</t>
  </si>
  <si>
    <t xml:space="preserve"> Inception</t>
  </si>
  <si>
    <t>Not
Booked</t>
  </si>
  <si>
    <t>Mar</t>
  </si>
  <si>
    <t>Apr</t>
  </si>
  <si>
    <t>May</t>
  </si>
  <si>
    <t>Jun</t>
  </si>
  <si>
    <t>Sum of NetPrem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</si>
</sst>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m/dd/yy;@"/>
    <numFmt numFmtId="165" formatCode="#,##0.0"/>
    <numFmt numFmtId="166" formatCode="0.0%"/>
    <numFmt numFmtId="167" formatCode="0.0"/>
    <numFmt numFmtId="168" formatCode="&quot;$&quot;#,##0.00"/>
    <numFmt numFmtId="169" formatCode="mm/dd/yyyy"/>
    <numFmt numFmtId="170" formatCode="&quot;$&quot;#,##0.00_-"/>
  </numFmts>
  <fonts count="5" x14ac:knownFonts="1">
    <font>
      <sz val="11"/>
      <color theme="1"/>
      <name val="Calibri"/>
      <family val="2"/>
      <scheme val="minor"/>
    </font>
    <font>
      <b/>
      <sz val="11"/>
      <color rgb="FFFF0000"/>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00"/>
      </patternFill>
    </fill>
  </fills>
  <borders count="1">
    <border>
      <left/>
      <right/>
      <top/>
      <bottom/>
      <diagonal/>
    </border>
  </borders>
  <cellStyleXfs count="2">
    <xf numFmtId="0" fontId="0" fillId="0" borderId="0"/>
    <xf numFmtId="9" fontId="2" fillId="0" borderId="0"/>
  </cellStyleXfs>
  <cellXfs count="68">
    <xf numFmtId="0" fontId="0" fillId="0" borderId="0" xfId="0"/>
    <xf numFmtId="10" fontId="0" fillId="0" borderId="0" xfId="0" applyNumberFormat="1"/>
    <xf numFmtId="14" fontId="0" fillId="0" borderId="0" xfId="0" applyNumberFormat="1"/>
    <xf numFmtId="14" fontId="0" fillId="0" borderId="0" xfId="0" pivotButton="1" applyNumberFormat="1"/>
    <xf numFmtId="4" fontId="0" fillId="0" borderId="0" xfId="0" applyNumberFormat="1"/>
    <xf numFmtId="0" fontId="0" fillId="2" borderId="0" xfId="0" applyFill="1" applyAlignment="1">
      <alignment horizontal="left"/>
    </xf>
    <xf numFmtId="0" fontId="0" fillId="3" borderId="0" xfId="0" applyFill="1"/>
    <xf numFmtId="10" fontId="0" fillId="3" borderId="0" xfId="0" applyNumberFormat="1" applyFill="1"/>
    <xf numFmtId="0" fontId="0" fillId="0" borderId="0" xfId="0" applyAlignment="1">
      <alignment wrapText="1"/>
    </xf>
    <xf numFmtId="2" fontId="0" fillId="0" borderId="0" xfId="0" applyNumberFormat="1" applyAlignment="1">
      <alignment wrapText="1"/>
    </xf>
    <xf numFmtId="2" fontId="0" fillId="0" borderId="0" xfId="0" applyNumberFormat="1"/>
    <xf numFmtId="1" fontId="0" fillId="0" borderId="0" xfId="0" applyNumberFormat="1"/>
    <xf numFmtId="0" fontId="0" fillId="0" borderId="0" xfId="0" applyAlignment="1">
      <alignment horizontal="center"/>
    </xf>
    <xf numFmtId="0" fontId="3" fillId="0" borderId="0" xfId="0" applyFont="1"/>
    <xf numFmtId="0" fontId="0" fillId="0" borderId="0" xfId="0" applyAlignment="1">
      <alignment horizontal="left"/>
    </xf>
    <xf numFmtId="14" fontId="0" fillId="0" borderId="0" xfId="0" applyNumberFormat="1" applyProtection="1">
      <protection locked="0"/>
    </xf>
    <xf numFmtId="3" fontId="0" fillId="5" borderId="0" xfId="0" applyNumberFormat="1" applyFill="1" applyAlignment="1">
      <alignment horizontal="center"/>
    </xf>
    <xf numFmtId="0" fontId="0" fillId="0" borderId="0" xfId="0" applyAlignment="1">
      <alignment horizontal="center" wrapText="1"/>
    </xf>
    <xf numFmtId="0" fontId="0" fillId="2" borderId="0" xfId="0" applyFill="1"/>
    <xf numFmtId="3" fontId="0" fillId="0" borderId="0" xfId="0" applyNumberFormat="1" applyAlignment="1">
      <alignment horizontal="center"/>
    </xf>
    <xf numFmtId="3" fontId="0" fillId="2" borderId="0" xfId="0" applyNumberFormat="1" applyFill="1" applyAlignment="1">
      <alignment horizontal="center"/>
    </xf>
    <xf numFmtId="3" fontId="3" fillId="0" borderId="0" xfId="0" applyNumberFormat="1" applyFont="1" applyAlignment="1">
      <alignment horizontal="center"/>
    </xf>
    <xf numFmtId="9" fontId="0" fillId="0" borderId="0" xfId="1" applyFont="1" applyAlignment="1">
      <alignment horizontal="center"/>
    </xf>
    <xf numFmtId="0" fontId="4" fillId="0" borderId="0" xfId="0" applyFont="1" applyAlignment="1">
      <alignment horizontal="center"/>
    </xf>
    <xf numFmtId="0" fontId="4" fillId="0" borderId="0" xfId="0" applyFont="1"/>
    <xf numFmtId="3" fontId="4" fillId="0" borderId="0" xfId="0" applyNumberFormat="1" applyFont="1"/>
    <xf numFmtId="10" fontId="4" fillId="0" borderId="0" xfId="0" applyNumberFormat="1" applyFont="1" applyAlignment="1">
      <alignment horizontal="center"/>
    </xf>
    <xf numFmtId="3" fontId="0" fillId="0" borderId="0" xfId="0" applyNumberFormat="1" applyAlignment="1">
      <alignment horizontal="center" wrapText="1"/>
    </xf>
    <xf numFmtId="2" fontId="0" fillId="2" borderId="0" xfId="0" applyNumberFormat="1" applyFill="1" applyProtection="1">
      <protection locked="0"/>
    </xf>
    <xf numFmtId="0" fontId="0" fillId="0" borderId="0" xfId="0" pivotButton="1"/>
    <xf numFmtId="4" fontId="0" fillId="0" borderId="0" xfId="0" pivotButton="1" applyNumberFormat="1"/>
    <xf numFmtId="2" fontId="0" fillId="0" borderId="0" xfId="0" pivotButton="1" applyNumberFormat="1"/>
    <xf numFmtId="10" fontId="0" fillId="0" borderId="0" xfId="0" pivotButton="1" applyNumberFormat="1"/>
    <xf numFmtId="164" fontId="0" fillId="0" borderId="0" xfId="0" applyNumberFormat="1" applyAlignment="1">
      <alignment horizontal="center"/>
    </xf>
    <xf numFmtId="164" fontId="3" fillId="0" borderId="0" xfId="0" applyNumberFormat="1" applyFont="1" applyAlignment="1">
      <alignment horizontal="center"/>
    </xf>
    <xf numFmtId="164" fontId="1" fillId="0" borderId="0" xfId="0" applyNumberFormat="1" applyFont="1"/>
    <xf numFmtId="164" fontId="0" fillId="0" borderId="0" xfId="0" applyNumberFormat="1"/>
    <xf numFmtId="164" fontId="0" fillId="2" borderId="0" xfId="0" applyNumberFormat="1" applyFill="1"/>
    <xf numFmtId="165" fontId="0" fillId="0" borderId="0" xfId="0" applyNumberFormat="1" applyAlignment="1">
      <alignment horizontal="center"/>
    </xf>
    <xf numFmtId="165" fontId="0" fillId="5" borderId="0" xfId="0" applyNumberFormat="1" applyFill="1" applyAlignment="1">
      <alignment horizontal="center"/>
    </xf>
    <xf numFmtId="166" fontId="0" fillId="0" borderId="0" xfId="0" applyNumberFormat="1"/>
    <xf numFmtId="166" fontId="0" fillId="0" borderId="0" xfId="1" applyNumberFormat="1" applyFont="1" applyAlignment="1">
      <alignment horizontal="center"/>
    </xf>
    <xf numFmtId="166" fontId="0" fillId="0" borderId="0" xfId="1" applyNumberFormat="1" applyFont="1"/>
    <xf numFmtId="166" fontId="0" fillId="0" borderId="0" xfId="0" applyNumberFormat="1" applyAlignment="1">
      <alignment horizontal="center"/>
    </xf>
    <xf numFmtId="165" fontId="3" fillId="0" borderId="0" xfId="0" applyNumberFormat="1" applyFont="1" applyAlignment="1">
      <alignment horizontal="center"/>
    </xf>
    <xf numFmtId="165" fontId="0" fillId="0" borderId="0" xfId="0" applyNumberFormat="1" applyAlignment="1">
      <alignment horizontal="center" wrapText="1"/>
    </xf>
    <xf numFmtId="165" fontId="4" fillId="0" borderId="0" xfId="0" applyNumberFormat="1" applyFont="1"/>
    <xf numFmtId="167" fontId="0" fillId="0" borderId="0" xfId="0" applyNumberFormat="1" applyProtection="1">
      <protection locked="0"/>
    </xf>
    <xf numFmtId="168" fontId="0" fillId="0" borderId="0" xfId="0" applyNumberFormat="1"/>
    <xf numFmtId="168" fontId="0" fillId="3" borderId="0" xfId="0" applyNumberFormat="1" applyFill="1"/>
    <xf numFmtId="0" fontId="0" fillId="2" borderId="0" xfId="0" applyFill="1" applyAlignment="1">
      <alignment horizontal="center"/>
    </xf>
    <xf numFmtId="0" fontId="0" fillId="0" borderId="0" xfId="0"/>
    <xf numFmtId="0" fontId="0" fillId="2" borderId="0" xfId="0" applyFill="1" applyAlignment="1" applyProtection="1">
      <alignment horizontal="center"/>
      <protection locked="0"/>
    </xf>
    <xf numFmtId="1" fontId="0" fillId="0" borderId="0" xfId="0" applyNumberFormat="1" applyProtection="1">
      <protection locked="0"/>
    </xf>
    <xf numFmtId="0" fontId="0" fillId="0" borderId="0" xfId="0" applyProtection="1">
      <protection locked="0"/>
    </xf>
    <xf numFmtId="10" fontId="0" fillId="2" borderId="0" xfId="0" applyNumberFormat="1" applyFill="1" applyProtection="1">
      <protection locked="0"/>
    </xf>
    <xf numFmtId="164" fontId="0" fillId="0" borderId="0" xfId="0" applyNumberFormat="1" applyProtection="1">
      <protection locked="0"/>
    </xf>
    <xf numFmtId="2" fontId="0" fillId="0" borderId="0" xfId="0" applyNumberFormat="1" applyProtection="1">
      <protection locked="0"/>
    </xf>
    <xf numFmtId="169" fontId="0" fillId="0" borderId="0" xfId="0" applyNumberFormat="1"/>
    <xf numFmtId="170" fontId="0" fillId="0" borderId="0" xfId="0" applyNumberFormat="1"/>
    <xf numFmtId="10" fontId="0" fillId="6" borderId="0" xfId="0" applyNumberFormat="1" applyFill="1"/>
    <xf numFmtId="169" fontId="0" fillId="0" borderId="0" xfId="0" applyNumberFormat="1" applyProtection="1">
      <protection locked="0"/>
    </xf>
    <xf numFmtId="2" fontId="0" fillId="4" borderId="0" xfId="0" applyNumberFormat="1" applyFill="1" applyAlignment="1" applyProtection="1">
      <alignment horizontal="center"/>
      <protection locked="0"/>
    </xf>
    <xf numFmtId="1" fontId="0" fillId="0" borderId="0" xfId="0" applyNumberFormat="1" applyProtection="1">
      <protection locked="0"/>
    </xf>
    <xf numFmtId="0" fontId="0" fillId="0" borderId="0" xfId="0" applyProtection="1">
      <protection locked="0"/>
    </xf>
    <xf numFmtId="10" fontId="0" fillId="2" borderId="0" xfId="0" applyNumberFormat="1" applyFill="1" applyProtection="1">
      <protection locked="0"/>
    </xf>
    <xf numFmtId="164" fontId="0" fillId="0" borderId="0" xfId="0" applyNumberFormat="1" applyProtection="1">
      <protection locked="0"/>
    </xf>
    <xf numFmtId="2" fontId="0" fillId="0" borderId="0" xfId="0" applyNumberFormat="1" applyProtection="1">
      <protection locked="0"/>
    </xf>
  </cellXfs>
  <cellStyles count="2">
    <cellStyle name="Normal" xfId="0" builtinId="0"/>
    <cellStyle name="Percent" xfId="1" builtinId="5"/>
  </cellStyles>
  <dxfs count="106">
    <dxf>
      <alignment wrapText="1"/>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numFmt numFmtId="19" formatCode="m/d/yyyy"/>
    </dxf>
    <dxf>
      <fill>
        <patternFill>
          <bgColor rgb="FFFFFF00"/>
        </patternFill>
      </fill>
    </dxf>
    <dxf>
      <numFmt numFmtId="172" formatCode=";;;"/>
    </dxf>
    <dxf>
      <numFmt numFmtId="0" formatCode="General"/>
    </dxf>
    <dxf>
      <numFmt numFmtId="172" formatCode=";;;"/>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tos.rtd">
      <tp t="e">
        <v>#N/A</v>
        <stp/>
        <stp>last</stp>
        <stp>IRBT</stp>
        <tr r="N77" s="3"/>
        <tr r="N78" s="3"/>
        <tr r="N76" s="3"/>
      </tp>
      <tp t="e">
        <v>#N/A</v>
        <stp/>
        <stp>last</stp>
        <stp>VIAC</stp>
        <tr r="N18" s="3"/>
        <tr r="N21" s="3"/>
        <tr r="N19" s="3"/>
        <tr r="N20" s="3"/>
      </tp>
      <tp t="e">
        <v>#N/A</v>
        <stp/>
        <stp>MARK</stp>
        <stp>BIG</stp>
        <tr r="F9" s="2"/>
      </tp>
      <tp t="e">
        <v>#N/A</v>
        <stp/>
        <stp>last</stp>
        <stp>SNAP</stp>
        <tr r="N70" s="3"/>
      </tp>
      <tp t="e">
        <v>#N/A</v>
        <stp/>
        <stp>MARK</stp>
        <stp>CCL</stp>
        <tr r="F12" s="2"/>
      </tp>
      <tp t="e">
        <v>#N/A</v>
        <stp/>
        <stp>MARK</stp>
        <stp>AAL</stp>
        <tr r="F11" s="2"/>
      </tp>
      <tp t="e">
        <v>#N/A</v>
        <stp/>
        <stp>last</stp>
        <stp>SBGI</stp>
        <tr r="N35" s="3"/>
      </tp>
      <tp t="e">
        <v>#N/A</v>
        <stp/>
        <stp>last</stp>
        <stp>BBBY</stp>
        <tr r="N54" s="3"/>
        <tr r="N57" s="3"/>
        <tr r="N56" s="3"/>
        <tr r="N55" s="3"/>
      </tp>
      <tp t="e">
        <v>#N/A</v>
        <stp/>
        <stp>last</stp>
        <stp>PCAR</stp>
        <tr r="N67" s="3"/>
        <tr r="N68" s="3"/>
      </tp>
      <tp t="e">
        <v>#N/A</v>
        <stp/>
        <stp>last</stp>
        <stp>SFIX</stp>
        <tr r="N26" s="3"/>
        <tr r="N32" s="3"/>
        <tr r="N64" s="3"/>
        <tr r="N27" s="3"/>
        <tr r="N30" s="3"/>
        <tr r="N62" s="3"/>
        <tr r="N34" s="3"/>
        <tr r="N33" s="3"/>
        <tr r="N28" s="3"/>
        <tr r="N29" s="3"/>
        <tr r="N31" s="3"/>
        <tr r="N63" s="3"/>
      </tp>
      <tp t="e">
        <v>#N/A</v>
        <stp/>
        <stp>last</stp>
        <stp>WPM</stp>
        <tr r="N14" s="3"/>
        <tr r="N13" s="3"/>
      </tp>
      <tp t="e">
        <v>#N/A</v>
        <stp/>
        <stp>ASK</stp>
        <stp>.SFIX210416P45</stp>
        <tr r="O26" s="3"/>
        <tr r="Q6" s="2"/>
        <tr r="O27" s="3"/>
      </tp>
      <tp t="e">
        <v>#N/A</v>
        <stp/>
        <stp>ASK</stp>
        <stp>.SFIX210430P45</stp>
        <tr r="O29" s="3"/>
        <tr r="O28" s="3"/>
      </tp>
      <tp t="e">
        <v>#N/A</v>
        <stp/>
        <stp>ASK</stp>
        <stp>.SFIX210611P42</stp>
        <tr r="O32" s="3"/>
        <tr r="O34" s="3"/>
      </tp>
      <tp t="e">
        <v>#N/A</v>
        <stp/>
        <stp>ASK</stp>
        <stp>.SFIX210611P43</stp>
        <tr r="O64" s="3"/>
      </tp>
      <tp t="e">
        <v>#N/A</v>
        <stp/>
        <stp>ASK</stp>
        <stp>.SFIX210521P44.5</stp>
        <tr r="O31" s="3"/>
        <tr r="O33" s="3"/>
        <tr r="O30" s="3"/>
      </tp>
      <tp t="e">
        <v>#N/A</v>
        <stp/>
        <stp>last</stp>
        <stp>UAL</stp>
        <tr r="N58" s="3"/>
        <tr r="N59" s="3"/>
        <tr r="N61" s="3"/>
        <tr r="N60" s="3"/>
      </tp>
      <tp t="e">
        <v>#N/A</v>
        <stp/>
        <stp>ASK</stp>
        <stp>.BBBY210521P23</stp>
        <tr r="O56" s="3"/>
        <tr r="O57" s="3"/>
      </tp>
      <tp t="e">
        <v>#N/A</v>
        <stp/>
        <stp>ASK</stp>
        <stp>.IRBT210611P91</stp>
        <tr r="O77" s="3"/>
        <tr r="O78" s="3"/>
        <tr r="O76" s="3"/>
      </tp>
      <tp t="e">
        <v>#N/A</v>
        <stp/>
        <stp>ASK</stp>
        <stp>.SNAP210528P50</stp>
        <tr r="O70" s="3"/>
      </tp>
      <tp t="e">
        <v>#N/A</v>
        <stp/>
        <stp>ASK</stp>
        <stp>.PCAR210618P90</stp>
        <tr r="O67" s="3"/>
        <tr r="O68" s="3"/>
      </tp>
      <tp t="e">
        <v>#N/A</v>
        <stp/>
        <stp>ASK</stp>
        <stp>.VIAC210423P40</stp>
        <tr r="O21" s="3"/>
        <tr r="Q8" s="2"/>
        <tr r="O20" s="3"/>
      </tp>
      <tp t="e">
        <v>#N/A</v>
        <stp/>
        <stp>ASK</stp>
        <stp>.SBGI210416P28</stp>
        <tr r="Q7" s="2"/>
        <tr r="O35" s="3"/>
      </tp>
      <tp t="e">
        <v>#N/A</v>
        <stp/>
        <stp>last</stp>
        <stp>GBX</stp>
        <tr r="N48" s="3"/>
        <tr r="N47" s="3"/>
      </tp>
      <tp t="e">
        <v>#N/A</v>
        <stp/>
        <stp>MARK</stp>
        <stp>VIAC</stp>
        <tr r="F8" s="2"/>
      </tp>
      <tp t="e">
        <v>#N/A</v>
        <stp/>
        <stp>last</stp>
        <stp>DBX</stp>
        <tr r="N71" s="3"/>
      </tp>
      <tp t="e">
        <v>#N/A</v>
        <stp/>
        <stp>last</stp>
        <stp>EAT</stp>
        <tr r="N66" s="3"/>
        <tr r="N65" s="3"/>
      </tp>
      <tp t="e">
        <v>#N/A</v>
        <stp/>
        <stp>last</stp>
        <stp>BIG</stp>
        <tr r="N51" s="3"/>
        <tr r="N53" s="3"/>
        <tr r="N52" s="3"/>
      </tp>
      <tp t="e">
        <v>#N/A</v>
        <stp/>
        <stp>last</stp>
        <stp>CPB</stp>
        <tr r="N45" s="3"/>
        <tr r="N46" s="3"/>
      </tp>
      <tp t="e">
        <v>#N/A</v>
        <stp/>
        <stp>last</stp>
        <stp>CCL</stp>
        <tr r="N16" s="3"/>
        <tr r="N17" s="3"/>
        <tr r="N50" s="3"/>
        <tr r="N40" s="3"/>
        <tr r="N41" s="3"/>
        <tr r="N49" s="3"/>
        <tr r="N15" s="3"/>
      </tp>
      <tp t="e">
        <v>#N/A</v>
        <stp/>
        <stp>ASK</stp>
        <stp>.BBBY210514P23.5</stp>
        <tr r="O55" s="3"/>
        <tr r="O54" s="3"/>
      </tp>
      <tp t="e">
        <v>#N/A</v>
        <stp/>
        <stp>last</stp>
        <stp>APA</stp>
        <tr r="N25" s="3"/>
        <tr r="N22" s="3"/>
        <tr r="N24" s="3"/>
        <tr r="N23" s="3"/>
      </tp>
      <tp t="e">
        <v>#N/A</v>
        <stp/>
        <stp>last</stp>
        <stp>AMD</stp>
        <tr r="N72" s="3"/>
      </tp>
      <tp t="e">
        <v>#N/A</v>
        <stp/>
        <stp>last</stp>
        <stp>AAL</stp>
        <tr r="N37" s="3"/>
        <tr r="N38" s="3"/>
        <tr r="N69" s="3"/>
        <tr r="N36" s="3"/>
        <tr r="N39" s="3"/>
      </tp>
      <tp t="e">
        <v>#N/A</v>
        <stp/>
        <stp>last</stp>
        <stp>NRG</stp>
        <tr r="N74" s="3"/>
        <tr r="N75" s="3"/>
        <tr r="N73" s="3"/>
      </tp>
      <tp t="e">
        <v>#N/A</v>
        <stp/>
        <stp>MARK</stp>
        <stp>SBGI</stp>
        <tr r="F7" s="2"/>
      </tp>
      <tp t="e">
        <v>#N/A</v>
        <stp/>
        <stp>ASK</stp>
        <stp>.JD210521P77.5</stp>
        <tr r="O12" s="3"/>
      </tp>
      <tp t="e">
        <v>#N/A</v>
        <stp/>
        <stp>MARK</stp>
        <stp>SFIX</stp>
        <tr r="F6" s="2"/>
      </tp>
      <tp t="e">
        <v>#N/A</v>
        <stp/>
        <stp>ASK</stp>
        <stp>.CCL210521P24.5</stp>
        <tr r="O50" s="3"/>
        <tr r="O49" s="3"/>
      </tp>
      <tp t="e">
        <v>#N/A</v>
        <stp/>
        <stp>ASK</stp>
        <stp>.GBX210521P40</stp>
        <tr r="O48" s="3"/>
        <tr r="O47" s="3"/>
      </tp>
      <tp t="e">
        <v>#N/A</v>
        <stp/>
        <stp>ASK</stp>
        <stp>.CCL210416P24</stp>
        <tr r="O16" s="3"/>
        <tr r="O15" s="3"/>
        <tr r="O17" s="3"/>
      </tp>
      <tp t="e">
        <v>#N/A</v>
        <stp/>
        <stp>ASK</stp>
        <stp>.CCL210507P25</stp>
        <tr r="Q10" s="2"/>
        <tr r="Q12" s="2"/>
      </tp>
      <tp t="e">
        <v>#N/A</v>
        <stp/>
        <stp>ASK</stp>
        <stp>.AAL210507P22</stp>
        <tr r="Q11" s="2"/>
      </tp>
      <tp t="e">
        <v>#N/A</v>
        <stp/>
        <stp>ASK</stp>
        <stp>.UAL210521P50</stp>
        <tr r="O61" s="3"/>
        <tr r="O60" s="3"/>
      </tp>
      <tp t="e">
        <v>#N/A</v>
        <stp/>
        <stp>ASK</stp>
        <stp>.UAL210514P51</stp>
        <tr r="O58" s="3"/>
        <tr r="O59" s="3"/>
      </tp>
      <tp t="e">
        <v>#N/A</v>
        <stp/>
        <stp>ASK</stp>
        <stp>.EAT210521P65</stp>
        <tr r="O66" s="3"/>
        <tr r="O65" s="3"/>
      </tp>
      <tp t="e">
        <v>#N/A</v>
        <stp/>
        <stp>ASK</stp>
        <stp>.AAL210528P21.5</stp>
        <tr r="O38" s="3"/>
        <tr r="O39" s="3"/>
      </tp>
      <tp t="e">
        <v>#N/A</v>
        <stp/>
        <stp>ASK</stp>
        <stp>.SFIX21057P45</stp>
        <tr r="O63" s="3"/>
        <tr r="O62" s="3"/>
      </tp>
      <tp t="e">
        <v>#N/A</v>
        <stp/>
        <stp>ASK</stp>
        <stp>.BIG210521P62.5</stp>
        <tr r="O51" s="3"/>
        <tr r="O53" s="3"/>
        <tr r="O52" s="3"/>
      </tp>
      <tp t="e">
        <v>#N/A</v>
        <stp/>
        <stp>ASK</stp>
        <stp>.VIAC21049P42</stp>
        <tr r="O18" s="3"/>
        <tr r="O19" s="3"/>
      </tp>
      <tp t="e">
        <v>#N/A</v>
        <stp/>
        <stp>ASK</stp>
        <stp>.AMD210618P70</stp>
        <tr r="O72" s="3"/>
      </tp>
      <tp t="e">
        <v>#N/A</v>
        <stp/>
        <stp>ASK</stp>
        <stp>.NRG210618P33</stp>
        <tr r="O74" s="3"/>
        <tr r="O75" s="3"/>
        <tr r="O73" s="3"/>
      </tp>
      <tp t="e">
        <v>#N/A</v>
        <stp/>
        <stp>ASK</stp>
        <stp>.DBX21064P24.5</stp>
        <tr r="O71" s="3"/>
      </tp>
      <tp t="e">
        <v>#N/A</v>
        <stp/>
        <stp>ASK</stp>
        <stp>.WPM210416P36</stp>
        <tr r="O13" s="3"/>
        <tr r="O14" s="3"/>
      </tp>
      <tp t="e">
        <v>#N/A</v>
        <stp/>
        <stp>ASK</stp>
        <stp>.CPB210521P48</stp>
        <tr r="O45" s="3"/>
        <tr r="O46" s="3"/>
      </tp>
      <tp t="e">
        <v>#N/A</v>
        <stp/>
        <stp>ASK</stp>
        <stp>.APA210423P17</stp>
        <tr r="O24" s="3"/>
        <tr r="O25" s="3"/>
      </tp>
      <tp t="e">
        <v>#N/A</v>
        <stp/>
        <stp>ASK</stp>
        <stp>.APA210416P18</stp>
        <tr r="O22" s="3"/>
        <tr r="O23" s="3"/>
      </tp>
      <tp t="e">
        <v>#N/A</v>
        <stp/>
        <stp>MARK</stp>
        <stp>GE</stp>
        <tr r="F10" s="2"/>
      </tp>
      <tp t="e">
        <v>#N/A</v>
        <stp/>
        <stp>ASK</stp>
        <stp>.GE210430P13</stp>
        <tr r="O42" s="3"/>
        <tr r="O43" s="3"/>
        <tr r="O44" s="3"/>
      </tp>
      <tp t="e">
        <v>#N/A</v>
        <stp/>
        <stp>ASK</stp>
        <stp>.AAL21057P22</stp>
        <tr r="O37" s="3"/>
        <tr r="O36" s="3"/>
      </tp>
      <tp t="e">
        <v>#N/A</v>
        <stp/>
        <stp>ASK</stp>
        <stp>.AAL21064P21</stp>
        <tr r="O69" s="3"/>
      </tp>
      <tp t="e">
        <v>#N/A</v>
        <stp/>
        <stp>ASK</stp>
        <stp>.CCL21057P25</stp>
        <tr r="O40" s="3"/>
        <tr r="O41" s="3"/>
      </tp>
      <tp t="e">
        <v>#N/A</v>
        <stp/>
        <stp>ASK</stp>
        <stp>.JD210416P65</stp>
        <tr r="O10" s="3"/>
      </tp>
      <tp t="e">
        <v>#N/A</v>
        <stp/>
        <stp>ASK</stp>
        <stp>.JD210416P80</stp>
        <tr r="O9" s="3"/>
        <tr r="Q5" s="2"/>
        <tr r="O11" s="3"/>
      </tp>
      <tp t="e">
        <v>#N/A</v>
        <stp/>
        <stp>last</stp>
        <stp>GE</stp>
        <tr r="N42" s="3"/>
        <tr r="N43" s="3"/>
        <tr r="N44" s="3"/>
      </tp>
      <tp t="e">
        <v>#N/A</v>
        <stp/>
        <stp>last</stp>
        <stp>JD</stp>
        <tr r="N11" s="3"/>
        <tr r="N10" s="3"/>
        <tr r="N12" s="3"/>
        <tr r="N9" s="3"/>
      </tp>
    </main>
  </volType>
</volType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volatileDependencies" Target="volatileDependenci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Kramer" refreshedDate="44342.78397222222" createdVersion="6" refreshedVersion="7" minRefreshableVersion="3" recordCount="67" xr:uid="{00000000-000A-0000-FFFF-FFFF27000000}">
  <cacheSource type="worksheet">
    <worksheetSource name="Table1"/>
  </cacheSource>
  <cacheFields count="31">
    <cacheField name="SYM" numFmtId="14">
      <sharedItems containsBlank="1" count="166">
        <s v="Sold 2 JD Apr 16 2021 80.0 Put @ 1.54"/>
        <s v="Bought 2 JD Apr 16 2021 65.0 Put @ 0.37"/>
        <s v="Bought 2 JD Apr 16 2021 80.0 Put @ 2.89"/>
        <s v="Sold 2 JD May 21 2021 77.5 Put @ 3.68"/>
        <s v="Sold 2 WPM Apr 16 2021 36.0 Put @ 0.56"/>
        <s v="Bought 2 WPM Apr 16 2021 36.0 Put @ 0.09"/>
        <s v="Sold 2 CCL Apr 16 2021 24.0 Put @ 0.84"/>
        <s v="Sold 10 CCL Apr 16 2021 24.0 Put @ 0.57"/>
        <s v="Bought 12 CCL Apr 16 2021 24.0 Put @ 0.35"/>
        <s v="Sold 2 VIAC Apr 9 2021 42.0 Put @ 0.49"/>
        <s v="Bought 2 VIAC Apr 9 2021 42.0 Put @ 0.9"/>
        <s v="Bought 2 VIAC Apr 23 2021 40.0 Put @ 0.14"/>
        <s v="Sold 2 VIAC Apr 23 2021 40.0 Put @ 1.21"/>
        <s v="Sold 4 APA Apr 16 2021 18.0 Put @ 0.73"/>
        <s v="Bought 4 APA Apr 16 2021 18.0 Put @ 0.92"/>
        <s v="Sold 4 APA Apr 23 2021 17.0 Put @ 0.57"/>
        <s v="Bought 4 APA Apr 23 2021 17.0 Put @ 0.07"/>
        <s v="Sold 2 SFIX Apr 16 2021 45.0 Put @ 1.13"/>
        <s v="Bought 2 SFIX Apr 16 2021 45.0 Put @ 0.49"/>
        <s v="Sold 2 SFIX Apr 30 2021 45.0 Put @ 1.93"/>
        <s v="Bought 2 SFIX Apr 30 2021 45.0 Put @ 1.14"/>
        <s v="Sold 2 SFIX May 21 2021 44.5 Put @ 2.78"/>
        <s v="Bought 1 SFIX May 21 2021 44.5 Put @ 3.47"/>
        <s v="Sold 1 SFIX Jun 11 2021 42.0 Put @ 4.87"/>
        <s v="Bought 1 SFIX May 21 2021 44.5 Put @ 4.4"/>
        <s v="Sold 1 SFIX Jun 11 2021 42.0 Put @ 4.66"/>
        <s v="Sold 10 SBGI Apr 16 2021 28.0 Put @ 0.37"/>
        <s v="Sold 10 AAL May 7 2021 22.0 Put @ 0.86"/>
        <s v="Bought 10 AAL May 7 2021 22.0 Put @ 0.61"/>
        <s v="Sold 10 AAL May 28 2021 21.5 Put @ 0.98"/>
        <s v="Bought 10 AAL May 28 2021 21.5 Put @ 0.74"/>
        <s v="Sold 10 CCL May 7 2021 25.0 Put @ 0.44"/>
        <s v="Bought 10 CCL May 07 2021 25.0 Put @ 0.04"/>
        <s v="Sold 3 GE Apr 30 2021 13.0 Put @ 0.35"/>
        <s v="Bought 2 GE Apr 30 2021 13.0 Put @ 0.09"/>
        <s v="Bought 1 GE Apr 30 2021 13.0 Put @ 0.09"/>
        <s v="Sold 4 CPB May 21 2021 48.0 Put @ 0.6"/>
        <s v="Bought 4 CPB May 21 2021 48.0 Put @ 0.15"/>
        <s v="Sold 3 GBX May 21 2021 40.0 Put @ 0.8"/>
        <s v="Bought 3 GBX May 21 2021 40.0 Put @ 0.22"/>
        <s v="Sold 10 CCL May 21 2021 24.5 Put @ 0.37"/>
        <s v="Bought 10 CCL May 21 2021 24.5 Put @ 0.09"/>
        <s v="Sold 3 BIG May 21 2021 62.5 Put @ 1.29"/>
        <s v="Bought 2 BIG May 21 2021 62.5 Put @ 0.32"/>
        <s v="Bought 1 BIG May 21 2021 62.5 Put @ 0.32"/>
        <s v="Sold 6 BBBY May 14 2021 23.5 Put @ 0.52"/>
        <s v="Bought 6 BBBY May 14 2021 23.5 Put @ 0.68"/>
        <s v="Sold 6 BBBY May 21 2021 23.0 Put @ 0.94"/>
        <s v="Bought 6 BBBY May 21 2021 23.0 Put @ 0.19"/>
        <s v="Sold 4 UAL May 14 2021 51.0 Put @ 0.83"/>
        <s v="Bought 4 UAL May 14 2021 51.0 Put @ 0.37"/>
        <s v="Sold 4 UAL May 21 2021 50.0 Put @ 0.85"/>
        <s v="Bought 4 UAL May 21 2021 50.0 Put @ 0.15"/>
        <s v="Sold 2 SFIX May 07 2021 45.0 Put @ 0.97"/>
        <s v="Bought 2 SFIX May 07 2021 45.0 Put @ 6.2"/>
        <s v="Sold 2 SFIX Jun 11 2021 43.0 Put @ 6.5"/>
        <s v="Sold 2 EAT May 21 2021 65.0 Put @ 1"/>
        <s v="Sold 2 EAT May 21 2021 65.0 Put @ 2.3"/>
        <s v="Sold 2 PCAR Jun 18 2021 90.0 Put @ 2.5"/>
        <s v="Bought 2 PCAR Jun 18 2021 90.0 Put @ 0.86"/>
        <s v="Sold 10 AAL Jun 4 2021 21.0 Put @ 0.56"/>
        <s v="Sold 2 SNAP May 28 2021 50.0 Put @ 1.53"/>
        <s v="Sold 4 DBX Jun 04 2021 24.5 Put @ 0.67"/>
        <s v="Sold 2 AMD Jun 18 2021 70.0 Put @ 1.39"/>
        <s v="Sold 1 NRG Jun 18 2021 33.0 Put @ 0.94"/>
        <s v="Sold 2 NRG Jun 18 2021 33.0 Put @ 0.94"/>
        <s v="Sold 2 IRBT Jun 11 2021 91.0 Put @ 2.65"/>
        <s v="FB" u="1"/>
        <m u="1"/>
        <s v="NKE" u="1"/>
        <s v="Z" u="1"/>
        <s v="JNJ" u="1"/>
        <s v="KORS" u="1"/>
        <s v="PEP" u="1"/>
        <s v="AAL May 7 2021 22.0 Put" u="1"/>
        <s v="JD Apr 16 2021 65.0 Put" u="1"/>
        <s v="DISH" u="1"/>
        <s v="SFIX Apr 16 2021 45.0 Put" u="1"/>
        <s v="SFIX Apr 30 2021 45.0 Put" u="1"/>
        <s v="HPE" u="1"/>
        <s v="WDC" u="1"/>
        <s v="AN" u="1"/>
        <s v="SIG" u="1"/>
        <s v="AAPL" u="1"/>
        <s v="TWTR" u="1"/>
        <s v="X" u="1"/>
        <s v="AMAT" u="1"/>
        <s v="HCA" u="1"/>
        <s v="ALK" u="1"/>
        <s v="WSM" u="1"/>
        <s v="CCL May 7 2021 25.0 Put" u="1"/>
        <s v="CRM" u="1"/>
        <s v="SO" u="1"/>
        <s v="AMRN" u="1"/>
        <s v="WMT" u="1"/>
        <s v="CMA" u="1"/>
        <s v="EXP" u="1"/>
        <s v="LVS" u="1"/>
        <s v="INTC" u="1"/>
        <s v="NVDA" u="1"/>
        <s v="DHI" u="1"/>
        <s v="XLNX" u="1"/>
        <s v="SAFM" u="1"/>
        <s v="CCL" u="1"/>
        <s v="GIS" u="1"/>
        <s v="MRK" u="1"/>
        <s v="STZ" u="1"/>
        <s v="BBBY" u="1"/>
        <s v="EAT" u="1"/>
        <s v="KR" u="1"/>
        <s v="IBM" u="1"/>
        <s v="CMG" u="1"/>
        <s v="NWL" u="1"/>
        <s v="Cash" u="1"/>
        <s v="SCHW" u="1"/>
        <s v="T" u="1"/>
        <s v="CVS" u="1"/>
        <s v="VIAC Apr 9 2021 42.0 Put" u="1"/>
        <s v="VIAC Apr 23 2021 40.0 Put" u="1"/>
        <s v="ATVI" u="1"/>
        <s v="PLAY" u="1"/>
        <s v="APA Apr 23 2021 17.0 Put" u="1"/>
        <s v="GILD" u="1"/>
        <s v="TSLA" u="1"/>
        <s v="APA Apr 16 2021 18.0 Put" u="1"/>
        <s v="AMD" u="1"/>
        <s v="DRI" u="1"/>
        <s v="FAST" u="1"/>
        <s v="ORCL" u="1"/>
        <s v="PAYX" u="1"/>
        <s v="F" u="1"/>
        <s v="CAT" u="1"/>
        <s v="DFS" u="1"/>
        <s v="GBX May 21 2021 40.0 Put" u="1"/>
        <s v="Sold 1 SNAP May 28 2021 50.0 Put @ 1.53" u="1"/>
        <s v="CCL Apr 16 2021 24.0 Put" u="1"/>
        <s v="GERN" u="1"/>
        <s v="DVI" u="1"/>
        <s v="WPM Apr 16 2021 36.0 Put" u="1"/>
        <s v="HAS" u="1"/>
        <s v="DLTR" u="1"/>
        <s v="JD Apr 16 2021 80.0 Put" u="1"/>
        <s v="AVT" u="1"/>
        <s v="JACK" u="1"/>
        <s v="CPB May 21 2021 48.0 Put" u="1"/>
        <s v="CWH" u="1"/>
        <s v="GE Apr 30 2021 13.0 Put" u="1"/>
        <s v="MGM" u="1"/>
        <s v="SBGI Apr 16 2021 28.0 Put" u="1"/>
        <s v="BX" u="1"/>
        <s v="ABC" u="1"/>
        <s v="DAL" u="1"/>
        <s v="QCOM" u="1"/>
        <s v="MU" u="1"/>
        <s v="AMCX" u="1"/>
        <s v="JD May 21 2021 77.5 Put" u="1"/>
        <s v="PZZA" u="1"/>
        <s v="CPB" u="1"/>
        <s v="MET" u="1"/>
        <s v="BG" u="1"/>
        <s v="HBI" u="1"/>
        <s v="TIS" u="1"/>
        <s v="NFLX" u="1"/>
        <s v="UAL" u="1"/>
        <s v="TSN" u="1"/>
        <s v="Bought 1 PCAR Jun 18 2021 90.0 Put @ 0.86" u="1"/>
      </sharedItems>
    </cacheField>
    <cacheField name="Trade#" numFmtId="0">
      <sharedItems containsSemiMixedTypes="0" containsString="0" containsNumber="1" minValue="0" maxValue="174" count="205">
        <n v="1"/>
        <n v="2"/>
        <n v="3"/>
        <n v="4"/>
        <n v="5"/>
        <n v="6"/>
        <n v="7"/>
        <n v="8"/>
        <n v="9"/>
        <n v="10"/>
        <n v="11"/>
        <n v="12"/>
        <n v="13"/>
        <n v="14"/>
        <n v="15"/>
        <n v="16"/>
        <n v="17"/>
        <n v="18"/>
        <n v="19"/>
        <n v="20"/>
        <n v="21"/>
        <n v="22"/>
        <n v="23"/>
        <n v="24"/>
        <n v="25"/>
        <n v="0" u="1"/>
        <n v="1.18" u="1"/>
        <n v="96" u="1"/>
        <n v="135" u="1"/>
        <n v="1.23" u="1"/>
        <n v="57" u="1"/>
        <n v="121" u="1"/>
        <n v="1.28" u="1"/>
        <n v="34" u="1"/>
        <n v="75" u="1"/>
        <n v="164" u="1"/>
        <n v="100" u="1"/>
        <n v="143" u="1"/>
        <n v="59" u="1"/>
        <n v="125" u="1"/>
        <n v="36" u="1"/>
        <n v="79" u="1"/>
        <n v="172" u="1"/>
        <n v="104" u="1"/>
        <n v="151" u="1"/>
        <n v="61" u="1"/>
        <n v="130" u="1"/>
        <n v="1.06" u="1"/>
        <n v="38" u="1"/>
        <n v="83" u="1"/>
        <n v="1.1100000000000001" u="1"/>
        <n v="1.1599999999999999" u="1"/>
        <n v="1.21" u="1"/>
        <n v="108" u="1"/>
        <n v="159" u="1"/>
        <n v="1.26" u="1"/>
        <n v="63" u="1"/>
        <n v="138" u="1"/>
        <n v="40" u="1"/>
        <n v="87" u="1"/>
        <n v="112" u="1"/>
        <n v="167" u="1"/>
        <n v="66" u="1"/>
        <n v="146" u="1"/>
        <n v="42" u="1"/>
        <n v="91" u="1"/>
        <n v="116" u="1"/>
        <n v="70" u="1"/>
        <n v="154" u="1"/>
        <n v="1.04" u="1"/>
        <n v="1.0900000000000001" u="1"/>
        <n v="44" u="1"/>
        <n v="95" u="1"/>
        <n v="133" u="1"/>
        <n v="120" u="1"/>
        <n v="74" u="1"/>
        <n v="162" u="1"/>
        <n v="46" u="1"/>
        <n v="99" u="1"/>
        <n v="141" u="1"/>
        <n v="124" u="1"/>
        <n v="78" u="1"/>
        <n v="170" u="1"/>
        <n v="48" u="1"/>
        <n v="103" u="1"/>
        <n v="149" u="1"/>
        <n v="128" u="1"/>
        <n v="82" u="1"/>
        <n v="1.1399999999999999" u="1"/>
        <n v="50" u="1"/>
        <n v="107" u="1"/>
        <n v="157" u="1"/>
        <n v="1.19" u="1"/>
        <n v="136" u="1"/>
        <n v="1.24" u="1"/>
        <n v="86" u="1"/>
        <n v="1.29" u="1"/>
        <n v="52" u="1"/>
        <n v="111" u="1"/>
        <n v="165" u="1"/>
        <n v="65" u="1"/>
        <n v="144" u="1"/>
        <n v="90" u="1"/>
        <n v="54" u="1"/>
        <n v="115" u="1"/>
        <n v="173" u="1"/>
        <n v="69" u="1"/>
        <n v="152" u="1"/>
        <n v="1.02" u="1"/>
        <n v="94" u="1"/>
        <n v="131" u="1"/>
        <n v="1.07" u="1"/>
        <n v="1.17" u="1"/>
        <n v="56" u="1"/>
        <n v="119" u="1"/>
        <n v="1.1200000000000001" u="1"/>
        <n v="33" u="1"/>
        <n v="73" u="1"/>
        <n v="160" u="1"/>
        <n v="98" u="1"/>
        <n v="139" u="1"/>
        <n v="58" u="1"/>
        <n v="123" u="1"/>
        <n v="35" u="1"/>
        <n v="77" u="1"/>
        <n v="168" u="1"/>
        <n v="102" u="1"/>
        <n v="147" u="1"/>
        <n v="60" u="1"/>
        <n v="127" u="1"/>
        <n v="37" u="1"/>
        <n v="81" u="1"/>
        <n v="1.05" u="1"/>
        <n v="106" u="1"/>
        <n v="155" u="1"/>
        <n v="62" u="1"/>
        <n v="134" u="1"/>
        <n v="1.22" u="1"/>
        <n v="39" u="1"/>
        <n v="85" u="1"/>
        <n v="1.27" u="1"/>
        <n v="110" u="1"/>
        <n v="163" u="1"/>
        <n v="64" u="1"/>
        <n v="142" u="1"/>
        <n v="41" u="1"/>
        <n v="89" u="1"/>
        <n v="114" u="1"/>
        <n v="171" u="1"/>
        <n v="68" u="1"/>
        <n v="150" u="1"/>
        <n v="43" u="1"/>
        <n v="93" u="1"/>
        <n v="129" u="1"/>
        <n v="26" u="1"/>
        <n v="118" u="1"/>
        <n v="1.1000000000000001" u="1"/>
        <n v="1.1499999999999999" u="1"/>
        <n v="72" u="1"/>
        <n v="158" u="1"/>
        <n v="1.2" u="1"/>
        <n v="45" u="1"/>
        <n v="97" u="1"/>
        <n v="137" u="1"/>
        <n v="1.25" u="1"/>
        <n v="1.3" u="1"/>
        <n v="27" u="1"/>
        <n v="122" u="1"/>
        <n v="76" u="1"/>
        <n v="166" u="1"/>
        <n v="47" u="1"/>
        <n v="101" u="1"/>
        <n v="145" u="1"/>
        <n v="28" u="1"/>
        <n v="126" u="1"/>
        <n v="80" u="1"/>
        <n v="174" u="1"/>
        <n v="49" u="1"/>
        <n v="105" u="1"/>
        <n v="153" u="1"/>
        <n v="1.03" u="1"/>
        <n v="1.1299999999999999" u="1"/>
        <n v="29" u="1"/>
        <n v="132" u="1"/>
        <n v="1.08" u="1"/>
        <n v="84" u="1"/>
        <n v="51" u="1"/>
        <n v="109" u="1"/>
        <n v="161" u="1"/>
        <n v="30" u="1"/>
        <n v="140" u="1"/>
        <n v="88" u="1"/>
        <n v="53" u="1"/>
        <n v="113" u="1"/>
        <n v="169" u="1"/>
        <n v="31" u="1"/>
        <n v="67" u="1"/>
        <n v="148" u="1"/>
        <n v="92" u="1"/>
        <n v="1.01" u="1"/>
        <n v="55" u="1"/>
        <n v="117" u="1"/>
        <n v="32" u="1"/>
        <n v="71" u="1"/>
        <n v="156" u="1"/>
      </sharedItems>
    </cacheField>
    <cacheField name="Leg" numFmtId="0">
      <sharedItems containsSemiMixedTypes="0" containsString="0" containsNumber="1" containsInteger="1" minValue="1" maxValue="18" count="18">
        <n v="1"/>
        <n v="2"/>
        <n v="3"/>
        <n v="4"/>
        <n v="5"/>
        <n v="6"/>
        <n v="7"/>
        <n v="8"/>
        <n v="9"/>
        <n v="13" u="1"/>
        <n v="14" u="1"/>
        <n v="15" u="1"/>
        <n v="16" u="1"/>
        <n v="17" u="1"/>
        <n v="18" u="1"/>
        <n v="10" u="1"/>
        <n v="11" u="1"/>
        <n v="12" u="1"/>
      </sharedItems>
    </cacheField>
    <cacheField name="TransType" numFmtId="14">
      <sharedItems containsBlank="1" count="16">
        <s v="SP"/>
        <m u="1"/>
        <s v="LC" u="1"/>
        <s v="PS" u="1"/>
        <s v="CALLED" u="1"/>
        <s v="DIV" u="1"/>
        <s v="ASSIGN" u="1"/>
        <s v="CC" u="1"/>
        <s v="LS" u="1"/>
        <s v="??" u="1"/>
        <s v="BP" u="1"/>
        <s v="SOLD" u="1"/>
        <s v="AS" u="1"/>
        <s v="BC" u="1"/>
        <s v="NC" u="1"/>
        <s v="DEP" u="1"/>
      </sharedItems>
    </cacheField>
    <cacheField name="OpenDate" numFmtId="14">
      <sharedItems containsSemiMixedTypes="0" containsNonDate="0" containsDate="1" containsString="0" minDate="2017-05-30T00:00:00" maxDate="2021-05-18T00:00:00" count="250">
        <d v="2021-03-22T00:00:00"/>
        <d v="2021-03-25T00:00:00"/>
        <d v="2021-04-16T00:00:00"/>
        <d v="2021-03-24T00:00:00"/>
        <d v="2021-04-05T00:00:00"/>
        <d v="2021-03-29T00:00:00"/>
        <d v="2021-03-30T00:00:00"/>
        <d v="2021-04-01T00:00:00"/>
        <d v="2021-04-06T00:00:00"/>
        <d v="2021-04-22T00:00:00"/>
        <d v="2021-04-09T00:00:00"/>
        <d v="2021-04-15T00:00:00"/>
        <d v="2021-04-30T00:00:00"/>
        <d v="2021-05-12T00:00:00"/>
        <d v="2021-04-08T00:00:00"/>
        <d v="2021-05-07T00:00:00"/>
        <d v="2021-05-03T00:00:00"/>
        <d v="2021-04-27T00:00:00"/>
        <d v="2021-04-19T00:00:00"/>
        <d v="2021-05-14T00:00:00"/>
        <d v="2021-04-26T00:00:00"/>
        <d v="2021-05-06T00:00:00"/>
        <d v="2021-05-13T00:00:00"/>
        <d v="2021-04-28T00:00:00"/>
        <d v="2021-05-04T00:00:00"/>
        <d v="2021-05-10T00:00:00"/>
        <d v="2021-05-11T00:00:00"/>
        <d v="2021-05-17T00:00:00"/>
        <d v="2017-08-08T00:00:00" u="1"/>
        <d v="2018-07-03T00:00:00" u="1"/>
        <d v="2017-09-13T00:00:00" u="1"/>
        <d v="2018-04-26T00:00:00" u="1"/>
        <d v="2018-08-08T00:00:00" u="1"/>
        <d v="2018-02-09T00:00:00" u="1"/>
        <d v="2018-09-13T00:00:00" u="1"/>
        <d v="2018-03-14T00:00:00" u="1"/>
        <d v="2018-08-27T00:00:00" u="1"/>
        <d v="2018-10-18T00:00:00" u="1"/>
        <d v="2017-09-06T00:00:00" u="1"/>
        <d v="2018-02-28T00:00:00" u="1"/>
        <d v="2018-04-19T00:00:00" u="1"/>
        <d v="2018-08-01T00:00:00" u="1"/>
        <d v="2018-02-02T00:00:00" u="1"/>
        <d v="2018-05-24T00:00:00" u="1"/>
        <d v="2018-09-06T00:00:00" u="1"/>
        <d v="2017-09-25T00:00:00" u="1"/>
        <d v="2018-01-16T00:00:00" u="1"/>
        <d v="2018-06-29T00:00:00" u="1"/>
        <d v="2018-08-20T00:00:00" u="1"/>
        <d v="2018-10-11T00:00:00" u="1"/>
        <d v="2021-05-05T00:00:00" u="1"/>
        <d v="2017-10-30T00:00:00" u="1"/>
        <d v="2017-12-21T00:00:00" u="1"/>
        <d v="2018-04-12T00:00:00" u="1"/>
        <d v="2018-06-03T00:00:00" u="1"/>
        <d v="2018-09-25T00:00:00" u="1"/>
        <d v="2018-11-16T00:00:00" u="1"/>
        <d v="2018-03-26T00:00:00" u="1"/>
        <d v="2018-10-30T00:00:00" u="1"/>
        <d v="2018-12-21T00:00:00" u="1"/>
        <d v="2017-09-18T00:00:00" u="1"/>
        <d v="2017-11-09T00:00:00" u="1"/>
        <d v="2018-06-22T00:00:00" u="1"/>
        <d v="2018-08-13T00:00:00" u="1"/>
        <d v="2017-12-14T00:00:00" u="1"/>
        <d v="2018-02-14T00:00:00" u="1"/>
        <d v="2018-04-05T00:00:00" u="1"/>
        <d v="2018-07-27T00:00:00" u="1"/>
        <d v="2018-09-18T00:00:00" u="1"/>
        <d v="2017-11-28T00:00:00" u="1"/>
        <d v="2018-03-19T00:00:00" u="1"/>
        <d v="2018-05-10T00:00:00" u="1"/>
        <d v="2019-04-05T00:00:00" u="1"/>
        <d v="2017-07-20T00:00:00" u="1"/>
        <d v="2017-09-11T00:00:00" u="1"/>
        <d v="2018-01-02T00:00:00" u="1"/>
        <d v="2018-06-15T00:00:00" u="1"/>
        <d v="2018-08-06T00:00:00" u="1"/>
        <d v="2017-10-16T00:00:00" u="1"/>
        <d v="2018-05-29T00:00:00" u="1"/>
        <d v="2018-07-20T00:00:00" u="1"/>
        <d v="2018-09-11T00:00:00" u="1"/>
        <d v="2017-11-21T00:00:00" u="1"/>
        <d v="2018-03-12T00:00:00" u="1"/>
        <d v="2017-12-26T00:00:00" u="1"/>
        <d v="2018-06-08T00:00:00" u="1"/>
        <d v="2018-07-13T00:00:00" u="1"/>
        <d v="2018-09-04T00:00:00" u="1"/>
        <d v="2019-04-17T00:00:00" u="1"/>
        <d v="2017-11-14T00:00:00" u="1"/>
        <d v="2018-03-05T00:00:00" u="1"/>
        <d v="2018-06-27T00:00:00" u="1"/>
        <d v="2018-10-09T00:00:00" u="1"/>
        <d v="2018-04-10T00:00:00" u="1"/>
        <d v="2018-06-01T00:00:00" u="1"/>
        <d v="2017-08-11T00:00:00" u="1"/>
        <d v="2017-10-02T00:00:00" u="1"/>
        <d v="2018-05-15T00:00:00" u="1"/>
        <d v="2018-07-06T00:00:00" u="1"/>
        <d v="2017-07-25T00:00:00" u="1"/>
        <d v="2018-06-20T00:00:00" u="1"/>
        <d v="2018-02-12T00:00:00" u="1"/>
        <d v="2018-04-03T00:00:00" u="1"/>
        <d v="2018-07-25T00:00:00" u="1"/>
        <d v="2018-08-30T00:00:00" u="1"/>
        <d v="2017-07-18T00:00:00" u="1"/>
        <d v="2018-06-13T00:00:00" u="1"/>
        <d v="2018-11-26T00:00:00" u="1"/>
        <d v="2017-08-23T00:00:00" u="1"/>
        <d v="2017-12-05T00:00:00" u="1"/>
        <d v="2018-07-18T00:00:00" u="1"/>
        <d v="2018-12-31T00:00:00" u="1"/>
        <d v="2017-09-28T00:00:00" u="1"/>
        <d v="2018-01-19T00:00:00" u="1"/>
        <d v="2018-08-23T00:00:00" u="1"/>
        <d v="2017-07-11T00:00:00" u="1"/>
        <d v="2018-06-06T00:00:00" u="1"/>
        <d v="2018-09-28T00:00:00" u="1"/>
        <d v="2018-03-29T00:00:00" u="1"/>
        <d v="2017-09-21T00:00:00" u="1"/>
        <d v="2018-01-12T00:00:00" u="1"/>
        <d v="2018-06-25T00:00:00" u="1"/>
        <d v="2018-08-16T00:00:00" u="1"/>
        <d v="2018-07-30T00:00:00" u="1"/>
        <d v="2018-09-21T00:00:00" u="1"/>
        <d v="2018-11-12T00:00:00" u="1"/>
        <d v="2018-01-31T00:00:00" u="1"/>
        <d v="2018-03-22T00:00:00" u="1"/>
        <d v="2018-12-17T00:00:00" u="1"/>
        <d v="2018-04-27T00:00:00" u="1"/>
        <d v="2018-06-18T00:00:00" u="1"/>
        <d v="2018-08-09T00:00:00" u="1"/>
        <d v="2017-10-19T00:00:00" u="1"/>
        <d v="2018-07-23T00:00:00" u="1"/>
        <d v="2018-09-14T00:00:00" u="1"/>
        <d v="2018-11-05T00:00:00" u="1"/>
        <d v="2018-10-19T00:00:00" u="1"/>
        <d v="2018-12-10T00:00:00" u="1"/>
        <d v="2019-04-01T00:00:00" u="1"/>
        <d v="2017-09-07T00:00:00" u="1"/>
        <d v="2017-12-29T00:00:00" u="1"/>
        <d v="2018-04-20T00:00:00" u="1"/>
        <d v="2018-06-11T00:00:00" u="1"/>
        <d v="2018-08-02T00:00:00" u="1"/>
        <d v="2017-10-12T00:00:00" u="1"/>
        <d v="2018-05-25T00:00:00" u="1"/>
        <d v="2018-07-16T00:00:00" u="1"/>
        <d v="2018-09-07T00:00:00" u="1"/>
        <d v="2017-11-17T00:00:00" u="1"/>
        <d v="2018-03-08T00:00:00" u="1"/>
        <d v="2018-08-21T00:00:00" u="1"/>
        <d v="2018-10-12T00:00:00" u="1"/>
        <d v="2018-12-03T00:00:00" u="1"/>
        <d v="2018-02-22T00:00:00" u="1"/>
        <d v="2018-04-13T00:00:00" u="1"/>
        <d v="2018-06-04T00:00:00" u="1"/>
        <d v="2018-03-27T00:00:00" u="1"/>
        <d v="2018-05-18T00:00:00" u="1"/>
        <d v="2018-07-09T00:00:00" u="1"/>
        <d v="2017-11-10T00:00:00" u="1"/>
        <d v="2018-03-01T00:00:00" u="1"/>
        <d v="2018-10-05T00:00:00" u="1"/>
        <d v="2017-10-24T00:00:00" u="1"/>
        <d v="2017-12-15T00:00:00" u="1"/>
        <d v="2018-04-06T00:00:00" u="1"/>
        <d v="2018-09-19T00:00:00" u="1"/>
        <d v="2017-08-07T00:00:00" u="1"/>
        <d v="2017-11-29T00:00:00" u="1"/>
        <d v="2018-01-29T00:00:00" u="1"/>
        <d v="2018-03-20T00:00:00" u="1"/>
        <d v="2018-05-11T00:00:00" u="1"/>
        <d v="2018-07-02T00:00:00" u="1"/>
        <d v="2019-04-06T00:00:00" u="1"/>
        <d v="2017-05-30T00:00:00" u="1"/>
        <d v="2017-11-03T00:00:00" u="1"/>
        <d v="2018-04-25T00:00:00" u="1"/>
        <d v="2017-10-17T00:00:00" u="1"/>
        <d v="2018-05-30T00:00:00" u="1"/>
        <d v="2018-09-12T00:00:00" u="1"/>
        <d v="2017-06-09T00:00:00" u="1"/>
        <d v="2018-01-22T00:00:00" u="1"/>
        <d v="2018-03-13T00:00:00" u="1"/>
        <d v="2018-05-04T00:00:00" u="1"/>
        <d v="2018-10-17T00:00:00" u="1"/>
        <d v="2018-02-27T00:00:00" u="1"/>
        <d v="2017-10-10T00:00:00" u="1"/>
        <d v="2018-02-01T00:00:00" u="1"/>
        <d v="2018-05-23T00:00:00" u="1"/>
        <d v="2018-09-05T00:00:00" u="1"/>
        <d v="2019-04-18T00:00:00" u="1"/>
        <d v="2018-03-06T00:00:00" u="1"/>
        <d v="2018-06-28T00:00:00" u="1"/>
        <d v="2018-10-10T00:00:00" u="1"/>
        <d v="2018-02-20T00:00:00" u="1"/>
        <d v="2018-04-11T00:00:00" u="1"/>
        <d v="2018-09-24T00:00:00" u="1"/>
        <d v="2017-10-03T00:00:00" u="1"/>
        <d v="2018-05-16T00:00:00" u="1"/>
        <d v="2018-12-20T00:00:00" u="1"/>
        <d v="2017-11-08T00:00:00" u="1"/>
        <d v="2018-01-08T00:00:00" u="1"/>
        <d v="2018-06-21T00:00:00" u="1"/>
        <d v="2018-10-03T00:00:00" u="1"/>
        <d v="2017-08-31T00:00:00" u="1"/>
        <d v="2018-07-26T00:00:00" u="1"/>
        <d v="2018-09-17T00:00:00" u="1"/>
        <d v="2018-05-09T00:00:00" u="1"/>
        <d v="2018-10-22T00:00:00" u="1"/>
        <d v="2018-04-23T00:00:00" u="1"/>
        <d v="2018-02-06T00:00:00" u="1"/>
        <d v="2018-07-19T00:00:00" u="1"/>
        <d v="2018-09-10T00:00:00" u="1"/>
        <d v="2019-01-01T00:00:00" u="1"/>
        <d v="2017-09-29T00:00:00" u="1"/>
        <d v="2018-10-15T00:00:00" u="1"/>
        <d v="2018-06-07T00:00:00" u="1"/>
        <d v="2018-07-12T00:00:00" u="1"/>
        <d v="2017-09-22T00:00:00" u="1"/>
        <d v="2018-08-17T00:00:00" u="1"/>
        <d v="2018-10-08T00:00:00" u="1"/>
        <d v="2017-10-27T00:00:00" u="1"/>
        <d v="2018-04-09T00:00:00" u="1"/>
        <d v="2018-07-31T00:00:00" u="1"/>
        <d v="2018-11-13T00:00:00" u="1"/>
        <d v="2017-06-19T00:00:00" u="1"/>
        <d v="2018-05-14T00:00:00" u="1"/>
        <d v="2018-07-05T00:00:00" u="1"/>
        <d v="2018-12-18T00:00:00" u="1"/>
        <d v="2017-09-15T00:00:00" u="1"/>
        <d v="2017-11-06T00:00:00" u="1"/>
        <d v="2018-08-10T00:00:00" u="1"/>
        <d v="2018-10-01T00:00:00" u="1"/>
        <d v="2017-12-11T00:00:00" u="1"/>
        <d v="2018-04-02T00:00:00" u="1"/>
        <d v="2018-11-06T00:00:00" u="1"/>
        <d v="2018-03-16T00:00:00" u="1"/>
        <d v="2018-05-07T00:00:00" u="1"/>
        <d v="2018-08-29T00:00:00" u="1"/>
        <d v="2018-06-12T00:00:00" u="1"/>
        <d v="2018-08-03T00:00:00" u="1"/>
        <d v="2017-12-04T00:00:00" u="1"/>
        <d v="2018-07-17T00:00:00" u="1"/>
        <d v="2017-09-27T00:00:00" u="1"/>
        <d v="2018-03-09T00:00:00" u="1"/>
        <d v="2018-09-27T00:00:00" u="1"/>
        <d v="2018-07-10T00:00:00" u="1"/>
        <d v="2018-01-11T00:00:00" u="1"/>
        <d v="2018-08-15T00:00:00" u="1"/>
        <d v="2017-07-03T00:00:00" u="1"/>
        <d v="2018-02-16T00:00:00" u="1"/>
      </sharedItems>
    </cacheField>
    <cacheField name="CloseDate" numFmtId="14">
      <sharedItems containsNonDate="0" containsDate="1" containsString="0" containsBlank="1" minDate="1899-12-30T00:00:00" maxDate="2021-05-15T00:00:00" count="219">
        <d v="2021-03-25T00:00:00"/>
        <d v="2021-04-16T00:00:00"/>
        <m/>
        <d v="2021-04-05T00:00:00"/>
        <d v="2021-04-01T00:00:00"/>
        <d v="2021-04-06T00:00:00"/>
        <d v="2021-04-22T00:00:00"/>
        <d v="2021-04-09T00:00:00"/>
        <d v="2021-04-15T00:00:00"/>
        <d v="2021-04-30T00:00:00"/>
        <d v="2021-05-12T00:00:00"/>
        <d v="2021-05-07T00:00:00"/>
        <d v="2021-05-06T00:00:00"/>
        <d v="2021-04-27T00:00:00"/>
        <d v="2021-05-14T00:00:00"/>
        <d v="2021-05-13T00:00:00"/>
        <d v="2021-05-10T00:00:00"/>
        <d v="2017-11-30T00:00:00" u="1"/>
        <d v="2017-05-31T00:00:00" u="1"/>
        <d v="2018-08-08T00:00:00" u="1"/>
        <d v="2018-02-09T00:00:00" u="1"/>
        <d v="2018-05-31T00:00:00" u="1"/>
        <d v="2018-09-13T00:00:00" u="1"/>
        <d v="2017-02-28T00:00:00" u="1"/>
        <d v="2018-01-23T00:00:00" u="1"/>
        <d v="2018-03-14T00:00:00" u="1"/>
        <d v="2018-10-18T00:00:00" u="1"/>
        <d v="2018-02-28T00:00:00" u="1"/>
        <d v="2018-04-19T00:00:00" u="1"/>
        <d v="2018-11-23T00:00:00" u="1"/>
        <d v="2018-02-02T00:00:00" u="1"/>
        <d v="2018-09-06T00:00:00" u="1"/>
        <d v="2017-09-25T00:00:00" u="1"/>
        <d v="2018-06-29T00:00:00" u="1"/>
        <d v="2018-08-20T00:00:00" u="1"/>
        <d v="2018-10-11T00:00:00" u="1"/>
        <d v="2017-12-21T00:00:00" u="1"/>
        <d v="2018-04-12T00:00:00" u="1"/>
        <d v="2018-06-03T00:00:00" u="1"/>
        <d v="2018-11-16T00:00:00" u="1"/>
        <d v="2017-08-13T00:00:00" u="1"/>
        <d v="2018-12-21T00:00:00" u="1"/>
        <d v="2016-07-01T00:00:00" u="1"/>
        <d v="2017-07-27T00:00:00" u="1"/>
        <d v="2018-01-09T00:00:00" u="1"/>
        <d v="2018-06-22T00:00:00" u="1"/>
        <d v="2017-10-23T00:00:00" u="1"/>
        <d v="2018-02-14T00:00:00" u="1"/>
        <d v="2018-04-05T00:00:00" u="1"/>
        <d v="2018-07-27T00:00:00" u="1"/>
        <d v="2018-09-18T00:00:00" u="1"/>
        <d v="2017-11-28T00:00:00" u="1"/>
        <d v="2018-05-10T00:00:00" u="1"/>
        <d v="2017-11-02T00:00:00" u="1"/>
        <d v="2018-01-02T00:00:00" u="1"/>
        <d v="2018-06-15T00:00:00" u="1"/>
        <d v="2018-11-28T00:00:00" u="1"/>
        <d v="2016-09-30T00:00:00" u="1"/>
        <d v="2017-08-25T00:00:00" u="1"/>
        <d v="2017-10-16T00:00:00" u="1"/>
        <d v="2018-02-07T00:00:00" u="1"/>
        <d v="2018-05-29T00:00:00" u="1"/>
        <d v="2018-07-20T00:00:00" u="1"/>
        <d v="2018-09-11T00:00:00" u="1"/>
        <d v="2018-03-12T00:00:00" u="1"/>
        <d v="2018-12-07T00:00:00" u="1"/>
        <d v="2017-03-31T00:00:00" u="1"/>
        <d v="2018-02-26T00:00:00" u="1"/>
        <d v="2018-04-17T00:00:00" u="1"/>
        <d v="2018-06-08T00:00:00" u="1"/>
        <d v="2017-08-18T00:00:00" u="1"/>
        <d v="2018-07-13T00:00:00" u="1"/>
        <d v="2018-09-04T00:00:00" u="1"/>
        <d v="2019-04-17T00:00:00" u="1"/>
        <d v="2018-06-27T00:00:00" u="1"/>
        <d v="2018-10-09T00:00:00" u="1"/>
        <d v="2021-05-03T00:00:00" u="1"/>
        <d v="2018-04-10T00:00:00" u="1"/>
        <d v="2018-06-01T00:00:00" u="1"/>
        <d v="2017-08-11T00:00:00" u="1"/>
        <d v="2017-10-02T00:00:00" u="1"/>
        <d v="2018-05-15T00:00:00" u="1"/>
        <d v="2018-07-06T00:00:00" u="1"/>
        <d v="2017-12-12T00:00:00" u="1"/>
        <d v="2018-02-12T00:00:00" u="1"/>
        <d v="2018-04-03T00:00:00" u="1"/>
        <d v="2018-07-25T00:00:00" u="1"/>
        <d v="2018-01-26T00:00:00" u="1"/>
        <d v="2018-08-30T00:00:00" u="1"/>
        <d v="2018-06-13T00:00:00" u="1"/>
        <d v="2017-08-23T00:00:00" u="1"/>
        <d v="2018-07-18T00:00:00" u="1"/>
        <d v="2017-09-28T00:00:00" u="1"/>
        <d v="2018-01-19T00:00:00" u="1"/>
        <d v="2018-08-23T00:00:00" u="1"/>
        <d v="2018-06-06T00:00:00" u="1"/>
        <d v="2018-09-28T00:00:00" u="1"/>
        <d v="2018-03-29T00:00:00" u="1"/>
        <d v="2017-09-21T00:00:00" u="1"/>
        <d v="2018-01-12T00:00:00" u="1"/>
        <d v="2018-08-16T00:00:00" u="1"/>
        <d v="2017-01-31T00:00:00" u="1"/>
        <d v="2018-07-30T00:00:00" u="1"/>
        <d v="2018-09-21T00:00:00" u="1"/>
        <d v="2018-01-31T00:00:00" u="1"/>
        <d v="2018-03-22T00:00:00" u="1"/>
        <d v="2018-01-05T00:00:00" u="1"/>
        <d v="2018-04-27T00:00:00" u="1"/>
        <d v="2018-08-09T00:00:00" u="1"/>
        <d v="2017-10-19T00:00:00" u="1"/>
        <d v="2018-09-14T00:00:00" u="1"/>
        <d v="2018-03-15T00:00:00" u="1"/>
        <d v="2018-10-19T00:00:00" u="1"/>
        <d v="2017-09-07T00:00:00" u="1"/>
        <d v="2017-12-29T00:00:00" u="1"/>
        <d v="2018-04-20T00:00:00" u="1"/>
        <d v="2018-06-11T00:00:00" u="1"/>
        <d v="2018-08-02T00:00:00" u="1"/>
        <d v="2017-06-30T00:00:00" u="1"/>
        <d v="2017-10-12T00:00:00" u="1"/>
        <d v="2018-05-25T00:00:00" u="1"/>
        <d v="2018-07-16T00:00:00" u="1"/>
        <d v="2018-09-07T00:00:00" u="1"/>
        <d v="2016-10-31T00:00:00" u="1"/>
        <d v="2017-11-17T00:00:00" u="1"/>
        <d v="2018-01-17T00:00:00" u="1"/>
        <d v="2018-03-08T00:00:00" u="1"/>
        <d v="2018-10-12T00:00:00" u="1"/>
        <d v="2017-10-31T00:00:00" u="1"/>
        <d v="2018-04-13T00:00:00" u="1"/>
        <d v="2018-09-26T00:00:00" u="1"/>
        <d v="2018-05-18T00:00:00" u="1"/>
        <d v="2018-10-31T00:00:00" u="1"/>
        <d v="2017-07-28T00:00:00" u="1"/>
        <d v="2017-11-10T00:00:00" u="1"/>
        <d v="2018-03-01T00:00:00" u="1"/>
        <d v="2018-10-05T00:00:00" u="1"/>
        <d v="2017-12-15T00:00:00" u="1"/>
        <d v="2018-04-06T00:00:00" u="1"/>
        <d v="2017-06-16T00:00:00" u="1"/>
        <d v="2018-05-11T00:00:00" u="1"/>
        <d v="2019-04-06T00:00:00" u="1"/>
        <d v="2017-07-21T00:00:00" u="1"/>
        <d v="2017-11-03T00:00:00" u="1"/>
        <d v="2018-04-25T00:00:00" u="1"/>
        <d v="2018-06-16T00:00:00" u="1"/>
        <d v="2017-12-08T00:00:00" u="1"/>
        <d v="2018-09-12T00:00:00" u="1"/>
        <d v="2017-06-09T00:00:00" u="1"/>
        <d v="2018-05-04T00:00:00" u="1"/>
        <d v="2018-10-17T00:00:00" u="1"/>
        <d v="2018-02-27T00:00:00" u="1"/>
        <d v="2018-04-18T00:00:00" u="1"/>
        <d v="2017-12-01T00:00:00" u="1"/>
        <d v="2018-05-23T00:00:00" u="1"/>
        <d v="2018-09-05T00:00:00" u="1"/>
        <d v="1899-12-30T00:00:00" u="1"/>
        <d v="2018-06-28T00:00:00" u="1"/>
        <d v="2018-10-10T00:00:00" u="1"/>
        <d v="2017-07-07T00:00:00" u="1"/>
        <d v="2018-04-11T00:00:00" u="1"/>
        <d v="2016-07-26T00:00:00" u="1"/>
        <d v="2017-10-03T00:00:00" u="1"/>
        <d v="2018-05-16T00:00:00" u="1"/>
        <d v="2018-10-29T00:00:00" u="1"/>
        <d v="2018-12-20T00:00:00" u="1"/>
        <d v="2016-08-31T00:00:00" u="1"/>
        <d v="2017-11-08T00:00:00" u="1"/>
        <d v="2018-04-30T00:00:00" u="1"/>
        <d v="2018-10-03T00:00:00" u="1"/>
        <d v="2017-08-31T00:00:00" u="1"/>
        <d v="2017-12-13T00:00:00" u="1"/>
        <d v="2018-09-17T00:00:00" u="1"/>
        <d v="2018-05-09T00:00:00" u="1"/>
        <d v="2018-08-31T00:00:00" u="1"/>
        <d v="2018-06-14T00:00:00" u="1"/>
        <d v="2018-02-06T00:00:00" u="1"/>
        <d v="2018-07-19T00:00:00" u="1"/>
        <d v="2018-09-10T00:00:00" u="1"/>
        <d v="2017-09-29T00:00:00" u="1"/>
        <d v="2018-08-24T00:00:00" u="1"/>
        <d v="2018-10-15T00:00:00" u="1"/>
        <d v="2018-06-07T00:00:00" u="1"/>
        <d v="2017-07-31T00:00:00" u="1"/>
        <d v="2018-08-17T00:00:00" u="1"/>
        <d v="2018-10-08T00:00:00" u="1"/>
        <d v="2018-07-31T00:00:00" u="1"/>
        <d v="2018-11-13T00:00:00" u="1"/>
        <d v="2017-04-28T00:00:00" u="1"/>
        <d v="2018-03-23T00:00:00" u="1"/>
        <d v="2018-05-14T00:00:00" u="1"/>
        <d v="2018-07-05T00:00:00" u="1"/>
        <d v="2018-12-18T00:00:00" u="1"/>
        <d v="2021-03-30T00:00:00" u="1"/>
        <d v="2017-09-15T00:00:00" u="1"/>
        <d v="2017-11-06T00:00:00" u="1"/>
        <d v="2018-08-10T00:00:00" u="1"/>
        <d v="2017-10-20T00:00:00" u="1"/>
        <d v="2018-04-02T00:00:00" u="1"/>
        <d v="2018-11-06T00:00:00" u="1"/>
        <d v="2016-12-30T00:00:00" u="1"/>
        <d v="2018-03-16T00:00:00" u="1"/>
        <d v="2018-05-07T00:00:00" u="1"/>
        <d v="2018-08-29T00:00:00" u="1"/>
        <d v="2017-09-08T00:00:00" u="1"/>
        <d v="2018-06-12T00:00:00" u="1"/>
        <d v="2018-08-03T00:00:00" u="1"/>
        <d v="2017-10-13T00:00:00" u="1"/>
        <d v="2018-07-17T00:00:00" u="1"/>
        <d v="2017-09-27T00:00:00" u="1"/>
        <d v="2018-09-27T00:00:00" u="1"/>
        <d v="2017-10-06T00:00:00" u="1"/>
        <d v="2018-07-10T00:00:00" u="1"/>
        <d v="2017-09-20T00:00:00" u="1"/>
        <d v="2018-01-11T00:00:00" u="1"/>
        <d v="2018-03-02T00:00:00" u="1"/>
        <d v="2018-08-15T00:00:00" u="1"/>
        <d v="2016-11-30T00:00:00" u="1"/>
        <d v="2018-02-16T00:00:00" u="1"/>
      </sharedItems>
    </cacheField>
    <cacheField name="ExpDate" numFmtId="14">
      <sharedItems containsSemiMixedTypes="0" containsNonDate="0" containsDate="1" containsString="0" minDate="2017-06-09T00:00:00" maxDate="2021-06-19T00:00:00" count="92">
        <d v="2021-04-16T00:00:00"/>
        <d v="2021-05-21T00:00:00"/>
        <d v="2021-04-09T00:00:00"/>
        <d v="2021-04-23T00:00:00"/>
        <d v="2021-04-30T00:00:00"/>
        <d v="2021-06-11T00:00:00"/>
        <d v="2021-05-07T00:00:00"/>
        <d v="2021-05-28T00:00:00"/>
        <d v="2021-05-14T00:00:00"/>
        <d v="2021-06-18T00:00:00"/>
        <d v="2021-06-04T00:00:00"/>
        <d v="2018-11-30T00:00:00" u="1"/>
        <d v="2019-06-17T00:00:00" u="1"/>
        <d v="2018-02-02T00:00:00" u="1"/>
        <d v="2018-06-29T00:00:00" u="1"/>
        <d v="2018-11-16T00:00:00" u="1"/>
        <d v="2018-12-21T00:00:00" u="1"/>
        <d v="2018-06-22T00:00:00" u="1"/>
        <d v="2018-07-27T00:00:00" u="1"/>
        <d v="2018-11-09T00:00:00" u="1"/>
        <d v="2018-06-15T00:00:00" u="1"/>
        <d v="2017-08-25T00:00:00" u="1"/>
        <d v="2018-07-20T00:00:00" u="1"/>
        <d v="2018-11-02T00:00:00" u="1"/>
        <d v="2018-06-08T00:00:00" u="1"/>
        <d v="2017-08-18T00:00:00" u="1"/>
        <d v="2018-07-13T00:00:00" u="1"/>
        <d v="2018-10-09T00:00:00" u="1"/>
        <d v="2018-06-01T00:00:00" u="1"/>
        <d v="2017-08-11T00:00:00" u="1"/>
        <d v="2018-07-06T00:00:00" u="1"/>
        <d v="2018-01-26T00:00:00" u="1"/>
        <d v="2018-01-19T00:00:00" u="1"/>
        <d v="2018-09-28T00:00:00" u="1"/>
        <d v="2018-03-29T00:00:00" u="1"/>
        <d v="2018-09-21T00:00:00" u="1"/>
        <d v="2018-10-26T00:00:00" u="1"/>
        <d v="2018-01-05T00:00:00" u="1"/>
        <d v="2018-04-27T00:00:00" u="1"/>
        <d v="2018-09-14T00:00:00" u="1"/>
        <d v="2018-03-15T00:00:00" u="1"/>
        <d v="2018-10-19T00:00:00" u="1"/>
        <d v="2017-12-29T00:00:00" u="1"/>
        <d v="2018-04-20T00:00:00" u="1"/>
        <d v="2019-03-15T00:00:00" u="1"/>
        <d v="2017-06-30T00:00:00" u="1"/>
        <d v="2018-05-25T00:00:00" u="1"/>
        <d v="2018-09-07T00:00:00" u="1"/>
        <d v="2017-11-17T00:00:00" u="1"/>
        <d v="2018-10-12T00:00:00" u="1"/>
        <d v="2018-04-13T00:00:00" u="1"/>
        <d v="2018-05-18T00:00:00" u="1"/>
        <d v="2017-07-28T00:00:00" u="1"/>
        <d v="2017-11-10T00:00:00" u="1"/>
        <d v="2018-10-05T00:00:00" u="1"/>
        <d v="2019-05-18T00:00:00" u="1"/>
        <d v="2017-12-15T00:00:00" u="1"/>
        <d v="2018-02-15T00:00:00" u="1"/>
        <d v="2018-04-06T00:00:00" u="1"/>
        <d v="2017-06-16T00:00:00" u="1"/>
        <d v="2018-05-11T00:00:00" u="1"/>
        <d v="2019-02-15T00:00:00" u="1"/>
        <d v="2017-07-21T00:00:00" u="1"/>
        <d v="2017-11-03T00:00:00" u="1"/>
        <d v="2017-12-08T00:00:00" u="1"/>
        <d v="2017-06-09T00:00:00" u="1"/>
        <d v="2018-05-04T00:00:00" u="1"/>
        <d v="2018-04-18T00:00:00" u="1"/>
        <d v="2017-12-01T00:00:00" u="1"/>
        <d v="2019-04-18T00:00:00" u="1"/>
        <d v="2017-07-07T00:00:00" u="1"/>
        <d v="2018-09-17T00:00:00" u="1"/>
        <d v="2018-08-31T00:00:00" u="1"/>
        <d v="2017-09-29T00:00:00" u="1"/>
        <d v="2018-08-24T00:00:00" u="1"/>
        <d v="2017-09-22T00:00:00" u="1"/>
        <d v="2018-08-17T00:00:00" u="1"/>
        <d v="2017-10-27T00:00:00" u="1"/>
        <d v="2018-03-23T00:00:00" u="1"/>
        <d v="2018-07-05T00:00:00" u="1"/>
        <d v="2017-09-15T00:00:00" u="1"/>
        <d v="2018-08-10T00:00:00" u="1"/>
        <d v="2017-10-20T00:00:00" u="1"/>
        <d v="2018-03-16T00:00:00" u="1"/>
        <d v="2017-09-08T00:00:00" u="1"/>
        <d v="2018-08-03T00:00:00" u="1"/>
        <d v="2017-10-13T00:00:00" u="1"/>
        <d v="2018-03-09T00:00:00" u="1"/>
        <d v="2019-01-18T00:00:00" u="1"/>
        <d v="2017-10-06T00:00:00" u="1"/>
        <d v="2018-03-02T00:00:00" u="1"/>
        <d v="2018-02-16T00:00:00" u="1"/>
      </sharedItems>
    </cacheField>
    <cacheField name="Strike" numFmtId="0">
      <sharedItems containsSemiMixedTypes="0" containsString="0" containsNumber="1" minValue="1" maxValue="467.5" count="168">
        <n v="80"/>
        <n v="65"/>
        <n v="77.5"/>
        <n v="36"/>
        <n v="24"/>
        <n v="42"/>
        <n v="40"/>
        <n v="18"/>
        <n v="17"/>
        <n v="45"/>
        <n v="44.5"/>
        <n v="28"/>
        <n v="22"/>
        <n v="21.5"/>
        <n v="25"/>
        <n v="13"/>
        <n v="48"/>
        <n v="24.5"/>
        <n v="62.5"/>
        <n v="23.5"/>
        <n v="23"/>
        <n v="51"/>
        <n v="50"/>
        <n v="43"/>
        <n v="90"/>
        <n v="21"/>
        <n v="70"/>
        <n v="33"/>
        <n v="91"/>
        <n v="96" u="1"/>
        <n v="135" u="1"/>
        <n v="12.5" u="1"/>
        <n v="57" u="1"/>
        <n v="85.5" u="1"/>
        <n v="185" u="1"/>
        <n v="34" u="1"/>
        <n v="285" u="1"/>
        <n v="22.3" u="1"/>
        <n v="100" u="1"/>
        <n v="59" u="1"/>
        <n v="125" u="1"/>
        <n v="22.5" u="1"/>
        <n v="330" u="1"/>
        <n v="13.5" u="1"/>
        <n v="61" u="1"/>
        <n v="38" u="1"/>
        <n v="180" u="1"/>
        <n v="50.5" u="1"/>
        <n v="72.5" u="1"/>
        <n v="14" u="1"/>
        <n v="63" u="1"/>
        <n v="97.5" u="1"/>
        <n v="87" u="1"/>
        <n v="152.5" u="1"/>
        <n v="297.5" u="1"/>
        <n v="52.5" u="1"/>
        <n v="146" u="1"/>
        <n v="320" u="1"/>
        <n v="175" u="1"/>
        <n v="15" u="1"/>
        <n v="265" u="1"/>
        <n v="44" u="1"/>
        <n v="95" u="1"/>
        <n v="56.5" u="1"/>
        <n v="120" u="1"/>
        <n v="15.5" u="1"/>
        <n v="197.5" u="1"/>
        <n v="2" u="1"/>
        <n v="46" u="1"/>
        <n v="141" u="1"/>
        <n v="310" u="1"/>
        <n v="6" u="1"/>
        <n v="16" u="1"/>
        <n v="170" u="1"/>
        <n v="332.5" u="1"/>
        <n v="67.5" u="1"/>
        <n v="149" u="1"/>
        <n v="28.5" u="1"/>
        <n v="128" u="1"/>
        <n v="37.5" u="1"/>
        <n v="29.5" u="1"/>
        <n v="136" u="1"/>
        <n v="300" u="1"/>
        <n v="86" u="1"/>
        <n v="52" u="1"/>
        <n v="322.5" u="1"/>
        <n v="19" u="1"/>
        <n v="41.5" u="1"/>
        <n v="2.5" u="1"/>
        <n v="54" u="1"/>
        <n v="115" u="1"/>
        <n v="31.5" u="1"/>
        <n v="20" u="1"/>
        <n v="94" u="1"/>
        <n v="290" u="1"/>
        <n v="467.5" u="1"/>
        <n v="56" u="1"/>
        <n v="312.5" u="1"/>
        <n v="139" u="1"/>
        <n v="87.5" u="1"/>
        <n v="35" u="1"/>
        <n v="47.5" u="1"/>
        <n v="147" u="1"/>
        <n v="60" u="1"/>
        <n v="91.5" u="1"/>
        <n v="280" u="1"/>
        <n v="37" u="1"/>
        <n v="1" u="1"/>
        <n v="155" u="1"/>
        <n v="3" u="1"/>
        <n v="62" u="1"/>
        <n v="95.5" u="1"/>
        <n v="134" u="1"/>
        <n v="205" u="1"/>
        <n v="39" u="1"/>
        <n v="85" u="1"/>
        <n v="110" u="1"/>
        <n v="64" u="1"/>
        <n v="142" u="1"/>
        <n v="177.5" u="1"/>
        <n v="41" u="1"/>
        <n v="270" u="1"/>
        <n v="447.5" u="1"/>
        <n v="53.5" u="1"/>
        <n v="150" u="1"/>
        <n v="292.5" u="1"/>
        <n v="129" u="1"/>
        <n v="26" u="1"/>
        <n v="82.5" u="1"/>
        <n v="32.5" u="1"/>
        <n v="337.5" u="1"/>
        <n v="27" u="1"/>
        <n v="57.5" u="1"/>
        <n v="260" u="1"/>
        <n v="3.5" u="1"/>
        <n v="34.5" u="1"/>
        <n v="76" u="1"/>
        <n v="10" u="1"/>
        <n v="47" u="1"/>
        <n v="145" u="1"/>
        <n v="282.5" u="1"/>
        <n v="59.5" u="1"/>
        <n v="195" u="1"/>
        <n v="16.5" u="1"/>
        <n v="36.5" u="1"/>
        <n v="245" u="1"/>
        <n v="305" u="1"/>
        <n v="10.5" u="1"/>
        <n v="29" u="1"/>
        <n v="61.5" u="1"/>
        <n v="167.5" u="1"/>
        <n v="327.5" u="1"/>
        <n v="17.5" u="1"/>
        <n v="11" u="1"/>
        <n v="109" u="1"/>
        <n v="30" u="1"/>
        <n v="140" u="1"/>
        <n v="272.5" u="1"/>
        <n v="18.5" u="1"/>
        <n v="11.5" u="1"/>
        <n v="113" u="1"/>
        <n v="295" u="1"/>
        <n v="31" u="1"/>
        <n v="148" u="1"/>
        <n v="162.5" u="1"/>
        <n v="55" u="1"/>
        <n v="32" u="1"/>
        <n v="340" u="1"/>
      </sharedItems>
    </cacheField>
    <cacheField name="Strike2" numFmtId="0">
      <sharedItems containsNonDate="0" containsString="0" containsBlank="1"/>
    </cacheField>
    <cacheField name="#Contracts" numFmtId="0">
      <sharedItems containsSemiMixedTypes="0" containsString="0" containsNumber="1" minValue="1" maxValue="100" count="25">
        <n v="2"/>
        <n v="10"/>
        <n v="12"/>
        <n v="4"/>
        <n v="1"/>
        <n v="3"/>
        <n v="6"/>
        <n v="100" u="1"/>
        <n v="13" u="1"/>
        <n v="36" u="1"/>
        <n v="5" u="1"/>
        <n v="40" u="1"/>
        <n v="42" u="1"/>
        <n v="48" u="1"/>
        <n v="17" u="1"/>
        <n v="18" u="1"/>
        <n v="65" u="1"/>
        <n v="7" u="1"/>
        <n v="22" u="1"/>
        <n v="24" u="1"/>
        <n v="25" u="1"/>
        <n v="45" u="1"/>
        <n v="28" u="1"/>
        <n v="80" u="1"/>
        <n v="77.5" u="1"/>
      </sharedItems>
    </cacheField>
    <cacheField name="OpnPrem" numFmtId="0">
      <sharedItems containsSemiMixedTypes="0" containsString="0" containsNumber="1" minValue="-1241.33" maxValue="1298.6600000000001"/>
    </cacheField>
    <cacheField name="ClsPrem" numFmtId="2">
      <sharedItems containsNonDate="0" containsString="0" containsBlank="1"/>
    </cacheField>
    <cacheField name="Symbol" numFmtId="0">
      <sharedItems/>
    </cacheField>
    <cacheField name="Current value" numFmtId="0">
      <sharedItems containsMixedTypes="1" containsNumber="1" minValue="0" maxValue="96.78" count="227">
        <e v="#N/A"/>
        <n v="0"/>
        <n v="25.88" u="1"/>
        <n v="25.95" u="1"/>
        <n v="32.47" u="1"/>
        <n v="46.1" u="1"/>
        <n v="65.680000000000007" u="1"/>
        <n v="13.13" u="1"/>
        <n v="26.645" u="1"/>
        <n v="26.68" u="1"/>
        <n v="39.25" u="1"/>
        <n v="43.865000000000002" u="1"/>
        <n v="50.15" u="1"/>
        <n v="52.74" u="1"/>
        <n v="65.63" u="1"/>
        <n v="75.989999999999995" u="1"/>
        <n v="26.6464" u="1"/>
        <n v="52.784999999999997" u="1"/>
        <n v="20.97" u="1"/>
        <n v="21.43" u="1"/>
        <n v="41.32" u="1"/>
        <n v="20.9" u="1"/>
        <n v="25.16" u="1"/>
        <n v="42.284999999999997" u="1"/>
        <n v="42.64" u="1"/>
        <n v="31.34" u="1"/>
        <n v="43.32" u="1"/>
        <n v="50.03" u="1"/>
        <n v="13.2" u="1"/>
        <n v="48.9" u="1"/>
        <n v="32.61" u="1"/>
        <n v="49.44" u="1"/>
        <n v="68.17" u="1"/>
        <n v="21.57" u="1"/>
        <n v="24.96" u="1"/>
        <n v="24.995000000000001" u="1"/>
        <n v="33.15" u="1"/>
        <n v="39.93" u="1"/>
        <n v="42.59" u="1"/>
        <n v="67.13" u="1"/>
        <n v="68.83" u="1"/>
        <n v="21.04" u="1"/>
        <n v="76.08" u="1"/>
        <n v="48.85" u="1"/>
        <n v="54.03" u="1"/>
        <n v="13.135" u="1"/>
        <n v="44.59" u="1"/>
        <n v="77.02" u="1"/>
        <n v="39.270000000000003" u="1"/>
        <n v="48.215000000000003" u="1"/>
        <n v="76.03" u="1"/>
        <n v="48.19" u="1"/>
        <n v="65.67" u="1"/>
        <n v="20.18" u="1"/>
        <n v="32.96" u="1"/>
        <n v="53.91" u="1"/>
        <n v="56.57" u="1"/>
        <n v="68.73" u="1"/>
        <n v="72.78" u="1"/>
        <n v="70.66" u="1"/>
        <n v="93.73" u="1"/>
        <n v="25.17" u="1"/>
        <n v="65.62" u="1"/>
        <n v="76.069999999999993" u="1"/>
        <n v="13.14" u="1"/>
        <n v="26.63" u="1"/>
        <n v="27.96" u="1"/>
        <n v="47.6" u="1"/>
        <n v="52.78" u="1"/>
        <n v="63.75" u="1"/>
        <n v="21.413599999999999" u="1"/>
        <n v="24.91" u="1"/>
        <n v="53.32" u="1"/>
        <n v="20.190000000000001" u="1"/>
        <n v="21.414999999999999" u="1"/>
        <n v="26.1" u="1"/>
        <n v="39.479999999999997" u="1"/>
        <n v="42.28" u="1"/>
        <n v="46.33" u="1"/>
        <n v="68.209999999999994" u="1"/>
        <n v="94.76" u="1"/>
        <n v="21.72" u="1"/>
        <n v="24.274999999999999" u="1"/>
        <n v="32.770000000000003" u="1"/>
        <n v="49.46" u="1"/>
        <n v="21.420100000000001" u="1"/>
        <n v="31.29" u="1"/>
        <n v="33.31" u="1"/>
        <n v="39.1" u="1"/>
        <n v="39.950000000000003" u="1"/>
        <n v="48.4" u="1"/>
        <n v="68.3" u="1"/>
        <n v="68.795000000000002" u="1"/>
        <n v="26.64" u="1"/>
        <n v="21.425000000000001" u="1"/>
        <n v="39.994999999999997" u="1"/>
        <n v="13.21" u="1"/>
        <n v="21.586300000000001" u="1"/>
        <n v="48.197000000000003" u="1"/>
        <n v="25.05" u="1"/>
        <n v="42.63" u="1"/>
        <n v="68.77" u="1"/>
        <n v="43.1" u="1"/>
        <n v="48.21" u="1"/>
        <n v="63.865000000000002" u="1"/>
        <n v="76.02" u="1"/>
        <n v="65.66" u="1"/>
        <n v="20.46" u="1"/>
        <n v="52.8" u="1"/>
        <n v="76.39" u="1"/>
        <n v="20" u="1"/>
        <n v="24.954999999999998" u="1"/>
        <n v="43.5" u="1"/>
        <n v="48.185000000000002" u="1"/>
        <n v="49.22" u="1"/>
        <n v="54.4" u="1"/>
        <n v="65.61" u="1"/>
        <n v="96.78" u="1"/>
        <n v="20.2" u="1"/>
        <n v="26.484999999999999" u="1"/>
        <n v="53.27" u="1"/>
        <n v="68.67" u="1"/>
        <n v="24.39" u="1"/>
        <n v="49.55" u="1"/>
        <n v="52.14" u="1"/>
        <n v="13.15" u="1"/>
        <n v="21.4299" u="1"/>
        <n v="74.650000000000006" u="1"/>
        <n v="47.57" u="1"/>
        <n v="76.010000000000005" u="1"/>
        <n v="22" u="1"/>
        <n v="25.32" u="1"/>
        <n v="39.659999999999997" u="1"/>
        <n v="71.400000000000006" u="1"/>
        <n v="21.434999999999999" u="1"/>
        <n v="42.25" u="1"/>
        <n v="68.784999999999997" u="1"/>
        <n v="43.64" u="1"/>
        <n v="76.034999999999997" u="1"/>
        <n v="13.35" u="1"/>
        <n v="24.99" u="1"/>
        <n v="42.58" u="1"/>
        <n v="42.65" u="1"/>
        <n v="49.36" u="1"/>
        <n v="75.540000000000006" u="1"/>
        <n v="31.31" u="1"/>
        <n v="48.3" u="1"/>
        <n v="63.6" u="1"/>
        <n v="65.180000000000007" u="1"/>
        <n v="13.45" u="1"/>
        <n v="26.52" u="1"/>
        <n v="26.625" u="1"/>
        <n v="39.959899999999998" u="1"/>
        <n v="63.46" u="1"/>
        <n v="32.69" u="1"/>
        <n v="47.24" u="1"/>
        <n v="38.409999999999997" u="1"/>
        <n v="39.965000000000003" u="1"/>
        <n v="48.204999999999998" u="1"/>
        <n v="68.685000000000002" u="1"/>
        <n v="27.52" u="1"/>
        <n v="39.94" u="1"/>
        <n v="42.6" u="1"/>
        <n v="43.52" u="1"/>
        <n v="62.87" u="1"/>
        <n v="24.965" u="1"/>
        <n v="49.31" u="1"/>
        <n v="53.29" u="1"/>
        <n v="68.709999999999994" u="1"/>
        <n v="69.84" u="1"/>
        <n v="48.25" u="1"/>
        <n v="25.2" u="1"/>
        <n v="68.94" u="1"/>
        <n v="13.12" u="1"/>
        <n v="42.295000000000002" u="1"/>
        <n v="66.819999999999993" u="1"/>
        <n v="68.8" u="1"/>
        <n v="42.41" u="1"/>
        <n v="52.7" u="1"/>
        <n v="52.77" u="1"/>
        <n v="93.8" u="1"/>
        <n v="38.15" u="1"/>
        <n v="39.68" u="1"/>
        <n v="42.27" u="1"/>
        <n v="42.34" u="1"/>
        <n v="95.73" u="1"/>
        <n v="49.45" u="1"/>
        <n v="13.09" u="1"/>
        <n v="27.93" u="1"/>
        <n v="31.32" u="1"/>
        <n v="31.39" u="1"/>
        <n v="21.95" u="1"/>
        <n v="26.635000000000002" u="1"/>
        <n v="76.025000000000006" u="1"/>
        <n v="53.05" u="1"/>
        <n v="21.42" u="1"/>
        <n v="49.47" u="1"/>
        <n v="26.27" u="1"/>
        <n v="34.17" u="1"/>
        <n v="41.02" u="1"/>
        <n v="42.62" u="1"/>
        <n v="49.4" u="1"/>
        <n v="13.130100000000001" u="1"/>
        <n v="25.01" u="1"/>
        <n v="39.96" u="1"/>
        <n v="48.2" u="1"/>
        <n v="21.89" u="1"/>
        <n v="22.16" u="1"/>
        <n v="25.55" u="1"/>
        <n v="52.79" u="1"/>
        <n v="76.015000000000001" u="1"/>
        <n v="77.36" u="1"/>
        <n v="23.35" u="1"/>
        <n v="39.909999999999997" u="1"/>
        <n v="42.57" u="1"/>
        <n v="47.75" u="1"/>
        <n v="54.46" u="1"/>
        <n v="21.49" u="1"/>
        <n v="24.95" u="1"/>
        <n v="42.29" u="1"/>
        <n v="42.36" u="1"/>
        <n v="48.22" u="1"/>
        <n v="62.77" u="1"/>
        <n v="20.195" u="1"/>
        <n v="49.82" u="1"/>
        <n v="68.790000000000006" u="1"/>
        <n v="32" u="1"/>
      </sharedItems>
    </cacheField>
    <cacheField name="ask" numFmtId="0">
      <sharedItems containsMixedTypes="1" containsNumber="1" minValue="0" maxValue="9.6999999999999993" count="79">
        <n v="0"/>
        <e v="#N/A"/>
        <n v="3.95" u="1"/>
        <n v="0.82" u="1"/>
        <n v="0.2" u="1"/>
        <n v="2.97" u="1"/>
        <n v="0.55000000000000004" u="1"/>
        <n v="0.6" u="1"/>
        <n v="0.39" u="1"/>
        <n v="0.65" u="1"/>
        <n v="1.7" u="1"/>
        <n v="4.4000000000000004" u="1"/>
        <n v="0.44" u="1"/>
        <n v="5.2" u="1"/>
        <n v="5.25" u="1"/>
        <n v="5.45" u="1"/>
        <n v="0.54" u="1"/>
        <n v="5.3" u="1"/>
        <n v="0.13" u="1"/>
        <n v="2.78" u="1"/>
        <n v="5.7" u="1"/>
        <n v="8.0500000000000007" u="1"/>
        <n v="5.35" u="1"/>
        <n v="0.7" u="1"/>
        <n v="1.9" u="1"/>
        <n v="0.75" u="1"/>
        <n v="0.01" u="1"/>
        <n v="0.86" u="1"/>
        <n v="1.46" u="1"/>
        <n v="6.2" u="1"/>
        <n v="5.9" u="1"/>
        <n v="2.25" u="1"/>
        <n v="0.3" u="1"/>
        <n v="0.8" u="1"/>
        <n v="0.53" u="1"/>
        <n v="2.4" u="1"/>
        <n v="2.5" u="1"/>
        <n v="0.38" u="1"/>
        <n v="0.18" u="1"/>
        <n v="6.9" u="1"/>
        <n v="0.79" u="1"/>
        <n v="2.85" u="1"/>
        <n v="0.95" u="1"/>
        <n v="1" u="1"/>
        <n v="0.43" u="1"/>
        <n v="0.04" u="1"/>
        <n v="0.84" u="1"/>
        <n v="3.05" u="1"/>
        <n v="8.5" u="1"/>
        <n v="0.56999999999999995" u="1"/>
        <n v="3.15" u="1"/>
        <n v="0.05" u="1"/>
        <n v="0.15" u="1"/>
        <n v="0.4" u="1"/>
        <n v="0.45" u="1"/>
        <n v="3.2" u="1"/>
        <n v="3.3" u="1"/>
        <n v="0.28999999999999998" u="1"/>
        <n v="0.78" u="1"/>
        <n v="3.4" u="1"/>
        <n v="0.19" u="1"/>
        <n v="0.83" u="1"/>
        <n v="2.81" u="1"/>
        <n v="3.5" u="1"/>
        <n v="9.6999999999999993" u="1"/>
        <n v="0.37" u="1"/>
        <n v="3.55" u="1"/>
        <n v="0.77" u="1"/>
        <n v="1.35" u="1"/>
        <n v="1.4" u="1"/>
        <n v="0.5" u="1"/>
        <n v="1.45" u="1"/>
        <n v="3.7" u="1"/>
        <n v="3.9" u="1"/>
        <n v="0.61" u="1"/>
        <n v="0.02" u="1"/>
        <n v="2.13" u="1"/>
        <n v="2.92" u="1"/>
        <n v="0.42" u="1"/>
      </sharedItems>
    </cacheField>
    <cacheField name="NetPrem" numFmtId="2">
      <sharedItems containsSemiMixedTypes="0" containsString="0" containsNumber="1" minValue="-1241.33" maxValue="1298.6600000000001"/>
    </cacheField>
    <cacheField name="TotPrem" numFmtId="168">
      <sharedItems containsSemiMixedTypes="0" containsString="0" containsNumber="1" minValue="-1048.6600000000001" maxValue="1210.04"/>
    </cacheField>
    <cacheField name="Days" numFmtId="1">
      <sharedItems containsSemiMixedTypes="0" containsString="0" containsNumber="1" containsInteger="1" minValue="0" maxValue="129" count="64">
        <n v="3"/>
        <n v="1"/>
        <n v="35"/>
        <n v="12"/>
        <n v="2"/>
        <n v="5"/>
        <n v="16"/>
        <n v="4"/>
        <n v="13"/>
        <n v="10"/>
        <n v="15"/>
        <n v="30"/>
        <n v="29"/>
        <n v="28"/>
        <n v="18"/>
        <n v="25"/>
        <n v="8"/>
        <n v="22"/>
        <n v="17"/>
        <n v="36"/>
        <n v="21"/>
        <n v="24"/>
        <n v="32"/>
        <n v="0" u="1"/>
        <n v="57" u="1"/>
        <n v="34" u="1"/>
        <n v="100" u="1"/>
        <n v="38" u="1"/>
        <n v="14" u="1"/>
        <n v="87" u="1"/>
        <n v="66" u="1"/>
        <n v="42" u="1"/>
        <n v="91" u="1"/>
        <n v="44" u="1"/>
        <n v="95" u="1"/>
        <n v="46" u="1"/>
        <n v="65" u="1"/>
        <n v="19" u="1"/>
        <n v="54" u="1"/>
        <n v="7" u="1"/>
        <n v="20" u="1"/>
        <n v="94" u="1"/>
        <n v="56" u="1"/>
        <n v="119" u="1"/>
        <n v="33" u="1"/>
        <n v="73" u="1"/>
        <n v="98" u="1"/>
        <n v="60" u="1"/>
        <n v="37" u="1"/>
        <n v="23" u="1"/>
        <n v="106" u="1"/>
        <n v="39" u="1"/>
        <n v="68" u="1"/>
        <n v="9" u="1"/>
        <n v="43" u="1"/>
        <n v="93" u="1"/>
        <n v="129" u="1"/>
        <n v="45" u="1"/>
        <n v="27" u="1"/>
        <n v="11" u="1"/>
        <n v="53" u="1"/>
        <n v="31" u="1"/>
        <n v="92" u="1"/>
        <n v="71" u="1"/>
      </sharedItems>
    </cacheField>
    <cacheField name="Cap" numFmtId="1">
      <sharedItems containsSemiMixedTypes="0" containsString="0" containsNumber="1" containsInteger="1" minValue="1300" maxValue="28800"/>
    </cacheField>
    <cacheField name="OpenCap" numFmtId="1">
      <sharedItems containsMixedTypes="1" containsNumber="1" containsInteger="1" minValue="3300" maxValue="21000"/>
    </cacheField>
    <cacheField name="BEcap" numFmtId="1">
      <sharedItems containsMixedTypes="1" containsNumber="1" containsInteger="1" minValue="3300" maxValue="21000"/>
    </cacheField>
    <cacheField name="CapDays" numFmtId="1">
      <sharedItems containsSemiMixedTypes="0" containsString="0" containsNumber="1" containsInteger="1" minValue="1300" maxValue="700000"/>
    </cacheField>
    <cacheField name="TotCapDays" numFmtId="1">
      <sharedItems containsSemiMixedTypes="0" containsString="0" containsNumber="1" containsInteger="1" minValue="14400" maxValue="775000"/>
    </cacheField>
    <cacheField name="AROI" numFmtId="10">
      <sharedItems containsSemiMixedTypes="0" containsString="0" containsNumber="1" minValue="-4.7254432098765431" maxValue="4.2700905448717954"/>
    </cacheField>
    <cacheField name="BreakEven" numFmtId="2">
      <sharedItems containsSemiMixedTypes="0" containsString="0" containsNumber="1" minValue="12.2599" maxValue="88.3733"/>
    </cacheField>
    <cacheField name="ActShares" numFmtId="1">
      <sharedItems containsMixedTypes="1" containsNumber="1" containsInteger="1" minValue="100" maxValue="1000"/>
    </cacheField>
    <cacheField name="ActDate" numFmtId="166">
      <sharedItems containsSemiMixedTypes="0" containsNonDate="0" containsDate="1" containsString="0" minDate="2021-03-25T00:00:00" maxDate="2021-06-19T00:00:00" count="21">
        <d v="2021-03-25T00:00:00"/>
        <d v="2021-04-16T00:00:00"/>
        <d v="2021-05-21T00:00:00"/>
        <d v="2021-04-05T00:00:00"/>
        <d v="2021-04-01T00:00:00"/>
        <d v="2021-04-06T00:00:00"/>
        <d v="2021-04-22T00:00:00"/>
        <d v="2021-04-09T00:00:00"/>
        <d v="2021-04-15T00:00:00"/>
        <d v="2021-04-30T00:00:00"/>
        <d v="2021-05-12T00:00:00"/>
        <d v="2021-06-11T00:00:00"/>
        <d v="2021-05-07T00:00:00"/>
        <d v="2021-05-06T00:00:00"/>
        <d v="2021-04-27T00:00:00"/>
        <d v="2021-05-14T00:00:00"/>
        <d v="2021-05-13T00:00:00"/>
        <d v="2021-05-10T00:00:00"/>
        <d v="2021-06-04T00:00:00"/>
        <d v="2021-05-28T00:00:00"/>
        <d v="2021-06-18T00:00:00"/>
      </sharedItems>
      <fieldGroup base="26">
        <rangePr groupBy="months" startDate="2021-03-25T00:00:00" endDate="2021-06-19T00:00:00"/>
        <groupItems count="14">
          <s v="&lt;3/25/2021"/>
          <s v="Jan"/>
          <s v="Feb"/>
          <s v="Mar"/>
          <s v="Apr"/>
          <s v="May"/>
          <s v="Jun"/>
          <s v="Jul"/>
          <s v="Aug"/>
          <s v="Sep"/>
          <s v="Oct"/>
          <s v="Nov"/>
          <s v="Dec"/>
          <s v="&gt;6/19/2021"/>
        </groupItems>
      </fieldGroup>
    </cacheField>
    <cacheField name="Inception" numFmtId="2">
      <sharedItems containsMixedTypes="1" containsNumber="1" minValue="-1241.33" maxValue="973.34"/>
    </cacheField>
    <cacheField name="1YR" numFmtId="2">
      <sharedItems containsMixedTypes="1" containsNumber="1" minValue="-1241.33" maxValue="973.34"/>
    </cacheField>
    <cacheField name="YTD" numFmtId="2">
      <sharedItems containsMixedTypes="1" containsNumber="1" minValue="-1241.33" maxValue="973.34"/>
    </cacheField>
    <cacheField name="UnBooked" numFmtId="2">
      <sharedItems containsMixedTypes="1" containsNumber="1" minValue="93.34" maxValue="1298.66000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67">
  <r>
    <x v="0"/>
    <x v="0"/>
    <x v="0"/>
    <x v="0"/>
    <x v="0"/>
    <x v="0"/>
    <x v="0"/>
    <x v="0"/>
    <m/>
    <x v="0"/>
    <n v="306.67"/>
    <m/>
    <s v="JD"/>
    <x v="0"/>
    <x v="0"/>
    <n v="306.67"/>
    <n v="306.67"/>
    <x v="0"/>
    <n v="16000"/>
    <s v=""/>
    <s v=""/>
    <n v="48000"/>
    <n v="48000"/>
    <n v="2.331969791666667"/>
    <n v="78.46665"/>
    <s v=""/>
    <x v="0"/>
    <n v="306.67"/>
    <n v="306.67"/>
    <n v="306.67"/>
    <s v=""/>
  </r>
  <r>
    <x v="1"/>
    <x v="0"/>
    <x v="1"/>
    <x v="0"/>
    <x v="1"/>
    <x v="0"/>
    <x v="0"/>
    <x v="1"/>
    <m/>
    <x v="0"/>
    <n v="-75.33"/>
    <m/>
    <s v="JD"/>
    <x v="0"/>
    <x v="0"/>
    <n v="-75.33"/>
    <n v="231.34"/>
    <x v="1"/>
    <n v="13000"/>
    <s v=""/>
    <s v=""/>
    <n v="13000"/>
    <n v="61000"/>
    <n v="1.384247540983607"/>
    <n v="63.8433"/>
    <s v=""/>
    <x v="0"/>
    <n v="-75.33"/>
    <n v="-75.33"/>
    <n v="-75.33"/>
    <s v=""/>
  </r>
  <r>
    <x v="2"/>
    <x v="0"/>
    <x v="2"/>
    <x v="0"/>
    <x v="2"/>
    <x v="1"/>
    <x v="0"/>
    <x v="0"/>
    <m/>
    <x v="0"/>
    <n v="-579.33"/>
    <m/>
    <s v="JD"/>
    <x v="0"/>
    <x v="0"/>
    <n v="-579.33"/>
    <n v="-347.99"/>
    <x v="1"/>
    <n v="16000"/>
    <s v=""/>
    <s v=""/>
    <n v="16000"/>
    <n v="77000"/>
    <n v="-1.649562987012987"/>
    <n v="81.73994999999999"/>
    <s v=""/>
    <x v="1"/>
    <n v="-579.33"/>
    <n v="-579.33"/>
    <n v="-579.33"/>
    <s v=""/>
  </r>
  <r>
    <x v="3"/>
    <x v="0"/>
    <x v="3"/>
    <x v="0"/>
    <x v="2"/>
    <x v="2"/>
    <x v="1"/>
    <x v="2"/>
    <m/>
    <x v="0"/>
    <n v="734.67"/>
    <m/>
    <s v="JD"/>
    <x v="0"/>
    <x v="1"/>
    <n v="734.67"/>
    <n v="386.6799999999999"/>
    <x v="2"/>
    <n v="15500"/>
    <n v="15500"/>
    <n v="15500"/>
    <n v="542500"/>
    <n v="619500"/>
    <n v="0.2278259887005649"/>
    <n v="75.56659999999999"/>
    <n v="200"/>
    <x v="2"/>
    <n v="734.67"/>
    <n v="734.67"/>
    <n v="734.67"/>
    <s v=""/>
  </r>
  <r>
    <x v="4"/>
    <x v="1"/>
    <x v="0"/>
    <x v="0"/>
    <x v="3"/>
    <x v="3"/>
    <x v="0"/>
    <x v="3"/>
    <m/>
    <x v="0"/>
    <n v="110.67"/>
    <m/>
    <s v="WPM"/>
    <x v="0"/>
    <x v="0"/>
    <n v="110.67"/>
    <n v="110.67"/>
    <x v="3"/>
    <n v="7200"/>
    <s v=""/>
    <s v=""/>
    <n v="86400"/>
    <n v="86400"/>
    <n v="0.4675295138888889"/>
    <n v="35.44665"/>
    <s v=""/>
    <x v="3"/>
    <n v="110.67"/>
    <n v="110.67"/>
    <n v="110.67"/>
    <s v=""/>
  </r>
  <r>
    <x v="5"/>
    <x v="1"/>
    <x v="1"/>
    <x v="0"/>
    <x v="4"/>
    <x v="3"/>
    <x v="0"/>
    <x v="3"/>
    <m/>
    <x v="0"/>
    <n v="-19.33"/>
    <m/>
    <s v="WPM"/>
    <x v="0"/>
    <x v="0"/>
    <n v="-19.33"/>
    <n v="91.34"/>
    <x v="1"/>
    <n v="7200"/>
    <s v=""/>
    <s v=""/>
    <n v="7200"/>
    <n v="93600"/>
    <n v="0.3561869658119658"/>
    <n v="35.5433"/>
    <s v=""/>
    <x v="3"/>
    <n v="-19.33"/>
    <n v="-19.33"/>
    <n v="-19.33"/>
    <s v=""/>
  </r>
  <r>
    <x v="6"/>
    <x v="2"/>
    <x v="0"/>
    <x v="0"/>
    <x v="5"/>
    <x v="4"/>
    <x v="0"/>
    <x v="4"/>
    <m/>
    <x v="0"/>
    <n v="166.67"/>
    <m/>
    <s v="CCL"/>
    <x v="0"/>
    <x v="0"/>
    <n v="166.67"/>
    <n v="166.67"/>
    <x v="0"/>
    <n v="4800"/>
    <s v=""/>
    <s v=""/>
    <n v="14400"/>
    <n v="14400"/>
    <n v="4.224621527777778"/>
    <n v="23.16665"/>
    <s v=""/>
    <x v="4"/>
    <n v="166.67"/>
    <n v="166.67"/>
    <n v="166.67"/>
    <s v=""/>
  </r>
  <r>
    <x v="7"/>
    <x v="2"/>
    <x v="1"/>
    <x v="0"/>
    <x v="6"/>
    <x v="4"/>
    <x v="0"/>
    <x v="4"/>
    <m/>
    <x v="1"/>
    <n v="563.34"/>
    <m/>
    <s v="CCL"/>
    <x v="0"/>
    <x v="0"/>
    <n v="563.34"/>
    <n v="730.01"/>
    <x v="4"/>
    <n v="24000"/>
    <s v=""/>
    <s v=""/>
    <n v="48000"/>
    <n v="62400"/>
    <n v="4.270090544871795"/>
    <n v="23.26999"/>
    <s v=""/>
    <x v="4"/>
    <n v="563.34"/>
    <n v="563.34"/>
    <n v="563.34"/>
    <s v=""/>
  </r>
  <r>
    <x v="8"/>
    <x v="2"/>
    <x v="2"/>
    <x v="0"/>
    <x v="7"/>
    <x v="4"/>
    <x v="0"/>
    <x v="4"/>
    <m/>
    <x v="2"/>
    <n v="-427.97"/>
    <m/>
    <s v="CCL"/>
    <x v="0"/>
    <x v="0"/>
    <n v="-427.97"/>
    <n v="302.04"/>
    <x v="1"/>
    <n v="28800"/>
    <s v=""/>
    <s v=""/>
    <n v="28800"/>
    <n v="91200"/>
    <n v="1.208822368421053"/>
    <n v="23.7483"/>
    <s v=""/>
    <x v="4"/>
    <n v="-427.97"/>
    <n v="-427.97"/>
    <n v="-427.97"/>
    <s v=""/>
  </r>
  <r>
    <x v="9"/>
    <x v="3"/>
    <x v="0"/>
    <x v="0"/>
    <x v="7"/>
    <x v="5"/>
    <x v="2"/>
    <x v="5"/>
    <m/>
    <x v="0"/>
    <n v="96.67"/>
    <m/>
    <s v="VIAC"/>
    <x v="0"/>
    <x v="0"/>
    <n v="96.67"/>
    <n v="96.67"/>
    <x v="5"/>
    <n v="8400"/>
    <s v=""/>
    <s v=""/>
    <n v="42000"/>
    <n v="42000"/>
    <n v="0.8401083333333335"/>
    <n v="41.51665"/>
    <s v=""/>
    <x v="5"/>
    <n v="96.67"/>
    <n v="96.67"/>
    <n v="96.67"/>
    <s v=""/>
  </r>
  <r>
    <x v="10"/>
    <x v="3"/>
    <x v="1"/>
    <x v="0"/>
    <x v="8"/>
    <x v="5"/>
    <x v="2"/>
    <x v="5"/>
    <m/>
    <x v="0"/>
    <n v="-181.33"/>
    <m/>
    <s v="VIAC"/>
    <x v="0"/>
    <x v="0"/>
    <n v="-181.33"/>
    <n v="-84.66000000000001"/>
    <x v="1"/>
    <n v="8400"/>
    <s v=""/>
    <s v=""/>
    <n v="8400"/>
    <n v="50400"/>
    <n v="-0.6131130952380953"/>
    <n v="42.4233"/>
    <s v=""/>
    <x v="5"/>
    <n v="-181.33"/>
    <n v="-181.33"/>
    <n v="-181.33"/>
    <s v=""/>
  </r>
  <r>
    <x v="11"/>
    <x v="3"/>
    <x v="2"/>
    <x v="0"/>
    <x v="9"/>
    <x v="6"/>
    <x v="3"/>
    <x v="6"/>
    <m/>
    <x v="0"/>
    <n v="-29.33"/>
    <m/>
    <s v="VIAC"/>
    <x v="0"/>
    <x v="0"/>
    <n v="-29.33"/>
    <n v="126.68"/>
    <x v="1"/>
    <n v="8000"/>
    <s v=""/>
    <s v=""/>
    <n v="8000"/>
    <n v="186400"/>
    <n v="0.2480590128755364"/>
    <n v="39.3666"/>
    <s v=""/>
    <x v="6"/>
    <n v="-29.33"/>
    <n v="-29.33"/>
    <n v="-29.33"/>
    <s v=""/>
  </r>
  <r>
    <x v="12"/>
    <x v="3"/>
    <x v="2"/>
    <x v="0"/>
    <x v="8"/>
    <x v="6"/>
    <x v="3"/>
    <x v="6"/>
    <m/>
    <x v="0"/>
    <n v="240.67"/>
    <m/>
    <s v="VIAC"/>
    <x v="0"/>
    <x v="0"/>
    <n v="240.67"/>
    <n v="126.68"/>
    <x v="6"/>
    <n v="8000"/>
    <s v=""/>
    <s v=""/>
    <n v="128000"/>
    <n v="186400"/>
    <n v="0.2480590128755364"/>
    <n v="39.3666"/>
    <s v=""/>
    <x v="6"/>
    <n v="240.67"/>
    <n v="240.67"/>
    <n v="240.67"/>
    <s v=""/>
  </r>
  <r>
    <x v="13"/>
    <x v="4"/>
    <x v="0"/>
    <x v="0"/>
    <x v="4"/>
    <x v="7"/>
    <x v="0"/>
    <x v="7"/>
    <m/>
    <x v="3"/>
    <n v="289.33"/>
    <m/>
    <s v="APA"/>
    <x v="0"/>
    <x v="0"/>
    <n v="289.33"/>
    <n v="289.33"/>
    <x v="7"/>
    <n v="7200"/>
    <s v=""/>
    <s v=""/>
    <n v="28800"/>
    <n v="28800"/>
    <n v="3.666855902777778"/>
    <n v="17.276675"/>
    <s v=""/>
    <x v="7"/>
    <n v="289.33"/>
    <n v="289.33"/>
    <n v="289.33"/>
    <s v=""/>
  </r>
  <r>
    <x v="14"/>
    <x v="4"/>
    <x v="1"/>
    <x v="0"/>
    <x v="10"/>
    <x v="7"/>
    <x v="0"/>
    <x v="7"/>
    <m/>
    <x v="3"/>
    <n v="-370.66"/>
    <m/>
    <s v="APA"/>
    <x v="0"/>
    <x v="0"/>
    <n v="-370.66"/>
    <n v="-81.33000000000004"/>
    <x v="1"/>
    <n v="7200"/>
    <s v=""/>
    <s v=""/>
    <n v="7200"/>
    <n v="36000"/>
    <n v="-0.8245958333333337"/>
    <n v="18.203325"/>
    <s v=""/>
    <x v="7"/>
    <n v="-370.66"/>
    <n v="-370.66"/>
    <n v="-370.66"/>
    <s v=""/>
  </r>
  <r>
    <x v="15"/>
    <x v="4"/>
    <x v="2"/>
    <x v="0"/>
    <x v="10"/>
    <x v="6"/>
    <x v="3"/>
    <x v="8"/>
    <m/>
    <x v="3"/>
    <n v="225.33"/>
    <m/>
    <s v="APA"/>
    <x v="0"/>
    <x v="0"/>
    <n v="225.33"/>
    <n v="144"/>
    <x v="8"/>
    <n v="6800"/>
    <s v=""/>
    <s v=""/>
    <n v="88400"/>
    <n v="124400"/>
    <n v="0.422508038585209"/>
    <n v="16.64"/>
    <s v=""/>
    <x v="6"/>
    <n v="225.33"/>
    <n v="225.33"/>
    <n v="225.33"/>
    <s v=""/>
  </r>
  <r>
    <x v="16"/>
    <x v="4"/>
    <x v="3"/>
    <x v="0"/>
    <x v="9"/>
    <x v="6"/>
    <x v="3"/>
    <x v="8"/>
    <m/>
    <x v="3"/>
    <n v="-30.66"/>
    <m/>
    <s v="APA"/>
    <x v="0"/>
    <x v="0"/>
    <n v="-30.66"/>
    <n v="113.34"/>
    <x v="1"/>
    <n v="6800"/>
    <s v=""/>
    <s v=""/>
    <n v="6800"/>
    <n v="131200"/>
    <n v="0.3153132621951219"/>
    <n v="16.71665"/>
    <s v=""/>
    <x v="6"/>
    <n v="-30.66"/>
    <n v="-30.66"/>
    <n v="-30.66"/>
    <s v=""/>
  </r>
  <r>
    <x v="17"/>
    <x v="5"/>
    <x v="0"/>
    <x v="0"/>
    <x v="4"/>
    <x v="8"/>
    <x v="0"/>
    <x v="9"/>
    <m/>
    <x v="0"/>
    <n v="224.67"/>
    <m/>
    <s v="SFIX"/>
    <x v="0"/>
    <x v="0"/>
    <n v="224.67"/>
    <n v="224.67"/>
    <x v="9"/>
    <n v="9000"/>
    <s v=""/>
    <s v=""/>
    <n v="90000"/>
    <n v="90000"/>
    <n v="0.9111616666666665"/>
    <n v="43.87665"/>
    <s v=""/>
    <x v="8"/>
    <n v="224.67"/>
    <n v="224.67"/>
    <n v="224.67"/>
    <s v=""/>
  </r>
  <r>
    <x v="18"/>
    <x v="5"/>
    <x v="1"/>
    <x v="0"/>
    <x v="11"/>
    <x v="8"/>
    <x v="0"/>
    <x v="9"/>
    <m/>
    <x v="0"/>
    <n v="-99.33"/>
    <m/>
    <s v="SFIX"/>
    <x v="0"/>
    <x v="0"/>
    <n v="-99.33"/>
    <n v="125.34"/>
    <x v="1"/>
    <n v="9000"/>
    <s v=""/>
    <s v=""/>
    <n v="9000"/>
    <n v="99000"/>
    <n v="0.4621121212121212"/>
    <n v="44.3733"/>
    <s v=""/>
    <x v="8"/>
    <n v="-99.33"/>
    <n v="-99.33"/>
    <n v="-99.33"/>
    <s v=""/>
  </r>
  <r>
    <x v="19"/>
    <x v="5"/>
    <x v="2"/>
    <x v="0"/>
    <x v="11"/>
    <x v="9"/>
    <x v="4"/>
    <x v="9"/>
    <m/>
    <x v="0"/>
    <n v="384.67"/>
    <m/>
    <s v="SFIX"/>
    <x v="0"/>
    <x v="0"/>
    <n v="384.67"/>
    <n v="510.01"/>
    <x v="10"/>
    <n v="9000"/>
    <s v=""/>
    <s v=""/>
    <n v="135000"/>
    <n v="234000"/>
    <n v="0.7955284188034187"/>
    <n v="42.44995"/>
    <s v=""/>
    <x v="9"/>
    <n v="384.67"/>
    <n v="384.67"/>
    <n v="384.67"/>
    <s v=""/>
  </r>
  <r>
    <x v="20"/>
    <x v="5"/>
    <x v="3"/>
    <x v="0"/>
    <x v="12"/>
    <x v="9"/>
    <x v="4"/>
    <x v="9"/>
    <m/>
    <x v="0"/>
    <n v="-229.33"/>
    <m/>
    <s v="SFIX"/>
    <x v="0"/>
    <x v="0"/>
    <n v="-229.33"/>
    <n v="280.6799999999999"/>
    <x v="1"/>
    <n v="9000"/>
    <s v=""/>
    <s v=""/>
    <n v="9000"/>
    <n v="243000"/>
    <n v="0.4215975308641974"/>
    <n v="43.5966"/>
    <s v=""/>
    <x v="9"/>
    <n v="-229.33"/>
    <n v="-229.33"/>
    <n v="-229.33"/>
    <s v=""/>
  </r>
  <r>
    <x v="21"/>
    <x v="5"/>
    <x v="4"/>
    <x v="0"/>
    <x v="12"/>
    <x v="10"/>
    <x v="1"/>
    <x v="10"/>
    <m/>
    <x v="0"/>
    <n v="554.67"/>
    <m/>
    <s v="SFIX"/>
    <x v="0"/>
    <x v="1"/>
    <n v="554.67"/>
    <n v="835.3499999999999"/>
    <x v="3"/>
    <n v="8900"/>
    <s v=""/>
    <s v=""/>
    <n v="106800"/>
    <n v="349800"/>
    <n v="0.8716487993138935"/>
    <n v="40.32325"/>
    <s v=""/>
    <x v="10"/>
    <n v="554.67"/>
    <n v="554.67"/>
    <n v="554.67"/>
    <s v=""/>
  </r>
  <r>
    <x v="22"/>
    <x v="5"/>
    <x v="5"/>
    <x v="0"/>
    <x v="13"/>
    <x v="10"/>
    <x v="1"/>
    <x v="10"/>
    <m/>
    <x v="4"/>
    <n v="-347.66"/>
    <m/>
    <s v="SFIX"/>
    <x v="1"/>
    <x v="0"/>
    <n v="-347.66"/>
    <n v="487.6899999999999"/>
    <x v="1"/>
    <n v="4450"/>
    <s v=""/>
    <s v=""/>
    <n v="4450"/>
    <n v="354250"/>
    <n v="0.5024893436838389"/>
    <n v="39.6231"/>
    <s v=""/>
    <x v="10"/>
    <n v="-347.66"/>
    <n v="-347.66"/>
    <n v="-347.66"/>
    <s v=""/>
  </r>
  <r>
    <x v="23"/>
    <x v="5"/>
    <x v="6"/>
    <x v="0"/>
    <x v="13"/>
    <x v="2"/>
    <x v="5"/>
    <x v="5"/>
    <m/>
    <x v="4"/>
    <n v="486.34"/>
    <m/>
    <s v="SFIX"/>
    <x v="1"/>
    <x v="0"/>
    <n v="486.34"/>
    <n v="974.0299999999999"/>
    <x v="11"/>
    <n v="4200"/>
    <n v="4200"/>
    <n v="4200"/>
    <n v="126000"/>
    <n v="480250"/>
    <n v="0.7402830817282664"/>
    <n v="32.2597"/>
    <n v="100"/>
    <x v="11"/>
    <s v=""/>
    <s v=""/>
    <s v=""/>
    <n v="486.34"/>
  </r>
  <r>
    <x v="24"/>
    <x v="5"/>
    <x v="7"/>
    <x v="0"/>
    <x v="13"/>
    <x v="10"/>
    <x v="1"/>
    <x v="10"/>
    <m/>
    <x v="4"/>
    <n v="-440.66"/>
    <m/>
    <s v="SFIX"/>
    <x v="1"/>
    <x v="0"/>
    <n v="-440.66"/>
    <n v="533.3699999999999"/>
    <x v="1"/>
    <n v="4450"/>
    <s v=""/>
    <s v=""/>
    <n v="4450"/>
    <n v="484700"/>
    <n v="0.401650608623891"/>
    <n v="39.1663"/>
    <s v=""/>
    <x v="10"/>
    <n v="-440.66"/>
    <n v="-440.66"/>
    <n v="-440.66"/>
    <s v=""/>
  </r>
  <r>
    <x v="25"/>
    <x v="5"/>
    <x v="8"/>
    <x v="0"/>
    <x v="13"/>
    <x v="2"/>
    <x v="5"/>
    <x v="5"/>
    <m/>
    <x v="4"/>
    <n v="465.34"/>
    <m/>
    <s v="SFIX"/>
    <x v="1"/>
    <x v="0"/>
    <n v="465.34"/>
    <n v="998.7099999999998"/>
    <x v="11"/>
    <n v="4200"/>
    <n v="4200"/>
    <n v="4200"/>
    <n v="126000"/>
    <n v="610700"/>
    <n v="0.5969037989192728"/>
    <n v="32.0129"/>
    <n v="100"/>
    <x v="11"/>
    <s v=""/>
    <s v=""/>
    <s v=""/>
    <n v="465.34"/>
  </r>
  <r>
    <x v="26"/>
    <x v="6"/>
    <x v="0"/>
    <x v="0"/>
    <x v="8"/>
    <x v="1"/>
    <x v="0"/>
    <x v="11"/>
    <m/>
    <x v="1"/>
    <n v="363.34"/>
    <m/>
    <s v="SBGI"/>
    <x v="0"/>
    <x v="0"/>
    <n v="363.34"/>
    <n v="363.34"/>
    <x v="9"/>
    <n v="28000"/>
    <s v=""/>
    <s v=""/>
    <n v="280000"/>
    <n v="280000"/>
    <n v="0.4736396428571428"/>
    <n v="27.63666"/>
    <s v=""/>
    <x v="1"/>
    <n v="363.34"/>
    <n v="363.34"/>
    <n v="363.34"/>
    <s v=""/>
  </r>
  <r>
    <x v="27"/>
    <x v="7"/>
    <x v="0"/>
    <x v="0"/>
    <x v="14"/>
    <x v="11"/>
    <x v="6"/>
    <x v="12"/>
    <m/>
    <x v="1"/>
    <n v="853.34"/>
    <m/>
    <s v="AAL"/>
    <x v="0"/>
    <x v="0"/>
    <n v="853.34"/>
    <n v="853.34"/>
    <x v="12"/>
    <n v="22000"/>
    <s v=""/>
    <s v=""/>
    <n v="638000"/>
    <n v="638000"/>
    <n v="0.4881960815047022"/>
    <n v="21.14666"/>
    <s v=""/>
    <x v="12"/>
    <n v="853.34"/>
    <n v="853.34"/>
    <n v="853.34"/>
    <s v=""/>
  </r>
  <r>
    <x v="28"/>
    <x v="7"/>
    <x v="1"/>
    <x v="0"/>
    <x v="15"/>
    <x v="11"/>
    <x v="6"/>
    <x v="12"/>
    <m/>
    <x v="1"/>
    <n v="-616.64"/>
    <m/>
    <s v="AAL"/>
    <x v="0"/>
    <x v="0"/>
    <n v="-616.64"/>
    <n v="236.7"/>
    <x v="1"/>
    <n v="22000"/>
    <s v=""/>
    <s v=""/>
    <n v="22000"/>
    <n v="660000"/>
    <n v="0.1309022727272728"/>
    <n v="21.7633"/>
    <s v=""/>
    <x v="12"/>
    <n v="-616.64"/>
    <n v="-616.64"/>
    <n v="-616.64"/>
    <s v=""/>
  </r>
  <r>
    <x v="29"/>
    <x v="7"/>
    <x v="2"/>
    <x v="0"/>
    <x v="15"/>
    <x v="11"/>
    <x v="7"/>
    <x v="13"/>
    <m/>
    <x v="1"/>
    <n v="973.34"/>
    <m/>
    <s v="AAL"/>
    <x v="0"/>
    <x v="0"/>
    <n v="973.34"/>
    <n v="1210.04"/>
    <x v="1"/>
    <n v="21500"/>
    <s v=""/>
    <s v=""/>
    <n v="21500"/>
    <n v="681500"/>
    <n v="0.6480771826852531"/>
    <n v="20.28996"/>
    <s v=""/>
    <x v="12"/>
    <n v="973.34"/>
    <n v="973.34"/>
    <n v="973.34"/>
    <s v=""/>
  </r>
  <r>
    <x v="30"/>
    <x v="7"/>
    <x v="3"/>
    <x v="0"/>
    <x v="15"/>
    <x v="11"/>
    <x v="7"/>
    <x v="13"/>
    <m/>
    <x v="1"/>
    <n v="-746.64"/>
    <m/>
    <s v="AAL"/>
    <x v="0"/>
    <x v="0"/>
    <n v="-746.64"/>
    <n v="463.4"/>
    <x v="1"/>
    <n v="21500"/>
    <s v=""/>
    <s v=""/>
    <n v="21500"/>
    <n v="703000"/>
    <n v="0.2405988620199146"/>
    <n v="21.0366"/>
    <s v=""/>
    <x v="12"/>
    <n v="-746.64"/>
    <n v="-746.64"/>
    <n v="-746.64"/>
    <s v=""/>
  </r>
  <r>
    <x v="31"/>
    <x v="8"/>
    <x v="0"/>
    <x v="0"/>
    <x v="14"/>
    <x v="12"/>
    <x v="6"/>
    <x v="14"/>
    <m/>
    <x v="1"/>
    <n v="433.34"/>
    <m/>
    <s v="CCL"/>
    <x v="0"/>
    <x v="0"/>
    <n v="433.34"/>
    <n v="433.34"/>
    <x v="13"/>
    <n v="25000"/>
    <s v=""/>
    <s v=""/>
    <n v="700000"/>
    <n v="700000"/>
    <n v="0.2259558571428571"/>
    <n v="24.56666"/>
    <s v=""/>
    <x v="13"/>
    <n v="433.34"/>
    <n v="433.34"/>
    <n v="433.34"/>
    <s v=""/>
  </r>
  <r>
    <x v="32"/>
    <x v="8"/>
    <x v="1"/>
    <x v="0"/>
    <x v="16"/>
    <x v="12"/>
    <x v="6"/>
    <x v="14"/>
    <m/>
    <x v="1"/>
    <n v="-40.14"/>
    <m/>
    <s v="CCL"/>
    <x v="0"/>
    <x v="0"/>
    <n v="-40.14"/>
    <n v="393.2"/>
    <x v="0"/>
    <n v="25000"/>
    <s v=""/>
    <s v=""/>
    <n v="75000"/>
    <n v="775000"/>
    <n v="0.1851845161290323"/>
    <n v="24.6068"/>
    <s v=""/>
    <x v="13"/>
    <n v="-40.14"/>
    <n v="-40.14"/>
    <n v="-40.14"/>
    <s v=""/>
  </r>
  <r>
    <x v="33"/>
    <x v="9"/>
    <x v="0"/>
    <x v="0"/>
    <x v="10"/>
    <x v="13"/>
    <x v="4"/>
    <x v="15"/>
    <m/>
    <x v="5"/>
    <n v="103"/>
    <m/>
    <s v="GE"/>
    <x v="0"/>
    <x v="0"/>
    <n v="103"/>
    <n v="103"/>
    <x v="14"/>
    <n v="3900"/>
    <s v=""/>
    <s v=""/>
    <n v="70200"/>
    <n v="70200"/>
    <n v="0.5355413105413105"/>
    <n v="12.65666666666667"/>
    <s v=""/>
    <x v="14"/>
    <n v="103"/>
    <n v="103"/>
    <n v="103"/>
    <s v=""/>
  </r>
  <r>
    <x v="34"/>
    <x v="9"/>
    <x v="1"/>
    <x v="0"/>
    <x v="17"/>
    <x v="13"/>
    <x v="4"/>
    <x v="15"/>
    <m/>
    <x v="0"/>
    <n v="-19.33"/>
    <m/>
    <s v="GE"/>
    <x v="0"/>
    <x v="0"/>
    <n v="-19.33"/>
    <n v="83.67"/>
    <x v="1"/>
    <n v="2600"/>
    <s v=""/>
    <s v=""/>
    <n v="2600"/>
    <n v="72800"/>
    <n v="0.4194993131868132"/>
    <n v="12.58165"/>
    <s v=""/>
    <x v="14"/>
    <n v="-19.33"/>
    <n v="-19.33"/>
    <n v="-19.33"/>
    <s v=""/>
  </r>
  <r>
    <x v="35"/>
    <x v="9"/>
    <x v="2"/>
    <x v="0"/>
    <x v="17"/>
    <x v="13"/>
    <x v="4"/>
    <x v="15"/>
    <m/>
    <x v="4"/>
    <n v="-9.66"/>
    <m/>
    <s v="GE"/>
    <x v="0"/>
    <x v="0"/>
    <n v="-9.66"/>
    <n v="74.01000000000001"/>
    <x v="1"/>
    <n v="1300"/>
    <s v=""/>
    <s v=""/>
    <n v="1300"/>
    <n v="74100"/>
    <n v="0.3645566801619433"/>
    <n v="12.2599"/>
    <s v=""/>
    <x v="14"/>
    <n v="-9.66"/>
    <n v="-9.66"/>
    <n v="-9.66"/>
    <s v=""/>
  </r>
  <r>
    <x v="36"/>
    <x v="10"/>
    <x v="0"/>
    <x v="0"/>
    <x v="18"/>
    <x v="14"/>
    <x v="1"/>
    <x v="16"/>
    <m/>
    <x v="3"/>
    <n v="237.33"/>
    <m/>
    <s v="CPB"/>
    <x v="0"/>
    <x v="1"/>
    <n v="237.33"/>
    <n v="237.33"/>
    <x v="15"/>
    <n v="19200"/>
    <s v=""/>
    <s v=""/>
    <n v="480000"/>
    <n v="480000"/>
    <n v="0.1804696875"/>
    <n v="47.406675"/>
    <s v=""/>
    <x v="15"/>
    <n v="237.33"/>
    <n v="237.33"/>
    <n v="237.33"/>
    <s v=""/>
  </r>
  <r>
    <x v="37"/>
    <x v="10"/>
    <x v="1"/>
    <x v="0"/>
    <x v="19"/>
    <x v="14"/>
    <x v="1"/>
    <x v="16"/>
    <m/>
    <x v="3"/>
    <n v="-62.66"/>
    <m/>
    <s v="CPB"/>
    <x v="1"/>
    <x v="0"/>
    <n v="-62.66"/>
    <n v="174.67"/>
    <x v="1"/>
    <n v="19200"/>
    <s v=""/>
    <s v=""/>
    <n v="19200"/>
    <n v="499200"/>
    <n v="0.1277134415064103"/>
    <n v="47.563325"/>
    <s v=""/>
    <x v="15"/>
    <n v="-62.66"/>
    <n v="-62.66"/>
    <n v="-62.66"/>
    <s v=""/>
  </r>
  <r>
    <x v="38"/>
    <x v="11"/>
    <x v="0"/>
    <x v="0"/>
    <x v="18"/>
    <x v="13"/>
    <x v="1"/>
    <x v="6"/>
    <m/>
    <x v="5"/>
    <n v="238"/>
    <m/>
    <s v="GBX"/>
    <x v="0"/>
    <x v="0"/>
    <n v="238"/>
    <n v="238"/>
    <x v="16"/>
    <n v="12000"/>
    <s v=""/>
    <s v=""/>
    <n v="96000"/>
    <n v="96000"/>
    <n v="0.9048958333333333"/>
    <n v="39.20666666666666"/>
    <s v=""/>
    <x v="14"/>
    <n v="238"/>
    <n v="238"/>
    <n v="238"/>
    <s v=""/>
  </r>
  <r>
    <x v="39"/>
    <x v="11"/>
    <x v="1"/>
    <x v="0"/>
    <x v="17"/>
    <x v="13"/>
    <x v="1"/>
    <x v="6"/>
    <m/>
    <x v="5"/>
    <n v="-67.98999999999999"/>
    <m/>
    <s v="GBX"/>
    <x v="0"/>
    <x v="0"/>
    <n v="-67.98999999999999"/>
    <n v="170.01"/>
    <x v="1"/>
    <n v="12000"/>
    <s v=""/>
    <s v=""/>
    <n v="12000"/>
    <n v="108000"/>
    <n v="0.5745708333333333"/>
    <n v="39.4333"/>
    <s v=""/>
    <x v="14"/>
    <n v="-67.98999999999999"/>
    <n v="-67.98999999999999"/>
    <n v="-67.98999999999999"/>
    <s v=""/>
  </r>
  <r>
    <x v="40"/>
    <x v="12"/>
    <x v="0"/>
    <x v="0"/>
    <x v="9"/>
    <x v="14"/>
    <x v="1"/>
    <x v="17"/>
    <m/>
    <x v="1"/>
    <n v="363.34"/>
    <m/>
    <s v="CCL"/>
    <x v="0"/>
    <x v="1"/>
    <n v="363.34"/>
    <n v="363.34"/>
    <x v="17"/>
    <n v="24500"/>
    <s v=""/>
    <s v=""/>
    <n v="539000"/>
    <n v="539000"/>
    <n v="0.2460465677179962"/>
    <n v="24.13666"/>
    <s v=""/>
    <x v="15"/>
    <n v="363.34"/>
    <n v="363.34"/>
    <n v="363.34"/>
    <s v=""/>
  </r>
  <r>
    <x v="41"/>
    <x v="12"/>
    <x v="1"/>
    <x v="0"/>
    <x v="19"/>
    <x v="14"/>
    <x v="1"/>
    <x v="17"/>
    <m/>
    <x v="1"/>
    <n v="-96.64"/>
    <m/>
    <s v="CCL"/>
    <x v="1"/>
    <x v="0"/>
    <n v="-96.64"/>
    <n v="266.7"/>
    <x v="1"/>
    <n v="24500"/>
    <s v=""/>
    <s v=""/>
    <n v="24500"/>
    <n v="563500"/>
    <n v="0.172751552795031"/>
    <n v="24.2333"/>
    <s v=""/>
    <x v="15"/>
    <n v="-96.64"/>
    <n v="-96.64"/>
    <n v="-96.64"/>
    <s v=""/>
  </r>
  <r>
    <x v="42"/>
    <x v="13"/>
    <x v="0"/>
    <x v="0"/>
    <x v="20"/>
    <x v="12"/>
    <x v="1"/>
    <x v="18"/>
    <m/>
    <x v="5"/>
    <n v="385"/>
    <m/>
    <s v="BIG"/>
    <x v="0"/>
    <x v="0"/>
    <n v="385"/>
    <n v="385"/>
    <x v="9"/>
    <n v="18750"/>
    <s v=""/>
    <s v=""/>
    <n v="187500"/>
    <n v="187500"/>
    <n v="0.7494666666666666"/>
    <n v="61.21666666666667"/>
    <s v=""/>
    <x v="13"/>
    <n v="385"/>
    <n v="385"/>
    <n v="385"/>
    <s v=""/>
  </r>
  <r>
    <x v="43"/>
    <x v="13"/>
    <x v="1"/>
    <x v="0"/>
    <x v="21"/>
    <x v="12"/>
    <x v="1"/>
    <x v="18"/>
    <m/>
    <x v="0"/>
    <n v="-65.33"/>
    <m/>
    <s v="BIG"/>
    <x v="0"/>
    <x v="0"/>
    <n v="-65.33"/>
    <n v="319.67"/>
    <x v="1"/>
    <n v="12500"/>
    <s v=""/>
    <s v=""/>
    <n v="12500"/>
    <n v="200000"/>
    <n v="0.58339775"/>
    <n v="60.90165"/>
    <s v=""/>
    <x v="13"/>
    <n v="-65.33"/>
    <n v="-65.33"/>
    <n v="-65.33"/>
    <s v=""/>
  </r>
  <r>
    <x v="44"/>
    <x v="13"/>
    <x v="2"/>
    <x v="0"/>
    <x v="21"/>
    <x v="12"/>
    <x v="1"/>
    <x v="18"/>
    <m/>
    <x v="4"/>
    <n v="-32.66"/>
    <m/>
    <s v="BIG"/>
    <x v="0"/>
    <x v="0"/>
    <n v="-32.66"/>
    <n v="287.01"/>
    <x v="1"/>
    <n v="6250"/>
    <s v=""/>
    <s v=""/>
    <n v="6250"/>
    <n v="206250"/>
    <n v="0.5079207272727272"/>
    <n v="59.6299"/>
    <s v=""/>
    <x v="13"/>
    <n v="-32.66"/>
    <n v="-32.66"/>
    <n v="-32.66"/>
    <s v=""/>
  </r>
  <r>
    <x v="45"/>
    <x v="14"/>
    <x v="0"/>
    <x v="0"/>
    <x v="20"/>
    <x v="15"/>
    <x v="8"/>
    <x v="19"/>
    <m/>
    <x v="6"/>
    <n v="308.01"/>
    <m/>
    <s v="BBBY"/>
    <x v="0"/>
    <x v="1"/>
    <n v="308.01"/>
    <n v="308.01"/>
    <x v="18"/>
    <n v="14100"/>
    <s v=""/>
    <s v=""/>
    <n v="239700"/>
    <n v="239700"/>
    <n v="0.4690181476846058"/>
    <n v="22.98665"/>
    <s v=""/>
    <x v="16"/>
    <n v="308.01"/>
    <n v="308.01"/>
    <n v="308.01"/>
    <s v=""/>
  </r>
  <r>
    <x v="46"/>
    <x v="14"/>
    <x v="1"/>
    <x v="0"/>
    <x v="22"/>
    <x v="15"/>
    <x v="8"/>
    <x v="19"/>
    <m/>
    <x v="6"/>
    <n v="-411.98"/>
    <m/>
    <s v="BBBY"/>
    <x v="1"/>
    <x v="0"/>
    <n v="-411.98"/>
    <n v="-103.97"/>
    <x v="1"/>
    <n v="14100"/>
    <s v=""/>
    <s v=""/>
    <n v="14100"/>
    <n v="253800"/>
    <n v="-0.1495234436564224"/>
    <n v="23.67328333333333"/>
    <s v=""/>
    <x v="16"/>
    <n v="-411.98"/>
    <n v="-411.98"/>
    <n v="-411.98"/>
    <s v=""/>
  </r>
  <r>
    <x v="47"/>
    <x v="14"/>
    <x v="2"/>
    <x v="0"/>
    <x v="22"/>
    <x v="14"/>
    <x v="1"/>
    <x v="20"/>
    <m/>
    <x v="6"/>
    <n v="560.01"/>
    <m/>
    <s v="BBBY"/>
    <x v="1"/>
    <x v="0"/>
    <n v="560.01"/>
    <n v="456.04"/>
    <x v="1"/>
    <n v="13800"/>
    <s v=""/>
    <s v=""/>
    <n v="13800"/>
    <n v="267600"/>
    <n v="0.6220276532137518"/>
    <n v="22.23993333333333"/>
    <s v=""/>
    <x v="15"/>
    <n v="560.01"/>
    <n v="560.01"/>
    <n v="560.01"/>
    <s v=""/>
  </r>
  <r>
    <x v="48"/>
    <x v="14"/>
    <x v="3"/>
    <x v="0"/>
    <x v="19"/>
    <x v="14"/>
    <x v="1"/>
    <x v="20"/>
    <m/>
    <x v="6"/>
    <n v="-117.98"/>
    <m/>
    <s v="BBBY"/>
    <x v="1"/>
    <x v="0"/>
    <n v="-117.98"/>
    <n v="338.0599999999999"/>
    <x v="1"/>
    <n v="13800"/>
    <s v=""/>
    <s v=""/>
    <n v="13800"/>
    <n v="281400"/>
    <n v="0.4384928926794598"/>
    <n v="22.43656666666667"/>
    <s v=""/>
    <x v="15"/>
    <n v="-117.98"/>
    <n v="-117.98"/>
    <n v="-117.98"/>
    <s v=""/>
  </r>
  <r>
    <x v="49"/>
    <x v="15"/>
    <x v="0"/>
    <x v="0"/>
    <x v="17"/>
    <x v="15"/>
    <x v="8"/>
    <x v="21"/>
    <m/>
    <x v="3"/>
    <n v="329.33"/>
    <m/>
    <s v="UAL"/>
    <x v="0"/>
    <x v="1"/>
    <n v="329.33"/>
    <n v="329.33"/>
    <x v="6"/>
    <n v="20400"/>
    <s v=""/>
    <s v=""/>
    <n v="326400"/>
    <n v="326400"/>
    <n v="0.3682765012254902"/>
    <n v="50.176675"/>
    <s v=""/>
    <x v="16"/>
    <n v="329.33"/>
    <n v="329.33"/>
    <n v="329.33"/>
    <s v=""/>
  </r>
  <r>
    <x v="50"/>
    <x v="15"/>
    <x v="1"/>
    <x v="0"/>
    <x v="22"/>
    <x v="15"/>
    <x v="8"/>
    <x v="21"/>
    <m/>
    <x v="3"/>
    <n v="-150.66"/>
    <m/>
    <s v="UAL"/>
    <x v="1"/>
    <x v="0"/>
    <n v="-150.66"/>
    <n v="178.67"/>
    <x v="1"/>
    <n v="20400"/>
    <s v=""/>
    <s v=""/>
    <n v="20400"/>
    <n v="346800"/>
    <n v="0.188046568627451"/>
    <n v="50.553325"/>
    <s v=""/>
    <x v="16"/>
    <n v="-150.66"/>
    <n v="-150.66"/>
    <n v="-150.66"/>
    <s v=""/>
  </r>
  <r>
    <x v="51"/>
    <x v="15"/>
    <x v="2"/>
    <x v="0"/>
    <x v="22"/>
    <x v="14"/>
    <x v="1"/>
    <x v="22"/>
    <m/>
    <x v="3"/>
    <n v="337.33"/>
    <m/>
    <s v="UAL"/>
    <x v="1"/>
    <x v="0"/>
    <n v="337.33"/>
    <n v="516"/>
    <x v="1"/>
    <n v="20000"/>
    <s v=""/>
    <s v=""/>
    <n v="20000"/>
    <n v="366800"/>
    <n v="0.5134678298800436"/>
    <n v="48.71"/>
    <s v=""/>
    <x v="15"/>
    <n v="337.33"/>
    <n v="337.33"/>
    <n v="337.33"/>
    <s v=""/>
  </r>
  <r>
    <x v="52"/>
    <x v="15"/>
    <x v="3"/>
    <x v="0"/>
    <x v="19"/>
    <x v="14"/>
    <x v="1"/>
    <x v="22"/>
    <m/>
    <x v="3"/>
    <n v="-62.66"/>
    <m/>
    <s v="UAL"/>
    <x v="1"/>
    <x v="0"/>
    <n v="-62.66"/>
    <n v="453.34"/>
    <x v="1"/>
    <n v="20000"/>
    <s v=""/>
    <s v=""/>
    <n v="20000"/>
    <n v="386800"/>
    <n v="0.4277898138572906"/>
    <n v="48.86665"/>
    <s v=""/>
    <x v="15"/>
    <n v="-62.66"/>
    <n v="-62.66"/>
    <n v="-62.66"/>
    <s v=""/>
  </r>
  <r>
    <x v="53"/>
    <x v="16"/>
    <x v="0"/>
    <x v="0"/>
    <x v="23"/>
    <x v="12"/>
    <x v="6"/>
    <x v="9"/>
    <m/>
    <x v="0"/>
    <n v="192.67"/>
    <m/>
    <s v="SFIX"/>
    <x v="0"/>
    <x v="0"/>
    <n v="192.67"/>
    <n v="192.67"/>
    <x v="16"/>
    <n v="9000"/>
    <s v=""/>
    <s v=""/>
    <n v="72000"/>
    <n v="72000"/>
    <n v="0.9767298611111109"/>
    <n v="44.03665"/>
    <s v=""/>
    <x v="13"/>
    <n v="192.67"/>
    <n v="192.67"/>
    <n v="192.67"/>
    <s v=""/>
  </r>
  <r>
    <x v="54"/>
    <x v="16"/>
    <x v="1"/>
    <x v="0"/>
    <x v="21"/>
    <x v="12"/>
    <x v="6"/>
    <x v="9"/>
    <m/>
    <x v="0"/>
    <n v="-1241.33"/>
    <m/>
    <s v="SFIX"/>
    <x v="0"/>
    <x v="0"/>
    <n v="-1241.33"/>
    <n v="-1048.66"/>
    <x v="1"/>
    <n v="9000"/>
    <s v=""/>
    <s v=""/>
    <n v="9000"/>
    <n v="81000"/>
    <n v="-4.725443209876543"/>
    <n v="50.2433"/>
    <s v=""/>
    <x v="13"/>
    <n v="-1241.33"/>
    <n v="-1241.33"/>
    <n v="-1241.33"/>
    <s v=""/>
  </r>
  <r>
    <x v="55"/>
    <x v="16"/>
    <x v="2"/>
    <x v="0"/>
    <x v="21"/>
    <x v="2"/>
    <x v="5"/>
    <x v="23"/>
    <m/>
    <x v="0"/>
    <n v="1298.66"/>
    <m/>
    <s v="SFIX"/>
    <x v="0"/>
    <x v="1"/>
    <n v="1298.66"/>
    <n v="250.0000000000002"/>
    <x v="19"/>
    <n v="8600"/>
    <n v="8600"/>
    <n v="8600"/>
    <n v="309600"/>
    <n v="390600"/>
    <n v="0.2336149513568871"/>
    <n v="41.75"/>
    <n v="200"/>
    <x v="11"/>
    <s v=""/>
    <s v=""/>
    <s v=""/>
    <n v="1298.66"/>
  </r>
  <r>
    <x v="56"/>
    <x v="17"/>
    <x v="0"/>
    <x v="0"/>
    <x v="12"/>
    <x v="2"/>
    <x v="1"/>
    <x v="1"/>
    <m/>
    <x v="0"/>
    <n v="198.67"/>
    <m/>
    <s v="EAT"/>
    <x v="0"/>
    <x v="1"/>
    <n v="198.67"/>
    <n v="198.67"/>
    <x v="20"/>
    <n v="13000"/>
    <n v="13000"/>
    <n v="13000"/>
    <n v="273000"/>
    <n v="273000"/>
    <n v="0.2656210622710622"/>
    <n v="64.00664999999999"/>
    <n v="200"/>
    <x v="2"/>
    <n v="198.67"/>
    <n v="198.67"/>
    <n v="198.67"/>
    <s v=""/>
  </r>
  <r>
    <x v="57"/>
    <x v="17"/>
    <x v="1"/>
    <x v="0"/>
    <x v="24"/>
    <x v="2"/>
    <x v="1"/>
    <x v="1"/>
    <m/>
    <x v="0"/>
    <n v="458.67"/>
    <m/>
    <s v="EAT"/>
    <x v="0"/>
    <x v="1"/>
    <n v="458.67"/>
    <n v="657.34"/>
    <x v="18"/>
    <n v="13000"/>
    <n v="13000"/>
    <n v="13000"/>
    <n v="221000"/>
    <n v="494000"/>
    <n v="0.4856864372469636"/>
    <n v="61.7133"/>
    <n v="200"/>
    <x v="2"/>
    <n v="458.67"/>
    <n v="458.67"/>
    <n v="458.67"/>
    <s v=""/>
  </r>
  <r>
    <x v="58"/>
    <x v="18"/>
    <x v="0"/>
    <x v="0"/>
    <x v="21"/>
    <x v="16"/>
    <x v="9"/>
    <x v="24"/>
    <m/>
    <x v="0"/>
    <n v="498.67"/>
    <m/>
    <s v="PCAR"/>
    <x v="0"/>
    <x v="0"/>
    <n v="498.67"/>
    <n v="498.67"/>
    <x v="7"/>
    <n v="18000"/>
    <s v=""/>
    <s v=""/>
    <n v="72000"/>
    <n v="72000"/>
    <n v="2.527979861111112"/>
    <n v="87.50664999999999"/>
    <s v=""/>
    <x v="17"/>
    <n v="498.67"/>
    <n v="498.67"/>
    <n v="498.67"/>
    <s v=""/>
  </r>
  <r>
    <x v="59"/>
    <x v="18"/>
    <x v="1"/>
    <x v="0"/>
    <x v="25"/>
    <x v="16"/>
    <x v="9"/>
    <x v="24"/>
    <m/>
    <x v="0"/>
    <n v="-173.33"/>
    <m/>
    <s v="PCAR"/>
    <x v="0"/>
    <x v="0"/>
    <n v="-173.33"/>
    <n v="325.34"/>
    <x v="1"/>
    <n v="18000"/>
    <s v=""/>
    <s v=""/>
    <n v="18000"/>
    <n v="90000"/>
    <n v="1.319434444444445"/>
    <n v="88.3733"/>
    <s v=""/>
    <x v="17"/>
    <n v="-173.33"/>
    <n v="-173.33"/>
    <n v="-173.33"/>
    <s v=""/>
  </r>
  <r>
    <x v="60"/>
    <x v="19"/>
    <x v="0"/>
    <x v="0"/>
    <x v="15"/>
    <x v="2"/>
    <x v="10"/>
    <x v="25"/>
    <m/>
    <x v="1"/>
    <n v="553.34"/>
    <m/>
    <s v="AAL"/>
    <x v="0"/>
    <x v="1"/>
    <n v="553.34"/>
    <n v="553.34"/>
    <x v="13"/>
    <n v="21000"/>
    <n v="21000"/>
    <n v="21000"/>
    <n v="588000"/>
    <n v="588000"/>
    <n v="0.3434848639455783"/>
    <n v="20.44666"/>
    <n v="1000"/>
    <x v="18"/>
    <s v=""/>
    <s v=""/>
    <s v=""/>
    <n v="553.34"/>
  </r>
  <r>
    <x v="61"/>
    <x v="20"/>
    <x v="0"/>
    <x v="0"/>
    <x v="25"/>
    <x v="2"/>
    <x v="7"/>
    <x v="22"/>
    <m/>
    <x v="0"/>
    <n v="304.67"/>
    <m/>
    <s v="SNAP"/>
    <x v="0"/>
    <x v="1"/>
    <n v="304.67"/>
    <n v="304.67"/>
    <x v="14"/>
    <n v="10000"/>
    <n v="10000"/>
    <n v="10000"/>
    <n v="180000"/>
    <n v="180000"/>
    <n v="0.6178030555555556"/>
    <n v="48.47665"/>
    <n v="200"/>
    <x v="19"/>
    <s v=""/>
    <s v=""/>
    <s v=""/>
    <n v="304.67"/>
  </r>
  <r>
    <x v="62"/>
    <x v="21"/>
    <x v="0"/>
    <x v="0"/>
    <x v="26"/>
    <x v="2"/>
    <x v="10"/>
    <x v="17"/>
    <m/>
    <x v="3"/>
    <n v="265.33"/>
    <m/>
    <s v="DBX"/>
    <x v="0"/>
    <x v="1"/>
    <n v="265.33"/>
    <n v="265.33"/>
    <x v="21"/>
    <n v="9800"/>
    <n v="9800"/>
    <n v="9800"/>
    <n v="235200"/>
    <n v="235200"/>
    <n v="0.4117578656462585"/>
    <n v="23.836675"/>
    <n v="400"/>
    <x v="18"/>
    <s v=""/>
    <s v=""/>
    <s v=""/>
    <n v="265.33"/>
  </r>
  <r>
    <x v="63"/>
    <x v="22"/>
    <x v="0"/>
    <x v="0"/>
    <x v="27"/>
    <x v="2"/>
    <x v="9"/>
    <x v="26"/>
    <m/>
    <x v="0"/>
    <n v="276.67"/>
    <m/>
    <s v="AMD"/>
    <x v="0"/>
    <x v="1"/>
    <n v="276.67"/>
    <n v="276.67"/>
    <x v="22"/>
    <n v="14000"/>
    <n v="14000"/>
    <n v="14000"/>
    <n v="448000"/>
    <n v="448000"/>
    <n v="0.2254119419642857"/>
    <n v="68.61664999999999"/>
    <n v="200"/>
    <x v="20"/>
    <s v=""/>
    <s v=""/>
    <s v=""/>
    <n v="276.67"/>
  </r>
  <r>
    <x v="64"/>
    <x v="23"/>
    <x v="0"/>
    <x v="0"/>
    <x v="27"/>
    <x v="2"/>
    <x v="9"/>
    <x v="27"/>
    <m/>
    <x v="4"/>
    <n v="93.34"/>
    <m/>
    <s v="NRG"/>
    <x v="0"/>
    <x v="1"/>
    <n v="93.34"/>
    <n v="93.34"/>
    <x v="22"/>
    <n v="3300"/>
    <n v="3300"/>
    <n v="3300"/>
    <n v="105600"/>
    <n v="105600"/>
    <n v="0.322624053030303"/>
    <n v="32.0666"/>
    <n v="100"/>
    <x v="20"/>
    <s v=""/>
    <s v=""/>
    <s v=""/>
    <n v="93.34"/>
  </r>
  <r>
    <x v="65"/>
    <x v="23"/>
    <x v="1"/>
    <x v="0"/>
    <x v="27"/>
    <x v="2"/>
    <x v="9"/>
    <x v="27"/>
    <m/>
    <x v="0"/>
    <n v="186.66"/>
    <m/>
    <s v="NRG"/>
    <x v="0"/>
    <x v="1"/>
    <n v="186.66"/>
    <n v="280"/>
    <x v="22"/>
    <n v="6600"/>
    <n v="6600"/>
    <n v="6600"/>
    <n v="211200"/>
    <n v="316800"/>
    <n v="0.3226010101010101"/>
    <n v="31.6"/>
    <n v="200"/>
    <x v="20"/>
    <s v=""/>
    <s v=""/>
    <s v=""/>
    <n v="186.66"/>
  </r>
  <r>
    <x v="66"/>
    <x v="24"/>
    <x v="0"/>
    <x v="0"/>
    <x v="27"/>
    <x v="2"/>
    <x v="5"/>
    <x v="28"/>
    <m/>
    <x v="0"/>
    <n v="528.67"/>
    <m/>
    <s v="IRBT"/>
    <x v="0"/>
    <x v="1"/>
    <n v="528.67"/>
    <n v="528.67"/>
    <x v="15"/>
    <n v="18200"/>
    <n v="18200"/>
    <n v="18200"/>
    <n v="455000"/>
    <n v="455000"/>
    <n v="0.4240979120879121"/>
    <n v="88.35665"/>
    <n v="200"/>
    <x v="11"/>
    <s v=""/>
    <s v=""/>
    <s v=""/>
    <n v="528.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40" applyNumberFormats="0" applyBorderFormats="0" applyFontFormats="0" applyPatternFormats="0" applyAlignmentFormats="0" applyWidthHeightFormats="1" dataCaption="Values" missingCaption="-----" updatedVersion="7" minRefreshableVersion="3" showDrill="0" colGrandTotals="0" itemPrintTitles="1" createdVersion="6" indent="0" compact="0" compactData="0" multipleFieldFilters="0">
  <location ref="A6:K20" firstHeaderRow="1" firstDataRow="1" firstDataCol="10" rowPageCount="1" colPageCount="1"/>
  <pivotFields count="31">
    <pivotField axis="axisRow" compact="0" outline="0" showAll="0" defaultSubtotal="0">
      <items count="166">
        <item m="1" x="83"/>
        <item m="1" x="86"/>
        <item m="1" x="125"/>
        <item m="1" x="93"/>
        <item m="1" x="107"/>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113"/>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Row" compact="0" outline="0" showAll="0" defaultSubtotal="0">
      <items count="205">
        <item x="0"/>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m="1" x="25"/>
        <item m="1" x="105"/>
        <item m="1" x="176"/>
      </items>
    </pivotField>
    <pivotField axis="axisRow" compact="0" outline="0" subtotalTop="0" showAll="0" defaultSubtotal="0">
      <items count="18">
        <item x="0"/>
        <item x="2"/>
        <item x="1"/>
        <item x="3"/>
        <item x="6"/>
        <item x="5"/>
        <item x="4"/>
        <item x="7"/>
        <item m="1" x="9"/>
        <item m="1" x="17"/>
        <item m="1" x="16"/>
        <item m="1" x="15"/>
        <item x="8"/>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Page" compact="0" outline="0" multipleItemSelectionAllowed="1" showAll="0" defaultSubtotal="0">
      <items count="219">
        <item m="1" x="42"/>
        <item h="1" m="1" x="161"/>
        <item h="1" m="1" x="166"/>
        <item h="1" m="1" x="57"/>
        <item h="1" m="1" x="123"/>
        <item h="1" m="1" x="217"/>
        <item h="1" m="1" x="200"/>
        <item h="1" m="1" x="101"/>
        <item h="1" m="1" x="23"/>
        <item h="1" m="1" x="66"/>
        <item h="1" m="1" x="188"/>
        <item h="1" m="1" x="18"/>
        <item h="1" m="1" x="148"/>
        <item h="1" m="1" x="139"/>
        <item h="1" m="1" x="118"/>
        <item h="1" m="1" x="159"/>
        <item h="1" m="1" x="142"/>
        <item h="1" m="1" x="43"/>
        <item h="1" m="1" x="133"/>
        <item h="1" m="1" x="183"/>
        <item h="1" m="1" x="79"/>
        <item h="1" m="1" x="40"/>
        <item h="1" m="1" x="70"/>
        <item h="1" m="1" x="90"/>
        <item h="1" m="1" x="58"/>
        <item h="1" m="1" x="170"/>
        <item h="1" m="1" x="113"/>
        <item h="1" m="1" x="204"/>
        <item h="1" m="1" x="194"/>
        <item h="1" m="1" x="213"/>
        <item h="1" m="1" x="98"/>
        <item h="1" m="1" x="32"/>
        <item h="1" m="1" x="209"/>
        <item h="1" m="1" x="92"/>
        <item h="1" m="1" x="179"/>
        <item h="1" m="1" x="162"/>
        <item h="1" m="1" x="211"/>
        <item h="1" m="1" x="207"/>
        <item h="1" m="1" x="59"/>
        <item h="1" m="1" x="109"/>
        <item h="1" m="1" x="197"/>
        <item h="1" m="1" x="46"/>
        <item h="1" m="1" x="128"/>
        <item h="1" m="1" x="53"/>
        <item h="1" m="1" x="143"/>
        <item h="1" m="1" x="167"/>
        <item h="1" m="1" x="134"/>
        <item h="1" m="1" x="124"/>
        <item h="1" m="1" x="17"/>
        <item h="1" m="1" x="153"/>
        <item h="1" m="1" x="146"/>
        <item h="1" m="1" x="83"/>
        <item h="1" m="1" x="171"/>
        <item h="1" m="1" x="137"/>
        <item h="1" m="1" x="114"/>
        <item h="1" m="1" x="106"/>
        <item h="1" m="1" x="93"/>
        <item h="1" m="1" x="87"/>
        <item h="1" m="1" x="104"/>
        <item h="1" m="1" x="30"/>
        <item h="1" m="1" x="84"/>
        <item h="1" m="1" x="47"/>
        <item h="1" m="1" x="218"/>
        <item h="1" m="1" x="67"/>
        <item h="1" m="1" x="27"/>
        <item h="1" m="1" x="135"/>
        <item h="1" m="1" x="215"/>
        <item h="1" m="1" x="126"/>
        <item h="1" m="1" x="64"/>
        <item h="1" m="1" x="25"/>
        <item h="1" m="1" x="111"/>
        <item h="1" m="1" x="201"/>
        <item h="1" m="1" x="105"/>
        <item h="1" m="1" x="189"/>
        <item h="1" m="1" x="97"/>
        <item h="1" m="1" x="198"/>
        <item h="1" m="1" x="85"/>
        <item h="1" m="1" x="48"/>
        <item h="1" m="1" x="138"/>
        <item h="1" m="1" x="77"/>
        <item h="1" m="1" x="37"/>
        <item h="1" m="1" x="129"/>
        <item h="1" m="1" x="152"/>
        <item h="1" m="1" x="28"/>
        <item h="1" m="1" x="115"/>
        <item h="1" m="1" x="144"/>
        <item h="1" m="1" x="107"/>
        <item h="1" m="1" x="168"/>
        <item h="1" m="1" x="149"/>
        <item h="1" m="1" x="202"/>
        <item h="1" m="1" x="140"/>
        <item h="1" m="1" x="131"/>
        <item h="1" m="1" x="154"/>
        <item h="1" m="1" x="120"/>
        <item h="1" m="1" x="21"/>
        <item h="1" m="1" x="78"/>
        <item h="1" m="1" x="38"/>
        <item h="1" m="1" x="182"/>
        <item h="1" m="1" x="69"/>
        <item h="1" m="1" x="55"/>
        <item h="1" m="1" x="145"/>
        <item h="1" m="1" x="45"/>
        <item h="1" m="1" x="74"/>
        <item h="1" m="1" x="157"/>
        <item h="1" m="1" x="33"/>
        <item h="1" m="1" x="191"/>
        <item h="1" m="1" x="82"/>
        <item h="1" m="1" x="71"/>
        <item h="1" m="1" x="208"/>
        <item h="1" m="1" x="177"/>
        <item h="1" m="1" x="62"/>
        <item h="1" m="1" x="86"/>
        <item h="1" m="1" x="49"/>
        <item h="1" m="1" x="102"/>
        <item h="1" m="1" x="186"/>
        <item h="1" m="1" x="117"/>
        <item h="1" m="1" x="206"/>
        <item h="1" m="1" x="19"/>
        <item h="1" m="1" x="108"/>
        <item h="1" m="1" x="196"/>
        <item h="1" m="1" x="216"/>
        <item h="1" m="1" x="100"/>
        <item h="1" m="1" x="184"/>
        <item h="1" m="1" x="34"/>
        <item h="1" m="1" x="94"/>
        <item h="1" m="1" x="180"/>
        <item h="1" m="1" x="203"/>
        <item h="1" m="1" x="88"/>
        <item h="1" m="1" x="174"/>
        <item h="1" m="1" x="72"/>
        <item h="1" m="1" x="155"/>
        <item h="1" m="1" x="31"/>
        <item h="1" m="1" x="122"/>
        <item h="1" m="1" x="63"/>
        <item h="1" m="1" x="147"/>
        <item h="1" m="1" x="22"/>
        <item h="1" m="1" x="110"/>
        <item h="1" m="1" x="50"/>
        <item h="1" m="1" x="103"/>
        <item h="1" m="1" x="210"/>
        <item h="1" m="1" x="96"/>
        <item h="1" m="1" x="169"/>
        <item h="1" m="1" x="136"/>
        <item h="1" m="1" x="185"/>
        <item h="1" m="1" x="75"/>
        <item h="1" m="1" x="158"/>
        <item h="1" m="1" x="127"/>
        <item h="1" m="1" x="181"/>
        <item h="1" m="1" x="150"/>
        <item h="1" m="1" x="112"/>
        <item h="1" m="1" x="51"/>
        <item h="1" m="1" x="195"/>
        <item h="1" m="1" x="119"/>
        <item h="1" m="1" x="35"/>
        <item h="1" m="1" x="130"/>
        <item h="1" m="1" x="178"/>
        <item h="1" m="1" x="91"/>
        <item h="1" m="1" x="121"/>
        <item h="1" m="1" x="172"/>
        <item h="1" m="1" x="175"/>
        <item h="1" m="1" x="116"/>
        <item h="1" m="1" x="95"/>
        <item h="1" m="1" x="163"/>
        <item h="1" m="1" x="61"/>
        <item h="1" m="1" x="173"/>
        <item h="1" m="1" x="52"/>
        <item h="1" m="1" x="212"/>
        <item h="1" m="1" x="190"/>
        <item h="1" m="1" x="68"/>
        <item h="1" m="1" x="160"/>
        <item h="1" m="1" x="89"/>
        <item h="1" m="1" x="151"/>
        <item h="1" m="1" x="60"/>
        <item h="1" m="1" x="176"/>
        <item h="1" m="1" x="24"/>
        <item h="1" m="1" x="125"/>
        <item h="1" m="1" x="99"/>
        <item h="1" m="1" x="205"/>
        <item h="1" m="1" x="81"/>
        <item h="1" m="1" x="20"/>
        <item h="1" m="1" x="214"/>
        <item h="1" m="1" x="44"/>
        <item h="1" m="1" x="54"/>
        <item h="1" m="1" x="36"/>
        <item h="1" m="1" x="80"/>
        <item h="1" m="1" x="26"/>
        <item h="1" m="1" x="132"/>
        <item h="1" m="1" x="199"/>
        <item h="1" m="1" x="164"/>
        <item h="1" m="1" x="187"/>
        <item h="1" m="1" x="39"/>
        <item h="1" m="1" x="29"/>
        <item h="1" m="1" x="56"/>
        <item h="1" m="1" x="65"/>
        <item h="1" m="1" x="192"/>
        <item h="1" m="1" x="41"/>
        <item h="1" m="1" x="165"/>
        <item x="2"/>
        <item h="1" m="1" x="73"/>
        <item h="1" m="1" x="141"/>
        <item h="1" x="1"/>
        <item h="1" x="0"/>
        <item h="1" x="3"/>
        <item h="1" m="1" x="193"/>
        <item h="1" x="4"/>
        <item h="1" x="5"/>
        <item h="1" x="7"/>
        <item h="1" x="8"/>
        <item h="1" x="6"/>
        <item h="1" m="1" x="156"/>
        <item h="1" x="13"/>
        <item h="1" x="9"/>
        <item h="1" m="1" x="76"/>
        <item h="1" x="11"/>
        <item h="1" x="12"/>
        <item h="1" x="16"/>
        <item h="1" x="10"/>
        <item h="1" x="14"/>
        <item h="1" x="15"/>
      </items>
    </pivotField>
    <pivotField axis="axisRow" compact="0" outline="0" showAll="0" sortType="ascending"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42"/>
        <item m="1" x="37"/>
        <item m="1" x="32"/>
        <item m="1" x="31"/>
        <item m="1" x="13"/>
        <item m="1" x="57"/>
        <item m="1" x="91"/>
        <item m="1" x="90"/>
        <item m="1" x="87"/>
        <item m="1" x="40"/>
        <item m="1" x="83"/>
        <item m="1" x="78"/>
        <item m="1" x="34"/>
        <item m="1" x="58"/>
        <item m="1" x="50"/>
        <item m="1" x="67"/>
        <item m="1" x="43"/>
        <item m="1" x="38"/>
        <item m="1" x="66"/>
        <item m="1" x="60"/>
        <item m="1" x="51"/>
        <item m="1" x="46"/>
        <item m="1" x="28"/>
        <item m="1" x="24"/>
        <item m="1" x="20"/>
        <item m="1" x="17"/>
        <item m="1" x="14"/>
        <item m="1" x="79"/>
        <item m="1" x="30"/>
        <item m="1" x="26"/>
        <item m="1" x="22"/>
        <item m="1" x="18"/>
        <item m="1" x="85"/>
        <item m="1" x="81"/>
        <item m="1" x="76"/>
        <item m="1" x="74"/>
        <item m="1" x="72"/>
        <item m="1" x="47"/>
        <item m="1" x="39"/>
        <item m="1" x="71"/>
        <item m="1" x="35"/>
        <item m="1" x="33"/>
        <item m="1" x="54"/>
        <item m="1" x="27"/>
        <item m="1" x="49"/>
        <item m="1" x="41"/>
        <item m="1" x="36"/>
        <item m="1" x="23"/>
        <item m="1" x="19"/>
        <item m="1" x="15"/>
        <item m="1" x="11"/>
        <item m="1" x="16"/>
        <item m="1" x="88"/>
        <item m="1" x="61"/>
        <item m="1" x="44"/>
        <item m="1" x="69"/>
        <item m="1" x="55"/>
        <item m="1" x="12"/>
        <item x="2"/>
        <item x="0"/>
        <item x="3"/>
        <item x="4"/>
        <item x="6"/>
        <item x="8"/>
        <item x="1"/>
        <item x="7"/>
        <item x="10"/>
        <item x="5"/>
        <item x="9"/>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x="11"/>
        <item m="1" x="148"/>
        <item m="1" x="155"/>
        <item m="1" x="91"/>
        <item m="1" x="166"/>
        <item m="1" x="129"/>
        <item x="27"/>
        <item m="1" x="35"/>
        <item m="1" x="135"/>
        <item m="1" x="100"/>
        <item x="3"/>
        <item m="1" x="106"/>
        <item m="1" x="114"/>
        <item x="6"/>
        <item m="1" x="120"/>
        <item m="1" x="87"/>
        <item x="5"/>
        <item x="23"/>
        <item m="1" x="61"/>
        <item x="10"/>
        <item x="9"/>
        <item m="1" x="138"/>
        <item m="1" x="101"/>
        <item x="16"/>
        <item x="22"/>
        <item m="1" x="47"/>
        <item x="21"/>
        <item m="1" x="84"/>
        <item m="1" x="55"/>
        <item m="1" x="123"/>
        <item m="1" x="89"/>
        <item m="1" x="165"/>
        <item m="1" x="32"/>
        <item m="1" x="132"/>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127"/>
        <item m="1" x="131"/>
        <item m="1" x="144"/>
        <item m="1" x="77"/>
        <item m="1" x="80"/>
        <item m="1" x="141"/>
        <item m="1" x="162"/>
        <item m="1" x="68"/>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numFmtId="1"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axis="axisRow" compact="0" outline="0" subtotalTop="0" showAll="0" defaultSubtotal="0">
      <items count="227">
        <item m="1" x="173"/>
        <item m="1" x="110"/>
        <item sd="0" m="1" x="81"/>
        <item m="1" x="131"/>
        <item m="1" x="66"/>
        <item m="1" x="4"/>
        <item m="1" x="199"/>
        <item m="1" x="20"/>
        <item m="1" x="26"/>
        <item m="1" x="155"/>
        <item m="1" x="215"/>
        <item m="1" x="115"/>
        <item m="1" x="39"/>
        <item m="1" x="172"/>
        <item m="1" x="211"/>
        <item m="1" x="47"/>
        <item m="1" x="102"/>
        <item m="1" x="188"/>
        <item m="1" x="132"/>
        <item m="1" x="107"/>
        <item m="1" x="112"/>
        <item m="1" x="226"/>
        <item m="1" x="191"/>
        <item m="1" x="149"/>
        <item m="1" x="90"/>
        <item m="1" x="123"/>
        <item m="1" x="59"/>
        <item m="1" x="61"/>
        <item m="1" x="216"/>
        <item m="1" x="148"/>
        <item m="1" x="15"/>
        <item m="1" x="174"/>
        <item m="1" x="65"/>
        <item m="1" x="213"/>
        <item m="1" x="118"/>
        <item m="1" x="100"/>
        <item m="1" x="190"/>
        <item m="1" x="70"/>
        <item m="1" x="7"/>
        <item m="1" x="98"/>
        <item m="1" x="201"/>
        <item m="1" x="40"/>
        <item m="1" x="218"/>
        <item m="1" x="13"/>
        <item m="1" x="116"/>
        <item m="1" x="105"/>
        <item m="1" x="219"/>
        <item m="1" x="151"/>
        <item m="1" x="223"/>
        <item m="1" x="38"/>
        <item m="1" x="189"/>
        <item m="1" x="74"/>
        <item m="1" x="113"/>
        <item m="1" x="31"/>
        <item m="1" x="136"/>
        <item m="1" x="111"/>
        <item m="1" x="179"/>
        <item m="1" x="52"/>
        <item m="1" x="210"/>
        <item m="1" x="183"/>
        <item m="1" x="37"/>
        <item m="1" x="141"/>
        <item m="1" x="145"/>
        <item m="1" x="202"/>
        <item m="1" x="51"/>
        <item m="1" x="101"/>
        <item m="1" x="8"/>
        <item m="1" x="161"/>
        <item m="1" x="214"/>
        <item m="1" x="94"/>
        <item m="1" x="196"/>
        <item m="1" x="92"/>
        <item m="1" x="34"/>
        <item m="1" x="17"/>
        <item m="1" x="193"/>
        <item m="1" x="73"/>
        <item m="1" x="86"/>
        <item m="1" x="195"/>
        <item m="1" x="45"/>
        <item m="1" x="205"/>
        <item m="1" x="84"/>
        <item m="1" x="225"/>
        <item m="1" x="209"/>
        <item m="1" x="6"/>
        <item m="1" x="138"/>
        <item m="1" x="162"/>
        <item m="1" x="85"/>
        <item m="1" x="221"/>
        <item m="1" x="176"/>
        <item m="1" x="50"/>
        <item m="1" x="77"/>
        <item m="1" x="192"/>
        <item m="1" x="126"/>
        <item m="1" x="64"/>
        <item m="1" x="165"/>
        <item m="1" x="129"/>
        <item m="1" x="135"/>
        <item m="1" x="16"/>
        <item m="1" x="200"/>
        <item m="1" x="134"/>
        <item m="1" x="49"/>
        <item m="1" x="57"/>
        <item m="1" x="35"/>
        <item m="1" x="62"/>
        <item m="1" x="63"/>
        <item m="1" x="93"/>
        <item m="1" x="204"/>
        <item m="1" x="25"/>
        <item m="1" x="19"/>
        <item m="1" x="158"/>
        <item m="1" x="121"/>
        <item m="1" x="14"/>
        <item m="1" x="152"/>
        <item m="1" x="103"/>
        <item m="1" x="186"/>
        <item m="1" x="168"/>
        <item m="1" x="68"/>
        <item m="1" x="23"/>
        <item m="1" x="89"/>
        <item m="1" x="53"/>
        <item m="1" x="24"/>
        <item m="1" x="159"/>
        <item m="1" x="140"/>
        <item m="1" x="42"/>
        <item m="1" x="184"/>
        <item m="1" x="9"/>
        <item m="1" x="157"/>
        <item m="1" x="142"/>
        <item m="1" x="170"/>
        <item m="1" x="99"/>
        <item m="1" x="108"/>
        <item m="1" x="106"/>
        <item m="1" x="144"/>
        <item m="1" x="119"/>
        <item m="1" x="88"/>
        <item m="1" x="21"/>
        <item m="1" x="95"/>
        <item m="1" x="154"/>
        <item m="1" x="97"/>
        <item m="1" x="28"/>
        <item m="1" x="29"/>
        <item m="1" x="166"/>
        <item m="1" x="82"/>
        <item m="1" x="72"/>
        <item m="1" x="104"/>
        <item m="1" x="220"/>
        <item m="1" x="150"/>
        <item m="1" x="18"/>
        <item m="1" x="30"/>
        <item m="1" x="33"/>
        <item m="1" x="96"/>
        <item m="1" x="43"/>
        <item m="1" x="114"/>
        <item m="1" x="122"/>
        <item m="1" x="120"/>
        <item m="1" x="69"/>
        <item m="1" x="109"/>
        <item m="1" x="163"/>
        <item m="1" x="3"/>
        <item m="1" x="181"/>
        <item m="1" x="10"/>
        <item m="1" x="54"/>
        <item m="1" x="217"/>
        <item m="1" x="224"/>
        <item m="1" x="146"/>
        <item m="1" x="169"/>
        <item m="1" x="71"/>
        <item m="1" x="194"/>
        <item m="1" x="153"/>
        <item m="1" x="60"/>
        <item m="1" x="133"/>
        <item m="1" x="137"/>
        <item m="1" x="197"/>
        <item m="1" x="48"/>
        <item m="1" x="206"/>
        <item m="1" x="182"/>
        <item m="1" x="87"/>
        <item m="1" x="130"/>
        <item m="1" x="139"/>
        <item m="1" x="12"/>
        <item m="1" x="67"/>
        <item m="1" x="91"/>
        <item m="1" x="22"/>
        <item m="1" x="44"/>
        <item m="1" x="164"/>
        <item m="1" x="185"/>
        <item x="1"/>
        <item m="1" x="124"/>
        <item m="1" x="58"/>
        <item m="1" x="46"/>
        <item m="1" x="2"/>
        <item m="1" x="76"/>
        <item m="1" x="41"/>
        <item m="1" x="177"/>
        <item m="1" x="36"/>
        <item m="1" x="187"/>
        <item m="1" x="27"/>
        <item m="1" x="78"/>
        <item m="1" x="175"/>
        <item m="1" x="203"/>
        <item m="1" x="178"/>
        <item m="1" x="147"/>
        <item m="1" x="80"/>
        <item m="1" x="167"/>
        <item m="1" x="208"/>
        <item m="1" x="79"/>
        <item m="1" x="128"/>
        <item m="1" x="160"/>
        <item m="1" x="156"/>
        <item m="1" x="207"/>
        <item m="1" x="11"/>
        <item m="1" x="83"/>
        <item m="1" x="212"/>
        <item m="1" x="125"/>
        <item m="1" x="143"/>
        <item m="1" x="5"/>
        <item m="1" x="32"/>
        <item m="1" x="171"/>
        <item m="1" x="56"/>
        <item m="1" x="222"/>
        <item m="1" x="180"/>
        <item m="1" x="55"/>
        <item m="1" x="75"/>
        <item m="1" x="127"/>
        <item m="1" x="198"/>
        <item m="1" x="117"/>
        <item x="0"/>
      </items>
    </pivotField>
    <pivotField axis="axisRow" compact="0" outline="0" subtotalTop="0" showAll="0" defaultSubtotal="0">
      <items count="79">
        <item x="0"/>
        <item m="1" x="38"/>
        <item m="1" x="57"/>
        <item m="1" x="65"/>
        <item m="1" x="44"/>
        <item m="1" x="54"/>
        <item m="1" x="25"/>
        <item m="1" x="76"/>
        <item m="1" x="36"/>
        <item m="1" x="47"/>
        <item m="1" x="50"/>
        <item m="1" x="72"/>
        <item m="1" x="66"/>
        <item m="1" x="40"/>
        <item m="1" x="33"/>
        <item m="1" x="78"/>
        <item m="1" x="23"/>
        <item m="1" x="53"/>
        <item m="1" x="46"/>
        <item m="1" x="5"/>
        <item m="1" x="35"/>
        <item m="1" x="58"/>
        <item m="1" x="8"/>
        <item m="1" x="61"/>
        <item m="1" x="62"/>
        <item m="1" x="3"/>
        <item m="1" x="63"/>
        <item m="1" x="67"/>
        <item m="1" x="19"/>
        <item m="1" x="37"/>
        <item m="1" x="77"/>
        <item m="1" x="73"/>
        <item m="1" x="17"/>
        <item m="1" x="49"/>
        <item m="1" x="70"/>
        <item m="1" x="7"/>
        <item m="1" x="14"/>
        <item m="1" x="55"/>
        <item m="1" x="2"/>
        <item m="1" x="15"/>
        <item m="1" x="34"/>
        <item m="1" x="6"/>
        <item m="1" x="22"/>
        <item m="1" x="56"/>
        <item m="1" x="59"/>
        <item m="1" x="30"/>
        <item m="1" x="74"/>
        <item m="1" x="32"/>
        <item m="1" x="16"/>
        <item m="1" x="29"/>
        <item m="1" x="21"/>
        <item m="1" x="10"/>
        <item m="1" x="39"/>
        <item m="1" x="45"/>
        <item m="1" x="43"/>
        <item m="1" x="52"/>
        <item m="1" x="18"/>
        <item m="1" x="60"/>
        <item m="1" x="48"/>
        <item m="1" x="24"/>
        <item m="1" x="20"/>
        <item m="1" x="4"/>
        <item m="1" x="12"/>
        <item m="1" x="13"/>
        <item m="1" x="41"/>
        <item m="1" x="68"/>
        <item m="1" x="28"/>
        <item m="1" x="9"/>
        <item m="1" x="64"/>
        <item m="1" x="51"/>
        <item m="1" x="75"/>
        <item m="1" x="26"/>
        <item m="1" x="11"/>
        <item m="1" x="71"/>
        <item m="1" x="27"/>
        <item m="1" x="69"/>
        <item m="1" x="42"/>
        <item m="1" x="31"/>
        <item x="1"/>
      </items>
    </pivotField>
    <pivotField compact="0" numFmtId="2" outline="0" showAll="0" defaultSubtotal="0"/>
    <pivotField compact="0" outline="0" showAll="0" defaultSubtotal="0"/>
    <pivotField compact="0" numFmtId="1" outline="0" showAll="0" defaultSubtotal="0"/>
    <pivotField compact="0" numFmtId="1" outline="0" showAll="0" defaultSubtotal="0"/>
    <pivotField dataField="1" compact="0" outline="0" showAll="0" defaultSubtotal="0"/>
    <pivotField compact="0" outline="0" subtotalTop="0" showAll="0" defaultSubtotal="0"/>
    <pivotField compact="0" numFmtId="1" outline="0" showAll="0" defaultSubtotal="0"/>
    <pivotField compact="0" numFmtId="1" outline="0" showAll="0" defaultSubtotal="0"/>
    <pivotField compact="0" outline="0" showAll="0" defaultSubtotal="0"/>
    <pivotField compact="0" numFmtId="2" outline="0" showAll="0" defaultSubtotal="0"/>
    <pivotField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0">
    <field x="6"/>
    <field x="1"/>
    <field x="0"/>
    <field x="2"/>
    <field x="3"/>
    <field x="4"/>
    <field x="7"/>
    <field x="13"/>
    <field x="14"/>
    <field x="9"/>
  </rowFields>
  <rowItems count="14">
    <i>
      <x v="87"/>
      <x/>
      <x v="100"/>
      <x v="3"/>
      <x v="10"/>
      <x v="223"/>
      <x v="161"/>
      <x v="226"/>
      <x v="78"/>
      <x v="1"/>
    </i>
    <i r="1">
      <x v="17"/>
      <x v="133"/>
      <x/>
      <x v="10"/>
      <x v="238"/>
      <x v="67"/>
      <x v="226"/>
      <x v="78"/>
      <x v="1"/>
    </i>
    <i r="2">
      <x v="135"/>
      <x v="2"/>
      <x v="10"/>
      <x v="240"/>
      <x v="67"/>
      <x v="226"/>
      <x v="78"/>
      <x v="1"/>
    </i>
    <i>
      <x v="88"/>
      <x v="20"/>
      <x v="148"/>
      <x/>
      <x v="10"/>
      <x v="244"/>
      <x v="50"/>
      <x v="226"/>
      <x v="78"/>
      <x v="1"/>
    </i>
    <i>
      <x v="89"/>
      <x v="19"/>
      <x v="144"/>
      <x/>
      <x v="10"/>
      <x v="243"/>
      <x v="21"/>
      <x v="226"/>
      <x v="78"/>
      <x v="7"/>
    </i>
    <i r="1">
      <x v="21"/>
      <x v="149"/>
      <x/>
      <x v="10"/>
      <x v="245"/>
      <x v="163"/>
      <x v="226"/>
      <x v="78"/>
      <x v="3"/>
    </i>
    <i>
      <x v="90"/>
      <x v="5"/>
      <x v="151"/>
      <x v="4"/>
      <x v="10"/>
      <x v="246"/>
      <x v="42"/>
      <x v="186"/>
      <x/>
      <x/>
    </i>
    <i r="2">
      <x v="153"/>
      <x v="12"/>
      <x v="10"/>
      <x v="246"/>
      <x v="42"/>
      <x v="186"/>
      <x/>
      <x/>
    </i>
    <i r="1">
      <x v="16"/>
      <x v="138"/>
      <x v="1"/>
      <x v="10"/>
      <x v="241"/>
      <x v="43"/>
      <x v="226"/>
      <x v="78"/>
      <x v="1"/>
    </i>
    <i r="1">
      <x v="24"/>
      <x v="165"/>
      <x/>
      <x v="10"/>
      <x v="249"/>
      <x v="167"/>
      <x v="226"/>
      <x v="78"/>
      <x v="1"/>
    </i>
    <i>
      <x v="91"/>
      <x v="22"/>
      <x v="162"/>
      <x/>
      <x v="10"/>
      <x v="249"/>
      <x v="146"/>
      <x v="226"/>
      <x v="78"/>
      <x v="1"/>
    </i>
    <i r="1">
      <x v="23"/>
      <x v="163"/>
      <x/>
      <x v="10"/>
      <x v="249"/>
      <x v="32"/>
      <x v="226"/>
      <x v="78"/>
      <x/>
    </i>
    <i r="2">
      <x v="164"/>
      <x v="2"/>
      <x v="10"/>
      <x v="249"/>
      <x v="32"/>
      <x v="226"/>
      <x v="78"/>
      <x v="1"/>
    </i>
    <i t="grand">
      <x/>
    </i>
  </rowItems>
  <colItems count="1">
    <i/>
  </colItems>
  <pageFields count="1">
    <pageField fld="5" hier="-1"/>
  </pageFields>
  <dataFields count="1">
    <dataField name="Req uired Cap" fld="19" baseField="6" baseItem="67"/>
  </dataFields>
  <formats count="1">
    <format dxfId="94">
      <pivotArea field="6" type="button" dataOnly="0" labelOnly="1" outline="0" axis="axisRow"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F000000}" name="PivotTable30"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65:N170"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5">
    <i>
      <x v="125"/>
      <x/>
      <x v="10"/>
      <x v="164"/>
      <x v="5"/>
      <x v="235"/>
      <x v="218"/>
      <x v="87"/>
      <x v="14"/>
    </i>
    <i>
      <x v="156"/>
      <x v="1"/>
      <x v="10"/>
      <x v="164"/>
      <x v="5"/>
      <x v="248"/>
      <x v="218"/>
      <x v="87"/>
      <x v="61"/>
    </i>
    <i>
      <x v="157"/>
      <x v="2"/>
      <x v="10"/>
      <x v="166"/>
      <x v="5"/>
      <x v="248"/>
      <x v="217"/>
      <x v="82"/>
      <x v="61"/>
    </i>
    <i>
      <x v="158"/>
      <x v="3"/>
      <x v="10"/>
      <x v="166"/>
      <x v="5"/>
      <x v="247"/>
      <x v="217"/>
      <x v="82"/>
      <x v="61"/>
    </i>
    <i t="grand">
      <x/>
    </i>
  </rowItems>
  <colFields count="1">
    <field x="-2"/>
  </colFields>
  <colItems count="5">
    <i>
      <x/>
    </i>
    <i i="1">
      <x v="1"/>
    </i>
    <i i="2">
      <x v="2"/>
    </i>
    <i i="3">
      <x v="3"/>
    </i>
    <i i="4">
      <x v="4"/>
    </i>
  </colItems>
  <pageFields count="1">
    <pageField fld="1" item="45"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37">
      <pivotArea outline="0" fieldPosition="0">
        <references count="1">
          <reference field="4294967294" count="1" selected="0">
            <x v="0"/>
          </reference>
        </references>
      </pivotArea>
    </format>
    <format dxfId="36">
      <pivotArea dataOnly="0" labelOnly="1" outline="0" fieldPosition="0">
        <references count="1">
          <reference field="4294967294" count="1">
            <x v="0"/>
          </reference>
        </references>
      </pivotArea>
    </format>
    <format dxfId="35">
      <pivotArea field="1" type="button" dataOnly="0" labelOnly="1" outline="0" axis="axisPage" fieldPosition="0"/>
    </format>
    <format dxfId="34">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400-00000C000000}" name="PivotTable26"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41:N144"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3">
    <i>
      <x v="123"/>
      <x/>
      <x v="10"/>
      <x v="163"/>
      <x v="7"/>
      <x v="234"/>
      <x v="217"/>
      <x v="82"/>
      <x v="19"/>
    </i>
    <i>
      <x v="155"/>
      <x v="1"/>
      <x v="10"/>
      <x v="163"/>
      <x v="7"/>
      <x v="247"/>
      <x v="217"/>
      <x v="82"/>
      <x v="61"/>
    </i>
    <i t="grand">
      <x/>
    </i>
  </rowItems>
  <colFields count="1">
    <field x="-2"/>
  </colFields>
  <colItems count="5">
    <i>
      <x/>
    </i>
    <i i="1">
      <x v="1"/>
    </i>
    <i i="2">
      <x v="2"/>
    </i>
    <i i="3">
      <x v="3"/>
    </i>
    <i i="4">
      <x v="4"/>
    </i>
  </colItems>
  <pageFields count="1">
    <pageField fld="1" item="43"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41">
      <pivotArea outline="0" fieldPosition="0">
        <references count="1">
          <reference field="4294967294" count="1" selected="0">
            <x v="0"/>
          </reference>
        </references>
      </pivotArea>
    </format>
    <format dxfId="40">
      <pivotArea dataOnly="0" labelOnly="1" outline="0" fieldPosition="0">
        <references count="1">
          <reference field="4294967294" count="1">
            <x v="0"/>
          </reference>
        </references>
      </pivotArea>
    </format>
    <format dxfId="39">
      <pivotArea field="1" type="button" dataOnly="0" labelOnly="1" outline="0" axis="axisPage" fieldPosition="0"/>
    </format>
    <format dxfId="38">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400-000008000000}" name="PivotTable19"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86:N91"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5">
    <i>
      <x v="116"/>
      <x/>
      <x v="10"/>
      <x v="22"/>
      <x v="7"/>
      <x v="232"/>
      <x v="213"/>
      <x v="86"/>
      <x v="25"/>
    </i>
    <i>
      <x v="141"/>
      <x v="1"/>
      <x v="10"/>
      <x v="22"/>
      <x v="7"/>
      <x v="243"/>
      <x v="213"/>
      <x v="86"/>
      <x v="61"/>
    </i>
    <i>
      <x v="142"/>
      <x v="2"/>
      <x v="10"/>
      <x v="165"/>
      <x v="7"/>
      <x v="243"/>
      <x v="213"/>
      <x v="90"/>
      <x v="61"/>
    </i>
    <i>
      <x v="143"/>
      <x v="3"/>
      <x v="10"/>
      <x v="165"/>
      <x v="7"/>
      <x v="243"/>
      <x v="213"/>
      <x v="90"/>
      <x v="61"/>
    </i>
    <i t="grand">
      <x/>
    </i>
  </rowItems>
  <colFields count="1">
    <field x="-2"/>
  </colFields>
  <colItems count="5">
    <i>
      <x/>
    </i>
    <i i="1">
      <x v="1"/>
    </i>
    <i i="2">
      <x v="2"/>
    </i>
    <i i="3">
      <x v="3"/>
    </i>
    <i i="4">
      <x v="4"/>
    </i>
  </colItems>
  <pageFields count="1">
    <pageField fld="1" item="38"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45">
      <pivotArea outline="0" fieldPosition="0">
        <references count="1">
          <reference field="4294967294" count="1" selected="0">
            <x v="0"/>
          </reference>
        </references>
      </pivotArea>
    </format>
    <format dxfId="44">
      <pivotArea dataOnly="0" labelOnly="1" outline="0" fieldPosition="0">
        <references count="1">
          <reference field="4294967294" count="1">
            <x v="0"/>
          </reference>
        </references>
      </pivotArea>
    </format>
    <format dxfId="43">
      <pivotArea field="1" type="button" dataOnly="0" labelOnly="1" outline="0" axis="axisPage" fieldPosition="0"/>
    </format>
    <format dxfId="42">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0"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224:N226"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2">
    <i>
      <x v="144"/>
      <x/>
      <x v="10"/>
      <x v="21"/>
      <x v="7"/>
      <x v="243"/>
      <x v="197"/>
      <x v="91"/>
      <x v="24"/>
    </i>
    <i t="grand">
      <x/>
    </i>
  </rowItems>
  <colFields count="1">
    <field x="-2"/>
  </colFields>
  <colItems count="5">
    <i>
      <x/>
    </i>
    <i i="1">
      <x v="1"/>
    </i>
    <i i="2">
      <x v="2"/>
    </i>
    <i i="3">
      <x v="3"/>
    </i>
    <i i="4">
      <x v="4"/>
    </i>
  </colItems>
  <pageFields count="1">
    <pageField fld="1" item="50"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49">
      <pivotArea outline="0" fieldPosition="0">
        <references count="1">
          <reference field="4294967294" count="1" selected="0">
            <x v="0"/>
          </reference>
        </references>
      </pivotArea>
    </format>
    <format dxfId="48">
      <pivotArea dataOnly="0" labelOnly="1" outline="0" fieldPosition="0">
        <references count="1">
          <reference field="4294967294" count="1">
            <x v="0"/>
          </reference>
        </references>
      </pivotArea>
    </format>
    <format dxfId="47">
      <pivotArea field="1" type="button" dataOnly="0" labelOnly="1" outline="0" axis="axisPage" fieldPosition="0"/>
    </format>
    <format dxfId="46">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15"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236:N238"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2">
    <i>
      <x v="148"/>
      <x/>
      <x v="10"/>
      <x v="57"/>
      <x v="1"/>
      <x v="244"/>
      <x v="197"/>
      <x v="90"/>
      <x v="15"/>
    </i>
    <i t="grand">
      <x/>
    </i>
  </rowItems>
  <colFields count="1">
    <field x="-2"/>
  </colFields>
  <colItems count="5">
    <i>
      <x/>
    </i>
    <i i="1">
      <x v="1"/>
    </i>
    <i i="2">
      <x v="2"/>
    </i>
    <i i="3">
      <x v="3"/>
    </i>
    <i i="4">
      <x v="4"/>
    </i>
  </colItems>
  <pageFields count="1">
    <pageField fld="1" item="51"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53">
      <pivotArea outline="0" fieldPosition="0">
        <references count="1">
          <reference field="4294967294" count="1" selected="0">
            <x v="0"/>
          </reference>
        </references>
      </pivotArea>
    </format>
    <format dxfId="52">
      <pivotArea dataOnly="0" labelOnly="1" outline="0" fieldPosition="0">
        <references count="1">
          <reference field="4294967294" count="1">
            <x v="0"/>
          </reference>
        </references>
      </pivotArea>
    </format>
    <format dxfId="51">
      <pivotArea field="1" type="button" dataOnly="0" labelOnly="1" outline="0" axis="axisPage" fieldPosition="0"/>
    </format>
    <format dxfId="50">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PivotTable16"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248:N250"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2">
    <i>
      <x v="149"/>
      <x/>
      <x v="10"/>
      <x v="163"/>
      <x v="3"/>
      <x v="245"/>
      <x v="197"/>
      <x v="91"/>
      <x v="21"/>
    </i>
    <i t="grand">
      <x/>
    </i>
  </rowItems>
  <colFields count="1">
    <field x="-2"/>
  </colFields>
  <colItems count="5">
    <i>
      <x/>
    </i>
    <i i="1">
      <x v="1"/>
    </i>
    <i i="2">
      <x v="2"/>
    </i>
    <i i="3">
      <x v="3"/>
    </i>
    <i i="4">
      <x v="4"/>
    </i>
  </colItems>
  <pageFields count="1">
    <pageField fld="1" item="52"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57">
      <pivotArea outline="0" fieldPosition="0">
        <references count="1">
          <reference field="4294967294" count="1" selected="0">
            <x v="0"/>
          </reference>
        </references>
      </pivotArea>
    </format>
    <format dxfId="56">
      <pivotArea dataOnly="0" labelOnly="1" outline="0" fieldPosition="0">
        <references count="1">
          <reference field="4294967294" count="1">
            <x v="0"/>
          </reference>
        </references>
      </pivotArea>
    </format>
    <format dxfId="55">
      <pivotArea field="1" type="button" dataOnly="0" labelOnly="1" outline="0" axis="axisPage" fieldPosition="0"/>
    </format>
    <format dxfId="54">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400-000009000000}" name="PivotTable2"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21:N24"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3">
    <i>
      <x v="101"/>
      <x/>
      <x v="10"/>
      <x v="41"/>
      <x v="1"/>
      <x v="224"/>
      <x v="202"/>
      <x v="81"/>
      <x v="9"/>
    </i>
    <i>
      <x v="102"/>
      <x v="1"/>
      <x v="10"/>
      <x v="41"/>
      <x v="1"/>
      <x v="225"/>
      <x v="202"/>
      <x v="81"/>
      <x v="61"/>
    </i>
    <i t="grand">
      <x/>
    </i>
  </rowItems>
  <colFields count="1">
    <field x="-2"/>
  </colFields>
  <colItems count="5">
    <i>
      <x/>
    </i>
    <i i="1">
      <x v="1"/>
    </i>
    <i i="2">
      <x v="2"/>
    </i>
    <i i="3">
      <x v="3"/>
    </i>
    <i i="4">
      <x v="4"/>
    </i>
  </colItems>
  <pageFields count="1">
    <pageField fld="1" item="32"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61">
      <pivotArea outline="0" fieldPosition="0">
        <references count="1">
          <reference field="4294967294" count="1" selected="0">
            <x v="0"/>
          </reference>
        </references>
      </pivotArea>
    </format>
    <format dxfId="60">
      <pivotArea dataOnly="0" labelOnly="1" outline="0" fieldPosition="0">
        <references count="1">
          <reference field="4294967294" count="1">
            <x v="0"/>
          </reference>
        </references>
      </pivotArea>
    </format>
    <format dxfId="59">
      <pivotArea field="1" type="button" dataOnly="0" labelOnly="1" outline="0" axis="axisPage" fieldPosition="0"/>
    </format>
    <format dxfId="58">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12"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78:N80"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2">
    <i>
      <x v="115"/>
      <x/>
      <x v="10"/>
      <x v="28"/>
      <x v="7"/>
      <x v="229"/>
      <x v="200"/>
      <x v="81"/>
      <x v="7"/>
    </i>
    <i t="grand">
      <x/>
    </i>
  </rowItems>
  <colFields count="1">
    <field x="-2"/>
  </colFields>
  <colItems count="5">
    <i>
      <x/>
    </i>
    <i i="1">
      <x v="1"/>
    </i>
    <i i="2">
      <x v="2"/>
    </i>
    <i i="3">
      <x v="3"/>
    </i>
    <i i="4">
      <x v="4"/>
    </i>
  </colItems>
  <pageFields count="1">
    <pageField fld="1" item="37"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65">
      <pivotArea outline="0" fieldPosition="0">
        <references count="1">
          <reference field="4294967294" count="1" selected="0">
            <x v="0"/>
          </reference>
        </references>
      </pivotArea>
    </format>
    <format dxfId="64">
      <pivotArea dataOnly="0" labelOnly="1" outline="0" fieldPosition="0">
        <references count="1">
          <reference field="4294967294" count="1">
            <x v="0"/>
          </reference>
        </references>
      </pivotArea>
    </format>
    <format dxfId="63">
      <pivotArea field="1" type="button" dataOnly="0" labelOnly="1" outline="0" axis="axisPage" fieldPosition="0"/>
    </format>
    <format dxfId="62">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400-000015000000}" name="PivotTable8"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201:N204"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3">
    <i>
      <x v="133"/>
      <x/>
      <x v="10"/>
      <x v="75"/>
      <x v="1"/>
      <x v="238"/>
      <x v="197"/>
      <x v="82"/>
      <x v="18"/>
    </i>
    <i>
      <x v="135"/>
      <x v="1"/>
      <x v="10"/>
      <x v="75"/>
      <x v="1"/>
      <x v="240"/>
      <x v="197"/>
      <x v="82"/>
      <x v="14"/>
    </i>
    <i t="grand">
      <x/>
    </i>
  </rowItems>
  <colFields count="1">
    <field x="-2"/>
  </colFields>
  <colItems count="5">
    <i>
      <x/>
    </i>
    <i i="1">
      <x v="1"/>
    </i>
    <i i="2">
      <x v="2"/>
    </i>
    <i i="3">
      <x v="3"/>
    </i>
    <i i="4">
      <x v="4"/>
    </i>
  </colItems>
  <pageFields count="1">
    <pageField fld="1" item="48"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69">
      <pivotArea outline="0" fieldPosition="0">
        <references count="1">
          <reference field="4294967294" count="1" selected="0">
            <x v="0"/>
          </reference>
        </references>
      </pivotArea>
    </format>
    <format dxfId="68">
      <pivotArea dataOnly="0" labelOnly="1" outline="0" fieldPosition="0">
        <references count="1">
          <reference field="4294967294" count="1">
            <x v="0"/>
          </reference>
        </references>
      </pivotArea>
    </format>
    <format dxfId="67">
      <pivotArea field="1" type="button" dataOnly="0" labelOnly="1" outline="0" axis="axisPage" fieldPosition="0"/>
    </format>
    <format dxfId="66">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400-000013000000}" name="PivotTable6"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89:N193" firstHeaderRow="0" firstDataRow="1" firstDataCol="9" rowPageCount="1" colPageCount="1"/>
  <pivotFields count="31">
    <pivotField name="`"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sortType="ascending" defaultSubtotal="0">
      <items count="18">
        <item x="0"/>
        <item x="1"/>
        <item x="2"/>
        <item x="3"/>
        <item x="4"/>
        <item x="5"/>
        <item x="6"/>
        <item x="7"/>
        <item x="8"/>
        <item m="1" x="15"/>
        <item m="1" x="16"/>
        <item m="1" x="17"/>
        <item m="1" x="9"/>
        <item m="1" x="10"/>
        <item m="1" x="11"/>
        <item m="1" x="12"/>
        <item m="1" x="13"/>
        <item m="1" x="14"/>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4">
    <i>
      <x v="130"/>
      <x/>
      <x v="10"/>
      <x v="52"/>
      <x v="1"/>
      <x v="237"/>
      <x v="214"/>
      <x v="86"/>
      <x v="5"/>
    </i>
    <i>
      <x v="138"/>
      <x v="2"/>
      <x v="10"/>
      <x v="49"/>
      <x v="1"/>
      <x v="241"/>
      <x v="197"/>
      <x v="88"/>
      <x v="31"/>
    </i>
    <i>
      <x v="139"/>
      <x v="1"/>
      <x v="10"/>
      <x v="52"/>
      <x v="1"/>
      <x v="241"/>
      <x v="214"/>
      <x v="86"/>
      <x v="61"/>
    </i>
    <i t="grand">
      <x/>
    </i>
  </rowItems>
  <colFields count="1">
    <field x="-2"/>
  </colFields>
  <colItems count="5">
    <i>
      <x/>
    </i>
    <i i="1">
      <x v="1"/>
    </i>
    <i i="2">
      <x v="2"/>
    </i>
    <i i="3">
      <x v="3"/>
    </i>
    <i i="4">
      <x v="4"/>
    </i>
  </colItems>
  <pageFields count="1">
    <pageField fld="1" item="47"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73">
      <pivotArea outline="0" fieldPosition="0">
        <references count="1">
          <reference field="4294967294" count="1" selected="0">
            <x v="0"/>
          </reference>
        </references>
      </pivotArea>
    </format>
    <format dxfId="72">
      <pivotArea dataOnly="0" labelOnly="1" outline="0" fieldPosition="0">
        <references count="1">
          <reference field="4294967294" count="1">
            <x v="0"/>
          </reference>
        </references>
      </pivotArea>
    </format>
    <format dxfId="71">
      <pivotArea field="1" type="button" dataOnly="0" labelOnly="1" outline="0" axis="axisPage" fieldPosition="0"/>
    </format>
    <format dxfId="70">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16000000}" name="PivotTable9"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51:N56"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5">
    <i>
      <x v="109"/>
      <x/>
      <x v="10"/>
      <x v="18"/>
      <x v="3"/>
      <x v="225"/>
      <x v="206"/>
      <x v="81"/>
      <x v="3"/>
    </i>
    <i>
      <x v="110"/>
      <x v="1"/>
      <x v="10"/>
      <x v="18"/>
      <x v="3"/>
      <x v="230"/>
      <x v="206"/>
      <x v="81"/>
      <x v="61"/>
    </i>
    <i>
      <x v="111"/>
      <x v="2"/>
      <x v="10"/>
      <x v="16"/>
      <x v="3"/>
      <x v="230"/>
      <x v="208"/>
      <x v="84"/>
      <x v="10"/>
    </i>
    <i>
      <x v="122"/>
      <x v="3"/>
      <x v="10"/>
      <x v="16"/>
      <x v="3"/>
      <x v="234"/>
      <x v="208"/>
      <x v="84"/>
      <x v="61"/>
    </i>
    <i t="grand">
      <x/>
    </i>
  </rowItems>
  <colFields count="1">
    <field x="-2"/>
  </colFields>
  <colItems count="5">
    <i>
      <x/>
    </i>
    <i i="1">
      <x v="1"/>
    </i>
    <i i="2">
      <x v="2"/>
    </i>
    <i i="3">
      <x v="3"/>
    </i>
    <i i="4">
      <x v="4"/>
    </i>
  </colItems>
  <pageFields count="1">
    <pageField fld="1" item="35"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5">
      <pivotArea outline="0" fieldPosition="0">
        <references count="1">
          <reference field="4294967294" count="1" selected="0">
            <x v="0"/>
          </reference>
        </references>
      </pivotArea>
    </format>
    <format dxfId="4">
      <pivotArea dataOnly="0" labelOnly="1" outline="0" fieldPosition="0">
        <references count="1">
          <reference field="4294967294" count="1">
            <x v="0"/>
          </reference>
        </references>
      </pivotArea>
    </format>
    <format dxfId="3">
      <pivotArea field="1" type="button" dataOnly="0" labelOnly="1" outline="0" axis="axisPage" fieldPosition="0"/>
    </format>
    <format dxfId="2">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400-000014000000}" name="PivotTable7"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40:N45"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5">
    <i>
      <x v="106"/>
      <x/>
      <x v="10"/>
      <x v="48"/>
      <x v="1"/>
      <x v="228"/>
      <x v="205"/>
      <x v="83"/>
      <x v="62"/>
    </i>
    <i>
      <x v="107"/>
      <x v="1"/>
      <x v="10"/>
      <x v="48"/>
      <x v="1"/>
      <x v="229"/>
      <x v="205"/>
      <x v="83"/>
      <x v="61"/>
    </i>
    <i>
      <x v="108"/>
      <x v="2"/>
      <x v="10"/>
      <x v="45"/>
      <x v="1"/>
      <x v="229"/>
      <x v="208"/>
      <x v="84"/>
      <x v="13"/>
    </i>
    <i>
      <x v="121"/>
      <x v="2"/>
      <x v="10"/>
      <x v="45"/>
      <x v="1"/>
      <x v="234"/>
      <x v="208"/>
      <x v="84"/>
      <x v="61"/>
    </i>
    <i t="grand">
      <x/>
    </i>
  </rowItems>
  <colFields count="1">
    <field x="-2"/>
  </colFields>
  <colItems count="5">
    <i>
      <x/>
    </i>
    <i i="1">
      <x v="1"/>
    </i>
    <i i="2">
      <x v="2"/>
    </i>
    <i i="3">
      <x v="3"/>
    </i>
    <i i="4">
      <x v="4"/>
    </i>
  </colItems>
  <pageFields count="1">
    <pageField fld="1" item="34"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77">
      <pivotArea outline="0" fieldPosition="0">
        <references count="1">
          <reference field="4294967294" count="1" selected="0">
            <x v="0"/>
          </reference>
        </references>
      </pivotArea>
    </format>
    <format dxfId="76">
      <pivotArea dataOnly="0" labelOnly="1" outline="0" fieldPosition="0">
        <references count="1">
          <reference field="4294967294" count="1">
            <x v="0"/>
          </reference>
        </references>
      </pivotArea>
    </format>
    <format dxfId="75">
      <pivotArea field="1" type="button" dataOnly="0" labelOnly="1" outline="0" axis="axisPage" fieldPosition="0"/>
    </format>
    <format dxfId="74">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400-00000B000000}" name="PivotTable23"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10:N114"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4">
    <i>
      <x v="118"/>
      <x/>
      <x v="10"/>
      <x v="162"/>
      <x v="2"/>
      <x v="230"/>
      <x v="210"/>
      <x v="85"/>
      <x v="15"/>
    </i>
    <i>
      <x v="126"/>
      <x v="1"/>
      <x v="10"/>
      <x v="162"/>
      <x v="1"/>
      <x v="236"/>
      <x v="210"/>
      <x v="85"/>
      <x v="61"/>
    </i>
    <i>
      <x v="127"/>
      <x v="2"/>
      <x v="10"/>
      <x v="162"/>
      <x/>
      <x v="236"/>
      <x v="210"/>
      <x v="85"/>
      <x v="61"/>
    </i>
    <i t="grand">
      <x/>
    </i>
  </rowItems>
  <colFields count="1">
    <field x="-2"/>
  </colFields>
  <colItems count="5">
    <i>
      <x/>
    </i>
    <i i="1">
      <x v="1"/>
    </i>
    <i i="2">
      <x v="2"/>
    </i>
    <i i="3">
      <x v="3"/>
    </i>
    <i i="4">
      <x v="4"/>
    </i>
  </colItems>
  <pageFields count="1">
    <pageField fld="1" item="40"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81">
      <pivotArea outline="0" fieldPosition="0">
        <references count="1">
          <reference field="4294967294" count="1" selected="0">
            <x v="0"/>
          </reference>
        </references>
      </pivotArea>
    </format>
    <format dxfId="80">
      <pivotArea dataOnly="0" labelOnly="1" outline="0" fieldPosition="0">
        <references count="1">
          <reference field="4294967294" count="1">
            <x v="0"/>
          </reference>
        </references>
      </pivotArea>
    </format>
    <format dxfId="79">
      <pivotArea field="1" type="button" dataOnly="0" labelOnly="1" outline="0" axis="axisPage" fieldPosition="0"/>
    </format>
    <format dxfId="78">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PivotTable18"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98:N101"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3">
    <i>
      <x v="117"/>
      <x/>
      <x v="10"/>
      <x v="155"/>
      <x v="7"/>
      <x v="232"/>
      <x v="214"/>
      <x v="86"/>
      <x v="24"/>
    </i>
    <i>
      <x v="134"/>
      <x v="1"/>
      <x v="10"/>
      <x v="155"/>
      <x v="7"/>
      <x v="239"/>
      <x v="214"/>
      <x v="86"/>
      <x v="2"/>
    </i>
    <i t="grand">
      <x/>
    </i>
  </rowItems>
  <colFields count="1">
    <field x="-2"/>
  </colFields>
  <colItems count="5">
    <i>
      <x/>
    </i>
    <i i="1">
      <x v="1"/>
    </i>
    <i i="2">
      <x v="2"/>
    </i>
    <i i="3">
      <x v="3"/>
    </i>
    <i i="4">
      <x v="4"/>
    </i>
  </colItems>
  <pageFields count="1">
    <pageField fld="1" item="39"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85">
      <pivotArea outline="0" fieldPosition="0">
        <references count="1">
          <reference field="4294967294" count="1" selected="0">
            <x v="0"/>
          </reference>
        </references>
      </pivotArea>
    </format>
    <format dxfId="84">
      <pivotArea dataOnly="0" labelOnly="1" outline="0" fieldPosition="0">
        <references count="1">
          <reference field="4294967294" count="1">
            <x v="0"/>
          </reference>
        </references>
      </pivotArea>
    </format>
    <format dxfId="83">
      <pivotArea field="1" type="button" dataOnly="0" labelOnly="1" outline="0" axis="axisPage" fieldPosition="0"/>
    </format>
    <format dxfId="82">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0000000-0007-0000-0400-000010000000}" name="PivotTable31"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53:N157"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4">
    <i>
      <x v="124"/>
      <x/>
      <x v="10"/>
      <x v="72"/>
      <x v="2"/>
      <x v="235"/>
      <x v="214"/>
      <x v="82"/>
      <x v="7"/>
    </i>
    <i>
      <x v="136"/>
      <x v="1"/>
      <x v="10"/>
      <x v="72"/>
      <x v="1"/>
      <x v="241"/>
      <x v="214"/>
      <x v="82"/>
      <x v="61"/>
    </i>
    <i>
      <x v="137"/>
      <x v="2"/>
      <x v="10"/>
      <x v="72"/>
      <x/>
      <x v="241"/>
      <x v="214"/>
      <x v="82"/>
      <x v="61"/>
    </i>
    <i t="grand">
      <x/>
    </i>
  </rowItems>
  <colFields count="1">
    <field x="-2"/>
  </colFields>
  <colItems count="5">
    <i>
      <x/>
    </i>
    <i i="1">
      <x v="1"/>
    </i>
    <i i="2">
      <x v="2"/>
    </i>
    <i i="3">
      <x v="3"/>
    </i>
    <i i="4">
      <x v="4"/>
    </i>
  </colItems>
  <pageFields count="1">
    <pageField fld="1" item="44"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89">
      <pivotArea outline="0" fieldPosition="0">
        <references count="1">
          <reference field="4294967294" count="1" selected="0">
            <x v="0"/>
          </reference>
        </references>
      </pivotArea>
    </format>
    <format dxfId="88">
      <pivotArea dataOnly="0" labelOnly="1" outline="0" fieldPosition="0">
        <references count="1">
          <reference field="4294967294" count="1">
            <x v="0"/>
          </reference>
        </references>
      </pivotArea>
    </format>
    <format dxfId="87">
      <pivotArea field="1" type="button" dataOnly="0" labelOnly="1" outline="0" axis="axisPage" fieldPosition="0"/>
    </format>
    <format dxfId="86">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13"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62:N72"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10">
    <i>
      <x v="112"/>
      <x/>
      <x v="10"/>
      <x v="52"/>
      <x v="1"/>
      <x v="225"/>
      <x v="207"/>
      <x v="81"/>
      <x v="7"/>
    </i>
    <i>
      <x v="113"/>
      <x v="1"/>
      <x v="10"/>
      <x v="52"/>
      <x v="1"/>
      <x v="231"/>
      <x v="207"/>
      <x v="81"/>
      <x v="61"/>
    </i>
    <i>
      <x v="114"/>
      <x v="2"/>
      <x v="10"/>
      <x v="52"/>
      <x v="1"/>
      <x v="231"/>
      <x v="211"/>
      <x v="85"/>
      <x v="12"/>
    </i>
    <i>
      <x v="131"/>
      <x v="3"/>
      <x v="10"/>
      <x v="52"/>
      <x v="1"/>
      <x v="238"/>
      <x v="211"/>
      <x v="85"/>
      <x v="61"/>
    </i>
    <i>
      <x v="132"/>
      <x v="4"/>
      <x v="10"/>
      <x v="51"/>
      <x v="1"/>
      <x v="238"/>
      <x v="216"/>
      <x v="82"/>
      <x v="9"/>
    </i>
    <i>
      <x v="150"/>
      <x v="5"/>
      <x v="10"/>
      <x v="51"/>
      <x/>
      <x v="246"/>
      <x v="216"/>
      <x v="82"/>
      <x v="61"/>
    </i>
    <i>
      <x v="151"/>
      <x v="6"/>
      <x v="10"/>
      <x v="48"/>
      <x/>
      <x v="246"/>
      <x v="197"/>
      <x v="88"/>
      <x v="63"/>
    </i>
    <i>
      <x v="152"/>
      <x v="7"/>
      <x v="10"/>
      <x v="51"/>
      <x/>
      <x v="246"/>
      <x v="216"/>
      <x v="82"/>
      <x v="61"/>
    </i>
    <i>
      <x v="153"/>
      <x v="8"/>
      <x v="10"/>
      <x v="48"/>
      <x/>
      <x v="246"/>
      <x v="197"/>
      <x v="88"/>
      <x v="63"/>
    </i>
    <i t="grand">
      <x/>
    </i>
  </rowItems>
  <colFields count="1">
    <field x="-2"/>
  </colFields>
  <colItems count="5">
    <i>
      <x/>
    </i>
    <i i="1">
      <x v="1"/>
    </i>
    <i i="2">
      <x v="2"/>
    </i>
    <i i="3">
      <x v="3"/>
    </i>
    <i i="4">
      <x v="4"/>
    </i>
  </colItems>
  <pageFields count="1">
    <pageField fld="1" item="36"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93">
      <pivotArea outline="0" fieldPosition="0">
        <references count="1">
          <reference field="4294967294" count="1" selected="0">
            <x v="0"/>
          </reference>
        </references>
      </pivotArea>
    </format>
    <format dxfId="92">
      <pivotArea dataOnly="0" labelOnly="1" outline="0" fieldPosition="0">
        <references count="1">
          <reference field="4294967294" count="1">
            <x v="0"/>
          </reference>
        </references>
      </pivotArea>
    </format>
    <format dxfId="91">
      <pivotArea field="1" type="button" dataOnly="0" labelOnly="1" outline="0" axis="axisPage" fieldPosition="0"/>
    </format>
    <format dxfId="90">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40" applyNumberFormats="0" applyBorderFormats="0" applyFontFormats="0" applyPatternFormats="0" applyAlignmentFormats="0" applyWidthHeightFormats="1" dataCaption="Values" updatedVersion="7" minRefreshableVersion="3" showDrill="0" rowGrandTotals="0" itemPrintTitles="1" createdVersion="6" indent="0" showHeaders="0" compact="0" compactData="0" multipleFieldFilters="0">
  <location ref="A16:F17" firstHeaderRow="0" firstDataRow="1" firstDataCol="1"/>
  <pivotFields count="31">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pivotField compact="0" outline="0" showAll="0"/>
    <pivotField compact="0" outline="0" showAll="0"/>
    <pivotField compact="0" outline="0" showAll="0"/>
    <pivotField compact="0" outline="0" showAll="0"/>
    <pivotField dataField="1" compact="0" numFmtId="2" outline="0" showAll="0"/>
    <pivotField compact="0" outline="0" showAll="0"/>
    <pivotField compact="0" numFmtId="1" outline="0" showAll="0"/>
    <pivotField compact="0" numFmtId="1" outline="0" showAll="0"/>
    <pivotField compact="0" outline="0" showAll="0"/>
    <pivotField compact="0" outline="0" showAll="0"/>
    <pivotField compact="0" numFmtId="1" outline="0" showAll="0"/>
    <pivotField compact="0" numFmtId="1" outline="0" showAll="0"/>
    <pivotField compact="0" outline="0" showAll="0"/>
    <pivotField compact="0" outline="0" showAll="0"/>
    <pivotField compact="0" outline="0" showAll="0"/>
    <pivotField axis="axisCol"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s>
  <rowItems count="1">
    <i/>
  </rowItems>
  <colFields count="1">
    <field x="26"/>
  </colFields>
  <colItems count="5">
    <i>
      <x v="3"/>
    </i>
    <i>
      <x v="4"/>
    </i>
    <i>
      <x v="5"/>
    </i>
    <i>
      <x v="6"/>
    </i>
    <i t="grand">
      <x/>
    </i>
  </colItems>
  <dataFields count="1">
    <dataField name="Sum of NetPrem" fld="15"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3" cacheId="40" applyNumberFormats="0" applyBorderFormats="0" applyFontFormats="0" applyPatternFormats="0" applyAlignmentFormats="0" applyWidthHeightFormats="1" dataCaption="Values" updatedVersion="7" minRefreshableVersion="3" showDrill="0" rowGrandTotals="0" colGrandTotals="0" itemPrintTitles="1" createdVersion="6" indent="0" compact="0" compactData="0" multipleFieldFilters="0">
  <location ref="A11:D12" firstHeaderRow="0" firstDataRow="1" firstDataCol="0"/>
  <pivotFields count="3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2" outline="0" showAll="0" defaultSubtotal="0"/>
    <pivotField compact="0" outline="0" showAll="0" defaultSubtotal="0"/>
    <pivotField compact="0" numFmtId="1" outline="0" showAll="0" defaultSubtotal="0"/>
    <pivotField compact="0" numFmtId="1" outline="0" showAll="0" defaultSubtotal="0"/>
    <pivotField compact="0" outline="0" showAll="0" defaultSubtotal="0"/>
    <pivotField compact="0" outline="0" subtotalTop="0" showAll="0" defaultSubtotal="0"/>
    <pivotField compact="0" numFmtId="1" outline="0" showAll="0" defaultSubtotal="0"/>
    <pivotField compact="0" numFmtId="1" outline="0" showAll="0" defaultSubtotal="0"/>
    <pivotField compact="0" outline="0" showAll="0" defaultSubtotal="0"/>
    <pivotField compact="0" outline="0" showAll="0" defaultSubtotal="0"/>
    <pivotField compact="0" outline="0" showAll="0" defaultSubtotal="0"/>
    <pivotField compact="0" numFmtId="166"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s>
  <rowItems count="1">
    <i/>
  </rowItems>
  <colFields count="1">
    <field x="-2"/>
  </colFields>
  <colItems count="4">
    <i>
      <x/>
    </i>
    <i i="1">
      <x v="1"/>
    </i>
    <i i="2">
      <x v="2"/>
    </i>
    <i i="3">
      <x v="3"/>
    </i>
  </colItems>
  <dataFields count="4">
    <dataField name=" YTD" fld="29" baseField="0" baseItem="1"/>
    <dataField name=" 1YR" fld="28" baseField="0" baseItem="0"/>
    <dataField name=" Inception" fld="27" baseField="0" baseItem="1"/>
    <dataField name="Not_x000a_Booked" fld="30" baseField="0" baseItem="1"/>
  </dataFields>
  <formats count="2">
    <format dxfId="1">
      <pivotArea outline="0" collapsedLevelsAreSubtotals="1" fieldPosition="0"/>
    </format>
    <format dxfId="0">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12000000}" name="PivotTable5"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30:N34"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4">
    <i>
      <x v="103"/>
      <x/>
      <x v="10"/>
      <x v="25"/>
      <x v="1"/>
      <x v="226"/>
      <x v="204"/>
      <x v="81"/>
      <x v="2"/>
    </i>
    <i>
      <x v="104"/>
      <x v="1"/>
      <x v="10"/>
      <x v="25"/>
      <x v="7"/>
      <x v="227"/>
      <x v="204"/>
      <x v="81"/>
      <x v="1"/>
    </i>
    <i>
      <x v="105"/>
      <x v="2"/>
      <x v="10"/>
      <x v="25"/>
      <x v="24"/>
      <x v="228"/>
      <x v="204"/>
      <x v="81"/>
      <x v="61"/>
    </i>
    <i t="grand">
      <x/>
    </i>
  </rowItems>
  <colFields count="1">
    <field x="-2"/>
  </colFields>
  <colItems count="5">
    <i>
      <x/>
    </i>
    <i i="1">
      <x v="1"/>
    </i>
    <i i="2">
      <x v="2"/>
    </i>
    <i i="3">
      <x v="3"/>
    </i>
    <i i="4">
      <x v="4"/>
    </i>
  </colItems>
  <pageFields count="1">
    <pageField fld="1" item="33"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9">
      <pivotArea outline="0" fieldPosition="0">
        <references count="1">
          <reference field="4294967294" count="1" selected="0">
            <x v="0"/>
          </reference>
        </references>
      </pivotArea>
    </format>
    <format dxfId="8">
      <pivotArea dataOnly="0" labelOnly="1" outline="0" fieldPosition="0">
        <references count="1">
          <reference field="4294967294" count="1">
            <x v="0"/>
          </reference>
        </references>
      </pivotArea>
    </format>
    <format dxfId="7">
      <pivotArea field="1" type="button" dataOnly="0" labelOnly="1" outline="0" axis="axisPage" fieldPosition="0"/>
    </format>
    <format dxfId="6">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D000000}" name="PivotTable27"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32:N135"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3">
    <i>
      <x v="120"/>
      <x/>
      <x v="10"/>
      <x v="45"/>
      <x v="2"/>
      <x v="233"/>
      <x v="210"/>
      <x v="82"/>
      <x v="5"/>
    </i>
    <i>
      <x v="128"/>
      <x v="1"/>
      <x v="10"/>
      <x v="45"/>
      <x v="2"/>
      <x v="236"/>
      <x v="210"/>
      <x v="82"/>
      <x v="61"/>
    </i>
    <i t="grand">
      <x/>
    </i>
  </rowItems>
  <colFields count="1">
    <field x="-2"/>
  </colFields>
  <colItems count="5">
    <i>
      <x/>
    </i>
    <i i="1">
      <x v="1"/>
    </i>
    <i i="2">
      <x v="2"/>
    </i>
    <i i="3">
      <x v="3"/>
    </i>
    <i i="4">
      <x v="4"/>
    </i>
  </colItems>
  <pageFields count="1">
    <pageField fld="1" item="42"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13">
      <pivotArea outline="0" fieldPosition="0">
        <references count="1">
          <reference field="4294967294" count="1" selected="0">
            <x v="0"/>
          </reference>
        </references>
      </pivotArea>
    </format>
    <format dxfId="12">
      <pivotArea dataOnly="0" labelOnly="1" outline="0" fieldPosition="0">
        <references count="1">
          <reference field="4294967294" count="1">
            <x v="0"/>
          </reference>
        </references>
      </pivotArea>
    </format>
    <format dxfId="11">
      <pivotArea field="1" type="button" dataOnly="0" labelOnly="1" outline="0" axis="axisPage" fieldPosition="0"/>
    </format>
    <format dxfId="10">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11000000}" name="PivotTable4"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212:N215"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3">
    <i>
      <x v="140"/>
      <x/>
      <x v="10"/>
      <x v="82"/>
      <x v="1"/>
      <x v="241"/>
      <x v="215"/>
      <x v="89"/>
      <x v="3"/>
    </i>
    <i>
      <x v="147"/>
      <x v="1"/>
      <x v="10"/>
      <x v="82"/>
      <x v="1"/>
      <x v="244"/>
      <x v="215"/>
      <x v="89"/>
      <x v="61"/>
    </i>
    <i t="grand">
      <x/>
    </i>
  </rowItems>
  <colFields count="1">
    <field x="-2"/>
  </colFields>
  <colItems count="5">
    <i>
      <x/>
    </i>
    <i i="1">
      <x v="1"/>
    </i>
    <i i="2">
      <x v="2"/>
    </i>
    <i i="3">
      <x v="3"/>
    </i>
    <i i="4">
      <x v="4"/>
    </i>
  </colItems>
  <pageFields count="1">
    <pageField fld="1" item="49"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17">
      <pivotArea outline="0" fieldPosition="0">
        <references count="1">
          <reference field="4294967294" count="1" selected="0">
            <x v="0"/>
          </reference>
        </references>
      </pivotArea>
    </format>
    <format dxfId="16">
      <pivotArea dataOnly="0" labelOnly="1" outline="0" fieldPosition="0">
        <references count="1">
          <reference field="4294967294" count="1">
            <x v="0"/>
          </reference>
        </references>
      </pivotArea>
    </format>
    <format dxfId="15">
      <pivotArea field="1" type="button" dataOnly="0" labelOnly="1" outline="0" axis="axisPage" fieldPosition="0"/>
    </format>
    <format dxfId="14">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6:N11"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5">
    <i>
      <x v="97"/>
      <x/>
      <x v="10"/>
      <x v="78"/>
      <x v="1"/>
      <x v="221"/>
      <x v="201"/>
      <x v="81"/>
      <x v="2"/>
    </i>
    <i>
      <x v="98"/>
      <x v="1"/>
      <x v="10"/>
      <x v="75"/>
      <x v="1"/>
      <x v="222"/>
      <x v="201"/>
      <x v="81"/>
      <x v="61"/>
    </i>
    <i>
      <x v="99"/>
      <x v="2"/>
      <x v="10"/>
      <x v="78"/>
      <x v="1"/>
      <x v="223"/>
      <x v="200"/>
      <x v="81"/>
      <x v="61"/>
    </i>
    <i>
      <x v="100"/>
      <x v="3"/>
      <x v="10"/>
      <x v="161"/>
      <x v="1"/>
      <x v="223"/>
      <x v="197"/>
      <x v="82"/>
      <x v="30"/>
    </i>
    <i t="grand">
      <x/>
    </i>
  </rowItems>
  <colFields count="1">
    <field x="-2"/>
  </colFields>
  <colItems count="5">
    <i>
      <x/>
    </i>
    <i i="1">
      <x v="1"/>
    </i>
    <i i="2">
      <x v="2"/>
    </i>
    <i i="3">
      <x v="3"/>
    </i>
    <i i="4">
      <x v="4"/>
    </i>
  </colItems>
  <pageFields count="1">
    <pageField fld="1" item="1"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21">
      <pivotArea outline="0" fieldPosition="0">
        <references count="1">
          <reference field="4294967294" count="1" selected="0">
            <x v="0"/>
          </reference>
        </references>
      </pivotArea>
    </format>
    <format dxfId="20">
      <pivotArea dataOnly="0" labelOnly="1" outline="0" fieldPosition="0">
        <references count="1">
          <reference field="4294967294" count="1">
            <x v="0"/>
          </reference>
        </references>
      </pivotArea>
    </format>
    <format dxfId="19">
      <pivotArea field="1" type="button" dataOnly="0" labelOnly="1" outline="0" axis="axisPage" fieldPosition="0"/>
    </format>
    <format dxfId="18">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E000000}" name="PivotTable3"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77:N182"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5">
    <i>
      <x v="129"/>
    </i>
    <i>
      <x v="159"/>
      <x v="1"/>
      <x v="10"/>
      <x v="59"/>
      <x v="3"/>
      <x v="248"/>
      <x v="218"/>
      <x v="87"/>
      <x v="61"/>
    </i>
    <i>
      <x v="160"/>
      <x v="2"/>
      <x v="10"/>
      <x v="57"/>
      <x v="3"/>
      <x v="248"/>
      <x v="217"/>
      <x v="82"/>
      <x v="61"/>
    </i>
    <i>
      <x v="161"/>
      <x v="3"/>
      <x v="10"/>
      <x v="57"/>
      <x v="3"/>
      <x v="247"/>
      <x v="217"/>
      <x v="82"/>
      <x v="61"/>
    </i>
    <i t="grand">
      <x/>
    </i>
  </rowItems>
  <colFields count="1">
    <field x="-2"/>
  </colFields>
  <colItems count="5">
    <i>
      <x/>
    </i>
    <i i="1">
      <x v="1"/>
    </i>
    <i i="2">
      <x v="2"/>
    </i>
    <i i="3">
      <x v="3"/>
    </i>
    <i i="4">
      <x v="4"/>
    </i>
  </colItems>
  <pageFields count="1">
    <pageField fld="1" item="46"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25">
      <pivotArea outline="0" fieldPosition="0">
        <references count="1">
          <reference field="4294967294" count="1" selected="0">
            <x v="0"/>
          </reference>
        </references>
      </pivotArea>
    </format>
    <format dxfId="24">
      <pivotArea dataOnly="0" labelOnly="1" outline="0" fieldPosition="0">
        <references count="1">
          <reference field="4294967294" count="1">
            <x v="0"/>
          </reference>
        </references>
      </pivotArea>
    </format>
    <format dxfId="23">
      <pivotArea field="1" type="button" dataOnly="0" labelOnly="1" outline="0" axis="axisPage" fieldPosition="0"/>
    </format>
    <format dxfId="22">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11"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260:N262"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2">
    <i>
      <x v="162"/>
      <x/>
      <x v="10"/>
      <x v="146"/>
      <x v="1"/>
      <x v="249"/>
      <x v="197"/>
      <x v="89"/>
      <x v="27"/>
    </i>
    <i t="grand">
      <x/>
    </i>
  </rowItems>
  <colFields count="1">
    <field x="-2"/>
  </colFields>
  <colItems count="5">
    <i>
      <x/>
    </i>
    <i i="1">
      <x v="1"/>
    </i>
    <i i="2">
      <x v="2"/>
    </i>
    <i i="3">
      <x v="3"/>
    </i>
    <i i="4">
      <x v="4"/>
    </i>
  </colItems>
  <pageFields count="1">
    <pageField fld="1" item="53"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29">
      <pivotArea outline="0" fieldPosition="0">
        <references count="1">
          <reference field="4294967294" count="1" selected="0">
            <x v="0"/>
          </reference>
        </references>
      </pivotArea>
    </format>
    <format dxfId="28">
      <pivotArea dataOnly="0" labelOnly="1" outline="0" fieldPosition="0">
        <references count="1">
          <reference field="4294967294" count="1">
            <x v="0"/>
          </reference>
        </references>
      </pivotArea>
    </format>
    <format dxfId="27">
      <pivotArea field="1" type="button" dataOnly="0" labelOnly="1" outline="0" axis="axisPage" fieldPosition="0"/>
    </format>
    <format dxfId="26">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A000000}" name="PivotTable22" cacheId="40"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20:N123"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3">
    <i>
      <x v="119"/>
      <x/>
      <x v="10"/>
      <x v="56"/>
      <x v="3"/>
      <x v="233"/>
      <x v="217"/>
      <x v="82"/>
      <x v="22"/>
    </i>
    <i>
      <x v="154"/>
      <x v="1"/>
      <x v="10"/>
      <x v="56"/>
      <x v="3"/>
      <x v="247"/>
      <x v="217"/>
      <x v="82"/>
      <x v="61"/>
    </i>
    <i t="grand">
      <x/>
    </i>
  </rowItems>
  <colFields count="1">
    <field x="-2"/>
  </colFields>
  <colItems count="5">
    <i>
      <x/>
    </i>
    <i i="1">
      <x v="1"/>
    </i>
    <i i="2">
      <x v="2"/>
    </i>
    <i i="3">
      <x v="3"/>
    </i>
    <i i="4">
      <x v="4"/>
    </i>
  </colItems>
  <pageFields count="1">
    <pageField fld="1" item="41"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33">
      <pivotArea outline="0" fieldPosition="0">
        <references count="1">
          <reference field="4294967294" count="1" selected="0">
            <x v="0"/>
          </reference>
        </references>
      </pivotArea>
    </format>
    <format dxfId="32">
      <pivotArea dataOnly="0" labelOnly="1" outline="0" fieldPosition="0">
        <references count="1">
          <reference field="4294967294" count="1">
            <x v="0"/>
          </reference>
        </references>
      </pivotArea>
    </format>
    <format dxfId="31">
      <pivotArea field="1" type="button" dataOnly="0" labelOnly="1" outline="0" axis="axisPage" fieldPosition="0"/>
    </format>
    <format dxfId="30">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AE78">
  <autoFilter ref="A8:AE78" xr:uid="{00000000-0009-0000-0100-000001000000}"/>
  <tableColumns count="31">
    <tableColumn id="1" xr3:uid="{00000000-0010-0000-0000-000001000000}" name="SYM"/>
    <tableColumn id="2" xr3:uid="{00000000-0010-0000-0000-000002000000}" name="Trade#"/>
    <tableColumn id="3" xr3:uid="{00000000-0010-0000-0000-000003000000}" name="Leg"/>
    <tableColumn id="4" xr3:uid="{00000000-0010-0000-0000-000004000000}" name="TransType"/>
    <tableColumn id="5" xr3:uid="{00000000-0010-0000-0000-000005000000}" name="OpenDate"/>
    <tableColumn id="6" xr3:uid="{00000000-0010-0000-0000-000006000000}" name="CloseDate"/>
    <tableColumn id="7" xr3:uid="{00000000-0010-0000-0000-000007000000}" name="ExpDate"/>
    <tableColumn id="8" xr3:uid="{00000000-0010-0000-0000-000008000000}" name="Strike"/>
    <tableColumn id="9" xr3:uid="{00000000-0010-0000-0000-000009000000}" name="Strike2"/>
    <tableColumn id="10" xr3:uid="{00000000-0010-0000-0000-00000A000000}" name="#Contracts"/>
    <tableColumn id="11" xr3:uid="{00000000-0010-0000-0000-00000B000000}" name="OpnPrem"/>
    <tableColumn id="12" xr3:uid="{00000000-0010-0000-0000-00000C000000}" name="ClsPrem"/>
    <tableColumn id="13" xr3:uid="{00000000-0010-0000-0000-00000D000000}" name="Symbol"/>
    <tableColumn id="14" xr3:uid="{00000000-0010-0000-0000-00000E000000}" name="Current value"/>
    <tableColumn id="15" xr3:uid="{00000000-0010-0000-0000-00000F000000}" name="ask"/>
    <tableColumn id="16" xr3:uid="{00000000-0010-0000-0000-000010000000}" name="NetPrem"/>
    <tableColumn id="17" xr3:uid="{00000000-0010-0000-0000-000011000000}" name="TotPrem"/>
    <tableColumn id="18" xr3:uid="{00000000-0010-0000-0000-000012000000}" name="Days"/>
    <tableColumn id="19" xr3:uid="{00000000-0010-0000-0000-000013000000}" name="Cap"/>
    <tableColumn id="20" xr3:uid="{00000000-0010-0000-0000-000014000000}" name="OpenCap"/>
    <tableColumn id="21" xr3:uid="{00000000-0010-0000-0000-000015000000}" name="BEcap"/>
    <tableColumn id="22" xr3:uid="{00000000-0010-0000-0000-000016000000}" name="CapDays"/>
    <tableColumn id="23" xr3:uid="{00000000-0010-0000-0000-000017000000}" name="TotCapDays"/>
    <tableColumn id="24" xr3:uid="{00000000-0010-0000-0000-000018000000}" name="AROI"/>
    <tableColumn id="25" xr3:uid="{00000000-0010-0000-0000-000019000000}" name="BreakEven"/>
    <tableColumn id="26" xr3:uid="{00000000-0010-0000-0000-00001A000000}" name="ActShares"/>
    <tableColumn id="27" xr3:uid="{00000000-0010-0000-0000-00001B000000}" name="ActDate"/>
    <tableColumn id="28" xr3:uid="{00000000-0010-0000-0000-00001C000000}" name="Inception"/>
    <tableColumn id="29" xr3:uid="{00000000-0010-0000-0000-00001D000000}" name="1YR"/>
    <tableColumn id="30" xr3:uid="{00000000-0010-0000-0000-00001E000000}" name="YTD"/>
    <tableColumn id="31" xr3:uid="{00000000-0010-0000-0000-00001F000000}" name="UnBooked"/>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18" Type="http://schemas.openxmlformats.org/officeDocument/2006/relationships/pivotTable" Target="../pivotTables/pivotTable19.xml"/><Relationship Id="rId3" Type="http://schemas.openxmlformats.org/officeDocument/2006/relationships/pivotTable" Target="../pivotTables/pivotTable4.xml"/><Relationship Id="rId21" Type="http://schemas.openxmlformats.org/officeDocument/2006/relationships/pivotTable" Target="../pivotTables/pivotTable22.xml"/><Relationship Id="rId7" Type="http://schemas.openxmlformats.org/officeDocument/2006/relationships/pivotTable" Target="../pivotTables/pivotTable8.xml"/><Relationship Id="rId12" Type="http://schemas.openxmlformats.org/officeDocument/2006/relationships/pivotTable" Target="../pivotTables/pivotTable13.xml"/><Relationship Id="rId17" Type="http://schemas.openxmlformats.org/officeDocument/2006/relationships/pivotTable" Target="../pivotTables/pivotTable18.xml"/><Relationship Id="rId2" Type="http://schemas.openxmlformats.org/officeDocument/2006/relationships/pivotTable" Target="../pivotTables/pivotTable3.xml"/><Relationship Id="rId16" Type="http://schemas.openxmlformats.org/officeDocument/2006/relationships/pivotTable" Target="../pivotTables/pivotTable17.xml"/><Relationship Id="rId20" Type="http://schemas.openxmlformats.org/officeDocument/2006/relationships/pivotTable" Target="../pivotTables/pivotTable21.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23" Type="http://schemas.openxmlformats.org/officeDocument/2006/relationships/pivotTable" Target="../pivotTables/pivotTable24.xml"/><Relationship Id="rId10" Type="http://schemas.openxmlformats.org/officeDocument/2006/relationships/pivotTable" Target="../pivotTables/pivotTable11.xml"/><Relationship Id="rId19" Type="http://schemas.openxmlformats.org/officeDocument/2006/relationships/pivotTable" Target="../pivotTables/pivotTable20.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 Id="rId22" Type="http://schemas.openxmlformats.org/officeDocument/2006/relationships/pivotTable" Target="../pivotTables/pivotTable23.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26.xml"/><Relationship Id="rId1" Type="http://schemas.openxmlformats.org/officeDocument/2006/relationships/pivotTable" Target="../pivotTables/pivotTable2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91"/>
  <sheetViews>
    <sheetView topLeftCell="A9" workbookViewId="0">
      <selection activeCell="A27" sqref="A27"/>
    </sheetView>
  </sheetViews>
  <sheetFormatPr defaultRowHeight="15" x14ac:dyDescent="0.25"/>
  <cols>
    <col min="1" max="1" width="18" style="51" customWidth="1"/>
    <col min="2" max="2" width="12.140625" style="51" customWidth="1"/>
  </cols>
  <sheetData>
    <row r="2" spans="1:2" x14ac:dyDescent="0.25">
      <c r="A2" t="s">
        <v>0</v>
      </c>
    </row>
    <row r="4" spans="1:2" x14ac:dyDescent="0.25">
      <c r="A4" t="s">
        <v>1</v>
      </c>
      <c r="B4" t="s">
        <v>2</v>
      </c>
    </row>
    <row r="5" spans="1:2" x14ac:dyDescent="0.25">
      <c r="A5" t="s">
        <v>3</v>
      </c>
      <c r="B5" t="s">
        <v>4</v>
      </c>
    </row>
    <row r="6" spans="1:2" x14ac:dyDescent="0.25">
      <c r="B6" t="s">
        <v>5</v>
      </c>
    </row>
    <row r="7" spans="1:2" x14ac:dyDescent="0.25">
      <c r="B7" t="s">
        <v>6</v>
      </c>
    </row>
    <row r="8" spans="1:2" x14ac:dyDescent="0.25">
      <c r="B8" t="s">
        <v>7</v>
      </c>
    </row>
    <row r="9" spans="1:2" x14ac:dyDescent="0.25">
      <c r="B9" t="s">
        <v>8</v>
      </c>
    </row>
    <row r="11" spans="1:2" x14ac:dyDescent="0.25">
      <c r="A11" t="s">
        <v>9</v>
      </c>
      <c r="B11" t="s">
        <v>10</v>
      </c>
    </row>
    <row r="12" spans="1:2" x14ac:dyDescent="0.25">
      <c r="B12" t="s">
        <v>11</v>
      </c>
    </row>
    <row r="13" spans="1:2" x14ac:dyDescent="0.25">
      <c r="B13" t="s">
        <v>12</v>
      </c>
    </row>
    <row r="14" spans="1:2" x14ac:dyDescent="0.25">
      <c r="B14" t="s">
        <v>13</v>
      </c>
    </row>
    <row r="15" spans="1:2" x14ac:dyDescent="0.25">
      <c r="B15" t="s">
        <v>14</v>
      </c>
    </row>
    <row r="17" spans="1:4" x14ac:dyDescent="0.25">
      <c r="A17" t="s">
        <v>15</v>
      </c>
      <c r="B17" t="s">
        <v>16</v>
      </c>
    </row>
    <row r="18" spans="1:4" x14ac:dyDescent="0.25">
      <c r="B18" t="s">
        <v>17</v>
      </c>
    </row>
    <row r="20" spans="1:4" x14ac:dyDescent="0.25">
      <c r="A20" t="s">
        <v>18</v>
      </c>
      <c r="B20" t="s">
        <v>19</v>
      </c>
    </row>
    <row r="21" spans="1:4" x14ac:dyDescent="0.25">
      <c r="B21" t="s">
        <v>20</v>
      </c>
    </row>
    <row r="26" spans="1:4" x14ac:dyDescent="0.25">
      <c r="A26" t="s">
        <v>21</v>
      </c>
    </row>
    <row r="28" spans="1:4" x14ac:dyDescent="0.25">
      <c r="B28" t="s">
        <v>22</v>
      </c>
      <c r="C28" t="s">
        <v>23</v>
      </c>
    </row>
    <row r="29" spans="1:4" x14ac:dyDescent="0.25">
      <c r="B29" t="s">
        <v>24</v>
      </c>
      <c r="C29" t="s">
        <v>25</v>
      </c>
    </row>
    <row r="30" spans="1:4" x14ac:dyDescent="0.25">
      <c r="B30" t="s">
        <v>26</v>
      </c>
      <c r="C30" t="s">
        <v>27</v>
      </c>
    </row>
    <row r="31" spans="1:4" x14ac:dyDescent="0.25">
      <c r="B31" t="s">
        <v>28</v>
      </c>
      <c r="C31" t="s">
        <v>29</v>
      </c>
    </row>
    <row r="32" spans="1:4" x14ac:dyDescent="0.25">
      <c r="C32" t="s">
        <v>30</v>
      </c>
      <c r="D32" t="s">
        <v>31</v>
      </c>
    </row>
    <row r="33" spans="2:4" x14ac:dyDescent="0.25">
      <c r="C33" t="s">
        <v>32</v>
      </c>
      <c r="D33" t="s">
        <v>33</v>
      </c>
    </row>
    <row r="34" spans="2:4" x14ac:dyDescent="0.25">
      <c r="C34" t="s">
        <v>34</v>
      </c>
      <c r="D34" t="s">
        <v>35</v>
      </c>
    </row>
    <row r="35" spans="2:4" x14ac:dyDescent="0.25">
      <c r="C35" t="s">
        <v>36</v>
      </c>
      <c r="D35" t="s">
        <v>37</v>
      </c>
    </row>
    <row r="36" spans="2:4" x14ac:dyDescent="0.25">
      <c r="C36" t="s">
        <v>38</v>
      </c>
      <c r="D36" t="s">
        <v>39</v>
      </c>
    </row>
    <row r="37" spans="2:4" x14ac:dyDescent="0.25">
      <c r="C37" t="s">
        <v>40</v>
      </c>
      <c r="D37" t="s">
        <v>41</v>
      </c>
    </row>
    <row r="38" spans="2:4" x14ac:dyDescent="0.25">
      <c r="C38" t="s">
        <v>42</v>
      </c>
      <c r="D38" t="s">
        <v>43</v>
      </c>
    </row>
    <row r="39" spans="2:4" x14ac:dyDescent="0.25">
      <c r="C39" t="s">
        <v>44</v>
      </c>
      <c r="D39" t="s">
        <v>45</v>
      </c>
    </row>
    <row r="40" spans="2:4" x14ac:dyDescent="0.25">
      <c r="B40" t="s">
        <v>46</v>
      </c>
      <c r="C40" t="s">
        <v>47</v>
      </c>
    </row>
    <row r="41" spans="2:4" x14ac:dyDescent="0.25">
      <c r="B41" t="s">
        <v>48</v>
      </c>
      <c r="C41" t="s">
        <v>49</v>
      </c>
    </row>
    <row r="42" spans="2:4" x14ac:dyDescent="0.25">
      <c r="B42" t="s">
        <v>50</v>
      </c>
      <c r="C42" t="s">
        <v>51</v>
      </c>
    </row>
    <row r="43" spans="2:4" x14ac:dyDescent="0.25">
      <c r="B43" t="s">
        <v>52</v>
      </c>
      <c r="C43" t="s">
        <v>53</v>
      </c>
    </row>
    <row r="44" spans="2:4" x14ac:dyDescent="0.25">
      <c r="B44" t="s">
        <v>54</v>
      </c>
      <c r="C44" t="s">
        <v>55</v>
      </c>
    </row>
    <row r="45" spans="2:4" x14ac:dyDescent="0.25">
      <c r="B45" t="s">
        <v>56</v>
      </c>
      <c r="C45" t="s">
        <v>57</v>
      </c>
    </row>
    <row r="46" spans="2:4" x14ac:dyDescent="0.25">
      <c r="B46" t="s">
        <v>58</v>
      </c>
      <c r="C46" t="s">
        <v>59</v>
      </c>
    </row>
    <row r="47" spans="2:4" x14ac:dyDescent="0.25">
      <c r="C47" t="s">
        <v>60</v>
      </c>
    </row>
    <row r="48" spans="2:4" x14ac:dyDescent="0.25">
      <c r="C48" t="s">
        <v>61</v>
      </c>
    </row>
    <row r="49" spans="2:3" x14ac:dyDescent="0.25">
      <c r="C49" t="s">
        <v>62</v>
      </c>
    </row>
    <row r="50" spans="2:3" x14ac:dyDescent="0.25">
      <c r="B50" t="s">
        <v>63</v>
      </c>
      <c r="C50" t="s">
        <v>64</v>
      </c>
    </row>
    <row r="51" spans="2:3" x14ac:dyDescent="0.25">
      <c r="C51" t="s">
        <v>65</v>
      </c>
    </row>
    <row r="53" spans="2:3" x14ac:dyDescent="0.25">
      <c r="B53" t="s">
        <v>66</v>
      </c>
      <c r="C53" t="s">
        <v>67</v>
      </c>
    </row>
    <row r="54" spans="2:3" x14ac:dyDescent="0.25">
      <c r="C54" t="s">
        <v>68</v>
      </c>
    </row>
    <row r="56" spans="2:3" x14ac:dyDescent="0.25">
      <c r="B56" t="s">
        <v>69</v>
      </c>
    </row>
    <row r="57" spans="2:3" x14ac:dyDescent="0.25">
      <c r="B57" t="s">
        <v>70</v>
      </c>
    </row>
    <row r="59" spans="2:3" x14ac:dyDescent="0.25">
      <c r="B59" t="s">
        <v>71</v>
      </c>
      <c r="C59" t="s">
        <v>72</v>
      </c>
    </row>
    <row r="60" spans="2:3" x14ac:dyDescent="0.25">
      <c r="B60" t="s">
        <v>73</v>
      </c>
      <c r="C60" t="s">
        <v>74</v>
      </c>
    </row>
    <row r="61" spans="2:3" x14ac:dyDescent="0.25">
      <c r="B61" t="s">
        <v>75</v>
      </c>
      <c r="C61" t="s">
        <v>76</v>
      </c>
    </row>
    <row r="62" spans="2:3" x14ac:dyDescent="0.25">
      <c r="B62" t="s">
        <v>77</v>
      </c>
      <c r="C62" t="s">
        <v>78</v>
      </c>
    </row>
    <row r="63" spans="2:3" x14ac:dyDescent="0.25">
      <c r="B63" t="s">
        <v>79</v>
      </c>
      <c r="C63" t="s">
        <v>80</v>
      </c>
    </row>
    <row r="64" spans="2:3" x14ac:dyDescent="0.25">
      <c r="B64" t="s">
        <v>81</v>
      </c>
      <c r="C64" t="s">
        <v>82</v>
      </c>
    </row>
    <row r="65" spans="1:3" x14ac:dyDescent="0.25">
      <c r="B65" t="s">
        <v>83</v>
      </c>
      <c r="C65" t="s">
        <v>84</v>
      </c>
    </row>
    <row r="66" spans="1:3" x14ac:dyDescent="0.25">
      <c r="B66" t="s">
        <v>85</v>
      </c>
      <c r="C66" t="s">
        <v>86</v>
      </c>
    </row>
    <row r="67" spans="1:3" x14ac:dyDescent="0.25">
      <c r="B67" t="s">
        <v>87</v>
      </c>
      <c r="C67" t="s">
        <v>88</v>
      </c>
    </row>
    <row r="68" spans="1:3" x14ac:dyDescent="0.25">
      <c r="B68" t="s">
        <v>89</v>
      </c>
      <c r="C68" t="s">
        <v>90</v>
      </c>
    </row>
    <row r="69" spans="1:3" x14ac:dyDescent="0.25">
      <c r="B69" t="s">
        <v>91</v>
      </c>
      <c r="C69" t="s">
        <v>92</v>
      </c>
    </row>
    <row r="70" spans="1:3" x14ac:dyDescent="0.25">
      <c r="B70" t="s">
        <v>93</v>
      </c>
      <c r="C70" t="s">
        <v>94</v>
      </c>
    </row>
    <row r="71" spans="1:3" x14ac:dyDescent="0.25">
      <c r="B71" t="s">
        <v>95</v>
      </c>
      <c r="C71" t="s">
        <v>96</v>
      </c>
    </row>
    <row r="72" spans="1:3" x14ac:dyDescent="0.25">
      <c r="B72" t="s">
        <v>97</v>
      </c>
      <c r="C72" t="s">
        <v>98</v>
      </c>
    </row>
    <row r="73" spans="1:3" x14ac:dyDescent="0.25">
      <c r="B73" t="s">
        <v>99</v>
      </c>
      <c r="C73" t="s">
        <v>100</v>
      </c>
    </row>
    <row r="74" spans="1:3" x14ac:dyDescent="0.25">
      <c r="B74" t="s">
        <v>101</v>
      </c>
      <c r="C74" t="s">
        <v>102</v>
      </c>
    </row>
    <row r="77" spans="1:3" x14ac:dyDescent="0.25">
      <c r="A77" t="s">
        <v>103</v>
      </c>
    </row>
    <row r="78" spans="1:3" x14ac:dyDescent="0.25">
      <c r="B78" t="s">
        <v>104</v>
      </c>
    </row>
    <row r="79" spans="1:3" x14ac:dyDescent="0.25">
      <c r="B79" t="s">
        <v>105</v>
      </c>
    </row>
    <row r="82" spans="1:2" x14ac:dyDescent="0.25">
      <c r="A82" t="s">
        <v>106</v>
      </c>
    </row>
    <row r="83" spans="1:2" x14ac:dyDescent="0.25">
      <c r="B83" t="s">
        <v>107</v>
      </c>
    </row>
    <row r="84" spans="1:2" x14ac:dyDescent="0.25">
      <c r="B84" t="s">
        <v>108</v>
      </c>
    </row>
    <row r="85" spans="1:2" x14ac:dyDescent="0.25">
      <c r="B85" t="s">
        <v>109</v>
      </c>
    </row>
    <row r="88" spans="1:2" x14ac:dyDescent="0.25">
      <c r="A88" t="s">
        <v>110</v>
      </c>
    </row>
    <row r="89" spans="1:2" x14ac:dyDescent="0.25">
      <c r="B89" t="s">
        <v>111</v>
      </c>
    </row>
    <row r="90" spans="1:2" x14ac:dyDescent="0.25">
      <c r="B90" t="s">
        <v>112</v>
      </c>
    </row>
    <row r="91" spans="1:2" x14ac:dyDescent="0.25">
      <c r="B91" t="s">
        <v>113</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64"/>
  <sheetViews>
    <sheetView topLeftCell="C1" zoomScaleNormal="100" workbookViewId="0">
      <pane ySplit="2" topLeftCell="A11" activePane="bottomLeft" state="frozen"/>
      <selection activeCell="B1" sqref="B1"/>
      <selection pane="bottomLeft" activeCell="J24" sqref="J24"/>
    </sheetView>
  </sheetViews>
  <sheetFormatPr defaultRowHeight="15" x14ac:dyDescent="0.25"/>
  <cols>
    <col min="1" max="1" width="12.5703125" style="51" customWidth="1"/>
    <col min="2" max="2" width="40.85546875" style="51" hidden="1" customWidth="1"/>
    <col min="3" max="3" width="14.5703125" style="33" customWidth="1"/>
    <col min="4" max="4" width="14.140625" style="33" customWidth="1"/>
    <col min="5" max="5" width="14.85546875" style="33" customWidth="1"/>
    <col min="6" max="6" width="13.85546875" style="33" bestFit="1" customWidth="1"/>
    <col min="7" max="7" width="10.140625" style="33" customWidth="1"/>
    <col min="8" max="8" width="6.42578125" style="38" customWidth="1"/>
    <col min="9" max="9" width="8.140625" style="19" customWidth="1"/>
    <col min="10" max="10" width="5.85546875" style="12" customWidth="1"/>
    <col min="11" max="11" width="6.42578125" style="12" customWidth="1"/>
    <col min="12" max="13" width="9.140625" style="12" customWidth="1"/>
    <col min="14" max="14" width="10.28515625" style="12" customWidth="1"/>
    <col min="15" max="15" width="17.85546875" style="12" customWidth="1"/>
    <col min="16" max="16" width="12.7109375" style="12" customWidth="1"/>
    <col min="17" max="17" width="10.140625" style="12" bestFit="1" customWidth="1"/>
    <col min="21" max="21" width="11.28515625" style="51" customWidth="1"/>
    <col min="22" max="22" width="2.85546875" style="51" customWidth="1"/>
    <col min="23" max="24" width="15.7109375" style="12" bestFit="1" customWidth="1"/>
    <col min="25" max="25" width="16.42578125" style="12" bestFit="1" customWidth="1"/>
    <col min="26" max="26" width="15.140625" style="12" bestFit="1" customWidth="1"/>
  </cols>
  <sheetData>
    <row r="1" spans="1:28" x14ac:dyDescent="0.25">
      <c r="D1" s="33" t="s">
        <v>114</v>
      </c>
      <c r="E1" s="33" t="s">
        <v>115</v>
      </c>
      <c r="H1" s="39"/>
      <c r="I1" s="16"/>
      <c r="O1" s="12" t="s">
        <v>116</v>
      </c>
      <c r="P1" s="12" t="s">
        <v>114</v>
      </c>
      <c r="T1" t="s">
        <v>115</v>
      </c>
      <c r="U1" t="s">
        <v>117</v>
      </c>
      <c r="W1" s="12" t="s">
        <v>118</v>
      </c>
      <c r="X1" s="12" t="s">
        <v>119</v>
      </c>
      <c r="Y1" s="12" t="s">
        <v>120</v>
      </c>
    </row>
    <row r="2" spans="1:28" ht="58.5" customHeight="1" x14ac:dyDescent="0.25">
      <c r="A2" t="s">
        <v>121</v>
      </c>
      <c r="B2" t="s">
        <v>122</v>
      </c>
      <c r="C2" s="33" t="s">
        <v>123</v>
      </c>
      <c r="D2" s="33" t="s">
        <v>124</v>
      </c>
      <c r="E2" s="33" t="s">
        <v>124</v>
      </c>
      <c r="F2" s="33" t="s">
        <v>125</v>
      </c>
      <c r="H2" s="39" t="s">
        <v>126</v>
      </c>
      <c r="I2" s="16" t="s">
        <v>77</v>
      </c>
      <c r="J2" s="12" t="s">
        <v>126</v>
      </c>
      <c r="K2" s="12" t="s">
        <v>127</v>
      </c>
      <c r="L2" s="12" t="s">
        <v>77</v>
      </c>
      <c r="M2" s="12" t="s">
        <v>128</v>
      </c>
      <c r="N2" s="12" t="s">
        <v>129</v>
      </c>
      <c r="O2" s="12" t="s">
        <v>130</v>
      </c>
      <c r="P2" s="12" t="s">
        <v>131</v>
      </c>
      <c r="Q2" s="50" t="s">
        <v>132</v>
      </c>
      <c r="R2" s="17" t="s">
        <v>133</v>
      </c>
      <c r="S2" s="12" t="s">
        <v>134</v>
      </c>
      <c r="T2" s="12" t="s">
        <v>135</v>
      </c>
      <c r="U2" s="12" t="s">
        <v>136</v>
      </c>
      <c r="W2" s="12" t="s">
        <v>137</v>
      </c>
      <c r="X2" s="12" t="s">
        <v>137</v>
      </c>
      <c r="Y2" s="12" t="s">
        <v>138</v>
      </c>
      <c r="Z2" s="12" t="s">
        <v>139</v>
      </c>
      <c r="AA2" s="14" t="s">
        <v>140</v>
      </c>
    </row>
    <row r="3" spans="1:28" x14ac:dyDescent="0.25">
      <c r="H3" s="39"/>
      <c r="I3" s="16"/>
      <c r="AB3" s="40"/>
    </row>
    <row r="4" spans="1:28" x14ac:dyDescent="0.25">
      <c r="H4" s="39"/>
      <c r="I4" s="16"/>
      <c r="P4" s="41"/>
      <c r="U4" s="42"/>
      <c r="W4" s="43"/>
      <c r="X4" s="43"/>
      <c r="AA4" s="40"/>
    </row>
    <row r="5" spans="1:28" x14ac:dyDescent="0.25">
      <c r="A5" t="e">
        <v>#VALUE!</v>
      </c>
      <c r="B5" t="s">
        <v>141</v>
      </c>
      <c r="C5" s="33">
        <v>44277</v>
      </c>
      <c r="D5" s="33">
        <v>44302</v>
      </c>
      <c r="E5" s="33">
        <f t="shared" ref="E5:E12" ca="1" si="0">TODAY()</f>
        <v>44373</v>
      </c>
      <c r="F5" t="e">
        <f>RTD("tos.rtd",,"MARK",A5)</f>
        <v>#VALUE!</v>
      </c>
      <c r="G5" t="e">
        <f t="shared" ref="G5:G12" si="1">IF(F5&lt;H5,"ITM", "OTM")</f>
        <v>#VALUE!</v>
      </c>
      <c r="H5" s="39">
        <v>80</v>
      </c>
      <c r="I5" s="16">
        <f t="shared" ref="I5:I12" si="2">(H5*K5)*100</f>
        <v>16000</v>
      </c>
      <c r="J5" s="12">
        <v>80</v>
      </c>
      <c r="K5" s="12">
        <v>2</v>
      </c>
      <c r="L5" s="12">
        <f t="shared" ref="L5:L12" si="3">(J5*K5)*100</f>
        <v>16000</v>
      </c>
      <c r="M5" s="12">
        <f>1.54-0.37</f>
        <v>1.17</v>
      </c>
      <c r="N5" s="12">
        <f>((K5*M5)*100)-1.33-1.33</f>
        <v>231.33999999999997</v>
      </c>
      <c r="O5" s="12">
        <f t="shared" ref="O5:O12" si="4">D5-C5</f>
        <v>25</v>
      </c>
      <c r="P5" s="41">
        <f t="shared" ref="P5:P12" si="5">(N5/L5)*(365/O5)</f>
        <v>0.21109774999999997</v>
      </c>
      <c r="Q5" s="18" t="e">
        <f>RTD("tos.rtd",,"ASK",".JD210416P80")</f>
        <v>#N/A</v>
      </c>
      <c r="R5" t="e">
        <f t="shared" ref="R5:R12" si="6">(Q5*K5)*100</f>
        <v>#N/A</v>
      </c>
      <c r="S5" t="e">
        <f t="shared" ref="S5:S12" si="7">N5-R5</f>
        <v>#N/A</v>
      </c>
      <c r="T5">
        <f t="shared" ref="T5:T12" ca="1" si="8">E5-C5</f>
        <v>96</v>
      </c>
      <c r="U5" s="42" t="e">
        <f t="shared" ref="U5:U12" ca="1" si="9">(S5/L5)*(365/T5)</f>
        <v>#N/A</v>
      </c>
      <c r="W5" s="43" t="e">
        <f t="shared" ref="W5:X12" si="10">S5/N5</f>
        <v>#N/A</v>
      </c>
      <c r="X5" s="43">
        <f t="shared" ca="1" si="10"/>
        <v>3.84</v>
      </c>
      <c r="Y5" s="12" t="e">
        <f t="shared" ref="Y5:Y12" si="11">N5-S5</f>
        <v>#N/A</v>
      </c>
      <c r="Z5" s="12">
        <f t="shared" ref="Z5:Z12" ca="1" si="12">D5-E5</f>
        <v>-71</v>
      </c>
      <c r="AA5" s="40" t="e">
        <f t="shared" ref="AA5:AA12" ca="1" si="13">(Y5/L5)*(365/Z5)</f>
        <v>#N/A</v>
      </c>
    </row>
    <row r="6" spans="1:28" x14ac:dyDescent="0.25">
      <c r="A6" t="s">
        <v>142</v>
      </c>
      <c r="B6" t="s">
        <v>143</v>
      </c>
      <c r="C6" s="33">
        <v>44291</v>
      </c>
      <c r="D6" s="33">
        <v>44302</v>
      </c>
      <c r="E6" s="33">
        <f t="shared" ca="1" si="0"/>
        <v>44373</v>
      </c>
      <c r="F6" t="e">
        <f>RTD("tos.rtd",,"MARK",A6)</f>
        <v>#N/A</v>
      </c>
      <c r="G6" t="e">
        <f t="shared" si="1"/>
        <v>#N/A</v>
      </c>
      <c r="H6" s="38">
        <v>45</v>
      </c>
      <c r="I6" s="16">
        <f t="shared" si="2"/>
        <v>9000</v>
      </c>
      <c r="J6" s="12">
        <v>45</v>
      </c>
      <c r="K6" s="12">
        <v>2</v>
      </c>
      <c r="L6" s="12">
        <f t="shared" si="3"/>
        <v>9000</v>
      </c>
      <c r="M6" s="12">
        <v>1.1299999999999999</v>
      </c>
      <c r="N6" s="12">
        <f>(K6*M6)*100-1.33</f>
        <v>224.66999999999996</v>
      </c>
      <c r="O6" s="12">
        <f t="shared" si="4"/>
        <v>11</v>
      </c>
      <c r="P6" s="41">
        <f t="shared" si="5"/>
        <v>0.82832878787878772</v>
      </c>
      <c r="Q6" s="18" t="e">
        <f>RTD("tos.rtd", , "ASK", ".SFIX210416P45")</f>
        <v>#N/A</v>
      </c>
      <c r="R6" t="e">
        <f t="shared" si="6"/>
        <v>#N/A</v>
      </c>
      <c r="S6" t="e">
        <f t="shared" si="7"/>
        <v>#N/A</v>
      </c>
      <c r="T6">
        <f t="shared" ca="1" si="8"/>
        <v>82</v>
      </c>
      <c r="U6" s="42" t="e">
        <f t="shared" ca="1" si="9"/>
        <v>#N/A</v>
      </c>
      <c r="W6" s="43" t="e">
        <f t="shared" si="10"/>
        <v>#N/A</v>
      </c>
      <c r="X6" s="43">
        <f t="shared" ca="1" si="10"/>
        <v>7.4545454545454541</v>
      </c>
      <c r="Y6" s="12" t="e">
        <f t="shared" si="11"/>
        <v>#N/A</v>
      </c>
      <c r="Z6" s="12">
        <f t="shared" ca="1" si="12"/>
        <v>-71</v>
      </c>
      <c r="AA6" s="40" t="e">
        <f t="shared" ca="1" si="13"/>
        <v>#N/A</v>
      </c>
    </row>
    <row r="7" spans="1:28" x14ac:dyDescent="0.25">
      <c r="A7" t="s">
        <v>144</v>
      </c>
      <c r="B7" t="s">
        <v>144</v>
      </c>
      <c r="C7" s="33">
        <v>44292</v>
      </c>
      <c r="D7" s="33">
        <v>44302</v>
      </c>
      <c r="E7" s="33">
        <f t="shared" ca="1" si="0"/>
        <v>44373</v>
      </c>
      <c r="F7" t="e">
        <f>RTD("tos.rtd",,"MARK",A7)</f>
        <v>#N/A</v>
      </c>
      <c r="G7" t="e">
        <f t="shared" si="1"/>
        <v>#N/A</v>
      </c>
      <c r="H7" s="38">
        <v>28</v>
      </c>
      <c r="I7" s="16">
        <f t="shared" si="2"/>
        <v>28000</v>
      </c>
      <c r="J7" s="12">
        <v>28</v>
      </c>
      <c r="K7" s="12">
        <v>10</v>
      </c>
      <c r="L7" s="12">
        <f t="shared" si="3"/>
        <v>28000</v>
      </c>
      <c r="M7" s="12">
        <v>0.37</v>
      </c>
      <c r="N7" s="12">
        <f>(K7*M7)*100-5.6-0.06</f>
        <v>364.34</v>
      </c>
      <c r="O7" s="12">
        <f t="shared" si="4"/>
        <v>10</v>
      </c>
      <c r="P7" s="41">
        <f t="shared" si="5"/>
        <v>0.47494321428571423</v>
      </c>
      <c r="Q7" s="18" t="e">
        <f>RTD("tos.rtd", , "ASK", ".SBGI210416P28")</f>
        <v>#N/A</v>
      </c>
      <c r="R7" t="e">
        <f t="shared" si="6"/>
        <v>#N/A</v>
      </c>
      <c r="S7" t="e">
        <f t="shared" si="7"/>
        <v>#N/A</v>
      </c>
      <c r="T7">
        <f t="shared" ca="1" si="8"/>
        <v>81</v>
      </c>
      <c r="U7" s="42" t="e">
        <f t="shared" ca="1" si="9"/>
        <v>#N/A</v>
      </c>
      <c r="W7" s="43" t="e">
        <f t="shared" si="10"/>
        <v>#N/A</v>
      </c>
      <c r="X7" s="43">
        <f t="shared" ca="1" si="10"/>
        <v>8.1</v>
      </c>
      <c r="Y7" s="12" t="e">
        <f t="shared" si="11"/>
        <v>#N/A</v>
      </c>
      <c r="Z7" s="12">
        <f t="shared" ca="1" si="12"/>
        <v>-71</v>
      </c>
      <c r="AA7" s="40" t="e">
        <f t="shared" ca="1" si="13"/>
        <v>#N/A</v>
      </c>
    </row>
    <row r="8" spans="1:28" x14ac:dyDescent="0.25">
      <c r="A8" t="s">
        <v>145</v>
      </c>
      <c r="B8" t="s">
        <v>145</v>
      </c>
      <c r="C8" s="33">
        <v>44295</v>
      </c>
      <c r="D8" s="33">
        <v>44309</v>
      </c>
      <c r="E8" s="33">
        <f t="shared" ca="1" si="0"/>
        <v>44373</v>
      </c>
      <c r="F8" t="e">
        <f>RTD("tos.rtd",,"MARK",A8)</f>
        <v>#N/A</v>
      </c>
      <c r="G8" t="e">
        <f t="shared" si="1"/>
        <v>#N/A</v>
      </c>
      <c r="H8" s="39">
        <v>40</v>
      </c>
      <c r="I8" s="16">
        <f t="shared" si="2"/>
        <v>8000</v>
      </c>
      <c r="J8" s="12">
        <v>40</v>
      </c>
      <c r="K8" s="12">
        <v>2</v>
      </c>
      <c r="L8" s="12">
        <f t="shared" si="3"/>
        <v>8000</v>
      </c>
      <c r="M8" s="12">
        <v>1.21</v>
      </c>
      <c r="N8" s="12">
        <f>((K8*M8)*100)-1.33</f>
        <v>240.67</v>
      </c>
      <c r="O8" s="12">
        <f t="shared" si="4"/>
        <v>14</v>
      </c>
      <c r="P8" s="41">
        <f t="shared" si="5"/>
        <v>0.78432633928571427</v>
      </c>
      <c r="Q8" s="18" t="e">
        <f>RTD("tos.rtd", , "ASK", ".VIAC210423P40")</f>
        <v>#N/A</v>
      </c>
      <c r="R8" t="e">
        <f t="shared" si="6"/>
        <v>#N/A</v>
      </c>
      <c r="S8" t="e">
        <f t="shared" si="7"/>
        <v>#N/A</v>
      </c>
      <c r="T8">
        <f t="shared" ca="1" si="8"/>
        <v>78</v>
      </c>
      <c r="U8" s="42" t="e">
        <f t="shared" ca="1" si="9"/>
        <v>#N/A</v>
      </c>
      <c r="W8" s="43" t="e">
        <f t="shared" si="10"/>
        <v>#N/A</v>
      </c>
      <c r="X8" s="43">
        <f t="shared" ca="1" si="10"/>
        <v>5.5714285714285712</v>
      </c>
      <c r="Y8" s="12" t="e">
        <f t="shared" si="11"/>
        <v>#N/A</v>
      </c>
      <c r="Z8" s="12">
        <f t="shared" ca="1" si="12"/>
        <v>-64</v>
      </c>
      <c r="AA8" s="40" t="e">
        <f t="shared" ca="1" si="13"/>
        <v>#N/A</v>
      </c>
      <c r="AB8" s="40"/>
    </row>
    <row r="9" spans="1:28" x14ac:dyDescent="0.25">
      <c r="A9" t="s">
        <v>146</v>
      </c>
      <c r="B9" t="s">
        <v>147</v>
      </c>
      <c r="C9" s="33">
        <v>44312</v>
      </c>
      <c r="D9" s="33">
        <v>44337</v>
      </c>
      <c r="E9" s="33">
        <f t="shared" ca="1" si="0"/>
        <v>44373</v>
      </c>
      <c r="F9" t="e">
        <f>RTD("tos.rtd",,"MARK",A9)</f>
        <v>#N/A</v>
      </c>
      <c r="G9" t="e">
        <f t="shared" si="1"/>
        <v>#N/A</v>
      </c>
      <c r="H9" s="39">
        <v>62.5</v>
      </c>
      <c r="I9" s="16">
        <f t="shared" si="2"/>
        <v>18750</v>
      </c>
      <c r="J9" s="12">
        <v>62.5</v>
      </c>
      <c r="K9" s="12">
        <v>3</v>
      </c>
      <c r="L9" s="12">
        <f t="shared" si="3"/>
        <v>18750</v>
      </c>
      <c r="M9" s="12">
        <v>1.29</v>
      </c>
      <c r="N9" s="12">
        <f>((K9*M9)*100)-1.33</f>
        <v>385.67</v>
      </c>
      <c r="O9" s="12">
        <f t="shared" si="4"/>
        <v>25</v>
      </c>
      <c r="P9" s="41">
        <f t="shared" si="5"/>
        <v>0.30030837333333332</v>
      </c>
      <c r="Q9" s="18">
        <v>0.35</v>
      </c>
      <c r="R9">
        <f t="shared" si="6"/>
        <v>104.99999999999999</v>
      </c>
      <c r="S9">
        <f t="shared" si="7"/>
        <v>280.67</v>
      </c>
      <c r="T9">
        <f t="shared" ca="1" si="8"/>
        <v>61</v>
      </c>
      <c r="U9" s="42">
        <f t="shared" ca="1" si="9"/>
        <v>8.9569005464480878E-2</v>
      </c>
      <c r="W9" s="43">
        <f t="shared" si="10"/>
        <v>0.72774651904477927</v>
      </c>
      <c r="X9" s="43">
        <f t="shared" ca="1" si="10"/>
        <v>2.44</v>
      </c>
      <c r="Y9" s="12">
        <f t="shared" si="11"/>
        <v>105</v>
      </c>
      <c r="Z9" s="12">
        <f t="shared" ca="1" si="12"/>
        <v>-36</v>
      </c>
      <c r="AA9" s="40">
        <f t="shared" ca="1" si="13"/>
        <v>-5.6777777777777781E-2</v>
      </c>
    </row>
    <row r="10" spans="1:28" x14ac:dyDescent="0.25">
      <c r="A10" t="s">
        <v>148</v>
      </c>
      <c r="B10" t="s">
        <v>149</v>
      </c>
      <c r="C10" s="33">
        <v>44295</v>
      </c>
      <c r="D10" s="33">
        <v>44316</v>
      </c>
      <c r="E10" s="33">
        <f t="shared" ca="1" si="0"/>
        <v>44373</v>
      </c>
      <c r="F10" t="e">
        <f>RTD("tos.rtd",,"MARK",A10)</f>
        <v>#N/A</v>
      </c>
      <c r="G10" t="e">
        <f t="shared" si="1"/>
        <v>#N/A</v>
      </c>
      <c r="H10" s="38">
        <v>13</v>
      </c>
      <c r="I10" s="16">
        <f t="shared" si="2"/>
        <v>3900</v>
      </c>
      <c r="J10" s="12">
        <v>13</v>
      </c>
      <c r="K10" s="12">
        <v>3</v>
      </c>
      <c r="L10" s="12">
        <f t="shared" si="3"/>
        <v>3900</v>
      </c>
      <c r="M10" s="12">
        <v>0.35</v>
      </c>
      <c r="N10" s="12">
        <f>(K10*M10)*100-6.5-0.16</f>
        <v>98.339999999999989</v>
      </c>
      <c r="O10" s="12">
        <f t="shared" si="4"/>
        <v>21</v>
      </c>
      <c r="P10" s="41">
        <f t="shared" si="5"/>
        <v>0.43826739926739916</v>
      </c>
      <c r="Q10" s="18" t="e">
        <f>RTD("tos.rtd", ,"ASK", ".CCL210507P25")</f>
        <v>#N/A</v>
      </c>
      <c r="R10" t="e">
        <f t="shared" si="6"/>
        <v>#N/A</v>
      </c>
      <c r="S10" t="e">
        <f t="shared" si="7"/>
        <v>#N/A</v>
      </c>
      <c r="T10">
        <f t="shared" ca="1" si="8"/>
        <v>78</v>
      </c>
      <c r="U10" s="42" t="e">
        <f t="shared" ca="1" si="9"/>
        <v>#N/A</v>
      </c>
      <c r="W10" s="43" t="e">
        <f t="shared" si="10"/>
        <v>#N/A</v>
      </c>
      <c r="X10" s="43">
        <f t="shared" ca="1" si="10"/>
        <v>3.7142857142857144</v>
      </c>
      <c r="Y10" s="12" t="e">
        <f t="shared" si="11"/>
        <v>#N/A</v>
      </c>
      <c r="Z10" s="12">
        <f t="shared" ca="1" si="12"/>
        <v>-57</v>
      </c>
      <c r="AA10" s="40" t="e">
        <f t="shared" ca="1" si="13"/>
        <v>#N/A</v>
      </c>
    </row>
    <row r="11" spans="1:28" x14ac:dyDescent="0.25">
      <c r="A11" t="s">
        <v>150</v>
      </c>
      <c r="B11" t="s">
        <v>151</v>
      </c>
      <c r="C11" s="33">
        <v>44294</v>
      </c>
      <c r="D11" s="33">
        <v>44323</v>
      </c>
      <c r="E11" s="33">
        <f t="shared" ca="1" si="0"/>
        <v>44373</v>
      </c>
      <c r="F11" t="e">
        <f>RTD("tos.rtd",,"MARK",A11)</f>
        <v>#N/A</v>
      </c>
      <c r="G11" t="e">
        <f t="shared" si="1"/>
        <v>#N/A</v>
      </c>
      <c r="H11" s="38">
        <v>22</v>
      </c>
      <c r="I11" s="16">
        <f t="shared" si="2"/>
        <v>22000</v>
      </c>
      <c r="J11" s="12">
        <v>22</v>
      </c>
      <c r="K11" s="12">
        <v>10</v>
      </c>
      <c r="L11" s="12">
        <f t="shared" si="3"/>
        <v>22000</v>
      </c>
      <c r="M11" s="12">
        <v>0.86</v>
      </c>
      <c r="N11" s="12">
        <f>(K11*M11)*100-6.5-0.16</f>
        <v>853.34</v>
      </c>
      <c r="O11" s="12">
        <f t="shared" si="4"/>
        <v>29</v>
      </c>
      <c r="P11" s="41">
        <f t="shared" si="5"/>
        <v>0.48819608150470223</v>
      </c>
      <c r="Q11" s="18" t="e">
        <f>RTD("tos.rtd", , "ASK", ".AAL210507P22")</f>
        <v>#N/A</v>
      </c>
      <c r="R11" t="e">
        <f t="shared" si="6"/>
        <v>#N/A</v>
      </c>
      <c r="S11" t="e">
        <f t="shared" si="7"/>
        <v>#N/A</v>
      </c>
      <c r="T11">
        <f t="shared" ca="1" si="8"/>
        <v>79</v>
      </c>
      <c r="U11" s="42" t="e">
        <f t="shared" ca="1" si="9"/>
        <v>#N/A</v>
      </c>
      <c r="W11" s="43" t="e">
        <f t="shared" si="10"/>
        <v>#N/A</v>
      </c>
      <c r="X11" s="43">
        <f t="shared" ca="1" si="10"/>
        <v>2.7241379310344827</v>
      </c>
      <c r="Y11" s="12" t="e">
        <f t="shared" si="11"/>
        <v>#N/A</v>
      </c>
      <c r="Z11" s="12">
        <f t="shared" ca="1" si="12"/>
        <v>-50</v>
      </c>
      <c r="AA11" s="40" t="e">
        <f t="shared" ca="1" si="13"/>
        <v>#N/A</v>
      </c>
    </row>
    <row r="12" spans="1:28" x14ac:dyDescent="0.25">
      <c r="A12" t="s">
        <v>152</v>
      </c>
      <c r="B12" t="s">
        <v>153</v>
      </c>
      <c r="C12" s="33">
        <v>44294</v>
      </c>
      <c r="D12" s="33">
        <v>44323</v>
      </c>
      <c r="E12" s="33">
        <f t="shared" ca="1" si="0"/>
        <v>44373</v>
      </c>
      <c r="F12" t="e">
        <f>RTD("tos.rtd",,"MARK",A12)</f>
        <v>#N/A</v>
      </c>
      <c r="G12" t="e">
        <f t="shared" si="1"/>
        <v>#N/A</v>
      </c>
      <c r="H12" s="38">
        <v>25</v>
      </c>
      <c r="I12" s="16">
        <f t="shared" si="2"/>
        <v>25000</v>
      </c>
      <c r="J12" s="12">
        <v>25</v>
      </c>
      <c r="K12" s="12">
        <v>10</v>
      </c>
      <c r="L12" s="12">
        <f t="shared" si="3"/>
        <v>25000</v>
      </c>
      <c r="M12" s="12">
        <v>0.44</v>
      </c>
      <c r="N12" s="12">
        <f>(K12*M12)*100-6.5-0.16</f>
        <v>433.34000000000003</v>
      </c>
      <c r="O12" s="12">
        <f t="shared" si="4"/>
        <v>29</v>
      </c>
      <c r="P12" s="41">
        <f t="shared" si="5"/>
        <v>0.21816427586206899</v>
      </c>
      <c r="Q12" s="18" t="e">
        <f>RTD("tos.rtd", ,"ASK", ".CCL210507P25")</f>
        <v>#N/A</v>
      </c>
      <c r="R12" t="e">
        <f t="shared" si="6"/>
        <v>#N/A</v>
      </c>
      <c r="S12" t="e">
        <f t="shared" si="7"/>
        <v>#N/A</v>
      </c>
      <c r="T12">
        <f t="shared" ca="1" si="8"/>
        <v>79</v>
      </c>
      <c r="U12" s="42" t="e">
        <f t="shared" ca="1" si="9"/>
        <v>#N/A</v>
      </c>
      <c r="W12" s="43" t="e">
        <f t="shared" si="10"/>
        <v>#N/A</v>
      </c>
      <c r="X12" s="43">
        <f t="shared" ca="1" si="10"/>
        <v>2.7241379310344827</v>
      </c>
      <c r="Y12" s="12" t="e">
        <f t="shared" si="11"/>
        <v>#N/A</v>
      </c>
      <c r="Z12" s="12">
        <f t="shared" ca="1" si="12"/>
        <v>-50</v>
      </c>
      <c r="AA12" s="40" t="e">
        <f t="shared" ca="1" si="13"/>
        <v>#N/A</v>
      </c>
    </row>
    <row r="13" spans="1:28" x14ac:dyDescent="0.25">
      <c r="F13" s="12"/>
      <c r="G13" s="12"/>
      <c r="H13" s="39"/>
      <c r="I13" s="16"/>
      <c r="P13" s="41"/>
      <c r="U13" s="42"/>
      <c r="W13" s="43"/>
      <c r="X13" s="43"/>
      <c r="AA13" s="40"/>
    </row>
    <row r="14" spans="1:28" x14ac:dyDescent="0.25">
      <c r="F14" s="12"/>
      <c r="G14" s="12"/>
      <c r="H14" s="39"/>
      <c r="I14" s="16"/>
      <c r="P14" s="41"/>
      <c r="U14" s="42"/>
      <c r="W14" s="43"/>
      <c r="X14" s="43"/>
      <c r="AA14" s="40"/>
    </row>
    <row r="15" spans="1:28" x14ac:dyDescent="0.25">
      <c r="F15" s="12"/>
      <c r="G15" s="12"/>
      <c r="H15" s="39"/>
      <c r="I15" s="16"/>
      <c r="P15" s="41"/>
      <c r="U15" s="42"/>
      <c r="W15" s="43"/>
      <c r="X15" s="43"/>
      <c r="AA15" s="40"/>
    </row>
    <row r="16" spans="1:28" x14ac:dyDescent="0.25">
      <c r="F16" s="12"/>
      <c r="G16" s="12"/>
      <c r="H16" s="39"/>
      <c r="I16" s="16"/>
      <c r="P16" s="41"/>
      <c r="U16" s="42"/>
      <c r="W16" s="43"/>
      <c r="X16" s="43"/>
      <c r="AA16" s="40"/>
    </row>
    <row r="17" spans="5:28" x14ac:dyDescent="0.25">
      <c r="E17" s="12"/>
      <c r="F17" s="12"/>
      <c r="G17" s="12"/>
      <c r="H17" s="39"/>
      <c r="I17" s="16"/>
      <c r="P17" s="41"/>
      <c r="U17" s="42"/>
      <c r="W17" s="43"/>
      <c r="X17" s="43"/>
      <c r="AA17" s="40"/>
    </row>
    <row r="18" spans="5:28" x14ac:dyDescent="0.25">
      <c r="H18" s="39"/>
      <c r="I18" s="16"/>
      <c r="W18" s="12" t="s">
        <v>154</v>
      </c>
      <c r="Z18" s="12" t="s">
        <v>155</v>
      </c>
    </row>
    <row r="19" spans="5:28" x14ac:dyDescent="0.25">
      <c r="I19" s="19" t="s">
        <v>156</v>
      </c>
      <c r="L19" s="12" t="s">
        <v>157</v>
      </c>
      <c r="N19" s="12">
        <f>SUM(N5:N18)</f>
        <v>2831.71</v>
      </c>
      <c r="O19" s="12" t="s">
        <v>158</v>
      </c>
      <c r="S19" s="12" t="s">
        <v>159</v>
      </c>
      <c r="T19" t="s">
        <v>43</v>
      </c>
      <c r="W19" s="12" t="s">
        <v>160</v>
      </c>
      <c r="Z19" s="12" t="s">
        <v>161</v>
      </c>
    </row>
    <row r="20" spans="5:28" x14ac:dyDescent="0.25">
      <c r="I20" s="16">
        <f>SUM(I4:I18)</f>
        <v>130650</v>
      </c>
      <c r="L20" s="16">
        <f>SUM(L4:L17)</f>
        <v>130650</v>
      </c>
      <c r="S20" s="20">
        <v>150443.13</v>
      </c>
      <c r="T20" s="20">
        <v>0</v>
      </c>
      <c r="W20" s="19">
        <v>150000</v>
      </c>
      <c r="Z20" s="19">
        <f>$W$20-$L$20</f>
        <v>19350</v>
      </c>
      <c r="AA20" s="40"/>
    </row>
    <row r="21" spans="5:28" x14ac:dyDescent="0.25">
      <c r="S21" s="12"/>
    </row>
    <row r="22" spans="5:28" x14ac:dyDescent="0.25">
      <c r="O22" s="19"/>
      <c r="P22" s="41"/>
      <c r="Q22" s="41"/>
      <c r="S22" s="12" t="s">
        <v>162</v>
      </c>
      <c r="W22" s="12" t="s">
        <v>163</v>
      </c>
      <c r="Z22" s="12" t="s">
        <v>164</v>
      </c>
    </row>
    <row r="23" spans="5:28" x14ac:dyDescent="0.25">
      <c r="F23" s="34"/>
      <c r="G23" s="34"/>
      <c r="H23" s="44"/>
      <c r="I23" s="21"/>
      <c r="S23" s="41">
        <f>$L$20/$S$20</f>
        <v>0.86843447088610826</v>
      </c>
      <c r="W23" s="41">
        <f>$L$20/$W$20</f>
        <v>0.871</v>
      </c>
      <c r="Z23" s="22">
        <f>$O$22/$Z$20</f>
        <v>0</v>
      </c>
    </row>
    <row r="24" spans="5:28" x14ac:dyDescent="0.25">
      <c r="E24" s="12"/>
      <c r="F24" s="12"/>
      <c r="G24" s="12"/>
      <c r="L24" s="19"/>
      <c r="O24" s="19"/>
      <c r="P24" s="41"/>
      <c r="U24" s="42"/>
      <c r="W24" s="43"/>
      <c r="X24" s="43"/>
      <c r="AA24" s="40"/>
      <c r="AB24" s="40"/>
    </row>
    <row r="25" spans="5:28" x14ac:dyDescent="0.25">
      <c r="E25" s="12"/>
      <c r="F25" s="12"/>
      <c r="G25" s="12"/>
      <c r="L25" s="19"/>
      <c r="O25" s="19"/>
      <c r="P25" s="41"/>
      <c r="U25" s="42"/>
      <c r="W25" s="43"/>
      <c r="X25" s="43"/>
      <c r="AA25" s="40"/>
      <c r="AB25" s="40"/>
    </row>
    <row r="26" spans="5:28" x14ac:dyDescent="0.25">
      <c r="E26" s="12"/>
      <c r="F26" s="12"/>
      <c r="G26" s="12"/>
      <c r="L26" s="19"/>
      <c r="O26" s="19"/>
      <c r="P26" s="41"/>
      <c r="U26" s="42"/>
      <c r="W26" s="43"/>
      <c r="X26" s="43"/>
      <c r="AA26" s="40"/>
      <c r="AB26" s="40"/>
    </row>
    <row r="27" spans="5:28" x14ac:dyDescent="0.25">
      <c r="E27" s="12"/>
      <c r="F27" s="12"/>
      <c r="G27" s="12"/>
      <c r="L27" s="19"/>
      <c r="O27" s="19"/>
      <c r="P27" s="41"/>
      <c r="S27" s="41"/>
      <c r="U27" s="42"/>
      <c r="W27" s="43"/>
      <c r="X27" s="43"/>
      <c r="AA27" s="40"/>
      <c r="AB27" s="40"/>
    </row>
    <row r="28" spans="5:28" x14ac:dyDescent="0.25">
      <c r="E28" s="12"/>
      <c r="F28" s="12"/>
      <c r="G28" s="12"/>
      <c r="L28" s="19"/>
      <c r="O28" s="19"/>
      <c r="P28" s="41"/>
      <c r="S28" s="41"/>
      <c r="U28" s="42"/>
      <c r="W28" s="43"/>
      <c r="X28" s="43"/>
      <c r="AA28" s="40"/>
      <c r="AB28" s="40"/>
    </row>
    <row r="29" spans="5:28" x14ac:dyDescent="0.25">
      <c r="E29" s="12"/>
      <c r="F29" s="12"/>
      <c r="G29" s="12"/>
      <c r="L29" s="19"/>
      <c r="O29" s="19"/>
      <c r="P29" s="41"/>
      <c r="Q29" s="12" t="s">
        <v>165</v>
      </c>
      <c r="S29" s="12" t="s">
        <v>162</v>
      </c>
      <c r="U29" s="42"/>
      <c r="W29" s="12" t="s">
        <v>163</v>
      </c>
      <c r="X29" s="43"/>
      <c r="AA29" s="40"/>
      <c r="AB29" s="40"/>
    </row>
    <row r="30" spans="5:28" x14ac:dyDescent="0.25">
      <c r="E30" s="12"/>
      <c r="F30" s="12"/>
      <c r="G30" s="12"/>
      <c r="L30" s="19"/>
      <c r="O30" s="19"/>
      <c r="P30" s="41"/>
      <c r="S30" s="41">
        <f>$I$20/$S$20</f>
        <v>0.86843447088610826</v>
      </c>
      <c r="U30" s="42"/>
      <c r="W30" s="41">
        <f>$I$20/$W$20</f>
        <v>0.871</v>
      </c>
      <c r="X30" s="43"/>
      <c r="AA30" s="40"/>
      <c r="AB30" s="40"/>
    </row>
    <row r="31" spans="5:28" x14ac:dyDescent="0.25">
      <c r="E31" s="12"/>
      <c r="F31" s="12"/>
      <c r="G31" s="12"/>
      <c r="L31" s="19"/>
      <c r="O31" s="19"/>
      <c r="P31" s="41"/>
      <c r="S31" s="41"/>
      <c r="U31" s="42"/>
      <c r="W31" s="43"/>
      <c r="X31" s="43"/>
      <c r="AA31" s="40"/>
      <c r="AB31" s="40"/>
    </row>
    <row r="32" spans="5:28" x14ac:dyDescent="0.25">
      <c r="E32" s="12"/>
      <c r="F32" s="12"/>
      <c r="G32" s="12"/>
      <c r="L32" s="19"/>
      <c r="O32" s="19"/>
      <c r="P32" s="41"/>
      <c r="S32" s="41"/>
      <c r="U32" s="42"/>
      <c r="W32" s="43"/>
      <c r="X32" s="43"/>
      <c r="AA32" s="40"/>
      <c r="AB32" s="40"/>
    </row>
    <row r="33" spans="1:28" x14ac:dyDescent="0.25">
      <c r="E33" s="12"/>
      <c r="F33" s="12"/>
      <c r="G33" s="12"/>
      <c r="L33" s="19"/>
      <c r="O33" s="19"/>
      <c r="P33" s="41"/>
      <c r="S33" s="41"/>
      <c r="U33" s="42"/>
      <c r="W33" s="43"/>
      <c r="X33" s="43"/>
      <c r="AA33" s="40"/>
      <c r="AB33" s="40"/>
    </row>
    <row r="34" spans="1:28" x14ac:dyDescent="0.25">
      <c r="E34" s="12"/>
      <c r="F34" s="12"/>
      <c r="G34" s="12"/>
      <c r="L34" s="19"/>
      <c r="O34" s="19"/>
      <c r="P34" s="41"/>
      <c r="S34" s="41"/>
      <c r="U34" s="42"/>
      <c r="W34" s="43"/>
      <c r="X34" s="43"/>
      <c r="AA34" s="40"/>
      <c r="AB34" s="40"/>
    </row>
    <row r="35" spans="1:28" x14ac:dyDescent="0.25">
      <c r="E35" s="12"/>
      <c r="F35" s="12"/>
      <c r="G35" s="12"/>
      <c r="L35" s="19"/>
      <c r="O35" s="19"/>
      <c r="P35" s="41"/>
      <c r="S35" s="41"/>
      <c r="U35" s="42"/>
      <c r="W35" s="43"/>
      <c r="X35" s="43"/>
      <c r="AA35" s="40"/>
      <c r="AB35" s="40"/>
    </row>
    <row r="36" spans="1:28" x14ac:dyDescent="0.25">
      <c r="E36" s="12"/>
      <c r="F36" s="12"/>
      <c r="G36" s="12"/>
      <c r="L36" s="19"/>
      <c r="O36" s="19"/>
      <c r="P36" s="41"/>
      <c r="U36" s="42"/>
      <c r="W36" s="43"/>
      <c r="X36" s="43"/>
      <c r="AA36" s="40"/>
      <c r="AB36" s="40"/>
    </row>
    <row r="37" spans="1:28" ht="30" customHeight="1" x14ac:dyDescent="0.25">
      <c r="A37" s="13" t="s">
        <v>166</v>
      </c>
      <c r="B37" s="13"/>
      <c r="E37" s="34" t="s">
        <v>167</v>
      </c>
      <c r="F37" s="17" t="s">
        <v>168</v>
      </c>
      <c r="G37" s="17" t="s">
        <v>169</v>
      </c>
      <c r="H37" s="45" t="s">
        <v>170</v>
      </c>
      <c r="I37" s="27" t="s">
        <v>171</v>
      </c>
      <c r="L37" s="19"/>
      <c r="O37" s="19"/>
      <c r="P37" s="41"/>
      <c r="U37" s="42"/>
      <c r="W37" s="43"/>
      <c r="X37" s="43"/>
      <c r="AA37" s="40"/>
      <c r="AB37" s="40"/>
    </row>
    <row r="38" spans="1:28" x14ac:dyDescent="0.25">
      <c r="P38" s="41"/>
      <c r="U38" s="42"/>
      <c r="W38" s="43"/>
      <c r="X38" s="43"/>
      <c r="AA38" s="40"/>
      <c r="AB38" s="40"/>
    </row>
    <row r="39" spans="1:28" ht="30" customHeight="1" x14ac:dyDescent="0.25">
      <c r="A39" t="s">
        <v>172</v>
      </c>
      <c r="C39" s="33">
        <v>44326</v>
      </c>
      <c r="D39" s="33">
        <v>44351</v>
      </c>
      <c r="F39" s="33" t="s">
        <v>173</v>
      </c>
      <c r="G39" s="33" t="s">
        <v>174</v>
      </c>
      <c r="H39" s="38">
        <v>46.03</v>
      </c>
      <c r="I39" s="17" t="s">
        <v>175</v>
      </c>
      <c r="J39" s="12">
        <v>24.5</v>
      </c>
      <c r="K39" s="12">
        <v>4</v>
      </c>
      <c r="L39" s="12">
        <f>(J39*K39)*100</f>
        <v>9800</v>
      </c>
      <c r="M39" s="12">
        <v>0.61</v>
      </c>
      <c r="N39" s="12">
        <f>(K39*M39)*100</f>
        <v>244</v>
      </c>
      <c r="O39" s="12">
        <f>D39-C39</f>
        <v>25</v>
      </c>
      <c r="P39" s="41">
        <f>(N39/L39)*(365/O39)</f>
        <v>0.36351020408163265</v>
      </c>
      <c r="Q39" s="12">
        <v>0.41</v>
      </c>
      <c r="R39">
        <f>(Q39*K39)*100</f>
        <v>164</v>
      </c>
      <c r="S39">
        <f>N39-R39</f>
        <v>80</v>
      </c>
      <c r="T39">
        <f>E39-C39</f>
        <v>-44326</v>
      </c>
      <c r="U39" s="42">
        <f>(S39/L39)*(365/T39)</f>
        <v>-6.7219957513303571E-5</v>
      </c>
      <c r="W39" s="43">
        <f t="shared" ref="W39:X43" si="14">S39/N39</f>
        <v>0.32786885245901637</v>
      </c>
      <c r="X39" s="43">
        <f t="shared" si="14"/>
        <v>-1773.04</v>
      </c>
      <c r="Y39" s="12">
        <f>N39-S39</f>
        <v>164</v>
      </c>
      <c r="Z39" s="12">
        <f>D39-E39</f>
        <v>44351</v>
      </c>
      <c r="AA39" s="40">
        <f>(Y39/L39)*(365/Z39)</f>
        <v>1.377232365742852E-4</v>
      </c>
      <c r="AB39" s="40"/>
    </row>
    <row r="40" spans="1:28" x14ac:dyDescent="0.25">
      <c r="A40" t="s">
        <v>176</v>
      </c>
      <c r="C40" s="33">
        <v>44322</v>
      </c>
      <c r="D40" s="33">
        <v>44326</v>
      </c>
      <c r="E40" s="33">
        <v>44326</v>
      </c>
      <c r="G40" s="17"/>
      <c r="I40" s="17"/>
      <c r="J40" s="12">
        <v>90</v>
      </c>
      <c r="K40" s="12">
        <v>2</v>
      </c>
      <c r="L40" s="12">
        <f>(J40*K40)*100</f>
        <v>18000</v>
      </c>
      <c r="M40" s="12">
        <v>1.6</v>
      </c>
      <c r="N40" s="12">
        <f>(K40*M40)*100</f>
        <v>320</v>
      </c>
      <c r="O40" s="12">
        <f>D40-C40</f>
        <v>4</v>
      </c>
      <c r="P40" s="41">
        <f>(N40/L40)*(365/O40)</f>
        <v>1.6222222222222222</v>
      </c>
      <c r="Q40" s="12">
        <v>0.9</v>
      </c>
      <c r="R40">
        <f>(Q40*K40)*100</f>
        <v>180</v>
      </c>
      <c r="S40">
        <f>N40-R40</f>
        <v>140</v>
      </c>
      <c r="T40">
        <f>E40-C40</f>
        <v>4</v>
      </c>
      <c r="U40" s="42">
        <f>(S40/L40)*(365/T40)</f>
        <v>0.70972222222222225</v>
      </c>
      <c r="W40" s="43">
        <f t="shared" si="14"/>
        <v>0.4375</v>
      </c>
      <c r="X40" s="43">
        <f t="shared" si="14"/>
        <v>1</v>
      </c>
      <c r="Y40" s="12">
        <f>N40-S40</f>
        <v>180</v>
      </c>
      <c r="Z40" s="12">
        <f>D40-E40</f>
        <v>0</v>
      </c>
      <c r="AA40" s="40" t="e">
        <f>(Y40/L40)*(365/Z40)</f>
        <v>#DIV/0!</v>
      </c>
      <c r="AB40" s="40"/>
    </row>
    <row r="41" spans="1:28" ht="30" customHeight="1" x14ac:dyDescent="0.25">
      <c r="A41" t="s">
        <v>177</v>
      </c>
      <c r="C41" s="33">
        <v>44326</v>
      </c>
      <c r="D41" s="33">
        <v>44344</v>
      </c>
      <c r="E41" s="33" t="s">
        <v>178</v>
      </c>
      <c r="F41" s="33" t="s">
        <v>179</v>
      </c>
      <c r="G41" s="17" t="s">
        <v>174</v>
      </c>
      <c r="H41" s="38">
        <v>41.78</v>
      </c>
      <c r="I41" s="17" t="s">
        <v>180</v>
      </c>
      <c r="J41" s="50">
        <v>50</v>
      </c>
      <c r="K41" s="12">
        <v>2</v>
      </c>
      <c r="L41" s="12">
        <f>(J41*K41)*100</f>
        <v>10000</v>
      </c>
      <c r="M41" s="12">
        <v>1.0900000000000001</v>
      </c>
      <c r="N41" s="12">
        <f>(K41*M41)*100</f>
        <v>218.00000000000003</v>
      </c>
      <c r="O41" s="12">
        <f>D41-C41</f>
        <v>18</v>
      </c>
      <c r="P41" s="41">
        <f>(N41/L41)*(365/O41)</f>
        <v>0.44205555555555565</v>
      </c>
      <c r="Q41" s="12">
        <v>1.75</v>
      </c>
      <c r="R41">
        <f>(Q41*K41)*100</f>
        <v>350</v>
      </c>
      <c r="S41">
        <f>N41-R41</f>
        <v>-131.99999999999997</v>
      </c>
      <c r="T41" t="e">
        <f>E41-C41</f>
        <v>#VALUE!</v>
      </c>
      <c r="U41" s="42" t="e">
        <f>(S41/L41)*(365/T41)</f>
        <v>#VALUE!</v>
      </c>
      <c r="W41" s="43">
        <f t="shared" si="14"/>
        <v>-0.60550458715596311</v>
      </c>
      <c r="X41" s="43" t="e">
        <f t="shared" si="14"/>
        <v>#VALUE!</v>
      </c>
      <c r="Y41" s="12">
        <f>N41-S41</f>
        <v>350</v>
      </c>
      <c r="Z41" s="12" t="e">
        <f>D41-E41</f>
        <v>#VALUE!</v>
      </c>
      <c r="AA41" s="40" t="e">
        <f>(Y41/L41)*(365/Z41)</f>
        <v>#VALUE!</v>
      </c>
      <c r="AB41" s="40"/>
    </row>
    <row r="42" spans="1:28" ht="45" customHeight="1" x14ac:dyDescent="0.25">
      <c r="A42" t="s">
        <v>181</v>
      </c>
      <c r="C42" s="33">
        <v>44326</v>
      </c>
      <c r="D42" s="33">
        <v>44323</v>
      </c>
      <c r="F42" s="33" t="s">
        <v>182</v>
      </c>
      <c r="G42" s="33">
        <v>44271</v>
      </c>
      <c r="H42" s="38">
        <v>44.27</v>
      </c>
      <c r="I42" s="17" t="s">
        <v>183</v>
      </c>
      <c r="J42" s="50">
        <v>25</v>
      </c>
      <c r="K42" s="12">
        <v>2</v>
      </c>
      <c r="L42" s="12">
        <f>(J42*K42)*100</f>
        <v>5000</v>
      </c>
      <c r="M42" s="12">
        <v>1.01</v>
      </c>
      <c r="N42" s="12">
        <f>(K42*M42)*100</f>
        <v>202</v>
      </c>
      <c r="O42" s="12">
        <f>D42-C42</f>
        <v>-3</v>
      </c>
      <c r="P42" s="41">
        <f>(N42/L42)*(365/O42)</f>
        <v>-4.9153333333333329</v>
      </c>
      <c r="Q42" s="12">
        <v>0.77</v>
      </c>
      <c r="R42">
        <f>(Q42*K42)*100</f>
        <v>154</v>
      </c>
      <c r="S42">
        <f>N42-R42</f>
        <v>48</v>
      </c>
      <c r="T42">
        <f>E42-C42</f>
        <v>-44326</v>
      </c>
      <c r="U42" s="42">
        <f>(S42/L42)*(365/T42)</f>
        <v>-7.9050670035644979E-5</v>
      </c>
      <c r="W42" s="43">
        <f t="shared" si="14"/>
        <v>0.23762376237623761</v>
      </c>
      <c r="X42" s="43">
        <f t="shared" si="14"/>
        <v>14775.333333333334</v>
      </c>
      <c r="Y42" s="12">
        <f>N42-S42</f>
        <v>154</v>
      </c>
      <c r="Z42" s="12">
        <f>D42-E42</f>
        <v>44323</v>
      </c>
      <c r="AA42" s="40">
        <f>(Y42/L42)*(365/Z42)</f>
        <v>2.5363806601538705E-4</v>
      </c>
      <c r="AB42" s="40"/>
    </row>
    <row r="43" spans="1:28" ht="30" customHeight="1" x14ac:dyDescent="0.25">
      <c r="A43" t="s">
        <v>184</v>
      </c>
      <c r="C43" s="33">
        <v>44326</v>
      </c>
      <c r="D43" s="33">
        <v>44365</v>
      </c>
      <c r="E43" s="33">
        <v>44313</v>
      </c>
      <c r="F43" s="33">
        <v>44336</v>
      </c>
      <c r="G43" s="33" t="s">
        <v>174</v>
      </c>
      <c r="H43" s="38">
        <v>41.9</v>
      </c>
      <c r="I43" s="17" t="s">
        <v>185</v>
      </c>
      <c r="J43" s="12">
        <v>15</v>
      </c>
      <c r="K43" s="12">
        <v>5</v>
      </c>
      <c r="L43" s="12">
        <f>(J43*K43)*100</f>
        <v>7500</v>
      </c>
      <c r="M43" s="12">
        <v>0.9</v>
      </c>
      <c r="N43" s="12">
        <f>(K43*M43)*100</f>
        <v>450</v>
      </c>
      <c r="O43" s="12">
        <f>D43-C43</f>
        <v>39</v>
      </c>
      <c r="P43" s="41">
        <f>(N43/L43)*(365/O43)</f>
        <v>0.56153846153846154</v>
      </c>
      <c r="Q43" s="12">
        <v>0.09</v>
      </c>
      <c r="R43">
        <v>28.99</v>
      </c>
      <c r="S43">
        <f>N43-R43</f>
        <v>421.01</v>
      </c>
      <c r="T43">
        <f>E43-C43</f>
        <v>-13</v>
      </c>
      <c r="U43" s="42">
        <f>(S43/L43)*(365/T43)</f>
        <v>-1.576088717948718</v>
      </c>
      <c r="W43" s="43">
        <f t="shared" si="14"/>
        <v>0.93557777777777773</v>
      </c>
      <c r="X43" s="43">
        <f t="shared" si="14"/>
        <v>-0.33333333333333331</v>
      </c>
      <c r="Y43" s="12">
        <f>N43-S43</f>
        <v>28.990000000000009</v>
      </c>
      <c r="Z43" s="12">
        <f>D43-E43</f>
        <v>52</v>
      </c>
      <c r="AA43" s="40">
        <f>(Y43/L43)*(365/Z43)</f>
        <v>2.7131666666666672E-2</v>
      </c>
      <c r="AB43" s="40"/>
    </row>
    <row r="44" spans="1:28" x14ac:dyDescent="0.25">
      <c r="J44" s="33"/>
      <c r="K44" s="33"/>
      <c r="L44" s="33"/>
      <c r="M44" s="33"/>
      <c r="N44" s="33"/>
      <c r="P44" s="41"/>
      <c r="U44" s="42"/>
      <c r="W44" s="43"/>
      <c r="X44" s="43"/>
      <c r="AA44" s="40"/>
      <c r="AB44" s="40"/>
    </row>
    <row r="45" spans="1:28" x14ac:dyDescent="0.25">
      <c r="J45" s="33"/>
      <c r="K45" s="33"/>
      <c r="L45" s="33"/>
      <c r="M45" s="33"/>
      <c r="N45" s="33"/>
    </row>
    <row r="46" spans="1:28" x14ac:dyDescent="0.25">
      <c r="A46" s="13"/>
      <c r="B46" s="13"/>
    </row>
    <row r="48" spans="1:28" x14ac:dyDescent="0.25">
      <c r="A48" s="23" t="s">
        <v>118</v>
      </c>
      <c r="B48" s="23"/>
      <c r="C48" s="23" t="s">
        <v>75</v>
      </c>
      <c r="D48" s="23" t="s">
        <v>186</v>
      </c>
      <c r="E48" s="24"/>
      <c r="F48" s="24"/>
      <c r="G48" s="24"/>
      <c r="H48" s="46"/>
      <c r="I48" s="25"/>
      <c r="J48" s="24"/>
      <c r="K48" s="23" t="s">
        <v>118</v>
      </c>
      <c r="L48" s="23" t="s">
        <v>75</v>
      </c>
      <c r="M48" s="23" t="s">
        <v>186</v>
      </c>
    </row>
    <row r="49" spans="1:28" x14ac:dyDescent="0.25">
      <c r="A49" s="23">
        <v>10</v>
      </c>
      <c r="B49" s="23"/>
      <c r="C49" s="23">
        <v>3</v>
      </c>
      <c r="D49" s="26">
        <v>6.7000000000000004E-2</v>
      </c>
      <c r="E49" s="24"/>
      <c r="F49" s="24"/>
      <c r="G49" s="24"/>
      <c r="H49" s="46"/>
      <c r="I49" s="25"/>
      <c r="J49" s="24"/>
      <c r="K49" s="23">
        <v>10</v>
      </c>
      <c r="L49" s="23">
        <v>2</v>
      </c>
      <c r="M49" s="26">
        <v>5.7000000000000002E-2</v>
      </c>
    </row>
    <row r="50" spans="1:28" x14ac:dyDescent="0.25">
      <c r="A50" s="23">
        <v>20</v>
      </c>
      <c r="B50" s="23"/>
      <c r="C50" s="23">
        <v>6</v>
      </c>
      <c r="D50" s="26">
        <v>0.13300000000000001</v>
      </c>
      <c r="E50" s="24"/>
      <c r="F50" s="24"/>
      <c r="G50" s="24"/>
      <c r="H50" s="46"/>
      <c r="I50" s="25"/>
      <c r="J50" s="24"/>
      <c r="K50" s="23">
        <v>20</v>
      </c>
      <c r="L50" s="23">
        <v>5</v>
      </c>
      <c r="M50" s="26">
        <v>0.14299999999999999</v>
      </c>
    </row>
    <row r="51" spans="1:28" x14ac:dyDescent="0.25">
      <c r="A51" s="23">
        <v>30</v>
      </c>
      <c r="B51" s="23"/>
      <c r="C51" s="23">
        <v>10</v>
      </c>
      <c r="D51" s="26">
        <v>0.222</v>
      </c>
      <c r="E51" s="24"/>
      <c r="F51" s="24"/>
      <c r="G51" s="24"/>
      <c r="H51" s="46"/>
      <c r="I51" s="25"/>
      <c r="J51" s="24"/>
      <c r="K51" s="23">
        <v>30</v>
      </c>
      <c r="L51" s="23">
        <v>8</v>
      </c>
      <c r="M51" s="26">
        <v>0.22900000000000001</v>
      </c>
    </row>
    <row r="52" spans="1:28" x14ac:dyDescent="0.25">
      <c r="A52" s="23">
        <v>40</v>
      </c>
      <c r="B52" s="23"/>
      <c r="C52" s="23">
        <v>15</v>
      </c>
      <c r="D52" s="26">
        <v>0.33300000000000002</v>
      </c>
      <c r="E52" s="24"/>
      <c r="F52" s="24"/>
      <c r="G52" s="24"/>
      <c r="H52" s="46"/>
      <c r="I52" s="25"/>
      <c r="J52" s="24"/>
      <c r="K52" s="23">
        <v>40</v>
      </c>
      <c r="L52" s="23">
        <v>12</v>
      </c>
      <c r="M52" s="26">
        <v>0.34300000000000003</v>
      </c>
    </row>
    <row r="53" spans="1:28" x14ac:dyDescent="0.25">
      <c r="A53" s="23">
        <v>50</v>
      </c>
      <c r="B53" s="23"/>
      <c r="C53" s="23">
        <v>19</v>
      </c>
      <c r="D53" s="26">
        <v>0.42199999999999999</v>
      </c>
      <c r="E53" s="24"/>
      <c r="F53" s="24"/>
      <c r="G53" s="24"/>
      <c r="H53" s="46"/>
      <c r="I53" s="25"/>
      <c r="J53" s="24"/>
      <c r="K53" s="23">
        <v>50</v>
      </c>
      <c r="L53" s="23">
        <v>15</v>
      </c>
      <c r="M53" s="26">
        <v>0.42899999999999999</v>
      </c>
    </row>
    <row r="54" spans="1:28" x14ac:dyDescent="0.25">
      <c r="A54" s="23">
        <v>60</v>
      </c>
      <c r="B54" s="23"/>
      <c r="C54" s="23">
        <v>24</v>
      </c>
      <c r="D54" s="26">
        <v>0.53300000000000003</v>
      </c>
      <c r="E54" s="24"/>
      <c r="F54" s="24"/>
      <c r="G54" s="24"/>
      <c r="H54" s="46"/>
      <c r="I54" s="25"/>
      <c r="J54" s="24"/>
      <c r="K54" s="23">
        <v>60</v>
      </c>
      <c r="L54" s="23">
        <v>19</v>
      </c>
      <c r="M54" s="26">
        <v>0.54300000000000004</v>
      </c>
    </row>
    <row r="55" spans="1:28" x14ac:dyDescent="0.25">
      <c r="A55" s="23">
        <v>70</v>
      </c>
      <c r="B55" s="23"/>
      <c r="C55" s="23">
        <v>28</v>
      </c>
      <c r="D55" s="26">
        <v>0.622</v>
      </c>
      <c r="E55" s="24"/>
      <c r="F55" s="24"/>
      <c r="G55" s="24"/>
      <c r="H55" s="46"/>
      <c r="I55" s="25"/>
      <c r="J55" s="24"/>
      <c r="K55" s="23">
        <v>70</v>
      </c>
      <c r="L55" s="23">
        <v>22</v>
      </c>
      <c r="M55" s="26">
        <v>0.629</v>
      </c>
    </row>
    <row r="56" spans="1:28" x14ac:dyDescent="0.25">
      <c r="A56" s="23">
        <v>80</v>
      </c>
      <c r="B56" s="23"/>
      <c r="C56" s="23">
        <v>32</v>
      </c>
      <c r="D56" s="26">
        <v>0.71099999999999997</v>
      </c>
      <c r="E56" s="24"/>
      <c r="F56" s="24"/>
      <c r="G56" s="24"/>
      <c r="H56" s="46"/>
      <c r="I56" s="25"/>
      <c r="J56" s="24"/>
      <c r="K56" s="23">
        <v>80</v>
      </c>
      <c r="L56" s="23">
        <v>25</v>
      </c>
      <c r="M56" s="26">
        <v>0.71399999999999997</v>
      </c>
    </row>
    <row r="57" spans="1:28" x14ac:dyDescent="0.25">
      <c r="A57" s="23">
        <v>90</v>
      </c>
      <c r="B57" s="23"/>
      <c r="C57" s="23">
        <v>35</v>
      </c>
      <c r="D57" s="26">
        <v>0.77800000000000002</v>
      </c>
      <c r="E57" s="24"/>
      <c r="F57" s="24"/>
      <c r="G57" s="24"/>
      <c r="H57" s="46"/>
      <c r="I57" s="25"/>
      <c r="J57" s="24"/>
      <c r="K57" s="23">
        <v>90</v>
      </c>
      <c r="L57" s="23">
        <v>27</v>
      </c>
      <c r="M57" s="26">
        <v>0.77100000000000002</v>
      </c>
    </row>
    <row r="58" spans="1:28" x14ac:dyDescent="0.25">
      <c r="A58" s="23">
        <v>100</v>
      </c>
      <c r="B58" s="23"/>
      <c r="C58" s="23">
        <v>45</v>
      </c>
      <c r="D58" s="26">
        <v>1</v>
      </c>
      <c r="E58" s="24"/>
      <c r="F58" s="24"/>
      <c r="G58" s="24"/>
      <c r="H58" s="46"/>
      <c r="I58" s="25"/>
      <c r="J58" s="24"/>
      <c r="K58" s="23">
        <v>100</v>
      </c>
      <c r="L58" s="23">
        <v>35</v>
      </c>
      <c r="M58" s="26">
        <v>1</v>
      </c>
    </row>
    <row r="61" spans="1:28" x14ac:dyDescent="0.25">
      <c r="A61" t="s">
        <v>187</v>
      </c>
      <c r="C61" s="33">
        <v>44314</v>
      </c>
      <c r="D61" s="33">
        <v>44344</v>
      </c>
      <c r="E61" s="33" t="s">
        <v>188</v>
      </c>
      <c r="I61" s="17"/>
      <c r="J61" s="50">
        <v>45</v>
      </c>
      <c r="K61" s="12">
        <v>2</v>
      </c>
      <c r="L61" s="12">
        <f>(J61*K61)*100</f>
        <v>9000</v>
      </c>
      <c r="M61" s="12">
        <v>2.3199999999999998</v>
      </c>
      <c r="N61" s="12">
        <f>(K61*M61)*100</f>
        <v>463.99999999999994</v>
      </c>
      <c r="O61" s="12">
        <f>D61-C61</f>
        <v>30</v>
      </c>
      <c r="P61" s="41">
        <f>(N61/L61)*(365/O61)</f>
        <v>0.62725925925925918</v>
      </c>
      <c r="Q61" s="12">
        <v>0.77</v>
      </c>
      <c r="R61">
        <f>(Q61*K61)*100</f>
        <v>154</v>
      </c>
      <c r="S61">
        <f>N61-R61</f>
        <v>309.99999999999994</v>
      </c>
      <c r="T61" t="e">
        <f>E61-C61</f>
        <v>#VALUE!</v>
      </c>
      <c r="U61" s="42" t="e">
        <f>(S61/L61)*(365/T61)</f>
        <v>#VALUE!</v>
      </c>
      <c r="W61" s="43">
        <f t="shared" ref="W61:X64" si="15">S61/N61</f>
        <v>0.66810344827586199</v>
      </c>
      <c r="X61" s="43" t="e">
        <f t="shared" si="15"/>
        <v>#VALUE!</v>
      </c>
      <c r="Y61" s="12">
        <f>N61-S61</f>
        <v>154</v>
      </c>
      <c r="Z61" s="12" t="e">
        <f>D61-E61</f>
        <v>#VALUE!</v>
      </c>
      <c r="AA61" s="40" t="e">
        <f>(Y61/L61)*(365/Z61)</f>
        <v>#VALUE!</v>
      </c>
      <c r="AB61" s="40"/>
    </row>
    <row r="62" spans="1:28" x14ac:dyDescent="0.25">
      <c r="A62" t="s">
        <v>187</v>
      </c>
      <c r="C62" s="33">
        <v>44314</v>
      </c>
      <c r="D62" s="33">
        <v>44337</v>
      </c>
      <c r="E62" s="33" t="s">
        <v>188</v>
      </c>
      <c r="I62" s="17"/>
      <c r="J62" s="50">
        <v>45</v>
      </c>
      <c r="K62" s="12">
        <v>2</v>
      </c>
      <c r="L62" s="12">
        <f>(J62*K62)*100</f>
        <v>9000</v>
      </c>
      <c r="M62" s="12">
        <v>2.0099999999999998</v>
      </c>
      <c r="N62" s="12">
        <f>(K62*M62)*100</f>
        <v>401.99999999999994</v>
      </c>
      <c r="O62" s="12">
        <f>D62-C62</f>
        <v>23</v>
      </c>
      <c r="P62" s="41">
        <f>(N62/L62)*(365/O62)</f>
        <v>0.7088405797101448</v>
      </c>
      <c r="Q62" s="12">
        <v>0.77</v>
      </c>
      <c r="R62">
        <f>(Q62*K62)*100</f>
        <v>154</v>
      </c>
      <c r="S62">
        <f>N62-R62</f>
        <v>247.99999999999994</v>
      </c>
      <c r="T62" t="e">
        <f>E62-C62</f>
        <v>#VALUE!</v>
      </c>
      <c r="U62" s="42" t="e">
        <f>(S62/L62)*(365/T62)</f>
        <v>#VALUE!</v>
      </c>
      <c r="W62" s="43">
        <f t="shared" si="15"/>
        <v>0.61691542288557211</v>
      </c>
      <c r="X62" s="43" t="e">
        <f t="shared" si="15"/>
        <v>#VALUE!</v>
      </c>
      <c r="Y62" s="12">
        <f>N62-S62</f>
        <v>154</v>
      </c>
      <c r="Z62" s="12" t="e">
        <f>D62-E62</f>
        <v>#VALUE!</v>
      </c>
      <c r="AA62" s="40" t="e">
        <f>(Y62/L62)*(365/Z62)</f>
        <v>#VALUE!</v>
      </c>
      <c r="AB62" s="40"/>
    </row>
    <row r="63" spans="1:28" x14ac:dyDescent="0.25">
      <c r="A63" t="s">
        <v>187</v>
      </c>
      <c r="C63" s="33">
        <v>44314</v>
      </c>
      <c r="D63" s="33">
        <v>44330</v>
      </c>
      <c r="E63" s="33" t="s">
        <v>188</v>
      </c>
      <c r="I63" s="17"/>
      <c r="J63" s="50">
        <v>45</v>
      </c>
      <c r="K63" s="12">
        <v>2</v>
      </c>
      <c r="L63" s="12">
        <f>(J63*K63)*100</f>
        <v>9000</v>
      </c>
      <c r="M63" s="12">
        <v>1.61</v>
      </c>
      <c r="N63" s="12">
        <f>(K63*M63)*100</f>
        <v>322</v>
      </c>
      <c r="O63" s="12">
        <f>D63-C63</f>
        <v>16</v>
      </c>
      <c r="P63" s="41">
        <f>(N63/L63)*(365/O63)</f>
        <v>0.81618055555555558</v>
      </c>
      <c r="Q63" s="12">
        <v>0.77</v>
      </c>
      <c r="R63">
        <f>(Q63*K63)*100</f>
        <v>154</v>
      </c>
      <c r="S63">
        <f>N63-R63</f>
        <v>168</v>
      </c>
      <c r="T63" t="e">
        <f>E63-C63</f>
        <v>#VALUE!</v>
      </c>
      <c r="U63" s="42" t="e">
        <f>(S63/L63)*(365/T63)</f>
        <v>#VALUE!</v>
      </c>
      <c r="W63" s="43">
        <f t="shared" si="15"/>
        <v>0.52173913043478259</v>
      </c>
      <c r="X63" s="43" t="e">
        <f t="shared" si="15"/>
        <v>#VALUE!</v>
      </c>
      <c r="Y63" s="12">
        <f>N63-S63</f>
        <v>154</v>
      </c>
      <c r="Z63" s="12" t="e">
        <f>D63-E63</f>
        <v>#VALUE!</v>
      </c>
      <c r="AA63" s="40" t="e">
        <f>(Y63/L63)*(365/Z63)</f>
        <v>#VALUE!</v>
      </c>
      <c r="AB63" s="40"/>
    </row>
    <row r="64" spans="1:28" x14ac:dyDescent="0.25">
      <c r="A64" t="s">
        <v>187</v>
      </c>
      <c r="C64" s="33">
        <v>44314</v>
      </c>
      <c r="D64" s="33">
        <v>44323</v>
      </c>
      <c r="E64" s="33" t="s">
        <v>188</v>
      </c>
      <c r="I64" s="17"/>
      <c r="J64" s="50">
        <v>45</v>
      </c>
      <c r="K64" s="12">
        <v>2</v>
      </c>
      <c r="L64" s="12">
        <f>(J64*K64)*100</f>
        <v>9000</v>
      </c>
      <c r="M64" s="12">
        <v>0.98</v>
      </c>
      <c r="N64" s="12">
        <f>(K64*M64)*100</f>
        <v>196</v>
      </c>
      <c r="O64" s="12">
        <f>D64-C64</f>
        <v>9</v>
      </c>
      <c r="P64" s="41">
        <f>(N64/L64)*(365/O64)</f>
        <v>0.88320987654320993</v>
      </c>
      <c r="Q64" s="12">
        <v>0.77</v>
      </c>
      <c r="R64">
        <f>(Q64*K64)*100</f>
        <v>154</v>
      </c>
      <c r="S64">
        <f>N64-R64</f>
        <v>42</v>
      </c>
      <c r="T64" t="e">
        <f>E64-C64</f>
        <v>#VALUE!</v>
      </c>
      <c r="U64" s="42" t="e">
        <f>(S64/L64)*(365/T64)</f>
        <v>#VALUE!</v>
      </c>
      <c r="W64" s="43">
        <f t="shared" si="15"/>
        <v>0.21428571428571427</v>
      </c>
      <c r="X64" s="43" t="e">
        <f t="shared" si="15"/>
        <v>#VALUE!</v>
      </c>
      <c r="Y64" s="12">
        <f>N64-S64</f>
        <v>154</v>
      </c>
      <c r="Z64" s="12" t="e">
        <f>D64-E64</f>
        <v>#VALUE!</v>
      </c>
      <c r="AA64" s="40" t="e">
        <f>(Y64/L64)*(365/Z64)</f>
        <v>#VALUE!</v>
      </c>
      <c r="AB64" s="40"/>
    </row>
  </sheetData>
  <conditionalFormatting sqref="G5">
    <cfRule type="cellIs" dxfId="105" priority="3" operator="equal">
      <formula>"ITM"</formula>
    </cfRule>
  </conditionalFormatting>
  <conditionalFormatting sqref="G6:G11">
    <cfRule type="cellIs" dxfId="104" priority="2" operator="equal">
      <formula>"ITM"</formula>
    </cfRule>
  </conditionalFormatting>
  <conditionalFormatting sqref="G12">
    <cfRule type="cellIs" dxfId="103" priority="1" operator="equal">
      <formula>"ITM"</formula>
    </cfRule>
  </conditionalFormatting>
  <pageMargins left="0.7" right="0.7" top="0.75" bottom="0.75" header="0.3" footer="0.3"/>
  <pageSetup orientation="portrait" horizontalDpi="1200" verticalDpi="12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78"/>
  <sheetViews>
    <sheetView tabSelected="1" zoomScale="80" zoomScaleNormal="80" workbookViewId="0">
      <selection activeCell="F12" sqref="F12"/>
    </sheetView>
  </sheetViews>
  <sheetFormatPr defaultColWidth="9.140625" defaultRowHeight="15" x14ac:dyDescent="0.25"/>
  <cols>
    <col min="1" max="1" width="39.140625" style="54" bestFit="1" customWidth="1"/>
    <col min="2" max="2" width="5.28515625" style="54" customWidth="1"/>
    <col min="3" max="3" width="4.7109375" style="54" customWidth="1"/>
    <col min="4" max="4" width="6.28515625" style="56" customWidth="1"/>
    <col min="5" max="5" width="12.28515625" style="56" customWidth="1"/>
    <col min="6" max="6" width="13.7109375" style="2" customWidth="1"/>
    <col min="7" max="7" width="10.42578125" style="47" customWidth="1"/>
    <col min="8" max="9" width="6.28515625" style="53" customWidth="1"/>
    <col min="10" max="10" width="6.5703125" style="53" customWidth="1"/>
    <col min="11" max="11" width="8.5703125" style="57" customWidth="1"/>
    <col min="12" max="12" width="7.85546875" style="28" customWidth="1"/>
    <col min="13" max="14" width="7.85546875" style="57" customWidth="1"/>
    <col min="15" max="15" width="8.42578125" style="57" bestFit="1" customWidth="1"/>
    <col min="16" max="16" width="9.140625" style="57" customWidth="1"/>
    <col min="17" max="17" width="10.42578125" style="53" customWidth="1"/>
    <col min="18" max="18" width="6.28515625" style="53" customWidth="1"/>
    <col min="19" max="19" width="7.28515625" style="54" bestFit="1" customWidth="1"/>
    <col min="20" max="21" width="9.42578125" style="54" customWidth="1"/>
    <col min="22" max="22" width="9.140625" style="54" customWidth="1"/>
    <col min="23" max="23" width="10.5703125" style="54" customWidth="1"/>
    <col min="24" max="24" width="9.7109375" style="55" customWidth="1"/>
    <col min="25" max="25" width="9.140625" style="54" customWidth="1"/>
    <col min="26" max="26" width="7.5703125" style="54" customWidth="1"/>
    <col min="27" max="27" width="9.140625" style="56" customWidth="1"/>
    <col min="28" max="28" width="9.140625" style="57" customWidth="1"/>
    <col min="29" max="29" width="8.7109375" style="57" customWidth="1"/>
    <col min="30" max="30" width="8.42578125" style="57" bestFit="1" customWidth="1"/>
    <col min="31" max="31" width="8.140625" style="57" customWidth="1"/>
    <col min="32" max="32" width="9.140625" style="54" customWidth="1"/>
    <col min="33" max="34" width="9.7109375" style="53" customWidth="1"/>
    <col min="35" max="36" width="14.7109375" style="54" bestFit="1" customWidth="1"/>
    <col min="37" max="37" width="15.42578125" style="54" bestFit="1" customWidth="1"/>
    <col min="38" max="38" width="14.140625" style="54" bestFit="1" customWidth="1"/>
    <col min="39" max="39" width="13.140625" style="54" bestFit="1" customWidth="1"/>
    <col min="40" max="69" width="9.140625" style="54" customWidth="1"/>
    <col min="70" max="16384" width="9.140625" style="54"/>
  </cols>
  <sheetData>
    <row r="1" spans="1:39" x14ac:dyDescent="0.25">
      <c r="L1" s="57"/>
      <c r="S1" s="53"/>
      <c r="X1" s="54"/>
    </row>
    <row r="2" spans="1:39" x14ac:dyDescent="0.25">
      <c r="L2" s="57"/>
      <c r="S2" s="53"/>
      <c r="X2" s="54"/>
    </row>
    <row r="3" spans="1:39" x14ac:dyDescent="0.25">
      <c r="L3" s="57"/>
      <c r="S3" s="53"/>
      <c r="X3" s="54"/>
    </row>
    <row r="4" spans="1:39" x14ac:dyDescent="0.25">
      <c r="L4" s="57"/>
      <c r="S4" s="53"/>
      <c r="X4" s="54"/>
    </row>
    <row r="5" spans="1:39" x14ac:dyDescent="0.25">
      <c r="E5" s="35" t="s">
        <v>189</v>
      </c>
      <c r="L5" s="57"/>
      <c r="S5" s="53"/>
      <c r="X5" s="54"/>
    </row>
    <row r="6" spans="1:39" x14ac:dyDescent="0.25">
      <c r="L6" s="57"/>
      <c r="X6" s="54"/>
    </row>
    <row r="7" spans="1:39" x14ac:dyDescent="0.25">
      <c r="A7" s="52" t="s">
        <v>190</v>
      </c>
      <c r="B7" s="50"/>
      <c r="C7" s="50"/>
      <c r="D7" s="50"/>
      <c r="E7" s="50"/>
      <c r="F7" s="50"/>
      <c r="G7" s="50"/>
      <c r="H7" s="50"/>
      <c r="I7" s="50"/>
      <c r="J7" s="50"/>
      <c r="K7" s="50"/>
      <c r="L7" s="50"/>
      <c r="M7" s="50"/>
      <c r="N7" s="50"/>
      <c r="O7" s="50"/>
      <c r="P7" s="62" t="s">
        <v>191</v>
      </c>
      <c r="Q7" s="63"/>
      <c r="R7" s="63"/>
      <c r="S7" s="64"/>
      <c r="T7" s="64"/>
      <c r="U7" s="64"/>
      <c r="V7" s="64"/>
      <c r="W7" s="64"/>
      <c r="X7" s="65"/>
      <c r="Y7" s="64"/>
      <c r="Z7" s="64"/>
      <c r="AA7" s="66"/>
      <c r="AB7" s="67"/>
      <c r="AC7" s="67"/>
      <c r="AD7" s="67"/>
      <c r="AE7" s="67"/>
      <c r="AG7" s="54"/>
      <c r="AH7" s="54"/>
      <c r="AI7" s="12" t="s">
        <v>118</v>
      </c>
      <c r="AJ7" s="12" t="s">
        <v>119</v>
      </c>
      <c r="AK7" s="12" t="s">
        <v>120</v>
      </c>
      <c r="AL7" s="12"/>
    </row>
    <row r="8" spans="1:39" x14ac:dyDescent="0.25">
      <c r="A8" s="54" t="s">
        <v>22</v>
      </c>
      <c r="B8" s="54" t="s">
        <v>24</v>
      </c>
      <c r="C8" s="54" t="s">
        <v>26</v>
      </c>
      <c r="D8" s="54" t="s">
        <v>28</v>
      </c>
      <c r="E8" s="56" t="s">
        <v>46</v>
      </c>
      <c r="F8" s="2" t="s">
        <v>48</v>
      </c>
      <c r="G8" s="56" t="s">
        <v>50</v>
      </c>
      <c r="H8" s="47" t="s">
        <v>52</v>
      </c>
      <c r="I8" s="47" t="s">
        <v>54</v>
      </c>
      <c r="J8" s="53" t="s">
        <v>56</v>
      </c>
      <c r="K8" s="57" t="s">
        <v>58</v>
      </c>
      <c r="L8" s="57" t="s">
        <v>63</v>
      </c>
      <c r="M8" s="57" t="s">
        <v>192</v>
      </c>
      <c r="N8" s="57" t="s">
        <v>193</v>
      </c>
      <c r="O8" s="57" t="s">
        <v>194</v>
      </c>
      <c r="P8" s="57" t="s">
        <v>71</v>
      </c>
      <c r="Q8" s="10" t="s">
        <v>73</v>
      </c>
      <c r="R8" s="11" t="s">
        <v>75</v>
      </c>
      <c r="S8" s="11" t="s">
        <v>77</v>
      </c>
      <c r="T8" s="10" t="s">
        <v>79</v>
      </c>
      <c r="U8" s="10" t="s">
        <v>195</v>
      </c>
      <c r="V8" s="10" t="s">
        <v>83</v>
      </c>
      <c r="W8" s="10" t="s">
        <v>85</v>
      </c>
      <c r="X8" s="10" t="s">
        <v>87</v>
      </c>
      <c r="Y8" s="10" t="s">
        <v>89</v>
      </c>
      <c r="Z8" s="10" t="s">
        <v>91</v>
      </c>
      <c r="AA8" s="36" t="s">
        <v>93</v>
      </c>
      <c r="AB8" s="10" t="s">
        <v>95</v>
      </c>
      <c r="AC8" s="10" t="s">
        <v>97</v>
      </c>
      <c r="AD8" s="10" t="s">
        <v>99</v>
      </c>
      <c r="AE8" s="10" t="s">
        <v>196</v>
      </c>
      <c r="AF8" s="57"/>
      <c r="AG8" s="10" t="s">
        <v>73</v>
      </c>
      <c r="AH8" s="10"/>
      <c r="AI8" s="12" t="s">
        <v>137</v>
      </c>
      <c r="AJ8" s="12" t="s">
        <v>137</v>
      </c>
      <c r="AK8" s="12" t="s">
        <v>138</v>
      </c>
      <c r="AL8" s="12" t="s">
        <v>139</v>
      </c>
      <c r="AM8" s="14" t="s">
        <v>140</v>
      </c>
    </row>
    <row r="9" spans="1:39" x14ac:dyDescent="0.25">
      <c r="A9" s="2" t="s">
        <v>197</v>
      </c>
      <c r="B9">
        <v>1</v>
      </c>
      <c r="C9">
        <v>1</v>
      </c>
      <c r="D9" s="2" t="s">
        <v>30</v>
      </c>
      <c r="E9" s="58">
        <v>44277</v>
      </c>
      <c r="F9" s="58">
        <v>44280</v>
      </c>
      <c r="G9" s="58">
        <v>44302</v>
      </c>
      <c r="H9">
        <v>80</v>
      </c>
      <c r="J9">
        <v>2</v>
      </c>
      <c r="K9">
        <v>306.67</v>
      </c>
      <c r="M9" t="s">
        <v>141</v>
      </c>
      <c r="N9" t="e">
        <f>RTD("tos.rtd",,"last", "JD")</f>
        <v>#N/A</v>
      </c>
      <c r="O9" t="e">
        <f>RTD("tos.rtd",,"ASK",".JD210416P80")</f>
        <v>#N/A</v>
      </c>
      <c r="P9" s="10">
        <f>IF(Table1[[#This Row],[TransType]]="LS", Table1[[#This Row],[OpnPrem]]+Table1[[#This Row],[ClsPrem]],
                                            IF(Table1[[#This Row],[TransType]]="AS", Table1[[#This Row],[OpnPrem]]+Table1[[#This Row],[ClsPrem]],
                                               Table1[[#This Row],[OpnPrem]]-Table1[[#This Row],[ClsPrem]]))</f>
        <v>306.67</v>
      </c>
      <c r="Q9" s="59">
        <f>IF(Table1[[#This Row],[SYM]]="","",SUMIFS(Table1[NetPrem],Table1[Trade'#],Table1[[#This Row],[Trade'#]],Table1[Leg],"&lt;="&amp;Table1[[#This Row],[Leg]]))</f>
        <v>306.67</v>
      </c>
      <c r="R9" s="11">
        <f t="shared" ref="R9:R40" ca="1" si="0">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3</v>
      </c>
      <c r="S9"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16000</v>
      </c>
      <c r="T9" s="11" t="str">
        <f>IF(Table1[[#This Row],[CloseDate]]&gt;0,"",Table1[Cap])</f>
        <v/>
      </c>
      <c r="U9" s="11" t="str">
        <f>IF(Table1[[#This Row],[CloseDate]]&gt;0,"",
IF(Table1[[#This Row],[TransType]]="BC","",
IF(Table1[[#This Row],[TransType]]="BP",100*Table1[[#This Row],[Strike]]*Table1[[#This Row],['#Contracts]],
Table1[Cap])))</f>
        <v/>
      </c>
      <c r="V9" s="11">
        <f ca="1">IF(Table1[[#This Row],[SYM]]="","",Table1[[#This Row],[Cap]]*Table1[[#This Row],[Days]])</f>
        <v>48000</v>
      </c>
      <c r="W9" s="11">
        <f ca="1">IF(Table1[[#This Row],[SYM]]="","",SUMIFS(Table1[CapDays],Table1[Trade'#],Table1[[#This Row],[Trade'#]],Table1[Leg],"&lt;="&amp;Table1[[#This Row],[Leg]]))</f>
        <v>48000</v>
      </c>
      <c r="X9" s="60">
        <f ca="1">IF(Table1[[#This Row],[TotCapDays]],365*Table1[[#This Row],[TotPrem]]/Table1[[#This Row],[TotCapDays]],"")</f>
        <v>2.3319697916666668</v>
      </c>
      <c r="Y9" s="10">
        <f>IF(Table1[[#This Row],[SYM]]="","",
IF(Table1[[#This Row],[TransType]]="LS",Table1[[#This Row],[Strike]]-Table1[[#This Row],[TotPrem]]/Table1[[#This Row],['#Contracts]],
IF(Table1[[#This Row],['#Contracts]],Table1[[#This Row],[Strike]]-Table1[[#This Row],[TotPrem]]/Table1[[#This Row],['#Contracts]]/100,"")))</f>
        <v>78.466650000000001</v>
      </c>
      <c r="Z9" s="11" t="str">
        <f>IF(Table1[[#This Row],[CloseDate]]&gt;0,"",
IF(Table1[[#This Row],[TransType]]="LS",Table1['#Contracts],
IF(Table1[[#This Row],[TransType]]="AS",100*Table1[[#This Row],['#Contracts]],
IF(Table1[[#This Row],[TransType]]="SP",100*Table1[[#This Row],['#Contracts]],
IF(Table1[[#This Row],[TransType]]="BP",100*Table1[[#This Row],['#Contracts]],"")))))</f>
        <v/>
      </c>
      <c r="AA9" s="58">
        <f ca="1">IF(Table1[[#This Row],[CloseDate]]&gt;0,Table1[CloseDate],
IF(Table1[[#This Row],[ExpDate]]&gt;0,Table1[ExpDate],
TODAY()))</f>
        <v>44280</v>
      </c>
      <c r="AB9" s="10">
        <f ca="1">IF(PERFORMANCE!D8&gt;0,
IF(PERFORMANCE!D8&lt;Table1[[#This Row],[ActDate]],"",Table1[NetPrem]),
IF(TODAY()&lt;Table1[[#This Row],[ActDate]],"",Table1[NetPrem]))</f>
        <v>306.67</v>
      </c>
      <c r="AC9" s="10">
        <f ca="1">IF(PERFORMANCE!D8&gt;0,
IF(PERFORMANCE!D8&lt;Table1[[#This Row],[ActDate]],"",
IF(PERFORMANCE!D8 - Table1[[#This Row],[ActDate]]&lt;366,Table1[NetPrem],"")),
IF(TODAY()&lt;Table1[[#This Row],[ActDate]],"",
IF(TODAY() - Table1[[#This Row],[ActDate]]&lt;366,Table1[NetPrem],"")))</f>
        <v>306.67</v>
      </c>
      <c r="AD9" s="10">
        <f ca="1">IF(PERFORMANCE!D8&gt;0,
IF(PERFORMANCE!D8&lt;Table1[[#This Row],[ActDate]],"",
IF(YEAR(PERFORMANCE!D8)=YEAR(Table1[[#This Row],[ActDate]]),Table1[NetPrem],"")),
IF(TODAY()&lt;Table1[[#This Row],[ActDate]],"",
IF(YEAR(TODAY())=YEAR(Table1[[#This Row],[ActDate]]),Table1[NetPrem],"")))</f>
        <v>306.67</v>
      </c>
      <c r="AE9" s="10" t="str">
        <f ca="1">IF(PERFORMANCE!D8&gt;0,
IF(PERFORMANCE!D8&lt;Table1[[#This Row],[ActDate]],Table1[NetPrem],""),
IF(TODAY()&lt;Table1[[#This Row],[ActDate]],Table1[NetPrem],""))</f>
        <v/>
      </c>
      <c r="AF9" s="57"/>
      <c r="AG9" s="48">
        <f>IF(Table1[[#This Row],[SYM]]="","",SUMIFS(Table1[NetPrem],Table1[Trade'#],Table1[[#This Row],[Trade'#]],Table1[Leg],"&lt;="&amp;Table1[[#This Row],[Leg]]))</f>
        <v>306.67</v>
      </c>
      <c r="AH9" s="48"/>
    </row>
    <row r="10" spans="1:39" x14ac:dyDescent="0.25">
      <c r="A10" s="2" t="s">
        <v>198</v>
      </c>
      <c r="B10">
        <v>1</v>
      </c>
      <c r="C10">
        <v>2</v>
      </c>
      <c r="D10" s="2" t="s">
        <v>30</v>
      </c>
      <c r="E10" s="58">
        <v>44280</v>
      </c>
      <c r="F10" s="58">
        <v>44280</v>
      </c>
      <c r="G10" s="58">
        <v>44302</v>
      </c>
      <c r="H10">
        <v>65</v>
      </c>
      <c r="J10">
        <v>2</v>
      </c>
      <c r="K10">
        <v>-75.33</v>
      </c>
      <c r="M10" t="s">
        <v>141</v>
      </c>
      <c r="N10" t="e">
        <f>RTD("tos.rtd",,"last", "JD")</f>
        <v>#N/A</v>
      </c>
      <c r="O10" t="e">
        <f>RTD("tos.rtd",,"ASK",".JD210416P65")</f>
        <v>#N/A</v>
      </c>
      <c r="P10" s="10">
        <f>IF(Table1[[#This Row],[TransType]]="LS", Table1[[#This Row],[OpnPrem]]+Table1[[#This Row],[ClsPrem]],
                                            IF(Table1[[#This Row],[TransType]]="AS", Table1[[#This Row],[OpnPrem]]+Table1[[#This Row],[ClsPrem]],
                                               Table1[[#This Row],[OpnPrem]]-Table1[[#This Row],[ClsPrem]]))</f>
        <v>-75.33</v>
      </c>
      <c r="Q10" s="59">
        <f>IF(Table1[[#This Row],[SYM]]="","",SUMIFS(Table1[NetPrem],Table1[Trade'#],Table1[[#This Row],[Trade'#]],Table1[Leg],"&lt;="&amp;Table1[[#This Row],[Leg]]))</f>
        <v>231.34000000000003</v>
      </c>
      <c r="R10" s="11">
        <f t="shared" ca="1" si="0"/>
        <v>1</v>
      </c>
      <c r="S10"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13000</v>
      </c>
      <c r="T10" s="11" t="str">
        <f>IF(Table1[[#This Row],[CloseDate]]&gt;0,"",Table1[Cap])</f>
        <v/>
      </c>
      <c r="U10" s="11" t="str">
        <f>IF(Table1[[#This Row],[CloseDate]]&gt;0,"",
IF(Table1[[#This Row],[TransType]]="BC","",
IF(Table1[[#This Row],[TransType]]="BP",100*Table1[[#This Row],[Strike]]*Table1[[#This Row],['#Contracts]],
Table1[Cap])))</f>
        <v/>
      </c>
      <c r="V10" s="11">
        <f ca="1">IF(Table1[[#This Row],[SYM]]="","",Table1[[#This Row],[Cap]]*Table1[[#This Row],[Days]])</f>
        <v>13000</v>
      </c>
      <c r="W10" s="11">
        <f ca="1">IF(Table1[[#This Row],[SYM]]="","",SUMIFS(Table1[CapDays],Table1[Trade'#],Table1[[#This Row],[Trade'#]],Table1[Leg],"&lt;="&amp;Table1[[#This Row],[Leg]]))</f>
        <v>61000</v>
      </c>
      <c r="X10" s="60">
        <f ca="1">IF(Table1[[#This Row],[TotCapDays]],365*Table1[[#This Row],[TotPrem]]/Table1[[#This Row],[TotCapDays]],"")</f>
        <v>1.3842475409836066</v>
      </c>
      <c r="Y10" s="10">
        <f>IF(Table1[[#This Row],[SYM]]="","",
IF(Table1[[#This Row],[TransType]]="LS",Table1[[#This Row],[Strike]]-Table1[[#This Row],[TotPrem]]/Table1[[#This Row],['#Contracts]],
IF(Table1[[#This Row],['#Contracts]],Table1[[#This Row],[Strike]]-Table1[[#This Row],[TotPrem]]/Table1[[#This Row],['#Contracts]]/100,"")))</f>
        <v>63.843299999999999</v>
      </c>
      <c r="Z10" s="11" t="str">
        <f>IF(Table1[[#This Row],[CloseDate]]&gt;0,"",
IF(Table1[[#This Row],[TransType]]="LS",Table1['#Contracts],
IF(Table1[[#This Row],[TransType]]="AS",100*Table1[[#This Row],['#Contracts]],
IF(Table1[[#This Row],[TransType]]="SP",100*Table1[[#This Row],['#Contracts]],
IF(Table1[[#This Row],[TransType]]="BP",100*Table1[[#This Row],['#Contracts]],"")))))</f>
        <v/>
      </c>
      <c r="AA10" s="58">
        <f ca="1">IF(Table1[[#This Row],[CloseDate]]&gt;0,Table1[CloseDate],
IF(Table1[[#This Row],[ExpDate]]&gt;0,Table1[ExpDate],
TODAY()))</f>
        <v>44280</v>
      </c>
      <c r="AB10" s="10">
        <f ca="1">IF(PERFORMANCE!D8&gt;0,
IF(PERFORMANCE!D8&lt;Table1[[#This Row],[ActDate]],"",Table1[NetPrem]),
IF(TODAY()&lt;Table1[[#This Row],[ActDate]],"",Table1[NetPrem]))</f>
        <v>-75.33</v>
      </c>
      <c r="AC10" s="10">
        <f ca="1">IF(PERFORMANCE!D8&gt;0,
IF(PERFORMANCE!D8&lt;Table1[[#This Row],[ActDate]],"",
IF(PERFORMANCE!D8 - Table1[[#This Row],[ActDate]]&lt;366,Table1[NetPrem],"")),
IF(TODAY()&lt;Table1[[#This Row],[ActDate]],"",
IF(TODAY() - Table1[[#This Row],[ActDate]]&lt;366,Table1[NetPrem],"")))</f>
        <v>-75.33</v>
      </c>
      <c r="AD10" s="10">
        <f ca="1">IF(PERFORMANCE!D8&gt;0,
IF(PERFORMANCE!D8&lt;Table1[[#This Row],[ActDate]],"",
IF(YEAR(PERFORMANCE!D8)=YEAR(Table1[[#This Row],[ActDate]]),Table1[NetPrem],"")),
IF(TODAY()&lt;Table1[[#This Row],[ActDate]],"",
IF(YEAR(TODAY())=YEAR(Table1[[#This Row],[ActDate]]),Table1[NetPrem],"")))</f>
        <v>-75.33</v>
      </c>
      <c r="AE10" s="10" t="str">
        <f ca="1">IF(PERFORMANCE!D8&gt;0,
IF(PERFORMANCE!D8&lt;Table1[[#This Row],[ActDate]],Table1[NetPrem],""),
IF(TODAY()&lt;Table1[[#This Row],[ActDate]],Table1[NetPrem],""))</f>
        <v/>
      </c>
      <c r="AF10" s="57"/>
      <c r="AG10" s="48">
        <f>IF(Table1[[#This Row],[SYM]]="","",SUMIFS(Table1[NetPrem],Table1[Trade'#],Table1[[#This Row],[Trade'#]],Table1[Leg],"&lt;="&amp;Table1[[#This Row],[Leg]]))</f>
        <v>231.34000000000003</v>
      </c>
      <c r="AH10" s="48"/>
    </row>
    <row r="11" spans="1:39" x14ac:dyDescent="0.25">
      <c r="A11" s="2" t="s">
        <v>199</v>
      </c>
      <c r="B11">
        <v>1</v>
      </c>
      <c r="C11">
        <v>3</v>
      </c>
      <c r="D11" s="2" t="s">
        <v>30</v>
      </c>
      <c r="E11" s="58">
        <v>44302</v>
      </c>
      <c r="F11" s="58">
        <v>44302</v>
      </c>
      <c r="G11" s="58">
        <v>44302</v>
      </c>
      <c r="H11">
        <v>80</v>
      </c>
      <c r="J11">
        <v>2</v>
      </c>
      <c r="K11">
        <v>-579.33000000000004</v>
      </c>
      <c r="M11" t="s">
        <v>141</v>
      </c>
      <c r="N11" t="e">
        <f>RTD("tos.rtd",,"last", "JD")</f>
        <v>#N/A</v>
      </c>
      <c r="O11" t="e">
        <f>RTD("tos.rtd",,"ASK",".JD210416P80")</f>
        <v>#N/A</v>
      </c>
      <c r="P11" s="10">
        <f>IF(Table1[[#This Row],[TransType]]="LS", Table1[[#This Row],[OpnPrem]]+Table1[[#This Row],[ClsPrem]],
                                            IF(Table1[[#This Row],[TransType]]="AS", Table1[[#This Row],[OpnPrem]]+Table1[[#This Row],[ClsPrem]],
                                               Table1[[#This Row],[OpnPrem]]-Table1[[#This Row],[ClsPrem]]))</f>
        <v>-579.33000000000004</v>
      </c>
      <c r="Q11" s="59">
        <f>IF(Table1[[#This Row],[SYM]]="","",SUMIFS(Table1[NetPrem],Table1[Trade'#],Table1[[#This Row],[Trade'#]],Table1[Leg],"&lt;="&amp;Table1[[#This Row],[Leg]]))</f>
        <v>-347.99</v>
      </c>
      <c r="R11" s="11">
        <f t="shared" ca="1" si="0"/>
        <v>1</v>
      </c>
      <c r="S11"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16000</v>
      </c>
      <c r="T11" s="11" t="str">
        <f>IF(Table1[[#This Row],[CloseDate]]&gt;0,"",Table1[Cap])</f>
        <v/>
      </c>
      <c r="U11" s="11" t="str">
        <f>IF(Table1[[#This Row],[CloseDate]]&gt;0,"",
IF(Table1[[#This Row],[TransType]]="BC","",
IF(Table1[[#This Row],[TransType]]="BP",100*Table1[[#This Row],[Strike]]*Table1[[#This Row],['#Contracts]],
Table1[Cap])))</f>
        <v/>
      </c>
      <c r="V11" s="11">
        <f ca="1">IF(Table1[[#This Row],[SYM]]="","",Table1[[#This Row],[Cap]]*Table1[[#This Row],[Days]])</f>
        <v>16000</v>
      </c>
      <c r="W11" s="11">
        <f ca="1">IF(Table1[[#This Row],[SYM]]="","",SUMIFS(Table1[CapDays],Table1[Trade'#],Table1[[#This Row],[Trade'#]],Table1[Leg],"&lt;="&amp;Table1[[#This Row],[Leg]]))</f>
        <v>77000</v>
      </c>
      <c r="X11" s="60">
        <f ca="1">IF(Table1[[#This Row],[TotCapDays]],365*Table1[[#This Row],[TotPrem]]/Table1[[#This Row],[TotCapDays]],"")</f>
        <v>-1.6495629870129871</v>
      </c>
      <c r="Y11" s="10">
        <f>IF(Table1[[#This Row],[SYM]]="","",
IF(Table1[[#This Row],[TransType]]="LS",Table1[[#This Row],[Strike]]-Table1[[#This Row],[TotPrem]]/Table1[[#This Row],['#Contracts]],
IF(Table1[[#This Row],['#Contracts]],Table1[[#This Row],[Strike]]-Table1[[#This Row],[TotPrem]]/Table1[[#This Row],['#Contracts]]/100,"")))</f>
        <v>81.739949999999993</v>
      </c>
      <c r="Z11" s="11" t="str">
        <f>IF(Table1[[#This Row],[CloseDate]]&gt;0,"",
IF(Table1[[#This Row],[TransType]]="LS",Table1['#Contracts],
IF(Table1[[#This Row],[TransType]]="AS",100*Table1[[#This Row],['#Contracts]],
IF(Table1[[#This Row],[TransType]]="SP",100*Table1[[#This Row],['#Contracts]],
IF(Table1[[#This Row],[TransType]]="BP",100*Table1[[#This Row],['#Contracts]],"")))))</f>
        <v/>
      </c>
      <c r="AA11" s="58">
        <f ca="1">IF(Table1[[#This Row],[CloseDate]]&gt;0,Table1[CloseDate],
IF(Table1[[#This Row],[ExpDate]]&gt;0,Table1[ExpDate],
TODAY()))</f>
        <v>44302</v>
      </c>
      <c r="AB11" s="10">
        <f ca="1">IF(PERFORMANCE!D8&gt;0,
IF(PERFORMANCE!D8&lt;Table1[[#This Row],[ActDate]],"",Table1[NetPrem]),
IF(TODAY()&lt;Table1[[#This Row],[ActDate]],"",Table1[NetPrem]))</f>
        <v>-579.33000000000004</v>
      </c>
      <c r="AC11" s="10">
        <f ca="1">IF(PERFORMANCE!D8&gt;0,
IF(PERFORMANCE!D8&lt;Table1[[#This Row],[ActDate]],"",
IF(PERFORMANCE!D8 - Table1[[#This Row],[ActDate]]&lt;366,Table1[NetPrem],"")),
IF(TODAY()&lt;Table1[[#This Row],[ActDate]],"",
IF(TODAY() - Table1[[#This Row],[ActDate]]&lt;366,Table1[NetPrem],"")))</f>
        <v>-579.33000000000004</v>
      </c>
      <c r="AD11" s="10">
        <f ca="1">IF(PERFORMANCE!D8&gt;0,
IF(PERFORMANCE!D8&lt;Table1[[#This Row],[ActDate]],"",
IF(YEAR(PERFORMANCE!D8)=YEAR(Table1[[#This Row],[ActDate]]),Table1[NetPrem],"")),
IF(TODAY()&lt;Table1[[#This Row],[ActDate]],"",
IF(YEAR(TODAY())=YEAR(Table1[[#This Row],[ActDate]]),Table1[NetPrem],"")))</f>
        <v>-579.33000000000004</v>
      </c>
      <c r="AE11" s="10" t="str">
        <f ca="1">IF(PERFORMANCE!D8&gt;0,
IF(PERFORMANCE!D8&lt;Table1[[#This Row],[ActDate]],Table1[NetPrem],""),
IF(TODAY()&lt;Table1[[#This Row],[ActDate]],Table1[NetPrem],""))</f>
        <v/>
      </c>
      <c r="AF11" s="57"/>
      <c r="AG11" s="48">
        <f>IF(Table1[[#This Row],[SYM]]="","",SUMIFS(Table1[NetPrem],Table1[Trade'#],Table1[[#This Row],[Trade'#]],Table1[Leg],"&lt;="&amp;Table1[[#This Row],[Leg]]))</f>
        <v>-347.99</v>
      </c>
      <c r="AH11" s="48"/>
    </row>
    <row r="12" spans="1:39" x14ac:dyDescent="0.25">
      <c r="A12" s="2" t="s">
        <v>200</v>
      </c>
      <c r="B12">
        <v>1</v>
      </c>
      <c r="C12">
        <v>4</v>
      </c>
      <c r="D12" s="2" t="s">
        <v>30</v>
      </c>
      <c r="E12" s="58">
        <v>44302</v>
      </c>
      <c r="F12" s="58">
        <v>44337</v>
      </c>
      <c r="G12" s="58">
        <v>44337</v>
      </c>
      <c r="H12">
        <v>77.5</v>
      </c>
      <c r="J12">
        <v>2</v>
      </c>
      <c r="K12">
        <v>734.67</v>
      </c>
      <c r="M12" t="s">
        <v>141</v>
      </c>
      <c r="N12" t="e">
        <f>RTD("tos.rtd",,"last", "JD")</f>
        <v>#N/A</v>
      </c>
      <c r="O12" t="e">
        <f>RTD("tos.rtd",,"ASK",".JD210521P77.5")</f>
        <v>#N/A</v>
      </c>
      <c r="P12" s="10">
        <f>IF(Table1[[#This Row],[TransType]]="LS", Table1[[#This Row],[OpnPrem]]+Table1[[#This Row],[ClsPrem]],
                                            IF(Table1[[#This Row],[TransType]]="AS", Table1[[#This Row],[OpnPrem]]+Table1[[#This Row],[ClsPrem]],
                                               Table1[[#This Row],[OpnPrem]]-Table1[[#This Row],[ClsPrem]]))</f>
        <v>734.67</v>
      </c>
      <c r="Q12" s="59">
        <f>IF(Table1[[#This Row],[SYM]]="","",SUMIFS(Table1[NetPrem],Table1[Trade'#],Table1[[#This Row],[Trade'#]],Table1[Leg],"&lt;="&amp;Table1[[#This Row],[Leg]]))</f>
        <v>386.67999999999995</v>
      </c>
      <c r="R12" s="11">
        <f t="shared" ca="1" si="0"/>
        <v>35</v>
      </c>
      <c r="S12"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15500</v>
      </c>
      <c r="T12" s="11" t="str">
        <f>IF(Table1[[#This Row],[CloseDate]]&gt;0,"",Table1[Cap])</f>
        <v/>
      </c>
      <c r="U12" s="11" t="str">
        <f>IF(Table1[[#This Row],[CloseDate]]&gt;0,"",
IF(Table1[[#This Row],[TransType]]="BC","",
IF(Table1[[#This Row],[TransType]]="BP",100*Table1[[#This Row],[Strike]]*Table1[[#This Row],['#Contracts]],
Table1[Cap])))</f>
        <v/>
      </c>
      <c r="V12" s="11">
        <f ca="1">IF(Table1[[#This Row],[SYM]]="","",Table1[[#This Row],[Cap]]*Table1[[#This Row],[Days]])</f>
        <v>542500</v>
      </c>
      <c r="W12" s="11">
        <f ca="1">IF(Table1[[#This Row],[SYM]]="","",SUMIFS(Table1[CapDays],Table1[Trade'#],Table1[[#This Row],[Trade'#]],Table1[Leg],"&lt;="&amp;Table1[[#This Row],[Leg]]))</f>
        <v>619500</v>
      </c>
      <c r="X12" s="60">
        <f ca="1">IF(Table1[[#This Row],[TotCapDays]],365*Table1[[#This Row],[TotPrem]]/Table1[[#This Row],[TotCapDays]],"")</f>
        <v>0.22782598870056495</v>
      </c>
      <c r="Y12" s="10">
        <f>IF(Table1[[#This Row],[SYM]]="","",
IF(Table1[[#This Row],[TransType]]="LS",Table1[[#This Row],[Strike]]-Table1[[#This Row],[TotPrem]]/Table1[[#This Row],['#Contracts]],
IF(Table1[[#This Row],['#Contracts]],Table1[[#This Row],[Strike]]-Table1[[#This Row],[TotPrem]]/Table1[[#This Row],['#Contracts]]/100,"")))</f>
        <v>75.566599999999994</v>
      </c>
      <c r="Z12" s="11" t="str">
        <f>IF(Table1[[#This Row],[CloseDate]]&gt;0,"",
IF(Table1[[#This Row],[TransType]]="LS",Table1['#Contracts],
IF(Table1[[#This Row],[TransType]]="AS",100*Table1[[#This Row],['#Contracts]],
IF(Table1[[#This Row],[TransType]]="SP",100*Table1[[#This Row],['#Contracts]],
IF(Table1[[#This Row],[TransType]]="BP",100*Table1[[#This Row],['#Contracts]],"")))))</f>
        <v/>
      </c>
      <c r="AA12" s="58">
        <f ca="1">IF(Table1[[#This Row],[CloseDate]]&gt;0,Table1[CloseDate],
IF(Table1[[#This Row],[ExpDate]]&gt;0,Table1[ExpDate],
TODAY()))</f>
        <v>44337</v>
      </c>
      <c r="AB12" s="10">
        <f ca="1">IF(PERFORMANCE!D8&gt;0,
IF(PERFORMANCE!D8&lt;Table1[[#This Row],[ActDate]],"",Table1[NetPrem]),
IF(TODAY()&lt;Table1[[#This Row],[ActDate]],"",Table1[NetPrem]))</f>
        <v>734.67</v>
      </c>
      <c r="AC12" s="10">
        <f ca="1">IF(PERFORMANCE!D8&gt;0,
IF(PERFORMANCE!D8&lt;Table1[[#This Row],[ActDate]],"",
IF(PERFORMANCE!D8 - Table1[[#This Row],[ActDate]]&lt;366,Table1[NetPrem],"")),
IF(TODAY()&lt;Table1[[#This Row],[ActDate]],"",
IF(TODAY() - Table1[[#This Row],[ActDate]]&lt;366,Table1[NetPrem],"")))</f>
        <v>734.67</v>
      </c>
      <c r="AD12" s="10">
        <f ca="1">IF(PERFORMANCE!D8&gt;0,
IF(PERFORMANCE!D8&lt;Table1[[#This Row],[ActDate]],"",
IF(YEAR(PERFORMANCE!D8)=YEAR(Table1[[#This Row],[ActDate]]),Table1[NetPrem],"")),
IF(TODAY()&lt;Table1[[#This Row],[ActDate]],"",
IF(YEAR(TODAY())=YEAR(Table1[[#This Row],[ActDate]]),Table1[NetPrem],"")))</f>
        <v>734.67</v>
      </c>
      <c r="AE12" s="10" t="str">
        <f ca="1">IF(PERFORMANCE!D8&gt;0,
IF(PERFORMANCE!D8&lt;Table1[[#This Row],[ActDate]],Table1[NetPrem],""),
IF(TODAY()&lt;Table1[[#This Row],[ActDate]],Table1[NetPrem],""))</f>
        <v/>
      </c>
      <c r="AF12" s="57"/>
      <c r="AG12" s="48">
        <f>IF(Table1[[#This Row],[SYM]]="","",SUMIFS(Table1[NetPrem],Table1[Trade'#],Table1[[#This Row],[Trade'#]],Table1[Leg],"&lt;="&amp;Table1[[#This Row],[Leg]]))</f>
        <v>386.67999999999995</v>
      </c>
      <c r="AH12" s="48"/>
    </row>
    <row r="13" spans="1:39" x14ac:dyDescent="0.25">
      <c r="A13" s="2" t="s">
        <v>201</v>
      </c>
      <c r="B13">
        <v>2</v>
      </c>
      <c r="C13">
        <v>1</v>
      </c>
      <c r="D13" s="2" t="s">
        <v>30</v>
      </c>
      <c r="E13" s="58">
        <v>44279</v>
      </c>
      <c r="F13" s="58">
        <v>44291</v>
      </c>
      <c r="G13" s="58">
        <v>44302</v>
      </c>
      <c r="H13">
        <v>36</v>
      </c>
      <c r="J13">
        <v>2</v>
      </c>
      <c r="K13">
        <v>110.67</v>
      </c>
      <c r="M13" t="s">
        <v>202</v>
      </c>
      <c r="N13" t="e">
        <f>RTD("tos.rtd",,"last", "WPM")</f>
        <v>#N/A</v>
      </c>
      <c r="O13" t="e">
        <f>RTD("tos.rtd",,"ASK",".WPM210416P36")</f>
        <v>#N/A</v>
      </c>
      <c r="P13" s="10">
        <f>IF(Table1[[#This Row],[TransType]]="LS", Table1[[#This Row],[OpnPrem]]+Table1[[#This Row],[ClsPrem]],
                                            IF(Table1[[#This Row],[TransType]]="AS", Table1[[#This Row],[OpnPrem]]+Table1[[#This Row],[ClsPrem]],
                                               Table1[[#This Row],[OpnPrem]]-Table1[[#This Row],[ClsPrem]]))</f>
        <v>110.67</v>
      </c>
      <c r="Q13" s="59">
        <f>IF(Table1[[#This Row],[SYM]]="","",SUMIFS(Table1[NetPrem],Table1[Trade'#],Table1[[#This Row],[Trade'#]],Table1[Leg],"&lt;="&amp;Table1[[#This Row],[Leg]]))</f>
        <v>110.67</v>
      </c>
      <c r="R13" s="11">
        <f t="shared" ca="1" si="0"/>
        <v>12</v>
      </c>
      <c r="S13"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7200</v>
      </c>
      <c r="T13" s="11" t="str">
        <f>IF(Table1[[#This Row],[CloseDate]]&gt;0,"",Table1[Cap])</f>
        <v/>
      </c>
      <c r="U13" s="11" t="str">
        <f>IF(Table1[[#This Row],[CloseDate]]&gt;0,"",
IF(Table1[[#This Row],[TransType]]="BC","",
IF(Table1[[#This Row],[TransType]]="BP",100*Table1[[#This Row],[Strike]]*Table1[[#This Row],['#Contracts]],
Table1[Cap])))</f>
        <v/>
      </c>
      <c r="V13" s="11">
        <f ca="1">IF(Table1[[#This Row],[SYM]]="","",Table1[[#This Row],[Cap]]*Table1[[#This Row],[Days]])</f>
        <v>86400</v>
      </c>
      <c r="W13" s="11">
        <f ca="1">IF(Table1[[#This Row],[SYM]]="","",SUMIFS(Table1[CapDays],Table1[Trade'#],Table1[[#This Row],[Trade'#]],Table1[Leg],"&lt;="&amp;Table1[[#This Row],[Leg]]))</f>
        <v>86400</v>
      </c>
      <c r="X13" s="60">
        <f ca="1">IF(Table1[[#This Row],[TotCapDays]],365*Table1[[#This Row],[TotPrem]]/Table1[[#This Row],[TotCapDays]],"")</f>
        <v>0.46752951388888891</v>
      </c>
      <c r="Y13" s="10">
        <f>IF(Table1[[#This Row],[SYM]]="","",
IF(Table1[[#This Row],[TransType]]="LS",Table1[[#This Row],[Strike]]-Table1[[#This Row],[TotPrem]]/Table1[[#This Row],['#Contracts]],
IF(Table1[[#This Row],['#Contracts]],Table1[[#This Row],[Strike]]-Table1[[#This Row],[TotPrem]]/Table1[[#This Row],['#Contracts]]/100,"")))</f>
        <v>35.446649999999998</v>
      </c>
      <c r="Z13" s="11" t="str">
        <f>IF(Table1[[#This Row],[CloseDate]]&gt;0,"",
IF(Table1[[#This Row],[TransType]]="LS",Table1['#Contracts],
IF(Table1[[#This Row],[TransType]]="AS",100*Table1[[#This Row],['#Contracts]],
IF(Table1[[#This Row],[TransType]]="SP",100*Table1[[#This Row],['#Contracts]],
IF(Table1[[#This Row],[TransType]]="BP",100*Table1[[#This Row],['#Contracts]],"")))))</f>
        <v/>
      </c>
      <c r="AA13" s="58">
        <f ca="1">IF(Table1[[#This Row],[CloseDate]]&gt;0,Table1[CloseDate],
IF(Table1[[#This Row],[ExpDate]]&gt;0,Table1[ExpDate],
TODAY()))</f>
        <v>44291</v>
      </c>
      <c r="AB13" s="10">
        <f ca="1">IF(PERFORMANCE!D8&gt;0,
IF(PERFORMANCE!D8&lt;Table1[[#This Row],[ActDate]],"",Table1[NetPrem]),
IF(TODAY()&lt;Table1[[#This Row],[ActDate]],"",Table1[NetPrem]))</f>
        <v>110.67</v>
      </c>
      <c r="AC13" s="10">
        <f ca="1">IF(PERFORMANCE!D8&gt;0,
IF(PERFORMANCE!D8&lt;Table1[[#This Row],[ActDate]],"",
IF(PERFORMANCE!D8 - Table1[[#This Row],[ActDate]]&lt;366,Table1[NetPrem],"")),
IF(TODAY()&lt;Table1[[#This Row],[ActDate]],"",
IF(TODAY() - Table1[[#This Row],[ActDate]]&lt;366,Table1[NetPrem],"")))</f>
        <v>110.67</v>
      </c>
      <c r="AD13" s="10">
        <f ca="1">IF(PERFORMANCE!D8&gt;0,
IF(PERFORMANCE!D8&lt;Table1[[#This Row],[ActDate]],"",
IF(YEAR(PERFORMANCE!D8)=YEAR(Table1[[#This Row],[ActDate]]),Table1[NetPrem],"")),
IF(TODAY()&lt;Table1[[#This Row],[ActDate]],"",
IF(YEAR(TODAY())=YEAR(Table1[[#This Row],[ActDate]]),Table1[NetPrem],"")))</f>
        <v>110.67</v>
      </c>
      <c r="AE13" s="10" t="str">
        <f ca="1">IF(PERFORMANCE!D8&gt;0,
IF(PERFORMANCE!D8&lt;Table1[[#This Row],[ActDate]],Table1[NetPrem],""),
IF(TODAY()&lt;Table1[[#This Row],[ActDate]],Table1[NetPrem],""))</f>
        <v/>
      </c>
      <c r="AF13" s="57"/>
      <c r="AG13" s="48">
        <f>IF(Table1[[#This Row],[SYM]]="","",SUMIFS(Table1[NetPrem],Table1[Trade'#],Table1[[#This Row],[Trade'#]],Table1[Leg],"&lt;="&amp;Table1[[#This Row],[Leg]]))</f>
        <v>110.67</v>
      </c>
      <c r="AH13" s="48"/>
    </row>
    <row r="14" spans="1:39" x14ac:dyDescent="0.25">
      <c r="A14" s="2" t="s">
        <v>203</v>
      </c>
      <c r="B14">
        <v>2</v>
      </c>
      <c r="C14">
        <v>2</v>
      </c>
      <c r="D14" s="2" t="s">
        <v>30</v>
      </c>
      <c r="E14" s="58">
        <v>44291</v>
      </c>
      <c r="F14" s="58">
        <v>44291</v>
      </c>
      <c r="G14" s="58">
        <v>44302</v>
      </c>
      <c r="H14">
        <v>36</v>
      </c>
      <c r="J14">
        <v>2</v>
      </c>
      <c r="K14">
        <v>-19.329999999999998</v>
      </c>
      <c r="M14" t="s">
        <v>202</v>
      </c>
      <c r="N14" t="e">
        <f>RTD("tos.rtd",,"last", "WPM")</f>
        <v>#N/A</v>
      </c>
      <c r="O14" t="e">
        <f>RTD("tos.rtd",,"ASK",".WPM210416P36")</f>
        <v>#N/A</v>
      </c>
      <c r="P14" s="10">
        <f>IF(Table1[[#This Row],[TransType]]="LS", Table1[[#This Row],[OpnPrem]]+Table1[[#This Row],[ClsPrem]],
                                            IF(Table1[[#This Row],[TransType]]="AS", Table1[[#This Row],[OpnPrem]]+Table1[[#This Row],[ClsPrem]],
                                               Table1[[#This Row],[OpnPrem]]-Table1[[#This Row],[ClsPrem]]))</f>
        <v>-19.329999999999998</v>
      </c>
      <c r="Q14" s="59">
        <f>IF(Table1[[#This Row],[SYM]]="","",SUMIFS(Table1[NetPrem],Table1[Trade'#],Table1[[#This Row],[Trade'#]],Table1[Leg],"&lt;="&amp;Table1[[#This Row],[Leg]]))</f>
        <v>91.34</v>
      </c>
      <c r="R14" s="11">
        <f t="shared" ca="1" si="0"/>
        <v>1</v>
      </c>
      <c r="S14"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7200</v>
      </c>
      <c r="T14" s="11" t="str">
        <f>IF(Table1[[#This Row],[CloseDate]]&gt;0,"",Table1[Cap])</f>
        <v/>
      </c>
      <c r="U14" s="11" t="str">
        <f>IF(Table1[[#This Row],[CloseDate]]&gt;0,"",
IF(Table1[[#This Row],[TransType]]="BC","",
IF(Table1[[#This Row],[TransType]]="BP",100*Table1[[#This Row],[Strike]]*Table1[[#This Row],['#Contracts]],
Table1[Cap])))</f>
        <v/>
      </c>
      <c r="V14" s="11">
        <f ca="1">IF(Table1[[#This Row],[SYM]]="","",Table1[[#This Row],[Cap]]*Table1[[#This Row],[Days]])</f>
        <v>7200</v>
      </c>
      <c r="W14" s="11">
        <f ca="1">IF(Table1[[#This Row],[SYM]]="","",SUMIFS(Table1[CapDays],Table1[Trade'#],Table1[[#This Row],[Trade'#]],Table1[Leg],"&lt;="&amp;Table1[[#This Row],[Leg]]))</f>
        <v>93600</v>
      </c>
      <c r="X14" s="60">
        <f ca="1">IF(Table1[[#This Row],[TotCapDays]],365*Table1[[#This Row],[TotPrem]]/Table1[[#This Row],[TotCapDays]],"")</f>
        <v>0.35618696581196579</v>
      </c>
      <c r="Y14" s="10">
        <f>IF(Table1[[#This Row],[SYM]]="","",
IF(Table1[[#This Row],[TransType]]="LS",Table1[[#This Row],[Strike]]-Table1[[#This Row],[TotPrem]]/Table1[[#This Row],['#Contracts]],
IF(Table1[[#This Row],['#Contracts]],Table1[[#This Row],[Strike]]-Table1[[#This Row],[TotPrem]]/Table1[[#This Row],['#Contracts]]/100,"")))</f>
        <v>35.543300000000002</v>
      </c>
      <c r="Z14" s="11" t="str">
        <f>IF(Table1[[#This Row],[CloseDate]]&gt;0,"",
IF(Table1[[#This Row],[TransType]]="LS",Table1['#Contracts],
IF(Table1[[#This Row],[TransType]]="AS",100*Table1[[#This Row],['#Contracts]],
IF(Table1[[#This Row],[TransType]]="SP",100*Table1[[#This Row],['#Contracts]],
IF(Table1[[#This Row],[TransType]]="BP",100*Table1[[#This Row],['#Contracts]],"")))))</f>
        <v/>
      </c>
      <c r="AA14" s="58">
        <f ca="1">IF(Table1[[#This Row],[CloseDate]]&gt;0,Table1[CloseDate],
IF(Table1[[#This Row],[ExpDate]]&gt;0,Table1[ExpDate],
TODAY()))</f>
        <v>44291</v>
      </c>
      <c r="AB14" s="10">
        <f ca="1">IF(PERFORMANCE!D8&gt;0,
IF(PERFORMANCE!D8&lt;Table1[[#This Row],[ActDate]],"",Table1[NetPrem]),
IF(TODAY()&lt;Table1[[#This Row],[ActDate]],"",Table1[NetPrem]))</f>
        <v>-19.329999999999998</v>
      </c>
      <c r="AC14" s="10">
        <f ca="1">IF(PERFORMANCE!D8&gt;0,
IF(PERFORMANCE!D8&lt;Table1[[#This Row],[ActDate]],"",
IF(PERFORMANCE!D8 - Table1[[#This Row],[ActDate]]&lt;366,Table1[NetPrem],"")),
IF(TODAY()&lt;Table1[[#This Row],[ActDate]],"",
IF(TODAY() - Table1[[#This Row],[ActDate]]&lt;366,Table1[NetPrem],"")))</f>
        <v>-19.329999999999998</v>
      </c>
      <c r="AD14" s="10">
        <f ca="1">IF(PERFORMANCE!D8&gt;0,
IF(PERFORMANCE!D8&lt;Table1[[#This Row],[ActDate]],"",
IF(YEAR(PERFORMANCE!D8)=YEAR(Table1[[#This Row],[ActDate]]),Table1[NetPrem],"")),
IF(TODAY()&lt;Table1[[#This Row],[ActDate]],"",
IF(YEAR(TODAY())=YEAR(Table1[[#This Row],[ActDate]]),Table1[NetPrem],"")))</f>
        <v>-19.329999999999998</v>
      </c>
      <c r="AE14" s="10" t="str">
        <f ca="1">IF(PERFORMANCE!D8&gt;0,
IF(PERFORMANCE!D8&lt;Table1[[#This Row],[ActDate]],Table1[NetPrem],""),
IF(TODAY()&lt;Table1[[#This Row],[ActDate]],Table1[NetPrem],""))</f>
        <v/>
      </c>
      <c r="AF14" s="57"/>
      <c r="AG14" s="48">
        <f>IF(Table1[[#This Row],[SYM]]="","",SUMIFS(Table1[NetPrem],Table1[Trade'#],Table1[[#This Row],[Trade'#]],Table1[Leg],"&lt;="&amp;Table1[[#This Row],[Leg]]))</f>
        <v>91.34</v>
      </c>
      <c r="AH14" s="48"/>
    </row>
    <row r="15" spans="1:39" x14ac:dyDescent="0.25">
      <c r="A15" s="2" t="s">
        <v>204</v>
      </c>
      <c r="B15">
        <v>3</v>
      </c>
      <c r="C15">
        <v>1</v>
      </c>
      <c r="D15" s="2" t="s">
        <v>30</v>
      </c>
      <c r="E15" s="58">
        <v>44284</v>
      </c>
      <c r="F15" s="58">
        <v>44287</v>
      </c>
      <c r="G15" s="58">
        <v>44302</v>
      </c>
      <c r="H15">
        <v>24</v>
      </c>
      <c r="J15">
        <v>2</v>
      </c>
      <c r="K15">
        <v>166.67</v>
      </c>
      <c r="M15" t="s">
        <v>152</v>
      </c>
      <c r="N15" t="e">
        <f>RTD("tos.rtd",,"last", "CCL")</f>
        <v>#N/A</v>
      </c>
      <c r="O15" t="e">
        <f>RTD("tos.rtd",,"ASK",".CCL210416P24")</f>
        <v>#N/A</v>
      </c>
      <c r="P15" s="10">
        <f>IF(Table1[[#This Row],[TransType]]="LS", Table1[[#This Row],[OpnPrem]]+Table1[[#This Row],[ClsPrem]],
                                            IF(Table1[[#This Row],[TransType]]="AS", Table1[[#This Row],[OpnPrem]]+Table1[[#This Row],[ClsPrem]],
                                               Table1[[#This Row],[OpnPrem]]-Table1[[#This Row],[ClsPrem]]))</f>
        <v>166.67</v>
      </c>
      <c r="Q15" s="59">
        <f>IF(Table1[[#This Row],[SYM]]="","",SUMIFS(Table1[NetPrem],Table1[Trade'#],Table1[[#This Row],[Trade'#]],Table1[Leg],"&lt;="&amp;Table1[[#This Row],[Leg]]))</f>
        <v>166.67</v>
      </c>
      <c r="R15" s="11">
        <f t="shared" ca="1" si="0"/>
        <v>3</v>
      </c>
      <c r="S15"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4800</v>
      </c>
      <c r="T15" s="11" t="str">
        <f>IF(Table1[[#This Row],[CloseDate]]&gt;0,"",Table1[Cap])</f>
        <v/>
      </c>
      <c r="U15" s="11" t="str">
        <f>IF(Table1[[#This Row],[CloseDate]]&gt;0,"",
IF(Table1[[#This Row],[TransType]]="BC","",
IF(Table1[[#This Row],[TransType]]="BP",100*Table1[[#This Row],[Strike]]*Table1[[#This Row],['#Contracts]],
Table1[Cap])))</f>
        <v/>
      </c>
      <c r="V15" s="11">
        <f ca="1">IF(Table1[[#This Row],[SYM]]="","",Table1[[#This Row],[Cap]]*Table1[[#This Row],[Days]])</f>
        <v>14400</v>
      </c>
      <c r="W15" s="11">
        <f ca="1">IF(Table1[[#This Row],[SYM]]="","",SUMIFS(Table1[CapDays],Table1[Trade'#],Table1[[#This Row],[Trade'#]],Table1[Leg],"&lt;="&amp;Table1[[#This Row],[Leg]]))</f>
        <v>14400</v>
      </c>
      <c r="X15" s="60">
        <f ca="1">IF(Table1[[#This Row],[TotCapDays]],365*Table1[[#This Row],[TotPrem]]/Table1[[#This Row],[TotCapDays]],"")</f>
        <v>4.2246215277777779</v>
      </c>
      <c r="Y15" s="10">
        <f>IF(Table1[[#This Row],[SYM]]="","",
IF(Table1[[#This Row],[TransType]]="LS",Table1[[#This Row],[Strike]]-Table1[[#This Row],[TotPrem]]/Table1[[#This Row],['#Contracts]],
IF(Table1[[#This Row],['#Contracts]],Table1[[#This Row],[Strike]]-Table1[[#This Row],[TotPrem]]/Table1[[#This Row],['#Contracts]]/100,"")))</f>
        <v>23.166650000000001</v>
      </c>
      <c r="Z15" s="11" t="str">
        <f>IF(Table1[[#This Row],[CloseDate]]&gt;0,"",
IF(Table1[[#This Row],[TransType]]="LS",Table1['#Contracts],
IF(Table1[[#This Row],[TransType]]="AS",100*Table1[[#This Row],['#Contracts]],
IF(Table1[[#This Row],[TransType]]="SP",100*Table1[[#This Row],['#Contracts]],
IF(Table1[[#This Row],[TransType]]="BP",100*Table1[[#This Row],['#Contracts]],"")))))</f>
        <v/>
      </c>
      <c r="AA15" s="58">
        <f ca="1">IF(Table1[[#This Row],[CloseDate]]&gt;0,Table1[CloseDate],
IF(Table1[[#This Row],[ExpDate]]&gt;0,Table1[ExpDate],
TODAY()))</f>
        <v>44287</v>
      </c>
      <c r="AB15" s="10">
        <f ca="1">IF(PERFORMANCE!D8&gt;0,
IF(PERFORMANCE!D8&lt;Table1[[#This Row],[ActDate]],"",Table1[NetPrem]),
IF(TODAY()&lt;Table1[[#This Row],[ActDate]],"",Table1[NetPrem]))</f>
        <v>166.67</v>
      </c>
      <c r="AC15" s="10">
        <f ca="1">IF(PERFORMANCE!D8&gt;0,
IF(PERFORMANCE!D8&lt;Table1[[#This Row],[ActDate]],"",
IF(PERFORMANCE!D8 - Table1[[#This Row],[ActDate]]&lt;366,Table1[NetPrem],"")),
IF(TODAY()&lt;Table1[[#This Row],[ActDate]],"",
IF(TODAY() - Table1[[#This Row],[ActDate]]&lt;366,Table1[NetPrem],"")))</f>
        <v>166.67</v>
      </c>
      <c r="AD15" s="10">
        <f ca="1">IF(PERFORMANCE!D8&gt;0,
IF(PERFORMANCE!D8&lt;Table1[[#This Row],[ActDate]],"",
IF(YEAR(PERFORMANCE!D8)=YEAR(Table1[[#This Row],[ActDate]]),Table1[NetPrem],"")),
IF(TODAY()&lt;Table1[[#This Row],[ActDate]],"",
IF(YEAR(TODAY())=YEAR(Table1[[#This Row],[ActDate]]),Table1[NetPrem],"")))</f>
        <v>166.67</v>
      </c>
      <c r="AE15" s="10" t="str">
        <f ca="1">IF(PERFORMANCE!D8&gt;0,
IF(PERFORMANCE!D8&lt;Table1[[#This Row],[ActDate]],Table1[NetPrem],""),
IF(TODAY()&lt;Table1[[#This Row],[ActDate]],Table1[NetPrem],""))</f>
        <v/>
      </c>
      <c r="AF15" s="57"/>
      <c r="AG15" s="48">
        <f>IF(Table1[[#This Row],[SYM]]="","",SUMIFS(Table1[NetPrem],Table1[Trade'#],Table1[[#This Row],[Trade'#]],Table1[Leg],"&lt;="&amp;Table1[[#This Row],[Leg]]))</f>
        <v>166.67</v>
      </c>
      <c r="AH15" s="48"/>
    </row>
    <row r="16" spans="1:39" x14ac:dyDescent="0.25">
      <c r="A16" s="2" t="s">
        <v>205</v>
      </c>
      <c r="B16">
        <v>3</v>
      </c>
      <c r="C16">
        <v>2</v>
      </c>
      <c r="D16" s="2" t="s">
        <v>30</v>
      </c>
      <c r="E16" s="58">
        <v>44285</v>
      </c>
      <c r="F16" s="58">
        <v>44287</v>
      </c>
      <c r="G16" s="58">
        <v>44302</v>
      </c>
      <c r="H16">
        <v>24</v>
      </c>
      <c r="J16">
        <v>10</v>
      </c>
      <c r="K16">
        <v>563.34</v>
      </c>
      <c r="M16" t="s">
        <v>152</v>
      </c>
      <c r="N16" t="e">
        <f>RTD("tos.rtd",,"last", "CCL")</f>
        <v>#N/A</v>
      </c>
      <c r="O16" t="e">
        <f>RTD("tos.rtd",,"ASK",".CCL210416P24")</f>
        <v>#N/A</v>
      </c>
      <c r="P16" s="10">
        <f>IF(Table1[[#This Row],[TransType]]="LS", Table1[[#This Row],[OpnPrem]]+Table1[[#This Row],[ClsPrem]],
                                            IF(Table1[[#This Row],[TransType]]="AS", Table1[[#This Row],[OpnPrem]]+Table1[[#This Row],[ClsPrem]],
                                               Table1[[#This Row],[OpnPrem]]-Table1[[#This Row],[ClsPrem]]))</f>
        <v>563.34</v>
      </c>
      <c r="Q16" s="59">
        <f>IF(Table1[[#This Row],[SYM]]="","",SUMIFS(Table1[NetPrem],Table1[Trade'#],Table1[[#This Row],[Trade'#]],Table1[Leg],"&lt;="&amp;Table1[[#This Row],[Leg]]))</f>
        <v>730.01</v>
      </c>
      <c r="R16" s="11">
        <f t="shared" ca="1" si="0"/>
        <v>2</v>
      </c>
      <c r="S16"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24000</v>
      </c>
      <c r="T16" s="11" t="str">
        <f>IF(Table1[[#This Row],[CloseDate]]&gt;0,"",Table1[Cap])</f>
        <v/>
      </c>
      <c r="U16" s="11" t="str">
        <f>IF(Table1[[#This Row],[CloseDate]]&gt;0,"",
IF(Table1[[#This Row],[TransType]]="BC","",
IF(Table1[[#This Row],[TransType]]="BP",100*Table1[[#This Row],[Strike]]*Table1[[#This Row],['#Contracts]],
Table1[Cap])))</f>
        <v/>
      </c>
      <c r="V16" s="11">
        <f ca="1">IF(Table1[[#This Row],[SYM]]="","",Table1[[#This Row],[Cap]]*Table1[[#This Row],[Days]])</f>
        <v>48000</v>
      </c>
      <c r="W16" s="11">
        <f ca="1">IF(Table1[[#This Row],[SYM]]="","",SUMIFS(Table1[CapDays],Table1[Trade'#],Table1[[#This Row],[Trade'#]],Table1[Leg],"&lt;="&amp;Table1[[#This Row],[Leg]]))</f>
        <v>62400</v>
      </c>
      <c r="X16" s="60">
        <f ca="1">IF(Table1[[#This Row],[TotCapDays]],365*Table1[[#This Row],[TotPrem]]/Table1[[#This Row],[TotCapDays]],"")</f>
        <v>4.2700905448717954</v>
      </c>
      <c r="Y16" s="10">
        <f>IF(Table1[[#This Row],[SYM]]="","",
IF(Table1[[#This Row],[TransType]]="LS",Table1[[#This Row],[Strike]]-Table1[[#This Row],[TotPrem]]/Table1[[#This Row],['#Contracts]],
IF(Table1[[#This Row],['#Contracts]],Table1[[#This Row],[Strike]]-Table1[[#This Row],[TotPrem]]/Table1[[#This Row],['#Contracts]]/100,"")))</f>
        <v>23.26999</v>
      </c>
      <c r="Z16" s="11" t="str">
        <f>IF(Table1[[#This Row],[CloseDate]]&gt;0,"",
IF(Table1[[#This Row],[TransType]]="LS",Table1['#Contracts],
IF(Table1[[#This Row],[TransType]]="AS",100*Table1[[#This Row],['#Contracts]],
IF(Table1[[#This Row],[TransType]]="SP",100*Table1[[#This Row],['#Contracts]],
IF(Table1[[#This Row],[TransType]]="BP",100*Table1[[#This Row],['#Contracts]],"")))))</f>
        <v/>
      </c>
      <c r="AA16" s="58">
        <f ca="1">IF(Table1[[#This Row],[CloseDate]]&gt;0,Table1[CloseDate],
IF(Table1[[#This Row],[ExpDate]]&gt;0,Table1[ExpDate],
TODAY()))</f>
        <v>44287</v>
      </c>
      <c r="AB16" s="10">
        <f ca="1">IF(PERFORMANCE!D8&gt;0,
IF(PERFORMANCE!D8&lt;Table1[[#This Row],[ActDate]],"",Table1[NetPrem]),
IF(TODAY()&lt;Table1[[#This Row],[ActDate]],"",Table1[NetPrem]))</f>
        <v>563.34</v>
      </c>
      <c r="AC16" s="10">
        <f ca="1">IF(PERFORMANCE!D8&gt;0,
IF(PERFORMANCE!D8&lt;Table1[[#This Row],[ActDate]],"",
IF(PERFORMANCE!D8 - Table1[[#This Row],[ActDate]]&lt;366,Table1[NetPrem],"")),
IF(TODAY()&lt;Table1[[#This Row],[ActDate]],"",
IF(TODAY() - Table1[[#This Row],[ActDate]]&lt;366,Table1[NetPrem],"")))</f>
        <v>563.34</v>
      </c>
      <c r="AD16" s="10">
        <f ca="1">IF(PERFORMANCE!D8&gt;0,
IF(PERFORMANCE!D8&lt;Table1[[#This Row],[ActDate]],"",
IF(YEAR(PERFORMANCE!D8)=YEAR(Table1[[#This Row],[ActDate]]),Table1[NetPrem],"")),
IF(TODAY()&lt;Table1[[#This Row],[ActDate]],"",
IF(YEAR(TODAY())=YEAR(Table1[[#This Row],[ActDate]]),Table1[NetPrem],"")))</f>
        <v>563.34</v>
      </c>
      <c r="AE16" s="10" t="str">
        <f ca="1">IF(PERFORMANCE!D8&gt;0,
IF(PERFORMANCE!D8&lt;Table1[[#This Row],[ActDate]],Table1[NetPrem],""),
IF(TODAY()&lt;Table1[[#This Row],[ActDate]],Table1[NetPrem],""))</f>
        <v/>
      </c>
      <c r="AG16" s="48">
        <f>IF(Table1[[#This Row],[SYM]]="","",SUMIFS(Table1[NetPrem],Table1[Trade'#],Table1[[#This Row],[Trade'#]],Table1[Leg],"&lt;="&amp;Table1[[#This Row],[Leg]]))</f>
        <v>730.01</v>
      </c>
      <c r="AH16" s="48"/>
    </row>
    <row r="17" spans="1:34" x14ac:dyDescent="0.25">
      <c r="A17" s="2" t="s">
        <v>206</v>
      </c>
      <c r="B17">
        <v>3</v>
      </c>
      <c r="C17">
        <v>3</v>
      </c>
      <c r="D17" s="2" t="s">
        <v>30</v>
      </c>
      <c r="E17" s="58">
        <v>44287</v>
      </c>
      <c r="F17" s="58">
        <v>44287</v>
      </c>
      <c r="G17" s="58">
        <v>44302</v>
      </c>
      <c r="H17">
        <v>24</v>
      </c>
      <c r="J17">
        <v>12</v>
      </c>
      <c r="K17">
        <v>-427.97</v>
      </c>
      <c r="M17" t="s">
        <v>152</v>
      </c>
      <c r="N17" t="e">
        <f>RTD("tos.rtd",,"last", "CCL")</f>
        <v>#N/A</v>
      </c>
      <c r="O17" t="e">
        <f>RTD("tos.rtd",,"ASK",".CCL210416P24")</f>
        <v>#N/A</v>
      </c>
      <c r="P17" s="10">
        <f>IF(Table1[[#This Row],[TransType]]="LS", Table1[[#This Row],[OpnPrem]]+Table1[[#This Row],[ClsPrem]],
                                            IF(Table1[[#This Row],[TransType]]="AS", Table1[[#This Row],[OpnPrem]]+Table1[[#This Row],[ClsPrem]],
                                               Table1[[#This Row],[OpnPrem]]-Table1[[#This Row],[ClsPrem]]))</f>
        <v>-427.97</v>
      </c>
      <c r="Q17" s="59">
        <f>IF(Table1[[#This Row],[SYM]]="","",SUMIFS(Table1[NetPrem],Table1[Trade'#],Table1[[#This Row],[Trade'#]],Table1[Leg],"&lt;="&amp;Table1[[#This Row],[Leg]]))</f>
        <v>302.03999999999996</v>
      </c>
      <c r="R17" s="11">
        <f t="shared" ca="1" si="0"/>
        <v>1</v>
      </c>
      <c r="S17"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28800</v>
      </c>
      <c r="T17" s="11" t="str">
        <f>IF(Table1[[#This Row],[CloseDate]]&gt;0,"",Table1[Cap])</f>
        <v/>
      </c>
      <c r="U17" s="11" t="str">
        <f>IF(Table1[[#This Row],[CloseDate]]&gt;0,"",
IF(Table1[[#This Row],[TransType]]="BC","",
IF(Table1[[#This Row],[TransType]]="BP",100*Table1[[#This Row],[Strike]]*Table1[[#This Row],['#Contracts]],
Table1[Cap])))</f>
        <v/>
      </c>
      <c r="V17" s="11">
        <f ca="1">IF(Table1[[#This Row],[SYM]]="","",Table1[[#This Row],[Cap]]*Table1[[#This Row],[Days]])</f>
        <v>28800</v>
      </c>
      <c r="W17" s="11">
        <f ca="1">IF(Table1[[#This Row],[SYM]]="","",SUMIFS(Table1[CapDays],Table1[Trade'#],Table1[[#This Row],[Trade'#]],Table1[Leg],"&lt;="&amp;Table1[[#This Row],[Leg]]))</f>
        <v>91200</v>
      </c>
      <c r="X17" s="60">
        <f ca="1">IF(Table1[[#This Row],[TotCapDays]],365*Table1[[#This Row],[TotPrem]]/Table1[[#This Row],[TotCapDays]],"")</f>
        <v>1.2088223684210526</v>
      </c>
      <c r="Y17" s="10">
        <f>IF(Table1[[#This Row],[SYM]]="","",
IF(Table1[[#This Row],[TransType]]="LS",Table1[[#This Row],[Strike]]-Table1[[#This Row],[TotPrem]]/Table1[[#This Row],['#Contracts]],
IF(Table1[[#This Row],['#Contracts]],Table1[[#This Row],[Strike]]-Table1[[#This Row],[TotPrem]]/Table1[[#This Row],['#Contracts]]/100,"")))</f>
        <v>23.7483</v>
      </c>
      <c r="Z17" s="11" t="str">
        <f>IF(Table1[[#This Row],[CloseDate]]&gt;0,"",
IF(Table1[[#This Row],[TransType]]="LS",Table1['#Contracts],
IF(Table1[[#This Row],[TransType]]="AS",100*Table1[[#This Row],['#Contracts]],
IF(Table1[[#This Row],[TransType]]="SP",100*Table1[[#This Row],['#Contracts]],
IF(Table1[[#This Row],[TransType]]="BP",100*Table1[[#This Row],['#Contracts]],"")))))</f>
        <v/>
      </c>
      <c r="AA17" s="58">
        <f ca="1">IF(Table1[[#This Row],[CloseDate]]&gt;0,Table1[CloseDate],
IF(Table1[[#This Row],[ExpDate]]&gt;0,Table1[ExpDate],
TODAY()))</f>
        <v>44287</v>
      </c>
      <c r="AB17" s="10">
        <f ca="1">IF(PERFORMANCE!D8&gt;0,
IF(PERFORMANCE!D8&lt;Table1[[#This Row],[ActDate]],"",Table1[NetPrem]),
IF(TODAY()&lt;Table1[[#This Row],[ActDate]],"",Table1[NetPrem]))</f>
        <v>-427.97</v>
      </c>
      <c r="AC17" s="10">
        <f ca="1">IF(PERFORMANCE!D8&gt;0,
IF(PERFORMANCE!D8&lt;Table1[[#This Row],[ActDate]],"",
IF(PERFORMANCE!D8 - Table1[[#This Row],[ActDate]]&lt;366,Table1[NetPrem],"")),
IF(TODAY()&lt;Table1[[#This Row],[ActDate]],"",
IF(TODAY() - Table1[[#This Row],[ActDate]]&lt;366,Table1[NetPrem],"")))</f>
        <v>-427.97</v>
      </c>
      <c r="AD17" s="10">
        <f ca="1">IF(PERFORMANCE!D8&gt;0,
IF(PERFORMANCE!D8&lt;Table1[[#This Row],[ActDate]],"",
IF(YEAR(PERFORMANCE!D8)=YEAR(Table1[[#This Row],[ActDate]]),Table1[NetPrem],"")),
IF(TODAY()&lt;Table1[[#This Row],[ActDate]],"",
IF(YEAR(TODAY())=YEAR(Table1[[#This Row],[ActDate]]),Table1[NetPrem],"")))</f>
        <v>-427.97</v>
      </c>
      <c r="AE17" s="10" t="str">
        <f ca="1">IF(PERFORMANCE!D8&gt;0,
IF(PERFORMANCE!D8&lt;Table1[[#This Row],[ActDate]],Table1[NetPrem],""),
IF(TODAY()&lt;Table1[[#This Row],[ActDate]],Table1[NetPrem],""))</f>
        <v/>
      </c>
      <c r="AG17" s="48">
        <f>IF(Table1[[#This Row],[SYM]]="","",SUMIFS(Table1[NetPrem],Table1[Trade'#],Table1[[#This Row],[Trade'#]],Table1[Leg],"&lt;="&amp;Table1[[#This Row],[Leg]]))</f>
        <v>302.03999999999996</v>
      </c>
      <c r="AH17" s="48"/>
    </row>
    <row r="18" spans="1:34" x14ac:dyDescent="0.25">
      <c r="A18" s="2" t="s">
        <v>207</v>
      </c>
      <c r="B18">
        <v>4</v>
      </c>
      <c r="C18">
        <v>1</v>
      </c>
      <c r="D18" s="2" t="s">
        <v>30</v>
      </c>
      <c r="E18" s="58">
        <v>44287</v>
      </c>
      <c r="F18" s="58">
        <v>44292</v>
      </c>
      <c r="G18" s="58">
        <v>44295</v>
      </c>
      <c r="H18">
        <v>42</v>
      </c>
      <c r="J18">
        <v>2</v>
      </c>
      <c r="K18">
        <v>96.67</v>
      </c>
      <c r="M18" t="s">
        <v>145</v>
      </c>
      <c r="N18" t="e">
        <f>RTD("tos.rtd",,"last", "VIAC")</f>
        <v>#N/A</v>
      </c>
      <c r="O18" t="e">
        <f>RTD("tos.rtd",,"ASK",".VIAC21049P42")</f>
        <v>#N/A</v>
      </c>
      <c r="P18" s="10">
        <f>IF(Table1[[#This Row],[TransType]]="LS", Table1[[#This Row],[OpnPrem]]+Table1[[#This Row],[ClsPrem]],
                                            IF(Table1[[#This Row],[TransType]]="AS", Table1[[#This Row],[OpnPrem]]+Table1[[#This Row],[ClsPrem]],
                                               Table1[[#This Row],[OpnPrem]]-Table1[[#This Row],[ClsPrem]]))</f>
        <v>96.67</v>
      </c>
      <c r="Q18" s="59">
        <f>IF(Table1[[#This Row],[SYM]]="","",SUMIFS(Table1[NetPrem],Table1[Trade'#],Table1[[#This Row],[Trade'#]],Table1[Leg],"&lt;="&amp;Table1[[#This Row],[Leg]]))</f>
        <v>96.67</v>
      </c>
      <c r="R18" s="11">
        <f t="shared" ca="1" si="0"/>
        <v>5</v>
      </c>
      <c r="S18"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8400</v>
      </c>
      <c r="T18" s="11" t="str">
        <f>IF(Table1[[#This Row],[CloseDate]]&gt;0,"",Table1[Cap])</f>
        <v/>
      </c>
      <c r="U18" s="11" t="str">
        <f>IF(Table1[[#This Row],[CloseDate]]&gt;0,"",
IF(Table1[[#This Row],[TransType]]="BC","",
IF(Table1[[#This Row],[TransType]]="BP",100*Table1[[#This Row],[Strike]]*Table1[[#This Row],['#Contracts]],
Table1[Cap])))</f>
        <v/>
      </c>
      <c r="V18" s="11">
        <f ca="1">IF(Table1[[#This Row],[SYM]]="","",Table1[[#This Row],[Cap]]*Table1[[#This Row],[Days]])</f>
        <v>42000</v>
      </c>
      <c r="W18" s="11">
        <f ca="1">IF(Table1[[#This Row],[SYM]]="","",SUMIFS(Table1[CapDays],Table1[Trade'#],Table1[[#This Row],[Trade'#]],Table1[Leg],"&lt;="&amp;Table1[[#This Row],[Leg]]))</f>
        <v>42000</v>
      </c>
      <c r="X18" s="60">
        <f ca="1">IF(Table1[[#This Row],[TotCapDays]],365*Table1[[#This Row],[TotPrem]]/Table1[[#This Row],[TotCapDays]],"")</f>
        <v>0.84010833333333346</v>
      </c>
      <c r="Y18" s="10">
        <f>IF(Table1[[#This Row],[SYM]]="","",
IF(Table1[[#This Row],[TransType]]="LS",Table1[[#This Row],[Strike]]-Table1[[#This Row],[TotPrem]]/Table1[[#This Row],['#Contracts]],
IF(Table1[[#This Row],['#Contracts]],Table1[[#This Row],[Strike]]-Table1[[#This Row],[TotPrem]]/Table1[[#This Row],['#Contracts]]/100,"")))</f>
        <v>41.516649999999998</v>
      </c>
      <c r="Z18" s="11" t="str">
        <f>IF(Table1[[#This Row],[CloseDate]]&gt;0,"",
IF(Table1[[#This Row],[TransType]]="LS",Table1['#Contracts],
IF(Table1[[#This Row],[TransType]]="AS",100*Table1[[#This Row],['#Contracts]],
IF(Table1[[#This Row],[TransType]]="SP",100*Table1[[#This Row],['#Contracts]],
IF(Table1[[#This Row],[TransType]]="BP",100*Table1[[#This Row],['#Contracts]],"")))))</f>
        <v/>
      </c>
      <c r="AA18" s="58">
        <f ca="1">IF(Table1[[#This Row],[CloseDate]]&gt;0,Table1[CloseDate],
IF(Table1[[#This Row],[ExpDate]]&gt;0,Table1[ExpDate],
TODAY()))</f>
        <v>44292</v>
      </c>
      <c r="AB18" s="10">
        <f ca="1">IF(PERFORMANCE!D8&gt;0,
IF(PERFORMANCE!D8&lt;Table1[[#This Row],[ActDate]],"",Table1[NetPrem]),
IF(TODAY()&lt;Table1[[#This Row],[ActDate]],"",Table1[NetPrem]))</f>
        <v>96.67</v>
      </c>
      <c r="AC18" s="10">
        <f ca="1">IF(PERFORMANCE!D8&gt;0,
IF(PERFORMANCE!D8&lt;Table1[[#This Row],[ActDate]],"",
IF(PERFORMANCE!D8 - Table1[[#This Row],[ActDate]]&lt;366,Table1[NetPrem],"")),
IF(TODAY()&lt;Table1[[#This Row],[ActDate]],"",
IF(TODAY() - Table1[[#This Row],[ActDate]]&lt;366,Table1[NetPrem],"")))</f>
        <v>96.67</v>
      </c>
      <c r="AD18" s="10">
        <f ca="1">IF(PERFORMANCE!D8&gt;0,
IF(PERFORMANCE!D8&lt;Table1[[#This Row],[ActDate]],"",
IF(YEAR(PERFORMANCE!D8)=YEAR(Table1[[#This Row],[ActDate]]),Table1[NetPrem],"")),
IF(TODAY()&lt;Table1[[#This Row],[ActDate]],"",
IF(YEAR(TODAY())=YEAR(Table1[[#This Row],[ActDate]]),Table1[NetPrem],"")))</f>
        <v>96.67</v>
      </c>
      <c r="AE18" s="10" t="str">
        <f ca="1">IF(PERFORMANCE!D8&gt;0,
IF(PERFORMANCE!D8&lt;Table1[[#This Row],[ActDate]],Table1[NetPrem],""),
IF(TODAY()&lt;Table1[[#This Row],[ActDate]],Table1[NetPrem],""))</f>
        <v/>
      </c>
      <c r="AG18" s="48">
        <f>IF(Table1[[#This Row],[SYM]]="","",SUMIFS(Table1[NetPrem],Table1[Trade'#],Table1[[#This Row],[Trade'#]],Table1[Leg],"&lt;="&amp;Table1[[#This Row],[Leg]]))</f>
        <v>96.67</v>
      </c>
      <c r="AH18" s="48"/>
    </row>
    <row r="19" spans="1:34" x14ac:dyDescent="0.25">
      <c r="A19" s="2" t="s">
        <v>208</v>
      </c>
      <c r="B19">
        <v>4</v>
      </c>
      <c r="C19">
        <v>2</v>
      </c>
      <c r="D19" s="2" t="s">
        <v>30</v>
      </c>
      <c r="E19" s="58">
        <v>44292</v>
      </c>
      <c r="F19" s="58">
        <v>44292</v>
      </c>
      <c r="G19" s="58">
        <v>44295</v>
      </c>
      <c r="H19">
        <v>42</v>
      </c>
      <c r="J19">
        <v>2</v>
      </c>
      <c r="K19">
        <v>-181.33</v>
      </c>
      <c r="M19" t="s">
        <v>145</v>
      </c>
      <c r="N19" t="e">
        <f>RTD("tos.rtd",,"last", "VIAC")</f>
        <v>#N/A</v>
      </c>
      <c r="O19" t="e">
        <f>RTD("tos.rtd",,"ASK",".VIAC21049P42")</f>
        <v>#N/A</v>
      </c>
      <c r="P19" s="10">
        <f>IF(Table1[[#This Row],[TransType]]="LS", Table1[[#This Row],[OpnPrem]]+Table1[[#This Row],[ClsPrem]],
                                            IF(Table1[[#This Row],[TransType]]="AS", Table1[[#This Row],[OpnPrem]]+Table1[[#This Row],[ClsPrem]],
                                               Table1[[#This Row],[OpnPrem]]-Table1[[#This Row],[ClsPrem]]))</f>
        <v>-181.33</v>
      </c>
      <c r="Q19" s="59">
        <f>IF(Table1[[#This Row],[SYM]]="","",SUMIFS(Table1[NetPrem],Table1[Trade'#],Table1[[#This Row],[Trade'#]],Table1[Leg],"&lt;="&amp;Table1[[#This Row],[Leg]]))</f>
        <v>-84.660000000000011</v>
      </c>
      <c r="R19" s="11">
        <f t="shared" ca="1" si="0"/>
        <v>1</v>
      </c>
      <c r="S19"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8400</v>
      </c>
      <c r="T19" s="11" t="str">
        <f>IF(Table1[[#This Row],[CloseDate]]&gt;0,"",Table1[Cap])</f>
        <v/>
      </c>
      <c r="U19" s="11" t="str">
        <f>IF(Table1[[#This Row],[CloseDate]]&gt;0,"",
IF(Table1[[#This Row],[TransType]]="BC","",
IF(Table1[[#This Row],[TransType]]="BP",100*Table1[[#This Row],[Strike]]*Table1[[#This Row],['#Contracts]],
Table1[Cap])))</f>
        <v/>
      </c>
      <c r="V19" s="11">
        <f ca="1">IF(Table1[[#This Row],[SYM]]="","",Table1[[#This Row],[Cap]]*Table1[[#This Row],[Days]])</f>
        <v>8400</v>
      </c>
      <c r="W19" s="11">
        <f ca="1">IF(Table1[[#This Row],[SYM]]="","",SUMIFS(Table1[CapDays],Table1[Trade'#],Table1[[#This Row],[Trade'#]],Table1[Leg],"&lt;="&amp;Table1[[#This Row],[Leg]]))</f>
        <v>50400</v>
      </c>
      <c r="X19" s="60">
        <f ca="1">IF(Table1[[#This Row],[TotCapDays]],365*Table1[[#This Row],[TotPrem]]/Table1[[#This Row],[TotCapDays]],"")</f>
        <v>-0.61311309523809532</v>
      </c>
      <c r="Y19" s="10">
        <f>IF(Table1[[#This Row],[SYM]]="","",
IF(Table1[[#This Row],[TransType]]="LS",Table1[[#This Row],[Strike]]-Table1[[#This Row],[TotPrem]]/Table1[[#This Row],['#Contracts]],
IF(Table1[[#This Row],['#Contracts]],Table1[[#This Row],[Strike]]-Table1[[#This Row],[TotPrem]]/Table1[[#This Row],['#Contracts]]/100,"")))</f>
        <v>42.423299999999998</v>
      </c>
      <c r="Z19" s="11" t="str">
        <f>IF(Table1[[#This Row],[CloseDate]]&gt;0,"",
IF(Table1[[#This Row],[TransType]]="LS",Table1['#Contracts],
IF(Table1[[#This Row],[TransType]]="AS",100*Table1[[#This Row],['#Contracts]],
IF(Table1[[#This Row],[TransType]]="SP",100*Table1[[#This Row],['#Contracts]],
IF(Table1[[#This Row],[TransType]]="BP",100*Table1[[#This Row],['#Contracts]],"")))))</f>
        <v/>
      </c>
      <c r="AA19" s="58">
        <f ca="1">IF(Table1[[#This Row],[CloseDate]]&gt;0,Table1[CloseDate],
IF(Table1[[#This Row],[ExpDate]]&gt;0,Table1[ExpDate],
TODAY()))</f>
        <v>44292</v>
      </c>
      <c r="AB19" s="10">
        <f ca="1">IF(PERFORMANCE!D8&gt;0,
IF(PERFORMANCE!D8&lt;Table1[[#This Row],[ActDate]],"",Table1[NetPrem]),
IF(TODAY()&lt;Table1[[#This Row],[ActDate]],"",Table1[NetPrem]))</f>
        <v>-181.33</v>
      </c>
      <c r="AC19" s="10">
        <f ca="1">IF(PERFORMANCE!D8&gt;0,
IF(PERFORMANCE!D8&lt;Table1[[#This Row],[ActDate]],"",
IF(PERFORMANCE!D8 - Table1[[#This Row],[ActDate]]&lt;366,Table1[NetPrem],"")),
IF(TODAY()&lt;Table1[[#This Row],[ActDate]],"",
IF(TODAY() - Table1[[#This Row],[ActDate]]&lt;366,Table1[NetPrem],"")))</f>
        <v>-181.33</v>
      </c>
      <c r="AD19" s="10">
        <f ca="1">IF(PERFORMANCE!D8&gt;0,
IF(PERFORMANCE!D8&lt;Table1[[#This Row],[ActDate]],"",
IF(YEAR(PERFORMANCE!D8)=YEAR(Table1[[#This Row],[ActDate]]),Table1[NetPrem],"")),
IF(TODAY()&lt;Table1[[#This Row],[ActDate]],"",
IF(YEAR(TODAY())=YEAR(Table1[[#This Row],[ActDate]]),Table1[NetPrem],"")))</f>
        <v>-181.33</v>
      </c>
      <c r="AE19" s="10" t="str">
        <f ca="1">IF(PERFORMANCE!D8&gt;0,
IF(PERFORMANCE!D8&lt;Table1[[#This Row],[ActDate]],Table1[NetPrem],""),
IF(TODAY()&lt;Table1[[#This Row],[ActDate]],Table1[NetPrem],""))</f>
        <v/>
      </c>
      <c r="AG19" s="48">
        <f>IF(Table1[[#This Row],[SYM]]="","",SUMIFS(Table1[NetPrem],Table1[Trade'#],Table1[[#This Row],[Trade'#]],Table1[Leg],"&lt;="&amp;Table1[[#This Row],[Leg]]))</f>
        <v>-84.660000000000011</v>
      </c>
      <c r="AH19" s="48"/>
    </row>
    <row r="20" spans="1:34" x14ac:dyDescent="0.25">
      <c r="A20" s="2" t="s">
        <v>209</v>
      </c>
      <c r="B20">
        <v>4</v>
      </c>
      <c r="C20">
        <v>3</v>
      </c>
      <c r="D20" s="2" t="s">
        <v>30</v>
      </c>
      <c r="E20" s="58">
        <v>44308</v>
      </c>
      <c r="F20" s="58">
        <v>44308</v>
      </c>
      <c r="G20" s="58">
        <v>44309</v>
      </c>
      <c r="H20">
        <v>40</v>
      </c>
      <c r="J20">
        <v>2</v>
      </c>
      <c r="K20">
        <v>-29.33</v>
      </c>
      <c r="M20" t="s">
        <v>145</v>
      </c>
      <c r="N20" t="e">
        <f>RTD("tos.rtd",,"last", "VIAC")</f>
        <v>#N/A</v>
      </c>
      <c r="O20" t="e">
        <f>RTD("tos.rtd",,"ASK",".VIAC210423P40")</f>
        <v>#N/A</v>
      </c>
      <c r="P20" s="10">
        <f>IF(Table1[[#This Row],[TransType]]="LS", Table1[[#This Row],[OpnPrem]]+Table1[[#This Row],[ClsPrem]],
                                            IF(Table1[[#This Row],[TransType]]="AS", Table1[[#This Row],[OpnPrem]]+Table1[[#This Row],[ClsPrem]],
                                               Table1[[#This Row],[OpnPrem]]-Table1[[#This Row],[ClsPrem]]))</f>
        <v>-29.33</v>
      </c>
      <c r="Q20" s="59">
        <f>IF(Table1[[#This Row],[SYM]]="","",SUMIFS(Table1[NetPrem],Table1[Trade'#],Table1[[#This Row],[Trade'#]],Table1[Leg],"&lt;="&amp;Table1[[#This Row],[Leg]]))</f>
        <v>126.67999999999998</v>
      </c>
      <c r="R20" s="11">
        <f t="shared" ca="1" si="0"/>
        <v>1</v>
      </c>
      <c r="S20"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8000</v>
      </c>
      <c r="T20" s="11" t="str">
        <f>IF(Table1[[#This Row],[CloseDate]]&gt;0,"",Table1[Cap])</f>
        <v/>
      </c>
      <c r="U20" s="11" t="str">
        <f>IF(Table1[[#This Row],[CloseDate]]&gt;0,"",
IF(Table1[[#This Row],[TransType]]="BC","",
IF(Table1[[#This Row],[TransType]]="BP",100*Table1[[#This Row],[Strike]]*Table1[[#This Row],['#Contracts]],
Table1[Cap])))</f>
        <v/>
      </c>
      <c r="V20" s="11">
        <f ca="1">IF(Table1[[#This Row],[SYM]]="","",Table1[[#This Row],[Cap]]*Table1[[#This Row],[Days]])</f>
        <v>8000</v>
      </c>
      <c r="W20" s="11">
        <f ca="1">IF(Table1[[#This Row],[SYM]]="","",SUMIFS(Table1[CapDays],Table1[Trade'#],Table1[[#This Row],[Trade'#]],Table1[Leg],"&lt;="&amp;Table1[[#This Row],[Leg]]))</f>
        <v>186400</v>
      </c>
      <c r="X20" s="60">
        <f ca="1">IF(Table1[[#This Row],[TotCapDays]],365*Table1[[#This Row],[TotPrem]]/Table1[[#This Row],[TotCapDays]],"")</f>
        <v>0.24805901287553642</v>
      </c>
      <c r="Y20" s="10">
        <f>IF(Table1[[#This Row],[SYM]]="","",
IF(Table1[[#This Row],[TransType]]="LS",Table1[[#This Row],[Strike]]-Table1[[#This Row],[TotPrem]]/Table1[[#This Row],['#Contracts]],
IF(Table1[[#This Row],['#Contracts]],Table1[[#This Row],[Strike]]-Table1[[#This Row],[TotPrem]]/Table1[[#This Row],['#Contracts]]/100,"")))</f>
        <v>39.366599999999998</v>
      </c>
      <c r="Z20" s="11" t="str">
        <f>IF(Table1[[#This Row],[CloseDate]]&gt;0,"",
IF(Table1[[#This Row],[TransType]]="LS",Table1['#Contracts],
IF(Table1[[#This Row],[TransType]]="AS",100*Table1[[#This Row],['#Contracts]],
IF(Table1[[#This Row],[TransType]]="SP",100*Table1[[#This Row],['#Contracts]],
IF(Table1[[#This Row],[TransType]]="BP",100*Table1[[#This Row],['#Contracts]],"")))))</f>
        <v/>
      </c>
      <c r="AA20" s="58">
        <f ca="1">IF(Table1[[#This Row],[CloseDate]]&gt;0,Table1[CloseDate],
IF(Table1[[#This Row],[ExpDate]]&gt;0,Table1[ExpDate],
TODAY()))</f>
        <v>44308</v>
      </c>
      <c r="AB20" s="10">
        <f ca="1">IF(PERFORMANCE!D8&gt;0,
IF(PERFORMANCE!D8&lt;Table1[[#This Row],[ActDate]],"",Table1[NetPrem]),
IF(TODAY()&lt;Table1[[#This Row],[ActDate]],"",Table1[NetPrem]))</f>
        <v>-29.33</v>
      </c>
      <c r="AC20" s="10">
        <f ca="1">IF(PERFORMANCE!D8&gt;0,
IF(PERFORMANCE!D8&lt;Table1[[#This Row],[ActDate]],"",
IF(PERFORMANCE!D8 - Table1[[#This Row],[ActDate]]&lt;366,Table1[NetPrem],"")),
IF(TODAY()&lt;Table1[[#This Row],[ActDate]],"",
IF(TODAY() - Table1[[#This Row],[ActDate]]&lt;366,Table1[NetPrem],"")))</f>
        <v>-29.33</v>
      </c>
      <c r="AD20" s="10">
        <f ca="1">IF(PERFORMANCE!D8&gt;0,
IF(PERFORMANCE!D8&lt;Table1[[#This Row],[ActDate]],"",
IF(YEAR(PERFORMANCE!D8)=YEAR(Table1[[#This Row],[ActDate]]),Table1[NetPrem],"")),
IF(TODAY()&lt;Table1[[#This Row],[ActDate]],"",
IF(YEAR(TODAY())=YEAR(Table1[[#This Row],[ActDate]]),Table1[NetPrem],"")))</f>
        <v>-29.33</v>
      </c>
      <c r="AE20" s="10" t="str">
        <f ca="1">IF(PERFORMANCE!D8&gt;0,
IF(PERFORMANCE!D8&lt;Table1[[#This Row],[ActDate]],Table1[NetPrem],""),
IF(TODAY()&lt;Table1[[#This Row],[ActDate]],Table1[NetPrem],""))</f>
        <v/>
      </c>
      <c r="AG20" s="48">
        <f>IF(Table1[[#This Row],[SYM]]="","",SUMIFS(Table1[NetPrem],Table1[Trade'#],Table1[[#This Row],[Trade'#]],Table1[Leg],"&lt;="&amp;Table1[[#This Row],[Leg]]))</f>
        <v>126.67999999999998</v>
      </c>
      <c r="AH20" s="48"/>
    </row>
    <row r="21" spans="1:34" x14ac:dyDescent="0.25">
      <c r="A21" s="2" t="s">
        <v>210</v>
      </c>
      <c r="B21">
        <v>4</v>
      </c>
      <c r="C21">
        <v>3</v>
      </c>
      <c r="D21" s="2" t="s">
        <v>30</v>
      </c>
      <c r="E21" s="58">
        <v>44292</v>
      </c>
      <c r="F21" s="58">
        <v>44308</v>
      </c>
      <c r="G21" s="58">
        <v>44309</v>
      </c>
      <c r="H21">
        <v>40</v>
      </c>
      <c r="J21">
        <v>2</v>
      </c>
      <c r="K21">
        <v>240.67</v>
      </c>
      <c r="M21" t="s">
        <v>145</v>
      </c>
      <c r="N21" t="e">
        <f>RTD("tos.rtd",,"last", "VIAC")</f>
        <v>#N/A</v>
      </c>
      <c r="O21" t="e">
        <f>RTD("tos.rtd",,"ASK",".VIAC210423P40")</f>
        <v>#N/A</v>
      </c>
      <c r="P21" s="10">
        <f>IF(Table1[[#This Row],[TransType]]="LS", Table1[[#This Row],[OpnPrem]]+Table1[[#This Row],[ClsPrem]],
                                            IF(Table1[[#This Row],[TransType]]="AS", Table1[[#This Row],[OpnPrem]]+Table1[[#This Row],[ClsPrem]],
                                               Table1[[#This Row],[OpnPrem]]-Table1[[#This Row],[ClsPrem]]))</f>
        <v>240.67</v>
      </c>
      <c r="Q21" s="59">
        <f>IF(Table1[[#This Row],[SYM]]="","",SUMIFS(Table1[NetPrem],Table1[Trade'#],Table1[[#This Row],[Trade'#]],Table1[Leg],"&lt;="&amp;Table1[[#This Row],[Leg]]))</f>
        <v>126.67999999999998</v>
      </c>
      <c r="R21" s="11">
        <f t="shared" ca="1" si="0"/>
        <v>16</v>
      </c>
      <c r="S21"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8000</v>
      </c>
      <c r="T21" s="11" t="str">
        <f>IF(Table1[[#This Row],[CloseDate]]&gt;0,"",Table1[Cap])</f>
        <v/>
      </c>
      <c r="U21" s="11" t="str">
        <f>IF(Table1[[#This Row],[CloseDate]]&gt;0,"",
IF(Table1[[#This Row],[TransType]]="BC","",
IF(Table1[[#This Row],[TransType]]="BP",100*Table1[[#This Row],[Strike]]*Table1[[#This Row],['#Contracts]],
Table1[Cap])))</f>
        <v/>
      </c>
      <c r="V21" s="11">
        <f ca="1">IF(Table1[[#This Row],[SYM]]="","",Table1[[#This Row],[Cap]]*Table1[[#This Row],[Days]])</f>
        <v>128000</v>
      </c>
      <c r="W21" s="11">
        <f ca="1">IF(Table1[[#This Row],[SYM]]="","",SUMIFS(Table1[CapDays],Table1[Trade'#],Table1[[#This Row],[Trade'#]],Table1[Leg],"&lt;="&amp;Table1[[#This Row],[Leg]]))</f>
        <v>186400</v>
      </c>
      <c r="X21" s="60">
        <f ca="1">IF(Table1[[#This Row],[TotCapDays]],365*Table1[[#This Row],[TotPrem]]/Table1[[#This Row],[TotCapDays]],"")</f>
        <v>0.24805901287553642</v>
      </c>
      <c r="Y21" s="10">
        <f>IF(Table1[[#This Row],[SYM]]="","",
IF(Table1[[#This Row],[TransType]]="LS",Table1[[#This Row],[Strike]]-Table1[[#This Row],[TotPrem]]/Table1[[#This Row],['#Contracts]],
IF(Table1[[#This Row],['#Contracts]],Table1[[#This Row],[Strike]]-Table1[[#This Row],[TotPrem]]/Table1[[#This Row],['#Contracts]]/100,"")))</f>
        <v>39.366599999999998</v>
      </c>
      <c r="Z21" s="11" t="str">
        <f>IF(Table1[[#This Row],[CloseDate]]&gt;0,"",
IF(Table1[[#This Row],[TransType]]="LS",Table1['#Contracts],
IF(Table1[[#This Row],[TransType]]="AS",100*Table1[[#This Row],['#Contracts]],
IF(Table1[[#This Row],[TransType]]="SP",100*Table1[[#This Row],['#Contracts]],
IF(Table1[[#This Row],[TransType]]="BP",100*Table1[[#This Row],['#Contracts]],"")))))</f>
        <v/>
      </c>
      <c r="AA21" s="58">
        <f ca="1">IF(Table1[[#This Row],[CloseDate]]&gt;0,Table1[CloseDate],
IF(Table1[[#This Row],[ExpDate]]&gt;0,Table1[ExpDate],
TODAY()))</f>
        <v>44308</v>
      </c>
      <c r="AB21" s="10">
        <f ca="1">IF(PERFORMANCE!D8&gt;0,
IF(PERFORMANCE!D8&lt;Table1[[#This Row],[ActDate]],"",Table1[NetPrem]),
IF(TODAY()&lt;Table1[[#This Row],[ActDate]],"",Table1[NetPrem]))</f>
        <v>240.67</v>
      </c>
      <c r="AC21" s="10">
        <f ca="1">IF(PERFORMANCE!D8&gt;0,
IF(PERFORMANCE!D8&lt;Table1[[#This Row],[ActDate]],"",
IF(PERFORMANCE!D8 - Table1[[#This Row],[ActDate]]&lt;366,Table1[NetPrem],"")),
IF(TODAY()&lt;Table1[[#This Row],[ActDate]],"",
IF(TODAY() - Table1[[#This Row],[ActDate]]&lt;366,Table1[NetPrem],"")))</f>
        <v>240.67</v>
      </c>
      <c r="AD21" s="10">
        <f ca="1">IF(PERFORMANCE!D8&gt;0,
IF(PERFORMANCE!D8&lt;Table1[[#This Row],[ActDate]],"",
IF(YEAR(PERFORMANCE!D8)=YEAR(Table1[[#This Row],[ActDate]]),Table1[NetPrem],"")),
IF(TODAY()&lt;Table1[[#This Row],[ActDate]],"",
IF(YEAR(TODAY())=YEAR(Table1[[#This Row],[ActDate]]),Table1[NetPrem],"")))</f>
        <v>240.67</v>
      </c>
      <c r="AE21" s="10" t="str">
        <f ca="1">IF(PERFORMANCE!D8&gt;0,
IF(PERFORMANCE!D8&lt;Table1[[#This Row],[ActDate]],Table1[NetPrem],""),
IF(TODAY()&lt;Table1[[#This Row],[ActDate]],Table1[NetPrem],""))</f>
        <v/>
      </c>
      <c r="AG21" s="48">
        <f>IF(Table1[[#This Row],[SYM]]="","",SUMIFS(Table1[NetPrem],Table1[Trade'#],Table1[[#This Row],[Trade'#]],Table1[Leg],"&lt;="&amp;Table1[[#This Row],[Leg]]))</f>
        <v>126.67999999999998</v>
      </c>
      <c r="AH21" s="48"/>
    </row>
    <row r="22" spans="1:34" x14ac:dyDescent="0.25">
      <c r="A22" s="2" t="s">
        <v>211</v>
      </c>
      <c r="B22">
        <v>5</v>
      </c>
      <c r="C22">
        <v>1</v>
      </c>
      <c r="D22" s="2" t="s">
        <v>30</v>
      </c>
      <c r="E22" s="58">
        <v>44291</v>
      </c>
      <c r="F22" s="58">
        <v>44295</v>
      </c>
      <c r="G22" s="58">
        <v>44302</v>
      </c>
      <c r="H22">
        <v>18</v>
      </c>
      <c r="J22">
        <v>4</v>
      </c>
      <c r="K22">
        <v>289.33</v>
      </c>
      <c r="M22" t="s">
        <v>212</v>
      </c>
      <c r="N22" t="e">
        <f>RTD("tos.rtd",,"last", "APA")</f>
        <v>#N/A</v>
      </c>
      <c r="O22" t="e">
        <f>RTD("tos.rtd",,"ASK",".APA210416P18")</f>
        <v>#N/A</v>
      </c>
      <c r="P22" s="10">
        <f>IF(Table1[[#This Row],[TransType]]="LS", Table1[[#This Row],[OpnPrem]]+Table1[[#This Row],[ClsPrem]],
                                            IF(Table1[[#This Row],[TransType]]="AS", Table1[[#This Row],[OpnPrem]]+Table1[[#This Row],[ClsPrem]],
                                               Table1[[#This Row],[OpnPrem]]-Table1[[#This Row],[ClsPrem]]))</f>
        <v>289.33</v>
      </c>
      <c r="Q22" s="59">
        <f>IF(Table1[[#This Row],[SYM]]="","",SUMIFS(Table1[NetPrem],Table1[Trade'#],Table1[[#This Row],[Trade'#]],Table1[Leg],"&lt;="&amp;Table1[[#This Row],[Leg]]))</f>
        <v>289.33</v>
      </c>
      <c r="R22" s="11">
        <f t="shared" ca="1" si="0"/>
        <v>4</v>
      </c>
      <c r="S22"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7200</v>
      </c>
      <c r="T22" s="11" t="str">
        <f>IF(Table1[[#This Row],[CloseDate]]&gt;0,"",Table1[Cap])</f>
        <v/>
      </c>
      <c r="U22" s="11" t="str">
        <f>IF(Table1[[#This Row],[CloseDate]]&gt;0,"",
IF(Table1[[#This Row],[TransType]]="BC","",
IF(Table1[[#This Row],[TransType]]="BP",100*Table1[[#This Row],[Strike]]*Table1[[#This Row],['#Contracts]],
Table1[Cap])))</f>
        <v/>
      </c>
      <c r="V22" s="11">
        <f ca="1">IF(Table1[[#This Row],[SYM]]="","",Table1[[#This Row],[Cap]]*Table1[[#This Row],[Days]])</f>
        <v>28800</v>
      </c>
      <c r="W22" s="11">
        <f ca="1">IF(Table1[[#This Row],[SYM]]="","",SUMIFS(Table1[CapDays],Table1[Trade'#],Table1[[#This Row],[Trade'#]],Table1[Leg],"&lt;="&amp;Table1[[#This Row],[Leg]]))</f>
        <v>28800</v>
      </c>
      <c r="X22" s="60">
        <f ca="1">IF(Table1[[#This Row],[TotCapDays]],365*Table1[[#This Row],[TotPrem]]/Table1[[#This Row],[TotCapDays]],"")</f>
        <v>3.6668559027777778</v>
      </c>
      <c r="Y22" s="10">
        <f>IF(Table1[[#This Row],[SYM]]="","",
IF(Table1[[#This Row],[TransType]]="LS",Table1[[#This Row],[Strike]]-Table1[[#This Row],[TotPrem]]/Table1[[#This Row],['#Contracts]],
IF(Table1[[#This Row],['#Contracts]],Table1[[#This Row],[Strike]]-Table1[[#This Row],[TotPrem]]/Table1[[#This Row],['#Contracts]]/100,"")))</f>
        <v>17.276675000000001</v>
      </c>
      <c r="Z22" s="11" t="str">
        <f>IF(Table1[[#This Row],[CloseDate]]&gt;0,"",
IF(Table1[[#This Row],[TransType]]="LS",Table1['#Contracts],
IF(Table1[[#This Row],[TransType]]="AS",100*Table1[[#This Row],['#Contracts]],
IF(Table1[[#This Row],[TransType]]="SP",100*Table1[[#This Row],['#Contracts]],
IF(Table1[[#This Row],[TransType]]="BP",100*Table1[[#This Row],['#Contracts]],"")))))</f>
        <v/>
      </c>
      <c r="AA22" s="58">
        <f ca="1">IF(Table1[[#This Row],[CloseDate]]&gt;0,Table1[CloseDate],
IF(Table1[[#This Row],[ExpDate]]&gt;0,Table1[ExpDate],
TODAY()))</f>
        <v>44295</v>
      </c>
      <c r="AB22" s="10">
        <f ca="1">IF(PERFORMANCE!D8&gt;0,
IF(PERFORMANCE!D8&lt;Table1[[#This Row],[ActDate]],"",Table1[NetPrem]),
IF(TODAY()&lt;Table1[[#This Row],[ActDate]],"",Table1[NetPrem]))</f>
        <v>289.33</v>
      </c>
      <c r="AC22" s="10">
        <f ca="1">IF(PERFORMANCE!D8&gt;0,
IF(PERFORMANCE!D8&lt;Table1[[#This Row],[ActDate]],"",
IF(PERFORMANCE!D8 - Table1[[#This Row],[ActDate]]&lt;366,Table1[NetPrem],"")),
IF(TODAY()&lt;Table1[[#This Row],[ActDate]],"",
IF(TODAY() - Table1[[#This Row],[ActDate]]&lt;366,Table1[NetPrem],"")))</f>
        <v>289.33</v>
      </c>
      <c r="AD22" s="10">
        <f ca="1">IF(PERFORMANCE!D8&gt;0,
IF(PERFORMANCE!D8&lt;Table1[[#This Row],[ActDate]],"",
IF(YEAR(PERFORMANCE!D8)=YEAR(Table1[[#This Row],[ActDate]]),Table1[NetPrem],"")),
IF(TODAY()&lt;Table1[[#This Row],[ActDate]],"",
IF(YEAR(TODAY())=YEAR(Table1[[#This Row],[ActDate]]),Table1[NetPrem],"")))</f>
        <v>289.33</v>
      </c>
      <c r="AE22" s="10" t="str">
        <f ca="1">IF(PERFORMANCE!D8&gt;0,
IF(PERFORMANCE!D8&lt;Table1[[#This Row],[ActDate]],Table1[NetPrem],""),
IF(TODAY()&lt;Table1[[#This Row],[ActDate]],Table1[NetPrem],""))</f>
        <v/>
      </c>
      <c r="AG22" s="48">
        <f>IF(Table1[[#This Row],[SYM]]="","",SUMIFS(Table1[NetPrem],Table1[Trade'#],Table1[[#This Row],[Trade'#]],Table1[Leg],"&lt;="&amp;Table1[[#This Row],[Leg]]))</f>
        <v>289.33</v>
      </c>
      <c r="AH22" s="48"/>
    </row>
    <row r="23" spans="1:34" x14ac:dyDescent="0.25">
      <c r="A23" s="2" t="s">
        <v>213</v>
      </c>
      <c r="B23">
        <v>5</v>
      </c>
      <c r="C23">
        <v>2</v>
      </c>
      <c r="D23" s="2" t="s">
        <v>30</v>
      </c>
      <c r="E23" s="58">
        <v>44295</v>
      </c>
      <c r="F23" s="58">
        <v>44295</v>
      </c>
      <c r="G23" s="58">
        <v>44302</v>
      </c>
      <c r="H23">
        <v>18</v>
      </c>
      <c r="J23">
        <v>4</v>
      </c>
      <c r="K23">
        <v>-370.66</v>
      </c>
      <c r="M23" t="s">
        <v>212</v>
      </c>
      <c r="N23" t="e">
        <f>RTD("tos.rtd",,"last", "APA")</f>
        <v>#N/A</v>
      </c>
      <c r="O23" t="e">
        <f>RTD("tos.rtd",,"ASK",".APA210416P18")</f>
        <v>#N/A</v>
      </c>
      <c r="P23" s="10">
        <f>IF(Table1[[#This Row],[TransType]]="LS", Table1[[#This Row],[OpnPrem]]+Table1[[#This Row],[ClsPrem]],
                                            IF(Table1[[#This Row],[TransType]]="AS", Table1[[#This Row],[OpnPrem]]+Table1[[#This Row],[ClsPrem]],
                                               Table1[[#This Row],[OpnPrem]]-Table1[[#This Row],[ClsPrem]]))</f>
        <v>-370.66</v>
      </c>
      <c r="Q23" s="59">
        <f>IF(Table1[[#This Row],[SYM]]="","",SUMIFS(Table1[NetPrem],Table1[Trade'#],Table1[[#This Row],[Trade'#]],Table1[Leg],"&lt;="&amp;Table1[[#This Row],[Leg]]))</f>
        <v>-81.330000000000041</v>
      </c>
      <c r="R23" s="11">
        <f t="shared" ca="1" si="0"/>
        <v>1</v>
      </c>
      <c r="S23"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7200</v>
      </c>
      <c r="T23" s="11" t="str">
        <f>IF(Table1[[#This Row],[CloseDate]]&gt;0,"",Table1[Cap])</f>
        <v/>
      </c>
      <c r="U23" s="11" t="str">
        <f>IF(Table1[[#This Row],[CloseDate]]&gt;0,"",
IF(Table1[[#This Row],[TransType]]="BC","",
IF(Table1[[#This Row],[TransType]]="BP",100*Table1[[#This Row],[Strike]]*Table1[[#This Row],['#Contracts]],
Table1[Cap])))</f>
        <v/>
      </c>
      <c r="V23" s="11">
        <f ca="1">IF(Table1[[#This Row],[SYM]]="","",Table1[[#This Row],[Cap]]*Table1[[#This Row],[Days]])</f>
        <v>7200</v>
      </c>
      <c r="W23" s="11">
        <f ca="1">IF(Table1[[#This Row],[SYM]]="","",SUMIFS(Table1[CapDays],Table1[Trade'#],Table1[[#This Row],[Trade'#]],Table1[Leg],"&lt;="&amp;Table1[[#This Row],[Leg]]))</f>
        <v>36000</v>
      </c>
      <c r="X23" s="60">
        <f ca="1">IF(Table1[[#This Row],[TotCapDays]],365*Table1[[#This Row],[TotPrem]]/Table1[[#This Row],[TotCapDays]],"")</f>
        <v>-0.82459583333333375</v>
      </c>
      <c r="Y23" s="10">
        <f>IF(Table1[[#This Row],[SYM]]="","",
IF(Table1[[#This Row],[TransType]]="LS",Table1[[#This Row],[Strike]]-Table1[[#This Row],[TotPrem]]/Table1[[#This Row],['#Contracts]],
IF(Table1[[#This Row],['#Contracts]],Table1[[#This Row],[Strike]]-Table1[[#This Row],[TotPrem]]/Table1[[#This Row],['#Contracts]]/100,"")))</f>
        <v>18.203325</v>
      </c>
      <c r="Z23" s="11" t="str">
        <f>IF(Table1[[#This Row],[CloseDate]]&gt;0,"",
IF(Table1[[#This Row],[TransType]]="LS",Table1['#Contracts],
IF(Table1[[#This Row],[TransType]]="AS",100*Table1[[#This Row],['#Contracts]],
IF(Table1[[#This Row],[TransType]]="SP",100*Table1[[#This Row],['#Contracts]],
IF(Table1[[#This Row],[TransType]]="BP",100*Table1[[#This Row],['#Contracts]],"")))))</f>
        <v/>
      </c>
      <c r="AA23" s="58">
        <f ca="1">IF(Table1[[#This Row],[CloseDate]]&gt;0,Table1[CloseDate],
IF(Table1[[#This Row],[ExpDate]]&gt;0,Table1[ExpDate],
TODAY()))</f>
        <v>44295</v>
      </c>
      <c r="AB23" s="10">
        <f ca="1">IF(PERFORMANCE!D8&gt;0,
IF(PERFORMANCE!D8&lt;Table1[[#This Row],[ActDate]],"",Table1[NetPrem]),
IF(TODAY()&lt;Table1[[#This Row],[ActDate]],"",Table1[NetPrem]))</f>
        <v>-370.66</v>
      </c>
      <c r="AC23" s="10">
        <f ca="1">IF(PERFORMANCE!D8&gt;0,
IF(PERFORMANCE!D8&lt;Table1[[#This Row],[ActDate]],"",
IF(PERFORMANCE!D8 - Table1[[#This Row],[ActDate]]&lt;366,Table1[NetPrem],"")),
IF(TODAY()&lt;Table1[[#This Row],[ActDate]],"",
IF(TODAY() - Table1[[#This Row],[ActDate]]&lt;366,Table1[NetPrem],"")))</f>
        <v>-370.66</v>
      </c>
      <c r="AD23" s="10">
        <f ca="1">IF(PERFORMANCE!D8&gt;0,
IF(PERFORMANCE!D8&lt;Table1[[#This Row],[ActDate]],"",
IF(YEAR(PERFORMANCE!D8)=YEAR(Table1[[#This Row],[ActDate]]),Table1[NetPrem],"")),
IF(TODAY()&lt;Table1[[#This Row],[ActDate]],"",
IF(YEAR(TODAY())=YEAR(Table1[[#This Row],[ActDate]]),Table1[NetPrem],"")))</f>
        <v>-370.66</v>
      </c>
      <c r="AE23" s="10" t="str">
        <f ca="1">IF(PERFORMANCE!D8&gt;0,
IF(PERFORMANCE!D8&lt;Table1[[#This Row],[ActDate]],Table1[NetPrem],""),
IF(TODAY()&lt;Table1[[#This Row],[ActDate]],Table1[NetPrem],""))</f>
        <v/>
      </c>
      <c r="AG23" s="48">
        <f>IF(Table1[[#This Row],[SYM]]="","",SUMIFS(Table1[NetPrem],Table1[Trade'#],Table1[[#This Row],[Trade'#]],Table1[Leg],"&lt;="&amp;Table1[[#This Row],[Leg]]))</f>
        <v>-81.330000000000041</v>
      </c>
      <c r="AH23" s="48"/>
    </row>
    <row r="24" spans="1:34" x14ac:dyDescent="0.25">
      <c r="A24" s="2" t="s">
        <v>214</v>
      </c>
      <c r="B24">
        <v>5</v>
      </c>
      <c r="C24">
        <v>3</v>
      </c>
      <c r="D24" s="2" t="s">
        <v>30</v>
      </c>
      <c r="E24" s="58">
        <v>44295</v>
      </c>
      <c r="F24" s="58">
        <v>44308</v>
      </c>
      <c r="G24" s="58">
        <v>44309</v>
      </c>
      <c r="H24">
        <v>17</v>
      </c>
      <c r="J24">
        <v>4</v>
      </c>
      <c r="K24">
        <v>225.33</v>
      </c>
      <c r="M24" t="s">
        <v>212</v>
      </c>
      <c r="N24" t="e">
        <f>RTD("tos.rtd",,"last", "APA")</f>
        <v>#N/A</v>
      </c>
      <c r="O24" t="e">
        <f>RTD("tos.rtd",,"ASK",".APA210423P17")</f>
        <v>#N/A</v>
      </c>
      <c r="P24" s="10">
        <f>IF(Table1[[#This Row],[TransType]]="LS", Table1[[#This Row],[OpnPrem]]+Table1[[#This Row],[ClsPrem]],
                                            IF(Table1[[#This Row],[TransType]]="AS", Table1[[#This Row],[OpnPrem]]+Table1[[#This Row],[ClsPrem]],
                                               Table1[[#This Row],[OpnPrem]]-Table1[[#This Row],[ClsPrem]]))</f>
        <v>225.33</v>
      </c>
      <c r="Q24" s="59">
        <f>IF(Table1[[#This Row],[SYM]]="","",SUMIFS(Table1[NetPrem],Table1[Trade'#],Table1[[#This Row],[Trade'#]],Table1[Leg],"&lt;="&amp;Table1[[#This Row],[Leg]]))</f>
        <v>143.99999999999997</v>
      </c>
      <c r="R24" s="11">
        <f t="shared" ca="1" si="0"/>
        <v>13</v>
      </c>
      <c r="S24"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6800</v>
      </c>
      <c r="T24" s="11" t="str">
        <f>IF(Table1[[#This Row],[CloseDate]]&gt;0,"",Table1[Cap])</f>
        <v/>
      </c>
      <c r="U24" s="11" t="str">
        <f>IF(Table1[[#This Row],[CloseDate]]&gt;0,"",
IF(Table1[[#This Row],[TransType]]="BC","",
IF(Table1[[#This Row],[TransType]]="BP",100*Table1[[#This Row],[Strike]]*Table1[[#This Row],['#Contracts]],
Table1[Cap])))</f>
        <v/>
      </c>
      <c r="V24" s="11">
        <f ca="1">IF(Table1[[#This Row],[SYM]]="","",Table1[[#This Row],[Cap]]*Table1[[#This Row],[Days]])</f>
        <v>88400</v>
      </c>
      <c r="W24" s="11">
        <f ca="1">IF(Table1[[#This Row],[SYM]]="","",SUMIFS(Table1[CapDays],Table1[Trade'#],Table1[[#This Row],[Trade'#]],Table1[Leg],"&lt;="&amp;Table1[[#This Row],[Leg]]))</f>
        <v>124400</v>
      </c>
      <c r="X24" s="60">
        <f ca="1">IF(Table1[[#This Row],[TotCapDays]],365*Table1[[#This Row],[TotPrem]]/Table1[[#This Row],[TotCapDays]],"")</f>
        <v>0.42250803858520897</v>
      </c>
      <c r="Y24" s="10">
        <f>IF(Table1[[#This Row],[SYM]]="","",
IF(Table1[[#This Row],[TransType]]="LS",Table1[[#This Row],[Strike]]-Table1[[#This Row],[TotPrem]]/Table1[[#This Row],['#Contracts]],
IF(Table1[[#This Row],['#Contracts]],Table1[[#This Row],[Strike]]-Table1[[#This Row],[TotPrem]]/Table1[[#This Row],['#Contracts]]/100,"")))</f>
        <v>16.64</v>
      </c>
      <c r="Z24" s="11" t="str">
        <f>IF(Table1[[#This Row],[CloseDate]]&gt;0,"",
IF(Table1[[#This Row],[TransType]]="LS",Table1['#Contracts],
IF(Table1[[#This Row],[TransType]]="AS",100*Table1[[#This Row],['#Contracts]],
IF(Table1[[#This Row],[TransType]]="SP",100*Table1[[#This Row],['#Contracts]],
IF(Table1[[#This Row],[TransType]]="BP",100*Table1[[#This Row],['#Contracts]],"")))))</f>
        <v/>
      </c>
      <c r="AA24" s="58">
        <f ca="1">IF(Table1[[#This Row],[CloseDate]]&gt;0,Table1[CloseDate],
IF(Table1[[#This Row],[ExpDate]]&gt;0,Table1[ExpDate],
TODAY()))</f>
        <v>44308</v>
      </c>
      <c r="AB24" s="10">
        <f ca="1">IF(PERFORMANCE!D8&gt;0,
IF(PERFORMANCE!D8&lt;Table1[[#This Row],[ActDate]],"",Table1[NetPrem]),
IF(TODAY()&lt;Table1[[#This Row],[ActDate]],"",Table1[NetPrem]))</f>
        <v>225.33</v>
      </c>
      <c r="AC24" s="10">
        <f ca="1">IF(PERFORMANCE!D8&gt;0,
IF(PERFORMANCE!D8&lt;Table1[[#This Row],[ActDate]],"",
IF(PERFORMANCE!D8 - Table1[[#This Row],[ActDate]]&lt;366,Table1[NetPrem],"")),
IF(TODAY()&lt;Table1[[#This Row],[ActDate]],"",
IF(TODAY() - Table1[[#This Row],[ActDate]]&lt;366,Table1[NetPrem],"")))</f>
        <v>225.33</v>
      </c>
      <c r="AD24" s="10">
        <f ca="1">IF(PERFORMANCE!D8&gt;0,
IF(PERFORMANCE!D8&lt;Table1[[#This Row],[ActDate]],"",
IF(YEAR(PERFORMANCE!D8)=YEAR(Table1[[#This Row],[ActDate]]),Table1[NetPrem],"")),
IF(TODAY()&lt;Table1[[#This Row],[ActDate]],"",
IF(YEAR(TODAY())=YEAR(Table1[[#This Row],[ActDate]]),Table1[NetPrem],"")))</f>
        <v>225.33</v>
      </c>
      <c r="AE24" s="10" t="str">
        <f ca="1">IF(PERFORMANCE!D8&gt;0,
IF(PERFORMANCE!D8&lt;Table1[[#This Row],[ActDate]],Table1[NetPrem],""),
IF(TODAY()&lt;Table1[[#This Row],[ActDate]],Table1[NetPrem],""))</f>
        <v/>
      </c>
      <c r="AG24" s="48">
        <f>IF(Table1[[#This Row],[SYM]]="","",SUMIFS(Table1[NetPrem],Table1[Trade'#],Table1[[#This Row],[Trade'#]],Table1[Leg],"&lt;="&amp;Table1[[#This Row],[Leg]]))</f>
        <v>143.99999999999997</v>
      </c>
      <c r="AH24" s="48"/>
    </row>
    <row r="25" spans="1:34" x14ac:dyDescent="0.25">
      <c r="A25" s="2" t="s">
        <v>215</v>
      </c>
      <c r="B25">
        <v>5</v>
      </c>
      <c r="C25">
        <v>4</v>
      </c>
      <c r="D25" s="2" t="s">
        <v>30</v>
      </c>
      <c r="E25" s="58">
        <v>44308</v>
      </c>
      <c r="F25" s="58">
        <v>44308</v>
      </c>
      <c r="G25" s="58">
        <v>44309</v>
      </c>
      <c r="H25">
        <v>17</v>
      </c>
      <c r="J25">
        <v>4</v>
      </c>
      <c r="K25">
        <v>-30.66</v>
      </c>
      <c r="M25" t="s">
        <v>212</v>
      </c>
      <c r="N25" t="e">
        <f>RTD("tos.rtd",,"last", "APA")</f>
        <v>#N/A</v>
      </c>
      <c r="O25" t="e">
        <f>RTD("tos.rtd",,"ASK",".APA210423P17")</f>
        <v>#N/A</v>
      </c>
      <c r="P25" s="10">
        <f>IF(Table1[[#This Row],[TransType]]="LS", Table1[[#This Row],[OpnPrem]]+Table1[[#This Row],[ClsPrem]],
                                            IF(Table1[[#This Row],[TransType]]="AS", Table1[[#This Row],[OpnPrem]]+Table1[[#This Row],[ClsPrem]],
                                               Table1[[#This Row],[OpnPrem]]-Table1[[#This Row],[ClsPrem]]))</f>
        <v>-30.66</v>
      </c>
      <c r="Q25" s="59">
        <f>IF(Table1[[#This Row],[SYM]]="","",SUMIFS(Table1[NetPrem],Table1[Trade'#],Table1[[#This Row],[Trade'#]],Table1[Leg],"&lt;="&amp;Table1[[#This Row],[Leg]]))</f>
        <v>113.33999999999997</v>
      </c>
      <c r="R25" s="11">
        <f t="shared" ca="1" si="0"/>
        <v>1</v>
      </c>
      <c r="S25"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6800</v>
      </c>
      <c r="T25" s="11" t="str">
        <f>IF(Table1[[#This Row],[CloseDate]]&gt;0,"",Table1[Cap])</f>
        <v/>
      </c>
      <c r="U25" s="11" t="str">
        <f>IF(Table1[[#This Row],[CloseDate]]&gt;0,"",
IF(Table1[[#This Row],[TransType]]="BC","",
IF(Table1[[#This Row],[TransType]]="BP",100*Table1[[#This Row],[Strike]]*Table1[[#This Row],['#Contracts]],
Table1[Cap])))</f>
        <v/>
      </c>
      <c r="V25" s="11">
        <f ca="1">IF(Table1[[#This Row],[SYM]]="","",Table1[[#This Row],[Cap]]*Table1[[#This Row],[Days]])</f>
        <v>6800</v>
      </c>
      <c r="W25" s="11">
        <f ca="1">IF(Table1[[#This Row],[SYM]]="","",SUMIFS(Table1[CapDays],Table1[Trade'#],Table1[[#This Row],[Trade'#]],Table1[Leg],"&lt;="&amp;Table1[[#This Row],[Leg]]))</f>
        <v>131200</v>
      </c>
      <c r="X25" s="60">
        <f ca="1">IF(Table1[[#This Row],[TotCapDays]],365*Table1[[#This Row],[TotPrem]]/Table1[[#This Row],[TotCapDays]],"")</f>
        <v>0.3153132621951219</v>
      </c>
      <c r="Y25" s="10">
        <f>IF(Table1[[#This Row],[SYM]]="","",
IF(Table1[[#This Row],[TransType]]="LS",Table1[[#This Row],[Strike]]-Table1[[#This Row],[TotPrem]]/Table1[[#This Row],['#Contracts]],
IF(Table1[[#This Row],['#Contracts]],Table1[[#This Row],[Strike]]-Table1[[#This Row],[TotPrem]]/Table1[[#This Row],['#Contracts]]/100,"")))</f>
        <v>16.716650000000001</v>
      </c>
      <c r="Z25" s="11" t="str">
        <f>IF(Table1[[#This Row],[CloseDate]]&gt;0,"",
IF(Table1[[#This Row],[TransType]]="LS",Table1['#Contracts],
IF(Table1[[#This Row],[TransType]]="AS",100*Table1[[#This Row],['#Contracts]],
IF(Table1[[#This Row],[TransType]]="SP",100*Table1[[#This Row],['#Contracts]],
IF(Table1[[#This Row],[TransType]]="BP",100*Table1[[#This Row],['#Contracts]],"")))))</f>
        <v/>
      </c>
      <c r="AA25" s="58">
        <f ca="1">IF(Table1[[#This Row],[CloseDate]]&gt;0,Table1[CloseDate],
IF(Table1[[#This Row],[ExpDate]]&gt;0,Table1[ExpDate],
TODAY()))</f>
        <v>44308</v>
      </c>
      <c r="AB25" s="10">
        <f ca="1">IF(PERFORMANCE!D8&gt;0,
IF(PERFORMANCE!D8&lt;Table1[[#This Row],[ActDate]],"",Table1[NetPrem]),
IF(TODAY()&lt;Table1[[#This Row],[ActDate]],"",Table1[NetPrem]))</f>
        <v>-30.66</v>
      </c>
      <c r="AC25" s="10">
        <f ca="1">IF(PERFORMANCE!D8&gt;0,
IF(PERFORMANCE!D8&lt;Table1[[#This Row],[ActDate]],"",
IF(PERFORMANCE!D8 - Table1[[#This Row],[ActDate]]&lt;366,Table1[NetPrem],"")),
IF(TODAY()&lt;Table1[[#This Row],[ActDate]],"",
IF(TODAY() - Table1[[#This Row],[ActDate]]&lt;366,Table1[NetPrem],"")))</f>
        <v>-30.66</v>
      </c>
      <c r="AD25" s="10">
        <f ca="1">IF(PERFORMANCE!D8&gt;0,
IF(PERFORMANCE!D8&lt;Table1[[#This Row],[ActDate]],"",
IF(YEAR(PERFORMANCE!D8)=YEAR(Table1[[#This Row],[ActDate]]),Table1[NetPrem],"")),
IF(TODAY()&lt;Table1[[#This Row],[ActDate]],"",
IF(YEAR(TODAY())=YEAR(Table1[[#This Row],[ActDate]]),Table1[NetPrem],"")))</f>
        <v>-30.66</v>
      </c>
      <c r="AE25" s="10" t="str">
        <f ca="1">IF(PERFORMANCE!D8&gt;0,
IF(PERFORMANCE!D8&lt;Table1[[#This Row],[ActDate]],Table1[NetPrem],""),
IF(TODAY()&lt;Table1[[#This Row],[ActDate]],Table1[NetPrem],""))</f>
        <v/>
      </c>
      <c r="AG25" s="48">
        <f>IF(Table1[[#This Row],[SYM]]="","",SUMIFS(Table1[NetPrem],Table1[Trade'#],Table1[[#This Row],[Trade'#]],Table1[Leg],"&lt;="&amp;Table1[[#This Row],[Leg]]))</f>
        <v>113.33999999999997</v>
      </c>
      <c r="AH25" s="48"/>
    </row>
    <row r="26" spans="1:34" x14ac:dyDescent="0.25">
      <c r="A26" s="2" t="s">
        <v>216</v>
      </c>
      <c r="B26">
        <v>6</v>
      </c>
      <c r="C26">
        <v>1</v>
      </c>
      <c r="D26" s="2" t="s">
        <v>30</v>
      </c>
      <c r="E26" s="58">
        <v>44291</v>
      </c>
      <c r="F26" s="58">
        <v>44301</v>
      </c>
      <c r="G26" s="58">
        <v>44302</v>
      </c>
      <c r="H26">
        <v>45</v>
      </c>
      <c r="J26">
        <v>2</v>
      </c>
      <c r="K26">
        <v>224.67</v>
      </c>
      <c r="M26" t="s">
        <v>142</v>
      </c>
      <c r="N26" t="e">
        <f>RTD("tos.rtd",,"last", "SFIX")</f>
        <v>#N/A</v>
      </c>
      <c r="O26" t="e">
        <f>RTD("tos.rtd",,"ASK",".SFIX210416P45")</f>
        <v>#N/A</v>
      </c>
      <c r="P26" s="10">
        <f>IF(Table1[[#This Row],[TransType]]="LS", Table1[[#This Row],[OpnPrem]]+Table1[[#This Row],[ClsPrem]],
                                            IF(Table1[[#This Row],[TransType]]="AS", Table1[[#This Row],[OpnPrem]]+Table1[[#This Row],[ClsPrem]],
                                               Table1[[#This Row],[OpnPrem]]-Table1[[#This Row],[ClsPrem]]))</f>
        <v>224.67</v>
      </c>
      <c r="Q26" s="59">
        <f>IF(Table1[[#This Row],[SYM]]="","",SUMIFS(Table1[NetPrem],Table1[Trade'#],Table1[[#This Row],[Trade'#]],Table1[Leg],"&lt;="&amp;Table1[[#This Row],[Leg]]))</f>
        <v>224.67</v>
      </c>
      <c r="R26" s="11">
        <f t="shared" ca="1" si="0"/>
        <v>10</v>
      </c>
      <c r="S26"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9000</v>
      </c>
      <c r="T26" s="11" t="str">
        <f>IF(Table1[[#This Row],[CloseDate]]&gt;0,"",Table1[Cap])</f>
        <v/>
      </c>
      <c r="U26" s="11" t="str">
        <f>IF(Table1[[#This Row],[CloseDate]]&gt;0,"",
IF(Table1[[#This Row],[TransType]]="BC","",
IF(Table1[[#This Row],[TransType]]="BP",100*Table1[[#This Row],[Strike]]*Table1[[#This Row],['#Contracts]],
Table1[Cap])))</f>
        <v/>
      </c>
      <c r="V26" s="11">
        <f ca="1">IF(Table1[[#This Row],[SYM]]="","",Table1[[#This Row],[Cap]]*Table1[[#This Row],[Days]])</f>
        <v>90000</v>
      </c>
      <c r="W26" s="11">
        <f ca="1">IF(Table1[[#This Row],[SYM]]="","",SUMIFS(Table1[CapDays],Table1[Trade'#],Table1[[#This Row],[Trade'#]],Table1[Leg],"&lt;="&amp;Table1[[#This Row],[Leg]]))</f>
        <v>90000</v>
      </c>
      <c r="X26" s="60">
        <f ca="1">IF(Table1[[#This Row],[TotCapDays]],365*Table1[[#This Row],[TotPrem]]/Table1[[#This Row],[TotCapDays]],"")</f>
        <v>0.91116166666666654</v>
      </c>
      <c r="Y26" s="10">
        <f>IF(Table1[[#This Row],[SYM]]="","",
IF(Table1[[#This Row],[TransType]]="LS",Table1[[#This Row],[Strike]]-Table1[[#This Row],[TotPrem]]/Table1[[#This Row],['#Contracts]],
IF(Table1[[#This Row],['#Contracts]],Table1[[#This Row],[Strike]]-Table1[[#This Row],[TotPrem]]/Table1[[#This Row],['#Contracts]]/100,"")))</f>
        <v>43.876649999999998</v>
      </c>
      <c r="Z26" s="11" t="str">
        <f>IF(Table1[[#This Row],[CloseDate]]&gt;0,"",
IF(Table1[[#This Row],[TransType]]="LS",Table1['#Contracts],
IF(Table1[[#This Row],[TransType]]="AS",100*Table1[[#This Row],['#Contracts]],
IF(Table1[[#This Row],[TransType]]="SP",100*Table1[[#This Row],['#Contracts]],
IF(Table1[[#This Row],[TransType]]="BP",100*Table1[[#This Row],['#Contracts]],"")))))</f>
        <v/>
      </c>
      <c r="AA26" s="58">
        <f ca="1">IF(Table1[[#This Row],[CloseDate]]&gt;0,Table1[CloseDate],
IF(Table1[[#This Row],[ExpDate]]&gt;0,Table1[ExpDate],
TODAY()))</f>
        <v>44301</v>
      </c>
      <c r="AB26" s="10">
        <f ca="1">IF(PERFORMANCE!D8&gt;0,
IF(PERFORMANCE!D8&lt;Table1[[#This Row],[ActDate]],"",Table1[NetPrem]),
IF(TODAY()&lt;Table1[[#This Row],[ActDate]],"",Table1[NetPrem]))</f>
        <v>224.67</v>
      </c>
      <c r="AC26" s="10">
        <f ca="1">IF(PERFORMANCE!D8&gt;0,
IF(PERFORMANCE!D8&lt;Table1[[#This Row],[ActDate]],"",
IF(PERFORMANCE!D8 - Table1[[#This Row],[ActDate]]&lt;366,Table1[NetPrem],"")),
IF(TODAY()&lt;Table1[[#This Row],[ActDate]],"",
IF(TODAY() - Table1[[#This Row],[ActDate]]&lt;366,Table1[NetPrem],"")))</f>
        <v>224.67</v>
      </c>
      <c r="AD26" s="10">
        <f ca="1">IF(PERFORMANCE!D8&gt;0,
IF(PERFORMANCE!D8&lt;Table1[[#This Row],[ActDate]],"",
IF(YEAR(PERFORMANCE!D8)=YEAR(Table1[[#This Row],[ActDate]]),Table1[NetPrem],"")),
IF(TODAY()&lt;Table1[[#This Row],[ActDate]],"",
IF(YEAR(TODAY())=YEAR(Table1[[#This Row],[ActDate]]),Table1[NetPrem],"")))</f>
        <v>224.67</v>
      </c>
      <c r="AE26" s="10" t="str">
        <f ca="1">IF(PERFORMANCE!D8&gt;0,
IF(PERFORMANCE!D8&lt;Table1[[#This Row],[ActDate]],Table1[NetPrem],""),
IF(TODAY()&lt;Table1[[#This Row],[ActDate]],Table1[NetPrem],""))</f>
        <v/>
      </c>
      <c r="AG26" s="48">
        <f>IF(Table1[[#This Row],[SYM]]="","",SUMIFS(Table1[NetPrem],Table1[Trade'#],Table1[[#This Row],[Trade'#]],Table1[Leg],"&lt;="&amp;Table1[[#This Row],[Leg]]))</f>
        <v>224.67</v>
      </c>
      <c r="AH26" s="48"/>
    </row>
    <row r="27" spans="1:34" x14ac:dyDescent="0.25">
      <c r="A27" s="2" t="s">
        <v>217</v>
      </c>
      <c r="B27">
        <v>6</v>
      </c>
      <c r="C27">
        <v>2</v>
      </c>
      <c r="D27" s="2" t="s">
        <v>30</v>
      </c>
      <c r="E27" s="58">
        <v>44301</v>
      </c>
      <c r="F27" s="58">
        <v>44301</v>
      </c>
      <c r="G27" s="58">
        <v>44302</v>
      </c>
      <c r="H27">
        <v>45</v>
      </c>
      <c r="J27">
        <v>2</v>
      </c>
      <c r="K27">
        <v>-99.33</v>
      </c>
      <c r="M27" t="s">
        <v>142</v>
      </c>
      <c r="N27" t="e">
        <f>RTD("tos.rtd",,"last", "SFIX")</f>
        <v>#N/A</v>
      </c>
      <c r="O27" t="e">
        <f>RTD("tos.rtd",,"ASK",".SFIX210416P45")</f>
        <v>#N/A</v>
      </c>
      <c r="P27" s="10">
        <f>IF(Table1[[#This Row],[TransType]]="LS", Table1[[#This Row],[OpnPrem]]+Table1[[#This Row],[ClsPrem]],
                                            IF(Table1[[#This Row],[TransType]]="AS", Table1[[#This Row],[OpnPrem]]+Table1[[#This Row],[ClsPrem]],
                                               Table1[[#This Row],[OpnPrem]]-Table1[[#This Row],[ClsPrem]]))</f>
        <v>-99.33</v>
      </c>
      <c r="Q27" s="59">
        <f>IF(Table1[[#This Row],[SYM]]="","",SUMIFS(Table1[NetPrem],Table1[Trade'#],Table1[[#This Row],[Trade'#]],Table1[Leg],"&lt;="&amp;Table1[[#This Row],[Leg]]))</f>
        <v>125.33999999999999</v>
      </c>
      <c r="R27" s="11">
        <f t="shared" ca="1" si="0"/>
        <v>1</v>
      </c>
      <c r="S27"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9000</v>
      </c>
      <c r="T27" s="11" t="str">
        <f>IF(Table1[[#This Row],[CloseDate]]&gt;0,"",Table1[Cap])</f>
        <v/>
      </c>
      <c r="U27" s="11" t="str">
        <f>IF(Table1[[#This Row],[CloseDate]]&gt;0,"",
IF(Table1[[#This Row],[TransType]]="BC","",
IF(Table1[[#This Row],[TransType]]="BP",100*Table1[[#This Row],[Strike]]*Table1[[#This Row],['#Contracts]],
Table1[Cap])))</f>
        <v/>
      </c>
      <c r="V27" s="11">
        <f ca="1">IF(Table1[[#This Row],[SYM]]="","",Table1[[#This Row],[Cap]]*Table1[[#This Row],[Days]])</f>
        <v>9000</v>
      </c>
      <c r="W27" s="11">
        <f ca="1">IF(Table1[[#This Row],[SYM]]="","",SUMIFS(Table1[CapDays],Table1[Trade'#],Table1[[#This Row],[Trade'#]],Table1[Leg],"&lt;="&amp;Table1[[#This Row],[Leg]]))</f>
        <v>99000</v>
      </c>
      <c r="X27" s="60">
        <f ca="1">IF(Table1[[#This Row],[TotCapDays]],365*Table1[[#This Row],[TotPrem]]/Table1[[#This Row],[TotCapDays]],"")</f>
        <v>0.4621121212121212</v>
      </c>
      <c r="Y27" s="10">
        <f>IF(Table1[[#This Row],[SYM]]="","",
IF(Table1[[#This Row],[TransType]]="LS",Table1[[#This Row],[Strike]]-Table1[[#This Row],[TotPrem]]/Table1[[#This Row],['#Contracts]],
IF(Table1[[#This Row],['#Contracts]],Table1[[#This Row],[Strike]]-Table1[[#This Row],[TotPrem]]/Table1[[#This Row],['#Contracts]]/100,"")))</f>
        <v>44.3733</v>
      </c>
      <c r="Z27" s="11" t="str">
        <f>IF(Table1[[#This Row],[CloseDate]]&gt;0,"",
IF(Table1[[#This Row],[TransType]]="LS",Table1['#Contracts],
IF(Table1[[#This Row],[TransType]]="AS",100*Table1[[#This Row],['#Contracts]],
IF(Table1[[#This Row],[TransType]]="SP",100*Table1[[#This Row],['#Contracts]],
IF(Table1[[#This Row],[TransType]]="BP",100*Table1[[#This Row],['#Contracts]],"")))))</f>
        <v/>
      </c>
      <c r="AA27" s="58">
        <f ca="1">IF(Table1[[#This Row],[CloseDate]]&gt;0,Table1[CloseDate],
IF(Table1[[#This Row],[ExpDate]]&gt;0,Table1[ExpDate],
TODAY()))</f>
        <v>44301</v>
      </c>
      <c r="AB27" s="10">
        <f ca="1">IF(PERFORMANCE!D8&gt;0,
IF(PERFORMANCE!D8&lt;Table1[[#This Row],[ActDate]],"",Table1[NetPrem]),
IF(TODAY()&lt;Table1[[#This Row],[ActDate]],"",Table1[NetPrem]))</f>
        <v>-99.33</v>
      </c>
      <c r="AC27" s="10">
        <f ca="1">IF(PERFORMANCE!D8&gt;0,
IF(PERFORMANCE!D8&lt;Table1[[#This Row],[ActDate]],"",
IF(PERFORMANCE!D8 - Table1[[#This Row],[ActDate]]&lt;366,Table1[NetPrem],"")),
IF(TODAY()&lt;Table1[[#This Row],[ActDate]],"",
IF(TODAY() - Table1[[#This Row],[ActDate]]&lt;366,Table1[NetPrem],"")))</f>
        <v>-99.33</v>
      </c>
      <c r="AD27" s="10">
        <f ca="1">IF(PERFORMANCE!D8&gt;0,
IF(PERFORMANCE!D8&lt;Table1[[#This Row],[ActDate]],"",
IF(YEAR(PERFORMANCE!D8)=YEAR(Table1[[#This Row],[ActDate]]),Table1[NetPrem],"")),
IF(TODAY()&lt;Table1[[#This Row],[ActDate]],"",
IF(YEAR(TODAY())=YEAR(Table1[[#This Row],[ActDate]]),Table1[NetPrem],"")))</f>
        <v>-99.33</v>
      </c>
      <c r="AE27" s="10" t="str">
        <f ca="1">IF(PERFORMANCE!D8&gt;0,
IF(PERFORMANCE!D8&lt;Table1[[#This Row],[ActDate]],Table1[NetPrem],""),
IF(TODAY()&lt;Table1[[#This Row],[ActDate]],Table1[NetPrem],""))</f>
        <v/>
      </c>
      <c r="AG27" s="48">
        <f>IF(Table1[[#This Row],[SYM]]="","",SUMIFS(Table1[NetPrem],Table1[Trade'#],Table1[[#This Row],[Trade'#]],Table1[Leg],"&lt;="&amp;Table1[[#This Row],[Leg]]))</f>
        <v>125.33999999999999</v>
      </c>
      <c r="AH27" s="48"/>
    </row>
    <row r="28" spans="1:34" x14ac:dyDescent="0.25">
      <c r="A28" s="2" t="s">
        <v>218</v>
      </c>
      <c r="B28">
        <v>6</v>
      </c>
      <c r="C28">
        <v>3</v>
      </c>
      <c r="D28" s="2" t="s">
        <v>30</v>
      </c>
      <c r="E28" s="58">
        <v>44301</v>
      </c>
      <c r="F28" s="58">
        <v>44316</v>
      </c>
      <c r="G28" s="58">
        <v>44316</v>
      </c>
      <c r="H28">
        <v>45</v>
      </c>
      <c r="J28">
        <v>2</v>
      </c>
      <c r="K28">
        <v>384.67</v>
      </c>
      <c r="M28" t="s">
        <v>142</v>
      </c>
      <c r="N28" t="e">
        <f>RTD("tos.rtd",,"last", "SFIX")</f>
        <v>#N/A</v>
      </c>
      <c r="O28" t="e">
        <f>RTD("tos.rtd",,"ASK",".SFIX210430P45")</f>
        <v>#N/A</v>
      </c>
      <c r="P28" s="10">
        <f>IF(Table1[[#This Row],[TransType]]="LS", Table1[[#This Row],[OpnPrem]]+Table1[[#This Row],[ClsPrem]],
                                            IF(Table1[[#This Row],[TransType]]="AS", Table1[[#This Row],[OpnPrem]]+Table1[[#This Row],[ClsPrem]],
                                               Table1[[#This Row],[OpnPrem]]-Table1[[#This Row],[ClsPrem]]))</f>
        <v>384.67</v>
      </c>
      <c r="Q28" s="59">
        <f>IF(Table1[[#This Row],[SYM]]="","",SUMIFS(Table1[NetPrem],Table1[Trade'#],Table1[[#This Row],[Trade'#]],Table1[Leg],"&lt;="&amp;Table1[[#This Row],[Leg]]))</f>
        <v>510.01</v>
      </c>
      <c r="R28" s="11">
        <f t="shared" ca="1" si="0"/>
        <v>15</v>
      </c>
      <c r="S28"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9000</v>
      </c>
      <c r="T28" s="11" t="str">
        <f>IF(Table1[[#This Row],[CloseDate]]&gt;0,"",Table1[Cap])</f>
        <v/>
      </c>
      <c r="U28" s="11" t="str">
        <f>IF(Table1[[#This Row],[CloseDate]]&gt;0,"",
IF(Table1[[#This Row],[TransType]]="BC","",
IF(Table1[[#This Row],[TransType]]="BP",100*Table1[[#This Row],[Strike]]*Table1[[#This Row],['#Contracts]],
Table1[Cap])))</f>
        <v/>
      </c>
      <c r="V28" s="11">
        <f ca="1">IF(Table1[[#This Row],[SYM]]="","",Table1[[#This Row],[Cap]]*Table1[[#This Row],[Days]])</f>
        <v>135000</v>
      </c>
      <c r="W28" s="11">
        <f ca="1">IF(Table1[[#This Row],[SYM]]="","",SUMIFS(Table1[CapDays],Table1[Trade'#],Table1[[#This Row],[Trade'#]],Table1[Leg],"&lt;="&amp;Table1[[#This Row],[Leg]]))</f>
        <v>234000</v>
      </c>
      <c r="X28" s="60">
        <f ca="1">IF(Table1[[#This Row],[TotCapDays]],365*Table1[[#This Row],[TotPrem]]/Table1[[#This Row],[TotCapDays]],"")</f>
        <v>0.79552841880341874</v>
      </c>
      <c r="Y28" s="10">
        <f>IF(Table1[[#This Row],[SYM]]="","",
IF(Table1[[#This Row],[TransType]]="LS",Table1[[#This Row],[Strike]]-Table1[[#This Row],[TotPrem]]/Table1[[#This Row],['#Contracts]],
IF(Table1[[#This Row],['#Contracts]],Table1[[#This Row],[Strike]]-Table1[[#This Row],[TotPrem]]/Table1[[#This Row],['#Contracts]]/100,"")))</f>
        <v>42.449950000000001</v>
      </c>
      <c r="Z28" s="11" t="str">
        <f>IF(Table1[[#This Row],[CloseDate]]&gt;0,"",
IF(Table1[[#This Row],[TransType]]="LS",Table1['#Contracts],
IF(Table1[[#This Row],[TransType]]="AS",100*Table1[[#This Row],['#Contracts]],
IF(Table1[[#This Row],[TransType]]="SP",100*Table1[[#This Row],['#Contracts]],
IF(Table1[[#This Row],[TransType]]="BP",100*Table1[[#This Row],['#Contracts]],"")))))</f>
        <v/>
      </c>
      <c r="AA28" s="58">
        <f ca="1">IF(Table1[[#This Row],[CloseDate]]&gt;0,Table1[CloseDate],
IF(Table1[[#This Row],[ExpDate]]&gt;0,Table1[ExpDate],
TODAY()))</f>
        <v>44316</v>
      </c>
      <c r="AB28" s="10">
        <f ca="1">IF(PERFORMANCE!D8&gt;0,
IF(PERFORMANCE!D8&lt;Table1[[#This Row],[ActDate]],"",Table1[NetPrem]),
IF(TODAY()&lt;Table1[[#This Row],[ActDate]],"",Table1[NetPrem]))</f>
        <v>384.67</v>
      </c>
      <c r="AC28" s="10">
        <f ca="1">IF(PERFORMANCE!D8&gt;0,
IF(PERFORMANCE!D8&lt;Table1[[#This Row],[ActDate]],"",
IF(PERFORMANCE!D8 - Table1[[#This Row],[ActDate]]&lt;366,Table1[NetPrem],"")),
IF(TODAY()&lt;Table1[[#This Row],[ActDate]],"",
IF(TODAY() - Table1[[#This Row],[ActDate]]&lt;366,Table1[NetPrem],"")))</f>
        <v>384.67</v>
      </c>
      <c r="AD28" s="10">
        <f ca="1">IF(PERFORMANCE!D8&gt;0,
IF(PERFORMANCE!D8&lt;Table1[[#This Row],[ActDate]],"",
IF(YEAR(PERFORMANCE!D8)=YEAR(Table1[[#This Row],[ActDate]]),Table1[NetPrem],"")),
IF(TODAY()&lt;Table1[[#This Row],[ActDate]],"",
IF(YEAR(TODAY())=YEAR(Table1[[#This Row],[ActDate]]),Table1[NetPrem],"")))</f>
        <v>384.67</v>
      </c>
      <c r="AE28" s="10" t="str">
        <f ca="1">IF(PERFORMANCE!D8&gt;0,
IF(PERFORMANCE!D8&lt;Table1[[#This Row],[ActDate]],Table1[NetPrem],""),
IF(TODAY()&lt;Table1[[#This Row],[ActDate]],Table1[NetPrem],""))</f>
        <v/>
      </c>
      <c r="AG28" s="48">
        <f>IF(Table1[[#This Row],[SYM]]="","",SUMIFS(Table1[NetPrem],Table1[Trade'#],Table1[[#This Row],[Trade'#]],Table1[Leg],"&lt;="&amp;Table1[[#This Row],[Leg]]))</f>
        <v>510.01</v>
      </c>
      <c r="AH28" s="48"/>
    </row>
    <row r="29" spans="1:34" x14ac:dyDescent="0.25">
      <c r="A29" s="2" t="s">
        <v>219</v>
      </c>
      <c r="B29">
        <v>6</v>
      </c>
      <c r="C29">
        <v>4</v>
      </c>
      <c r="D29" s="2" t="s">
        <v>30</v>
      </c>
      <c r="E29" s="58">
        <v>44316</v>
      </c>
      <c r="F29" s="58">
        <v>44316</v>
      </c>
      <c r="G29" s="58">
        <v>44316</v>
      </c>
      <c r="H29">
        <v>45</v>
      </c>
      <c r="J29">
        <v>2</v>
      </c>
      <c r="K29">
        <v>-229.33</v>
      </c>
      <c r="M29" t="s">
        <v>142</v>
      </c>
      <c r="N29" t="e">
        <f>RTD("tos.rtd",,"last", "SFIX")</f>
        <v>#N/A</v>
      </c>
      <c r="O29" t="e">
        <f>RTD("tos.rtd",,"ASK",".SFIX210430P45")</f>
        <v>#N/A</v>
      </c>
      <c r="P29" s="10">
        <f>IF(Table1[[#This Row],[TransType]]="LS", Table1[[#This Row],[OpnPrem]]+Table1[[#This Row],[ClsPrem]],
                                            IF(Table1[[#This Row],[TransType]]="AS", Table1[[#This Row],[OpnPrem]]+Table1[[#This Row],[ClsPrem]],
                                               Table1[[#This Row],[OpnPrem]]-Table1[[#This Row],[ClsPrem]]))</f>
        <v>-229.33</v>
      </c>
      <c r="Q29" s="59">
        <f>IF(Table1[[#This Row],[SYM]]="","",SUMIFS(Table1[NetPrem],Table1[Trade'#],Table1[[#This Row],[Trade'#]],Table1[Leg],"&lt;="&amp;Table1[[#This Row],[Leg]]))</f>
        <v>280.67999999999995</v>
      </c>
      <c r="R29" s="11">
        <f t="shared" ca="1" si="0"/>
        <v>1</v>
      </c>
      <c r="S29"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9000</v>
      </c>
      <c r="T29" s="11" t="str">
        <f>IF(Table1[[#This Row],[CloseDate]]&gt;0,"",Table1[Cap])</f>
        <v/>
      </c>
      <c r="U29" s="11" t="str">
        <f>IF(Table1[[#This Row],[CloseDate]]&gt;0,"",
IF(Table1[[#This Row],[TransType]]="BC","",
IF(Table1[[#This Row],[TransType]]="BP",100*Table1[[#This Row],[Strike]]*Table1[[#This Row],['#Contracts]],
Table1[Cap])))</f>
        <v/>
      </c>
      <c r="V29" s="11">
        <f ca="1">IF(Table1[[#This Row],[SYM]]="","",Table1[[#This Row],[Cap]]*Table1[[#This Row],[Days]])</f>
        <v>9000</v>
      </c>
      <c r="W29" s="11">
        <f ca="1">IF(Table1[[#This Row],[SYM]]="","",SUMIFS(Table1[CapDays],Table1[Trade'#],Table1[[#This Row],[Trade'#]],Table1[Leg],"&lt;="&amp;Table1[[#This Row],[Leg]]))</f>
        <v>243000</v>
      </c>
      <c r="X29" s="60">
        <f ca="1">IF(Table1[[#This Row],[TotCapDays]],365*Table1[[#This Row],[TotPrem]]/Table1[[#This Row],[TotCapDays]],"")</f>
        <v>0.42159753086419743</v>
      </c>
      <c r="Y29" s="10">
        <f>IF(Table1[[#This Row],[SYM]]="","",
IF(Table1[[#This Row],[TransType]]="LS",Table1[[#This Row],[Strike]]-Table1[[#This Row],[TotPrem]]/Table1[[#This Row],['#Contracts]],
IF(Table1[[#This Row],['#Contracts]],Table1[[#This Row],[Strike]]-Table1[[#This Row],[TotPrem]]/Table1[[#This Row],['#Contracts]]/100,"")))</f>
        <v>43.596600000000002</v>
      </c>
      <c r="Z29" s="11" t="str">
        <f>IF(Table1[[#This Row],[CloseDate]]&gt;0,"",
IF(Table1[[#This Row],[TransType]]="LS",Table1['#Contracts],
IF(Table1[[#This Row],[TransType]]="AS",100*Table1[[#This Row],['#Contracts]],
IF(Table1[[#This Row],[TransType]]="SP",100*Table1[[#This Row],['#Contracts]],
IF(Table1[[#This Row],[TransType]]="BP",100*Table1[[#This Row],['#Contracts]],"")))))</f>
        <v/>
      </c>
      <c r="AA29" s="58">
        <f ca="1">IF(Table1[[#This Row],[CloseDate]]&gt;0,Table1[CloseDate],
IF(Table1[[#This Row],[ExpDate]]&gt;0,Table1[ExpDate],
TODAY()))</f>
        <v>44316</v>
      </c>
      <c r="AB29" s="10">
        <f ca="1">IF(PERFORMANCE!D8&gt;0,
IF(PERFORMANCE!D8&lt;Table1[[#This Row],[ActDate]],"",Table1[NetPrem]),
IF(TODAY()&lt;Table1[[#This Row],[ActDate]],"",Table1[NetPrem]))</f>
        <v>-229.33</v>
      </c>
      <c r="AC29" s="10">
        <f ca="1">IF(PERFORMANCE!D8&gt;0,
IF(PERFORMANCE!D8&lt;Table1[[#This Row],[ActDate]],"",
IF(PERFORMANCE!D8 - Table1[[#This Row],[ActDate]]&lt;366,Table1[NetPrem],"")),
IF(TODAY()&lt;Table1[[#This Row],[ActDate]],"",
IF(TODAY() - Table1[[#This Row],[ActDate]]&lt;366,Table1[NetPrem],"")))</f>
        <v>-229.33</v>
      </c>
      <c r="AD29" s="10">
        <f ca="1">IF(PERFORMANCE!D8&gt;0,
IF(PERFORMANCE!D8&lt;Table1[[#This Row],[ActDate]],"",
IF(YEAR(PERFORMANCE!D8)=YEAR(Table1[[#This Row],[ActDate]]),Table1[NetPrem],"")),
IF(TODAY()&lt;Table1[[#This Row],[ActDate]],"",
IF(YEAR(TODAY())=YEAR(Table1[[#This Row],[ActDate]]),Table1[NetPrem],"")))</f>
        <v>-229.33</v>
      </c>
      <c r="AE29" s="10" t="str">
        <f ca="1">IF(PERFORMANCE!D8&gt;0,
IF(PERFORMANCE!D8&lt;Table1[[#This Row],[ActDate]],Table1[NetPrem],""),
IF(TODAY()&lt;Table1[[#This Row],[ActDate]],Table1[NetPrem],""))</f>
        <v/>
      </c>
      <c r="AG29" s="48">
        <f>IF(Table1[[#This Row],[SYM]]="","",SUMIFS(Table1[NetPrem],Table1[Trade'#],Table1[[#This Row],[Trade'#]],Table1[Leg],"&lt;="&amp;Table1[[#This Row],[Leg]]))</f>
        <v>280.67999999999995</v>
      </c>
      <c r="AH29" s="48"/>
    </row>
    <row r="30" spans="1:34" x14ac:dyDescent="0.25">
      <c r="A30" s="2" t="s">
        <v>220</v>
      </c>
      <c r="B30">
        <v>6</v>
      </c>
      <c r="C30">
        <v>5</v>
      </c>
      <c r="D30" s="2" t="s">
        <v>30</v>
      </c>
      <c r="E30" s="58">
        <v>44316</v>
      </c>
      <c r="F30" s="58">
        <v>44328</v>
      </c>
      <c r="G30" s="58">
        <v>44337</v>
      </c>
      <c r="H30">
        <v>44.5</v>
      </c>
      <c r="J30">
        <v>2</v>
      </c>
      <c r="K30">
        <v>554.66999999999996</v>
      </c>
      <c r="M30" t="s">
        <v>142</v>
      </c>
      <c r="N30" t="e">
        <f>RTD("tos.rtd",,"last", "SFIX")</f>
        <v>#N/A</v>
      </c>
      <c r="O30" t="e">
        <f>RTD("tos.rtd",,"ASK",".SFIX210521P44.5")</f>
        <v>#N/A</v>
      </c>
      <c r="P30" s="10">
        <f>IF(Table1[[#This Row],[TransType]]="LS", Table1[[#This Row],[OpnPrem]]+Table1[[#This Row],[ClsPrem]],
                                            IF(Table1[[#This Row],[TransType]]="AS", Table1[[#This Row],[OpnPrem]]+Table1[[#This Row],[ClsPrem]],
                                               Table1[[#This Row],[OpnPrem]]-Table1[[#This Row],[ClsPrem]]))</f>
        <v>554.66999999999996</v>
      </c>
      <c r="Q30" s="59">
        <f>IF(Table1[[#This Row],[SYM]]="","",SUMIFS(Table1[NetPrem],Table1[Trade'#],Table1[[#This Row],[Trade'#]],Table1[Leg],"&lt;="&amp;Table1[[#This Row],[Leg]]))</f>
        <v>835.34999999999991</v>
      </c>
      <c r="R30" s="11">
        <f t="shared" ca="1" si="0"/>
        <v>12</v>
      </c>
      <c r="S30"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8900</v>
      </c>
      <c r="T30" s="11" t="str">
        <f>IF(Table1[[#This Row],[CloseDate]]&gt;0,"",Table1[Cap])</f>
        <v/>
      </c>
      <c r="U30" s="11" t="str">
        <f>IF(Table1[[#This Row],[CloseDate]]&gt;0,"",
IF(Table1[[#This Row],[TransType]]="BC","",
IF(Table1[[#This Row],[TransType]]="BP",100*Table1[[#This Row],[Strike]]*Table1[[#This Row],['#Contracts]],
Table1[Cap])))</f>
        <v/>
      </c>
      <c r="V30" s="11">
        <f ca="1">IF(Table1[[#This Row],[SYM]]="","",Table1[[#This Row],[Cap]]*Table1[[#This Row],[Days]])</f>
        <v>106800</v>
      </c>
      <c r="W30" s="11">
        <f ca="1">IF(Table1[[#This Row],[SYM]]="","",SUMIFS(Table1[CapDays],Table1[Trade'#],Table1[[#This Row],[Trade'#]],Table1[Leg],"&lt;="&amp;Table1[[#This Row],[Leg]]))</f>
        <v>349800</v>
      </c>
      <c r="X30" s="60">
        <f ca="1">IF(Table1[[#This Row],[TotCapDays]],365*Table1[[#This Row],[TotPrem]]/Table1[[#This Row],[TotCapDays]],"")</f>
        <v>0.8716487993138935</v>
      </c>
      <c r="Y30" s="10">
        <f>IF(Table1[[#This Row],[SYM]]="","",
IF(Table1[[#This Row],[TransType]]="LS",Table1[[#This Row],[Strike]]-Table1[[#This Row],[TotPrem]]/Table1[[#This Row],['#Contracts]],
IF(Table1[[#This Row],['#Contracts]],Table1[[#This Row],[Strike]]-Table1[[#This Row],[TotPrem]]/Table1[[#This Row],['#Contracts]]/100,"")))</f>
        <v>40.323250000000002</v>
      </c>
      <c r="Z30" s="11" t="str">
        <f>IF(Table1[[#This Row],[CloseDate]]&gt;0,"",
IF(Table1[[#This Row],[TransType]]="LS",Table1['#Contracts],
IF(Table1[[#This Row],[TransType]]="AS",100*Table1[[#This Row],['#Contracts]],
IF(Table1[[#This Row],[TransType]]="SP",100*Table1[[#This Row],['#Contracts]],
IF(Table1[[#This Row],[TransType]]="BP",100*Table1[[#This Row],['#Contracts]],"")))))</f>
        <v/>
      </c>
      <c r="AA30" s="58">
        <f ca="1">IF(Table1[[#This Row],[CloseDate]]&gt;0,Table1[CloseDate],
IF(Table1[[#This Row],[ExpDate]]&gt;0,Table1[ExpDate],
TODAY()))</f>
        <v>44328</v>
      </c>
      <c r="AB30" s="10">
        <f ca="1">IF(PERFORMANCE!D8&gt;0,
IF(PERFORMANCE!D8&lt;Table1[[#This Row],[ActDate]],"",Table1[NetPrem]),
IF(TODAY()&lt;Table1[[#This Row],[ActDate]],"",Table1[NetPrem]))</f>
        <v>554.66999999999996</v>
      </c>
      <c r="AC30" s="10">
        <f ca="1">IF(PERFORMANCE!D8&gt;0,
IF(PERFORMANCE!D8&lt;Table1[[#This Row],[ActDate]],"",
IF(PERFORMANCE!D8 - Table1[[#This Row],[ActDate]]&lt;366,Table1[NetPrem],"")),
IF(TODAY()&lt;Table1[[#This Row],[ActDate]],"",
IF(TODAY() - Table1[[#This Row],[ActDate]]&lt;366,Table1[NetPrem],"")))</f>
        <v>554.66999999999996</v>
      </c>
      <c r="AD30" s="10">
        <f ca="1">IF(PERFORMANCE!D8&gt;0,
IF(PERFORMANCE!D8&lt;Table1[[#This Row],[ActDate]],"",
IF(YEAR(PERFORMANCE!D8)=YEAR(Table1[[#This Row],[ActDate]]),Table1[NetPrem],"")),
IF(TODAY()&lt;Table1[[#This Row],[ActDate]],"",
IF(YEAR(TODAY())=YEAR(Table1[[#This Row],[ActDate]]),Table1[NetPrem],"")))</f>
        <v>554.66999999999996</v>
      </c>
      <c r="AE30" s="10" t="str">
        <f ca="1">IF(PERFORMANCE!D8&gt;0,
IF(PERFORMANCE!D8&lt;Table1[[#This Row],[ActDate]],Table1[NetPrem],""),
IF(TODAY()&lt;Table1[[#This Row],[ActDate]],Table1[NetPrem],""))</f>
        <v/>
      </c>
      <c r="AG30" s="48">
        <f>IF(Table1[[#This Row],[SYM]]="","",SUMIFS(Table1[NetPrem],Table1[Trade'#],Table1[[#This Row],[Trade'#]],Table1[Leg],"&lt;="&amp;Table1[[#This Row],[Leg]]))</f>
        <v>835.34999999999991</v>
      </c>
      <c r="AH30" s="48"/>
    </row>
    <row r="31" spans="1:34" x14ac:dyDescent="0.25">
      <c r="A31" s="2" t="s">
        <v>221</v>
      </c>
      <c r="B31">
        <v>6</v>
      </c>
      <c r="C31">
        <v>6</v>
      </c>
      <c r="D31" s="2" t="s">
        <v>30</v>
      </c>
      <c r="E31" s="58">
        <v>44328</v>
      </c>
      <c r="F31" s="58">
        <v>44328</v>
      </c>
      <c r="G31" s="58">
        <v>44337</v>
      </c>
      <c r="H31">
        <v>44.5</v>
      </c>
      <c r="J31">
        <v>1</v>
      </c>
      <c r="K31">
        <v>-347.66</v>
      </c>
      <c r="M31" t="s">
        <v>142</v>
      </c>
      <c r="N31" t="e">
        <f>RTD("tos.rtd",,"last", "SFIX")</f>
        <v>#N/A</v>
      </c>
      <c r="O31" t="e">
        <f>RTD("tos.rtd",,"ASK",".SFIX210521P44.5")</f>
        <v>#N/A</v>
      </c>
      <c r="P31" s="10">
        <f>IF(Table1[[#This Row],[TransType]]="LS", Table1[[#This Row],[OpnPrem]]+Table1[[#This Row],[ClsPrem]],
                                            IF(Table1[[#This Row],[TransType]]="AS", Table1[[#This Row],[OpnPrem]]+Table1[[#This Row],[ClsPrem]],
                                               Table1[[#This Row],[OpnPrem]]-Table1[[#This Row],[ClsPrem]]))</f>
        <v>-347.66</v>
      </c>
      <c r="Q31" s="59">
        <f>IF(Table1[[#This Row],[SYM]]="","",SUMIFS(Table1[NetPrem],Table1[Trade'#],Table1[[#This Row],[Trade'#]],Table1[Leg],"&lt;="&amp;Table1[[#This Row],[Leg]]))</f>
        <v>487.68999999999988</v>
      </c>
      <c r="R31" s="11">
        <f t="shared" ca="1" si="0"/>
        <v>1</v>
      </c>
      <c r="S31"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4450</v>
      </c>
      <c r="T31" s="11" t="str">
        <f>IF(Table1[[#This Row],[CloseDate]]&gt;0,"",Table1[Cap])</f>
        <v/>
      </c>
      <c r="U31" s="11" t="str">
        <f>IF(Table1[[#This Row],[CloseDate]]&gt;0,"",
IF(Table1[[#This Row],[TransType]]="BC","",
IF(Table1[[#This Row],[TransType]]="BP",100*Table1[[#This Row],[Strike]]*Table1[[#This Row],['#Contracts]],
Table1[Cap])))</f>
        <v/>
      </c>
      <c r="V31" s="11">
        <f ca="1">IF(Table1[[#This Row],[SYM]]="","",Table1[[#This Row],[Cap]]*Table1[[#This Row],[Days]])</f>
        <v>4450</v>
      </c>
      <c r="W31" s="11">
        <f ca="1">IF(Table1[[#This Row],[SYM]]="","",SUMIFS(Table1[CapDays],Table1[Trade'#],Table1[[#This Row],[Trade'#]],Table1[Leg],"&lt;="&amp;Table1[[#This Row],[Leg]]))</f>
        <v>354250</v>
      </c>
      <c r="X31" s="60">
        <f ca="1">IF(Table1[[#This Row],[TotCapDays]],365*Table1[[#This Row],[TotPrem]]/Table1[[#This Row],[TotCapDays]],"")</f>
        <v>0.50248934368383891</v>
      </c>
      <c r="Y31" s="10">
        <f>IF(Table1[[#This Row],[SYM]]="","",
IF(Table1[[#This Row],[TransType]]="LS",Table1[[#This Row],[Strike]]-Table1[[#This Row],[TotPrem]]/Table1[[#This Row],['#Contracts]],
IF(Table1[[#This Row],['#Contracts]],Table1[[#This Row],[Strike]]-Table1[[#This Row],[TotPrem]]/Table1[[#This Row],['#Contracts]]/100,"")))</f>
        <v>39.623100000000001</v>
      </c>
      <c r="Z31" s="11" t="str">
        <f>IF(Table1[[#This Row],[CloseDate]]&gt;0,"",
IF(Table1[[#This Row],[TransType]]="LS",Table1['#Contracts],
IF(Table1[[#This Row],[TransType]]="AS",100*Table1[[#This Row],['#Contracts]],
IF(Table1[[#This Row],[TransType]]="SP",100*Table1[[#This Row],['#Contracts]],
IF(Table1[[#This Row],[TransType]]="BP",100*Table1[[#This Row],['#Contracts]],"")))))</f>
        <v/>
      </c>
      <c r="AA31" s="58">
        <f ca="1">IF(Table1[[#This Row],[CloseDate]]&gt;0,Table1[CloseDate],
IF(Table1[[#This Row],[ExpDate]]&gt;0,Table1[ExpDate],
TODAY()))</f>
        <v>44328</v>
      </c>
      <c r="AB31" s="10">
        <f ca="1">IF(PERFORMANCE!D8&gt;0,
IF(PERFORMANCE!D8&lt;Table1[[#This Row],[ActDate]],"",Table1[NetPrem]),
IF(TODAY()&lt;Table1[[#This Row],[ActDate]],"",Table1[NetPrem]))</f>
        <v>-347.66</v>
      </c>
      <c r="AC31" s="10">
        <f ca="1">IF(PERFORMANCE!D8&gt;0,
IF(PERFORMANCE!D8&lt;Table1[[#This Row],[ActDate]],"",
IF(PERFORMANCE!D8 - Table1[[#This Row],[ActDate]]&lt;366,Table1[NetPrem],"")),
IF(TODAY()&lt;Table1[[#This Row],[ActDate]],"",
IF(TODAY() - Table1[[#This Row],[ActDate]]&lt;366,Table1[NetPrem],"")))</f>
        <v>-347.66</v>
      </c>
      <c r="AD31" s="10">
        <f ca="1">IF(PERFORMANCE!D8&gt;0,
IF(PERFORMANCE!D8&lt;Table1[[#This Row],[ActDate]],"",
IF(YEAR(PERFORMANCE!D8)=YEAR(Table1[[#This Row],[ActDate]]),Table1[NetPrem],"")),
IF(TODAY()&lt;Table1[[#This Row],[ActDate]],"",
IF(YEAR(TODAY())=YEAR(Table1[[#This Row],[ActDate]]),Table1[NetPrem],"")))</f>
        <v>-347.66</v>
      </c>
      <c r="AE31" s="10" t="str">
        <f ca="1">IF(PERFORMANCE!D8&gt;0,
IF(PERFORMANCE!D8&lt;Table1[[#This Row],[ActDate]],Table1[NetPrem],""),
IF(TODAY()&lt;Table1[[#This Row],[ActDate]],Table1[NetPrem],""))</f>
        <v/>
      </c>
      <c r="AG31" s="48">
        <f>IF(Table1[[#This Row],[SYM]]="","",SUMIFS(Table1[NetPrem],Table1[Trade'#],Table1[[#This Row],[Trade'#]],Table1[Leg],"&lt;="&amp;Table1[[#This Row],[Leg]]))</f>
        <v>487.68999999999988</v>
      </c>
      <c r="AH31" s="48"/>
    </row>
    <row r="32" spans="1:34" x14ac:dyDescent="0.25">
      <c r="A32" s="2" t="s">
        <v>222</v>
      </c>
      <c r="B32">
        <v>6</v>
      </c>
      <c r="C32">
        <v>7</v>
      </c>
      <c r="D32" s="2" t="s">
        <v>30</v>
      </c>
      <c r="E32" s="58">
        <v>44328</v>
      </c>
      <c r="G32" s="58">
        <v>44358</v>
      </c>
      <c r="H32">
        <v>42</v>
      </c>
      <c r="J32">
        <v>1</v>
      </c>
      <c r="K32">
        <v>486.34</v>
      </c>
      <c r="M32" t="s">
        <v>142</v>
      </c>
      <c r="N32" t="e">
        <f>RTD("tos.rtd",,"last", "SFIX")</f>
        <v>#N/A</v>
      </c>
      <c r="O32" t="e">
        <f>RTD("tos.rtd",,"ASK",".SFIX210611P42")</f>
        <v>#N/A</v>
      </c>
      <c r="P32" s="10">
        <f>IF(Table1[[#This Row],[TransType]]="LS", Table1[[#This Row],[OpnPrem]]+Table1[[#This Row],[ClsPrem]],
                                            IF(Table1[[#This Row],[TransType]]="AS", Table1[[#This Row],[OpnPrem]]+Table1[[#This Row],[ClsPrem]],
                                               Table1[[#This Row],[OpnPrem]]-Table1[[#This Row],[ClsPrem]]))</f>
        <v>486.34</v>
      </c>
      <c r="Q32" s="59">
        <f>IF(Table1[[#This Row],[SYM]]="","",SUMIFS(Table1[NetPrem],Table1[Trade'#],Table1[[#This Row],[Trade'#]],Table1[Leg],"&lt;="&amp;Table1[[#This Row],[Leg]]))</f>
        <v>974.02999999999986</v>
      </c>
      <c r="R32" s="11">
        <f t="shared" ca="1" si="0"/>
        <v>30</v>
      </c>
      <c r="S32"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4200</v>
      </c>
      <c r="T32" s="11">
        <f>IF(Table1[[#This Row],[CloseDate]]&gt;0,"",Table1[Cap])</f>
        <v>4200</v>
      </c>
      <c r="U32" s="11">
        <f>IF(Table1[[#This Row],[CloseDate]]&gt;0,"",
IF(Table1[[#This Row],[TransType]]="BC","",
IF(Table1[[#This Row],[TransType]]="BP",100*Table1[[#This Row],[Strike]]*Table1[[#This Row],['#Contracts]],
Table1[Cap])))</f>
        <v>4200</v>
      </c>
      <c r="V32" s="11">
        <f ca="1">IF(Table1[[#This Row],[SYM]]="","",Table1[[#This Row],[Cap]]*Table1[[#This Row],[Days]])</f>
        <v>126000</v>
      </c>
      <c r="W32" s="11">
        <f ca="1">IF(Table1[[#This Row],[SYM]]="","",SUMIFS(Table1[CapDays],Table1[Trade'#],Table1[[#This Row],[Trade'#]],Table1[Leg],"&lt;="&amp;Table1[[#This Row],[Leg]]))</f>
        <v>480250</v>
      </c>
      <c r="X32" s="60">
        <f ca="1">IF(Table1[[#This Row],[TotCapDays]],365*Table1[[#This Row],[TotPrem]]/Table1[[#This Row],[TotCapDays]],"")</f>
        <v>0.7402830817282664</v>
      </c>
      <c r="Y32" s="10">
        <f>IF(Table1[[#This Row],[SYM]]="","",
IF(Table1[[#This Row],[TransType]]="LS",Table1[[#This Row],[Strike]]-Table1[[#This Row],[TotPrem]]/Table1[[#This Row],['#Contracts]],
IF(Table1[[#This Row],['#Contracts]],Table1[[#This Row],[Strike]]-Table1[[#This Row],[TotPrem]]/Table1[[#This Row],['#Contracts]]/100,"")))</f>
        <v>32.259700000000002</v>
      </c>
      <c r="Z32" s="11">
        <f>IF(Table1[[#This Row],[CloseDate]]&gt;0,"",
IF(Table1[[#This Row],[TransType]]="LS",Table1['#Contracts],
IF(Table1[[#This Row],[TransType]]="AS",100*Table1[[#This Row],['#Contracts]],
IF(Table1[[#This Row],[TransType]]="SP",100*Table1[[#This Row],['#Contracts]],
IF(Table1[[#This Row],[TransType]]="BP",100*Table1[[#This Row],['#Contracts]],"")))))</f>
        <v>100</v>
      </c>
      <c r="AA32" s="58">
        <f ca="1">IF(Table1[[#This Row],[CloseDate]]&gt;0,Table1[CloseDate],
IF(Table1[[#This Row],[ExpDate]]&gt;0,Table1[ExpDate],
TODAY()))</f>
        <v>44358</v>
      </c>
      <c r="AB32" s="10">
        <f ca="1">IF(PERFORMANCE!D8&gt;0,
IF(PERFORMANCE!D8&lt;Table1[[#This Row],[ActDate]],"",Table1[NetPrem]),
IF(TODAY()&lt;Table1[[#This Row],[ActDate]],"",Table1[NetPrem]))</f>
        <v>486.34</v>
      </c>
      <c r="AC32" s="10">
        <f ca="1">IF(PERFORMANCE!D8&gt;0,
IF(PERFORMANCE!D8&lt;Table1[[#This Row],[ActDate]],"",
IF(PERFORMANCE!D8 - Table1[[#This Row],[ActDate]]&lt;366,Table1[NetPrem],"")),
IF(TODAY()&lt;Table1[[#This Row],[ActDate]],"",
IF(TODAY() - Table1[[#This Row],[ActDate]]&lt;366,Table1[NetPrem],"")))</f>
        <v>486.34</v>
      </c>
      <c r="AD32" s="10">
        <f ca="1">IF(PERFORMANCE!D8&gt;0,
IF(PERFORMANCE!D8&lt;Table1[[#This Row],[ActDate]],"",
IF(YEAR(PERFORMANCE!D8)=YEAR(Table1[[#This Row],[ActDate]]),Table1[NetPrem],"")),
IF(TODAY()&lt;Table1[[#This Row],[ActDate]],"",
IF(YEAR(TODAY())=YEAR(Table1[[#This Row],[ActDate]]),Table1[NetPrem],"")))</f>
        <v>486.34</v>
      </c>
      <c r="AE32" s="10" t="str">
        <f ca="1">IF(PERFORMANCE!D8&gt;0,
IF(PERFORMANCE!D8&lt;Table1[[#This Row],[ActDate]],Table1[NetPrem],""),
IF(TODAY()&lt;Table1[[#This Row],[ActDate]],Table1[NetPrem],""))</f>
        <v/>
      </c>
      <c r="AG32" s="48">
        <f>IF(Table1[[#This Row],[SYM]]="","",SUMIFS(Table1[NetPrem],Table1[Trade'#],Table1[[#This Row],[Trade'#]],Table1[Leg],"&lt;="&amp;Table1[[#This Row],[Leg]]))</f>
        <v>974.02999999999986</v>
      </c>
      <c r="AH32" s="48"/>
    </row>
    <row r="33" spans="1:34" x14ac:dyDescent="0.25">
      <c r="A33" s="15" t="s">
        <v>223</v>
      </c>
      <c r="B33" s="54">
        <v>6</v>
      </c>
      <c r="C33" s="54">
        <v>8</v>
      </c>
      <c r="D33" s="15" t="s">
        <v>30</v>
      </c>
      <c r="E33" s="61">
        <v>44328</v>
      </c>
      <c r="F33" s="61">
        <v>44328</v>
      </c>
      <c r="G33" s="61">
        <v>44337</v>
      </c>
      <c r="H33" s="54">
        <v>44.5</v>
      </c>
      <c r="I33" s="54"/>
      <c r="J33" s="53">
        <v>1</v>
      </c>
      <c r="K33" s="57">
        <v>-440.66</v>
      </c>
      <c r="M33" t="s">
        <v>142</v>
      </c>
      <c r="N33" t="e">
        <f>RTD("tos.rtd",,"last", "SFIX")</f>
        <v>#N/A</v>
      </c>
      <c r="O33" t="e">
        <f>RTD("tos.rtd",,"ASK",".SFIX210521P44.5")</f>
        <v>#N/A</v>
      </c>
      <c r="P33" s="10">
        <f>IF(Table1[[#This Row],[TransType]]="LS", Table1[[#This Row],[OpnPrem]]+Table1[[#This Row],[ClsPrem]],
                                            IF(Table1[[#This Row],[TransType]]="AS", Table1[[#This Row],[OpnPrem]]+Table1[[#This Row],[ClsPrem]],
                                               Table1[[#This Row],[OpnPrem]]-Table1[[#This Row],[ClsPrem]]))</f>
        <v>-440.66</v>
      </c>
      <c r="Q33" s="59">
        <f>IF(Table1[[#This Row],[SYM]]="","",SUMIFS(Table1[NetPrem],Table1[Trade'#],Table1[[#This Row],[Trade'#]],Table1[Leg],"&lt;="&amp;Table1[[#This Row],[Leg]]))</f>
        <v>533.36999999999989</v>
      </c>
      <c r="R33" s="11">
        <f t="shared" ca="1" si="0"/>
        <v>1</v>
      </c>
      <c r="S33"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4450</v>
      </c>
      <c r="T33" s="11" t="str">
        <f>IF(Table1[[#This Row],[CloseDate]]&gt;0,"",Table1[Cap])</f>
        <v/>
      </c>
      <c r="U33" s="11" t="str">
        <f>IF(Table1[[#This Row],[CloseDate]]&gt;0,"",
IF(Table1[[#This Row],[TransType]]="BC","",
IF(Table1[[#This Row],[TransType]]="BP",100*Table1[[#This Row],[Strike]]*Table1[[#This Row],['#Contracts]],
Table1[Cap])))</f>
        <v/>
      </c>
      <c r="V33" s="11">
        <f ca="1">IF(Table1[[#This Row],[SYM]]="","",Table1[[#This Row],[Cap]]*Table1[[#This Row],[Days]])</f>
        <v>4450</v>
      </c>
      <c r="W33" s="11">
        <f ca="1">IF(Table1[[#This Row],[SYM]]="","",SUMIFS(Table1[CapDays],Table1[Trade'#],Table1[[#This Row],[Trade'#]],Table1[Leg],"&lt;="&amp;Table1[[#This Row],[Leg]]))</f>
        <v>484700</v>
      </c>
      <c r="X33" s="60">
        <f ca="1">IF(Table1[[#This Row],[TotCapDays]],365*Table1[[#This Row],[TotPrem]]/Table1[[#This Row],[TotCapDays]],"")</f>
        <v>0.40165060862389096</v>
      </c>
      <c r="Y33" s="10">
        <f>IF(Table1[[#This Row],[SYM]]="","",
IF(Table1[[#This Row],[TransType]]="LS",Table1[[#This Row],[Strike]]-Table1[[#This Row],[TotPrem]]/Table1[[#This Row],['#Contracts]],
IF(Table1[[#This Row],['#Contracts]],Table1[[#This Row],[Strike]]-Table1[[#This Row],[TotPrem]]/Table1[[#This Row],['#Contracts]]/100,"")))</f>
        <v>39.1663</v>
      </c>
      <c r="Z33" s="11" t="str">
        <f>IF(Table1[[#This Row],[CloseDate]]&gt;0,"",
IF(Table1[[#This Row],[TransType]]="LS",Table1['#Contracts],
IF(Table1[[#This Row],[TransType]]="AS",100*Table1[[#This Row],['#Contracts]],
IF(Table1[[#This Row],[TransType]]="SP",100*Table1[[#This Row],['#Contracts]],
IF(Table1[[#This Row],[TransType]]="BP",100*Table1[[#This Row],['#Contracts]],"")))))</f>
        <v/>
      </c>
      <c r="AA33" s="58">
        <f ca="1">IF(Table1[[#This Row],[CloseDate]]&gt;0,Table1[CloseDate],
IF(Table1[[#This Row],[ExpDate]]&gt;0,Table1[ExpDate],
TODAY()))</f>
        <v>44328</v>
      </c>
      <c r="AB33" s="10">
        <f ca="1">IF(PERFORMANCE!D8&gt;0,
IF(PERFORMANCE!D8&lt;Table1[[#This Row],[ActDate]],"",Table1[NetPrem]),
IF(TODAY()&lt;Table1[[#This Row],[ActDate]],"",Table1[NetPrem]))</f>
        <v>-440.66</v>
      </c>
      <c r="AC33" s="10">
        <f ca="1">IF(PERFORMANCE!D8&gt;0,
IF(PERFORMANCE!D8&lt;Table1[[#This Row],[ActDate]],"",
IF(PERFORMANCE!D8 - Table1[[#This Row],[ActDate]]&lt;366,Table1[NetPrem],"")),
IF(TODAY()&lt;Table1[[#This Row],[ActDate]],"",
IF(TODAY() - Table1[[#This Row],[ActDate]]&lt;366,Table1[NetPrem],"")))</f>
        <v>-440.66</v>
      </c>
      <c r="AD33" s="10">
        <f ca="1">IF(PERFORMANCE!D8&gt;0,
IF(PERFORMANCE!D8&lt;Table1[[#This Row],[ActDate]],"",
IF(YEAR(PERFORMANCE!D8)=YEAR(Table1[[#This Row],[ActDate]]),Table1[NetPrem],"")),
IF(TODAY()&lt;Table1[[#This Row],[ActDate]],"",
IF(YEAR(TODAY())=YEAR(Table1[[#This Row],[ActDate]]),Table1[NetPrem],"")))</f>
        <v>-440.66</v>
      </c>
      <c r="AE33" s="10" t="str">
        <f ca="1">IF(PERFORMANCE!D8&gt;0,
IF(PERFORMANCE!D8&lt;Table1[[#This Row],[ActDate]],Table1[NetPrem],""),
IF(TODAY()&lt;Table1[[#This Row],[ActDate]],Table1[NetPrem],""))</f>
        <v/>
      </c>
      <c r="AG33" s="48">
        <f>IF(Table1[[#This Row],[SYM]]="","",SUMIFS(Table1[NetPrem],Table1[Trade'#],Table1[[#This Row],[Trade'#]],Table1[Leg],"&lt;="&amp;Table1[[#This Row],[Leg]]))</f>
        <v>533.36999999999989</v>
      </c>
      <c r="AH33" s="48"/>
    </row>
    <row r="34" spans="1:34" x14ac:dyDescent="0.25">
      <c r="A34" s="15" t="s">
        <v>224</v>
      </c>
      <c r="B34" s="54">
        <v>6</v>
      </c>
      <c r="C34" s="54">
        <v>9</v>
      </c>
      <c r="D34" s="15" t="s">
        <v>30</v>
      </c>
      <c r="E34" s="61">
        <v>44328</v>
      </c>
      <c r="F34" s="15"/>
      <c r="G34" s="61">
        <v>44358</v>
      </c>
      <c r="H34" s="54">
        <v>42</v>
      </c>
      <c r="I34" s="54"/>
      <c r="J34" s="53">
        <v>1</v>
      </c>
      <c r="K34" s="57">
        <v>465.34</v>
      </c>
      <c r="M34" t="s">
        <v>142</v>
      </c>
      <c r="N34" t="e">
        <f>RTD("tos.rtd",,"last", "SFIX")</f>
        <v>#N/A</v>
      </c>
      <c r="O34" t="e">
        <f>RTD("tos.rtd",,"ASK",".SFIX210611P42")</f>
        <v>#N/A</v>
      </c>
      <c r="P34" s="10">
        <f>IF(Table1[[#This Row],[TransType]]="LS", Table1[[#This Row],[OpnPrem]]+Table1[[#This Row],[ClsPrem]],
                                            IF(Table1[[#This Row],[TransType]]="AS", Table1[[#This Row],[OpnPrem]]+Table1[[#This Row],[ClsPrem]],
                                               Table1[[#This Row],[OpnPrem]]-Table1[[#This Row],[ClsPrem]]))</f>
        <v>465.34</v>
      </c>
      <c r="Q34" s="59">
        <f>IF(Table1[[#This Row],[SYM]]="","",SUMIFS(Table1[NetPrem],Table1[Trade'#],Table1[[#This Row],[Trade'#]],Table1[Leg],"&lt;="&amp;Table1[[#This Row],[Leg]]))</f>
        <v>998.70999999999981</v>
      </c>
      <c r="R34" s="11">
        <f t="shared" ca="1" si="0"/>
        <v>30</v>
      </c>
      <c r="S34"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4200</v>
      </c>
      <c r="T34" s="11">
        <f>IF(Table1[[#This Row],[CloseDate]]&gt;0,"",Table1[Cap])</f>
        <v>4200</v>
      </c>
      <c r="U34" s="11">
        <f>IF(Table1[[#This Row],[CloseDate]]&gt;0,"",
IF(Table1[[#This Row],[TransType]]="BC","",
IF(Table1[[#This Row],[TransType]]="BP",100*Table1[[#This Row],[Strike]]*Table1[[#This Row],['#Contracts]],
Table1[Cap])))</f>
        <v>4200</v>
      </c>
      <c r="V34" s="11">
        <f ca="1">IF(Table1[[#This Row],[SYM]]="","",Table1[[#This Row],[Cap]]*Table1[[#This Row],[Days]])</f>
        <v>126000</v>
      </c>
      <c r="W34" s="11">
        <f ca="1">IF(Table1[[#This Row],[SYM]]="","",SUMIFS(Table1[CapDays],Table1[Trade'#],Table1[[#This Row],[Trade'#]],Table1[Leg],"&lt;="&amp;Table1[[#This Row],[Leg]]))</f>
        <v>610700</v>
      </c>
      <c r="X34" s="60">
        <f ca="1">IF(Table1[[#This Row],[TotCapDays]],365*Table1[[#This Row],[TotPrem]]/Table1[[#This Row],[TotCapDays]],"")</f>
        <v>0.59690379891927281</v>
      </c>
      <c r="Y34" s="10">
        <f>IF(Table1[[#This Row],[SYM]]="","",
IF(Table1[[#This Row],[TransType]]="LS",Table1[[#This Row],[Strike]]-Table1[[#This Row],[TotPrem]]/Table1[[#This Row],['#Contracts]],
IF(Table1[[#This Row],['#Contracts]],Table1[[#This Row],[Strike]]-Table1[[#This Row],[TotPrem]]/Table1[[#This Row],['#Contracts]]/100,"")))</f>
        <v>32.012900000000002</v>
      </c>
      <c r="Z34" s="11">
        <f>IF(Table1[[#This Row],[CloseDate]]&gt;0,"",
IF(Table1[[#This Row],[TransType]]="LS",Table1['#Contracts],
IF(Table1[[#This Row],[TransType]]="AS",100*Table1[[#This Row],['#Contracts]],
IF(Table1[[#This Row],[TransType]]="SP",100*Table1[[#This Row],['#Contracts]],
IF(Table1[[#This Row],[TransType]]="BP",100*Table1[[#This Row],['#Contracts]],"")))))</f>
        <v>100</v>
      </c>
      <c r="AA34" s="58">
        <f ca="1">IF(Table1[[#This Row],[CloseDate]]&gt;0,Table1[CloseDate],
IF(Table1[[#This Row],[ExpDate]]&gt;0,Table1[ExpDate],
TODAY()))</f>
        <v>44358</v>
      </c>
      <c r="AB34" s="10">
        <f ca="1">IF(PERFORMANCE!D8&gt;0,
IF(PERFORMANCE!D8&lt;Table1[[#This Row],[ActDate]],"",Table1[NetPrem]),
IF(TODAY()&lt;Table1[[#This Row],[ActDate]],"",Table1[NetPrem]))</f>
        <v>465.34</v>
      </c>
      <c r="AC34" s="10">
        <f ca="1">IF(PERFORMANCE!D8&gt;0,
IF(PERFORMANCE!D8&lt;Table1[[#This Row],[ActDate]],"",
IF(PERFORMANCE!D8 - Table1[[#This Row],[ActDate]]&lt;366,Table1[NetPrem],"")),
IF(TODAY()&lt;Table1[[#This Row],[ActDate]],"",
IF(TODAY() - Table1[[#This Row],[ActDate]]&lt;366,Table1[NetPrem],"")))</f>
        <v>465.34</v>
      </c>
      <c r="AD34" s="10">
        <f ca="1">IF(PERFORMANCE!D8&gt;0,
IF(PERFORMANCE!D8&lt;Table1[[#This Row],[ActDate]],"",
IF(YEAR(PERFORMANCE!D8)=YEAR(Table1[[#This Row],[ActDate]]),Table1[NetPrem],"")),
IF(TODAY()&lt;Table1[[#This Row],[ActDate]],"",
IF(YEAR(TODAY())=YEAR(Table1[[#This Row],[ActDate]]),Table1[NetPrem],"")))</f>
        <v>465.34</v>
      </c>
      <c r="AE34" s="10" t="str">
        <f ca="1">IF(PERFORMANCE!D8&gt;0,
IF(PERFORMANCE!D8&lt;Table1[[#This Row],[ActDate]],Table1[NetPrem],""),
IF(TODAY()&lt;Table1[[#This Row],[ActDate]],Table1[NetPrem],""))</f>
        <v/>
      </c>
      <c r="AG34" s="48">
        <f>IF(Table1[[#This Row],[SYM]]="","",SUMIFS(Table1[NetPrem],Table1[Trade'#],Table1[[#This Row],[Trade'#]],Table1[Leg],"&lt;="&amp;Table1[[#This Row],[Leg]]))</f>
        <v>998.70999999999981</v>
      </c>
      <c r="AH34" s="48"/>
    </row>
    <row r="35" spans="1:34" x14ac:dyDescent="0.25">
      <c r="A35" s="15" t="s">
        <v>225</v>
      </c>
      <c r="B35" s="54">
        <v>7</v>
      </c>
      <c r="C35" s="54">
        <v>1</v>
      </c>
      <c r="D35" s="15" t="s">
        <v>30</v>
      </c>
      <c r="E35" s="61">
        <v>44292</v>
      </c>
      <c r="F35" s="61">
        <v>44302</v>
      </c>
      <c r="G35" s="61">
        <v>44302</v>
      </c>
      <c r="H35" s="54">
        <v>28</v>
      </c>
      <c r="I35" s="54"/>
      <c r="J35" s="53">
        <v>10</v>
      </c>
      <c r="K35" s="57">
        <v>363.34</v>
      </c>
      <c r="M35" t="s">
        <v>144</v>
      </c>
      <c r="N35" t="e">
        <f>RTD("tos.rtd",,"last", "SBGI")</f>
        <v>#N/A</v>
      </c>
      <c r="O35" t="e">
        <f>RTD("tos.rtd",,"ASK",".SBGI210416P28")</f>
        <v>#N/A</v>
      </c>
      <c r="P35" s="10">
        <f>IF(Table1[[#This Row],[TransType]]="LS", Table1[[#This Row],[OpnPrem]]+Table1[[#This Row],[ClsPrem]],
                                            IF(Table1[[#This Row],[TransType]]="AS", Table1[[#This Row],[OpnPrem]]+Table1[[#This Row],[ClsPrem]],
                                               Table1[[#This Row],[OpnPrem]]-Table1[[#This Row],[ClsPrem]]))</f>
        <v>363.34</v>
      </c>
      <c r="Q35" s="59">
        <f>IF(Table1[[#This Row],[SYM]]="","",SUMIFS(Table1[NetPrem],Table1[Trade'#],Table1[[#This Row],[Trade'#]],Table1[Leg],"&lt;="&amp;Table1[[#This Row],[Leg]]))</f>
        <v>363.34</v>
      </c>
      <c r="R35" s="11">
        <f t="shared" ca="1" si="0"/>
        <v>10</v>
      </c>
      <c r="S35"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28000</v>
      </c>
      <c r="T35" s="11" t="str">
        <f>IF(Table1[[#This Row],[CloseDate]]&gt;0,"",Table1[Cap])</f>
        <v/>
      </c>
      <c r="U35" s="11" t="str">
        <f>IF(Table1[[#This Row],[CloseDate]]&gt;0,"",
IF(Table1[[#This Row],[TransType]]="BC","",
IF(Table1[[#This Row],[TransType]]="BP",100*Table1[[#This Row],[Strike]]*Table1[[#This Row],['#Contracts]],
Table1[Cap])))</f>
        <v/>
      </c>
      <c r="V35" s="11">
        <f ca="1">IF(Table1[[#This Row],[SYM]]="","",Table1[[#This Row],[Cap]]*Table1[[#This Row],[Days]])</f>
        <v>280000</v>
      </c>
      <c r="W35" s="11">
        <f ca="1">IF(Table1[[#This Row],[SYM]]="","",SUMIFS(Table1[CapDays],Table1[Trade'#],Table1[[#This Row],[Trade'#]],Table1[Leg],"&lt;="&amp;Table1[[#This Row],[Leg]]))</f>
        <v>280000</v>
      </c>
      <c r="X35" s="60">
        <f ca="1">IF(Table1[[#This Row],[TotCapDays]],365*Table1[[#This Row],[TotPrem]]/Table1[[#This Row],[TotCapDays]],"")</f>
        <v>0.47363964285714277</v>
      </c>
      <c r="Y35" s="10">
        <f>IF(Table1[[#This Row],[SYM]]="","",
IF(Table1[[#This Row],[TransType]]="LS",Table1[[#This Row],[Strike]]-Table1[[#This Row],[TotPrem]]/Table1[[#This Row],['#Contracts]],
IF(Table1[[#This Row],['#Contracts]],Table1[[#This Row],[Strike]]-Table1[[#This Row],[TotPrem]]/Table1[[#This Row],['#Contracts]]/100,"")))</f>
        <v>27.636659999999999</v>
      </c>
      <c r="Z35" s="11" t="str">
        <f>IF(Table1[[#This Row],[CloseDate]]&gt;0,"",
IF(Table1[[#This Row],[TransType]]="LS",Table1['#Contracts],
IF(Table1[[#This Row],[TransType]]="AS",100*Table1[[#This Row],['#Contracts]],
IF(Table1[[#This Row],[TransType]]="SP",100*Table1[[#This Row],['#Contracts]],
IF(Table1[[#This Row],[TransType]]="BP",100*Table1[[#This Row],['#Contracts]],"")))))</f>
        <v/>
      </c>
      <c r="AA35" s="58">
        <f ca="1">IF(Table1[[#This Row],[CloseDate]]&gt;0,Table1[CloseDate],
IF(Table1[[#This Row],[ExpDate]]&gt;0,Table1[ExpDate],
TODAY()))</f>
        <v>44302</v>
      </c>
      <c r="AB35" s="10">
        <f ca="1">IF(PERFORMANCE!D8&gt;0,
IF(PERFORMANCE!D8&lt;Table1[[#This Row],[ActDate]],"",Table1[NetPrem]),
IF(TODAY()&lt;Table1[[#This Row],[ActDate]],"",Table1[NetPrem]))</f>
        <v>363.34</v>
      </c>
      <c r="AC35" s="10">
        <f ca="1">IF(PERFORMANCE!D8&gt;0,
IF(PERFORMANCE!D8&lt;Table1[[#This Row],[ActDate]],"",
IF(PERFORMANCE!D8 - Table1[[#This Row],[ActDate]]&lt;366,Table1[NetPrem],"")),
IF(TODAY()&lt;Table1[[#This Row],[ActDate]],"",
IF(TODAY() - Table1[[#This Row],[ActDate]]&lt;366,Table1[NetPrem],"")))</f>
        <v>363.34</v>
      </c>
      <c r="AD35" s="10">
        <f ca="1">IF(PERFORMANCE!D8&gt;0,
IF(PERFORMANCE!D8&lt;Table1[[#This Row],[ActDate]],"",
IF(YEAR(PERFORMANCE!D8)=YEAR(Table1[[#This Row],[ActDate]]),Table1[NetPrem],"")),
IF(TODAY()&lt;Table1[[#This Row],[ActDate]],"",
IF(YEAR(TODAY())=YEAR(Table1[[#This Row],[ActDate]]),Table1[NetPrem],"")))</f>
        <v>363.34</v>
      </c>
      <c r="AE35" s="10" t="str">
        <f ca="1">IF(PERFORMANCE!D8&gt;0,
IF(PERFORMANCE!D8&lt;Table1[[#This Row],[ActDate]],Table1[NetPrem],""),
IF(TODAY()&lt;Table1[[#This Row],[ActDate]],Table1[NetPrem],""))</f>
        <v/>
      </c>
      <c r="AG35" s="48">
        <f>IF(Table1[[#This Row],[SYM]]="","",SUMIFS(Table1[NetPrem],Table1[Trade'#],Table1[[#This Row],[Trade'#]],Table1[Leg],"&lt;="&amp;Table1[[#This Row],[Leg]]))</f>
        <v>363.34</v>
      </c>
      <c r="AH35" s="48"/>
    </row>
    <row r="36" spans="1:34" x14ac:dyDescent="0.25">
      <c r="A36" s="15" t="s">
        <v>226</v>
      </c>
      <c r="B36" s="54">
        <v>8</v>
      </c>
      <c r="C36" s="54">
        <v>1</v>
      </c>
      <c r="D36" s="15" t="s">
        <v>30</v>
      </c>
      <c r="E36" s="61">
        <v>44294</v>
      </c>
      <c r="F36" s="61">
        <v>44323</v>
      </c>
      <c r="G36" s="61">
        <v>44323</v>
      </c>
      <c r="H36" s="54">
        <v>22</v>
      </c>
      <c r="I36" s="54"/>
      <c r="J36" s="53">
        <v>10</v>
      </c>
      <c r="K36" s="57">
        <v>853.34</v>
      </c>
      <c r="M36" t="s">
        <v>150</v>
      </c>
      <c r="N36" t="e">
        <f>RTD("tos.rtd",,"last", "AAL")</f>
        <v>#N/A</v>
      </c>
      <c r="O36" t="e">
        <f>RTD("tos.rtd",,"ASK",".AAL21057P22")</f>
        <v>#N/A</v>
      </c>
      <c r="P36" s="10">
        <f>IF(Table1[[#This Row],[TransType]]="LS", Table1[[#This Row],[OpnPrem]]+Table1[[#This Row],[ClsPrem]],
                                            IF(Table1[[#This Row],[TransType]]="AS", Table1[[#This Row],[OpnPrem]]+Table1[[#This Row],[ClsPrem]],
                                               Table1[[#This Row],[OpnPrem]]-Table1[[#This Row],[ClsPrem]]))</f>
        <v>853.34</v>
      </c>
      <c r="Q36" s="59">
        <f>IF(Table1[[#This Row],[SYM]]="","",SUMIFS(Table1[NetPrem],Table1[Trade'#],Table1[[#This Row],[Trade'#]],Table1[Leg],"&lt;="&amp;Table1[[#This Row],[Leg]]))</f>
        <v>853.34</v>
      </c>
      <c r="R36" s="11">
        <f t="shared" ca="1" si="0"/>
        <v>29</v>
      </c>
      <c r="S36"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22000</v>
      </c>
      <c r="T36" s="11" t="str">
        <f>IF(Table1[[#This Row],[CloseDate]]&gt;0,"",Table1[Cap])</f>
        <v/>
      </c>
      <c r="U36" s="11" t="str">
        <f>IF(Table1[[#This Row],[CloseDate]]&gt;0,"",
IF(Table1[[#This Row],[TransType]]="BC","",
IF(Table1[[#This Row],[TransType]]="BP",100*Table1[[#This Row],[Strike]]*Table1[[#This Row],['#Contracts]],
Table1[Cap])))</f>
        <v/>
      </c>
      <c r="V36" s="11">
        <f ca="1">IF(Table1[[#This Row],[SYM]]="","",Table1[[#This Row],[Cap]]*Table1[[#This Row],[Days]])</f>
        <v>638000</v>
      </c>
      <c r="W36" s="11">
        <f ca="1">IF(Table1[[#This Row],[SYM]]="","",SUMIFS(Table1[CapDays],Table1[Trade'#],Table1[[#This Row],[Trade'#]],Table1[Leg],"&lt;="&amp;Table1[[#This Row],[Leg]]))</f>
        <v>638000</v>
      </c>
      <c r="X36" s="60">
        <f ca="1">IF(Table1[[#This Row],[TotCapDays]],365*Table1[[#This Row],[TotPrem]]/Table1[[#This Row],[TotCapDays]],"")</f>
        <v>0.48819608150470223</v>
      </c>
      <c r="Y36" s="10">
        <f>IF(Table1[[#This Row],[SYM]]="","",
IF(Table1[[#This Row],[TransType]]="LS",Table1[[#This Row],[Strike]]-Table1[[#This Row],[TotPrem]]/Table1[[#This Row],['#Contracts]],
IF(Table1[[#This Row],['#Contracts]],Table1[[#This Row],[Strike]]-Table1[[#This Row],[TotPrem]]/Table1[[#This Row],['#Contracts]]/100,"")))</f>
        <v>21.146660000000001</v>
      </c>
      <c r="Z36" s="11" t="str">
        <f>IF(Table1[[#This Row],[CloseDate]]&gt;0,"",
IF(Table1[[#This Row],[TransType]]="LS",Table1['#Contracts],
IF(Table1[[#This Row],[TransType]]="AS",100*Table1[[#This Row],['#Contracts]],
IF(Table1[[#This Row],[TransType]]="SP",100*Table1[[#This Row],['#Contracts]],
IF(Table1[[#This Row],[TransType]]="BP",100*Table1[[#This Row],['#Contracts]],"")))))</f>
        <v/>
      </c>
      <c r="AA36" s="58">
        <f ca="1">IF(Table1[[#This Row],[CloseDate]]&gt;0,Table1[CloseDate],
IF(Table1[[#This Row],[ExpDate]]&gt;0,Table1[ExpDate],
TODAY()))</f>
        <v>44323</v>
      </c>
      <c r="AB36" s="10">
        <f ca="1">IF(PERFORMANCE!D8&gt;0,
IF(PERFORMANCE!D8&lt;Table1[[#This Row],[ActDate]],"",Table1[NetPrem]),
IF(TODAY()&lt;Table1[[#This Row],[ActDate]],"",Table1[NetPrem]))</f>
        <v>853.34</v>
      </c>
      <c r="AC36" s="10">
        <f ca="1">IF(PERFORMANCE!D8&gt;0,
IF(PERFORMANCE!D8&lt;Table1[[#This Row],[ActDate]],"",
IF(PERFORMANCE!D8 - Table1[[#This Row],[ActDate]]&lt;366,Table1[NetPrem],"")),
IF(TODAY()&lt;Table1[[#This Row],[ActDate]],"",
IF(TODAY() - Table1[[#This Row],[ActDate]]&lt;366,Table1[NetPrem],"")))</f>
        <v>853.34</v>
      </c>
      <c r="AD36" s="10">
        <f ca="1">IF(PERFORMANCE!D8&gt;0,
IF(PERFORMANCE!D8&lt;Table1[[#This Row],[ActDate]],"",
IF(YEAR(PERFORMANCE!D8)=YEAR(Table1[[#This Row],[ActDate]]),Table1[NetPrem],"")),
IF(TODAY()&lt;Table1[[#This Row],[ActDate]],"",
IF(YEAR(TODAY())=YEAR(Table1[[#This Row],[ActDate]]),Table1[NetPrem],"")))</f>
        <v>853.34</v>
      </c>
      <c r="AE36" s="10" t="str">
        <f ca="1">IF(PERFORMANCE!D8&gt;0,
IF(PERFORMANCE!D8&lt;Table1[[#This Row],[ActDate]],Table1[NetPrem],""),
IF(TODAY()&lt;Table1[[#This Row],[ActDate]],Table1[NetPrem],""))</f>
        <v/>
      </c>
      <c r="AG36" s="48">
        <f>IF(Table1[[#This Row],[SYM]]="","",SUMIFS(Table1[NetPrem],Table1[Trade'#],Table1[[#This Row],[Trade'#]],Table1[Leg],"&lt;="&amp;Table1[[#This Row],[Leg]]))</f>
        <v>853.34</v>
      </c>
      <c r="AH36" s="48"/>
    </row>
    <row r="37" spans="1:34" x14ac:dyDescent="0.25">
      <c r="A37" s="15" t="s">
        <v>227</v>
      </c>
      <c r="B37" s="54">
        <v>8</v>
      </c>
      <c r="C37" s="54">
        <v>2</v>
      </c>
      <c r="D37" s="15" t="s">
        <v>30</v>
      </c>
      <c r="E37" s="61">
        <v>44323</v>
      </c>
      <c r="F37" s="61">
        <v>44323</v>
      </c>
      <c r="G37" s="61">
        <v>44323</v>
      </c>
      <c r="H37" s="54">
        <v>22</v>
      </c>
      <c r="I37" s="54"/>
      <c r="J37" s="53">
        <v>10</v>
      </c>
      <c r="K37" s="57">
        <v>-616.64</v>
      </c>
      <c r="M37" t="s">
        <v>150</v>
      </c>
      <c r="N37" t="e">
        <f>RTD("tos.rtd",,"last", "AAL")</f>
        <v>#N/A</v>
      </c>
      <c r="O37" t="e">
        <f>RTD("tos.rtd",,"ASK",".AAL21057P22")</f>
        <v>#N/A</v>
      </c>
      <c r="P37" s="10">
        <f>IF(Table1[[#This Row],[TransType]]="LS", Table1[[#This Row],[OpnPrem]]+Table1[[#This Row],[ClsPrem]],
                                            IF(Table1[[#This Row],[TransType]]="AS", Table1[[#This Row],[OpnPrem]]+Table1[[#This Row],[ClsPrem]],
                                               Table1[[#This Row],[OpnPrem]]-Table1[[#This Row],[ClsPrem]]))</f>
        <v>-616.64</v>
      </c>
      <c r="Q37" s="59">
        <f>IF(Table1[[#This Row],[SYM]]="","",SUMIFS(Table1[NetPrem],Table1[Trade'#],Table1[[#This Row],[Trade'#]],Table1[Leg],"&lt;="&amp;Table1[[#This Row],[Leg]]))</f>
        <v>236.70000000000005</v>
      </c>
      <c r="R37" s="11">
        <f t="shared" ca="1" si="0"/>
        <v>1</v>
      </c>
      <c r="S37"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22000</v>
      </c>
      <c r="T37" s="11" t="str">
        <f>IF(Table1[[#This Row],[CloseDate]]&gt;0,"",Table1[Cap])</f>
        <v/>
      </c>
      <c r="U37" s="11" t="str">
        <f>IF(Table1[[#This Row],[CloseDate]]&gt;0,"",
IF(Table1[[#This Row],[TransType]]="BC","",
IF(Table1[[#This Row],[TransType]]="BP",100*Table1[[#This Row],[Strike]]*Table1[[#This Row],['#Contracts]],
Table1[Cap])))</f>
        <v/>
      </c>
      <c r="V37" s="11">
        <f ca="1">IF(Table1[[#This Row],[SYM]]="","",Table1[[#This Row],[Cap]]*Table1[[#This Row],[Days]])</f>
        <v>22000</v>
      </c>
      <c r="W37" s="11">
        <f ca="1">IF(Table1[[#This Row],[SYM]]="","",SUMIFS(Table1[CapDays],Table1[Trade'#],Table1[[#This Row],[Trade'#]],Table1[Leg],"&lt;="&amp;Table1[[#This Row],[Leg]]))</f>
        <v>660000</v>
      </c>
      <c r="X37" s="60">
        <f ca="1">IF(Table1[[#This Row],[TotCapDays]],365*Table1[[#This Row],[TotPrem]]/Table1[[#This Row],[TotCapDays]],"")</f>
        <v>0.13090227272727276</v>
      </c>
      <c r="Y37" s="10">
        <f>IF(Table1[[#This Row],[SYM]]="","",
IF(Table1[[#This Row],[TransType]]="LS",Table1[[#This Row],[Strike]]-Table1[[#This Row],[TotPrem]]/Table1[[#This Row],['#Contracts]],
IF(Table1[[#This Row],['#Contracts]],Table1[[#This Row],[Strike]]-Table1[[#This Row],[TotPrem]]/Table1[[#This Row],['#Contracts]]/100,"")))</f>
        <v>21.763300000000001</v>
      </c>
      <c r="Z37" s="11" t="str">
        <f>IF(Table1[[#This Row],[CloseDate]]&gt;0,"",
IF(Table1[[#This Row],[TransType]]="LS",Table1['#Contracts],
IF(Table1[[#This Row],[TransType]]="AS",100*Table1[[#This Row],['#Contracts]],
IF(Table1[[#This Row],[TransType]]="SP",100*Table1[[#This Row],['#Contracts]],
IF(Table1[[#This Row],[TransType]]="BP",100*Table1[[#This Row],['#Contracts]],"")))))</f>
        <v/>
      </c>
      <c r="AA37" s="58">
        <f ca="1">IF(Table1[[#This Row],[CloseDate]]&gt;0,Table1[CloseDate],
IF(Table1[[#This Row],[ExpDate]]&gt;0,Table1[ExpDate],
TODAY()))</f>
        <v>44323</v>
      </c>
      <c r="AB37" s="10">
        <f ca="1">IF(PERFORMANCE!D8&gt;0,
IF(PERFORMANCE!D8&lt;Table1[[#This Row],[ActDate]],"",Table1[NetPrem]),
IF(TODAY()&lt;Table1[[#This Row],[ActDate]],"",Table1[NetPrem]))</f>
        <v>-616.64</v>
      </c>
      <c r="AC37" s="10">
        <f ca="1">IF(PERFORMANCE!D8&gt;0,
IF(PERFORMANCE!D8&lt;Table1[[#This Row],[ActDate]],"",
IF(PERFORMANCE!D8 - Table1[[#This Row],[ActDate]]&lt;366,Table1[NetPrem],"")),
IF(TODAY()&lt;Table1[[#This Row],[ActDate]],"",
IF(TODAY() - Table1[[#This Row],[ActDate]]&lt;366,Table1[NetPrem],"")))</f>
        <v>-616.64</v>
      </c>
      <c r="AD37" s="10">
        <f ca="1">IF(PERFORMANCE!D8&gt;0,
IF(PERFORMANCE!D8&lt;Table1[[#This Row],[ActDate]],"",
IF(YEAR(PERFORMANCE!D8)=YEAR(Table1[[#This Row],[ActDate]]),Table1[NetPrem],"")),
IF(TODAY()&lt;Table1[[#This Row],[ActDate]],"",
IF(YEAR(TODAY())=YEAR(Table1[[#This Row],[ActDate]]),Table1[NetPrem],"")))</f>
        <v>-616.64</v>
      </c>
      <c r="AE37" s="10" t="str">
        <f ca="1">IF(PERFORMANCE!D8&gt;0,
IF(PERFORMANCE!D8&lt;Table1[[#This Row],[ActDate]],Table1[NetPrem],""),
IF(TODAY()&lt;Table1[[#This Row],[ActDate]],Table1[NetPrem],""))</f>
        <v/>
      </c>
      <c r="AG37" s="48">
        <f>IF(Table1[[#This Row],[SYM]]="","",SUMIFS(Table1[NetPrem],Table1[Trade'#],Table1[[#This Row],[Trade'#]],Table1[Leg],"&lt;="&amp;Table1[[#This Row],[Leg]]))</f>
        <v>236.70000000000005</v>
      </c>
      <c r="AH37" s="48"/>
    </row>
    <row r="38" spans="1:34" x14ac:dyDescent="0.25">
      <c r="A38" s="15" t="s">
        <v>228</v>
      </c>
      <c r="B38" s="54">
        <v>8</v>
      </c>
      <c r="C38" s="54">
        <v>3</v>
      </c>
      <c r="D38" s="15" t="s">
        <v>30</v>
      </c>
      <c r="E38" s="61">
        <v>44323</v>
      </c>
      <c r="F38" s="61">
        <v>44323</v>
      </c>
      <c r="G38" s="61">
        <v>44344</v>
      </c>
      <c r="H38" s="54">
        <v>21.5</v>
      </c>
      <c r="I38" s="54"/>
      <c r="J38" s="53">
        <v>10</v>
      </c>
      <c r="K38" s="57">
        <v>973.34</v>
      </c>
      <c r="M38" t="s">
        <v>150</v>
      </c>
      <c r="N38" t="e">
        <f>RTD("tos.rtd",,"last", "AAL")</f>
        <v>#N/A</v>
      </c>
      <c r="O38" t="e">
        <f>RTD("tos.rtd",,"ASK",".AAL210528P21.5")</f>
        <v>#N/A</v>
      </c>
      <c r="P38" s="10">
        <f>IF(Table1[[#This Row],[TransType]]="LS", Table1[[#This Row],[OpnPrem]]+Table1[[#This Row],[ClsPrem]],
                                            IF(Table1[[#This Row],[TransType]]="AS", Table1[[#This Row],[OpnPrem]]+Table1[[#This Row],[ClsPrem]],
                                               Table1[[#This Row],[OpnPrem]]-Table1[[#This Row],[ClsPrem]]))</f>
        <v>973.34</v>
      </c>
      <c r="Q38" s="59">
        <f>IF(Table1[[#This Row],[SYM]]="","",SUMIFS(Table1[NetPrem],Table1[Trade'#],Table1[[#This Row],[Trade'#]],Table1[Leg],"&lt;="&amp;Table1[[#This Row],[Leg]]))</f>
        <v>1210.04</v>
      </c>
      <c r="R38" s="11">
        <f t="shared" ca="1" si="0"/>
        <v>1</v>
      </c>
      <c r="S38"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21500</v>
      </c>
      <c r="T38" s="11" t="str">
        <f>IF(Table1[[#This Row],[CloseDate]]&gt;0,"",Table1[Cap])</f>
        <v/>
      </c>
      <c r="U38" s="11" t="str">
        <f>IF(Table1[[#This Row],[CloseDate]]&gt;0,"",
IF(Table1[[#This Row],[TransType]]="BC","",
IF(Table1[[#This Row],[TransType]]="BP",100*Table1[[#This Row],[Strike]]*Table1[[#This Row],['#Contracts]],
Table1[Cap])))</f>
        <v/>
      </c>
      <c r="V38" s="11">
        <f ca="1">IF(Table1[[#This Row],[SYM]]="","",Table1[[#This Row],[Cap]]*Table1[[#This Row],[Days]])</f>
        <v>21500</v>
      </c>
      <c r="W38" s="11">
        <f ca="1">IF(Table1[[#This Row],[SYM]]="","",SUMIFS(Table1[CapDays],Table1[Trade'#],Table1[[#This Row],[Trade'#]],Table1[Leg],"&lt;="&amp;Table1[[#This Row],[Leg]]))</f>
        <v>681500</v>
      </c>
      <c r="X38" s="60">
        <f ca="1">IF(Table1[[#This Row],[TotCapDays]],365*Table1[[#This Row],[TotPrem]]/Table1[[#This Row],[TotCapDays]],"")</f>
        <v>0.64807718268525305</v>
      </c>
      <c r="Y38" s="10">
        <f>IF(Table1[[#This Row],[SYM]]="","",
IF(Table1[[#This Row],[TransType]]="LS",Table1[[#This Row],[Strike]]-Table1[[#This Row],[TotPrem]]/Table1[[#This Row],['#Contracts]],
IF(Table1[[#This Row],['#Contracts]],Table1[[#This Row],[Strike]]-Table1[[#This Row],[TotPrem]]/Table1[[#This Row],['#Contracts]]/100,"")))</f>
        <v>20.289960000000001</v>
      </c>
      <c r="Z38" s="11" t="str">
        <f>IF(Table1[[#This Row],[CloseDate]]&gt;0,"",
IF(Table1[[#This Row],[TransType]]="LS",Table1['#Contracts],
IF(Table1[[#This Row],[TransType]]="AS",100*Table1[[#This Row],['#Contracts]],
IF(Table1[[#This Row],[TransType]]="SP",100*Table1[[#This Row],['#Contracts]],
IF(Table1[[#This Row],[TransType]]="BP",100*Table1[[#This Row],['#Contracts]],"")))))</f>
        <v/>
      </c>
      <c r="AA38" s="58">
        <f ca="1">IF(Table1[[#This Row],[CloseDate]]&gt;0,Table1[CloseDate],
IF(Table1[[#This Row],[ExpDate]]&gt;0,Table1[ExpDate],
TODAY()))</f>
        <v>44323</v>
      </c>
      <c r="AB38" s="10">
        <f ca="1">IF(PERFORMANCE!D8&gt;0,
IF(PERFORMANCE!D8&lt;Table1[[#This Row],[ActDate]],"",Table1[NetPrem]),
IF(TODAY()&lt;Table1[[#This Row],[ActDate]],"",Table1[NetPrem]))</f>
        <v>973.34</v>
      </c>
      <c r="AC38" s="10">
        <f ca="1">IF(PERFORMANCE!D8&gt;0,
IF(PERFORMANCE!D8&lt;Table1[[#This Row],[ActDate]],"",
IF(PERFORMANCE!D8 - Table1[[#This Row],[ActDate]]&lt;366,Table1[NetPrem],"")),
IF(TODAY()&lt;Table1[[#This Row],[ActDate]],"",
IF(TODAY() - Table1[[#This Row],[ActDate]]&lt;366,Table1[NetPrem],"")))</f>
        <v>973.34</v>
      </c>
      <c r="AD38" s="10">
        <f ca="1">IF(PERFORMANCE!D8&gt;0,
IF(PERFORMANCE!D8&lt;Table1[[#This Row],[ActDate]],"",
IF(YEAR(PERFORMANCE!D8)=YEAR(Table1[[#This Row],[ActDate]]),Table1[NetPrem],"")),
IF(TODAY()&lt;Table1[[#This Row],[ActDate]],"",
IF(YEAR(TODAY())=YEAR(Table1[[#This Row],[ActDate]]),Table1[NetPrem],"")))</f>
        <v>973.34</v>
      </c>
      <c r="AE38" s="10" t="str">
        <f ca="1">IF(PERFORMANCE!D8&gt;0,
IF(PERFORMANCE!D8&lt;Table1[[#This Row],[ActDate]],Table1[NetPrem],""),
IF(TODAY()&lt;Table1[[#This Row],[ActDate]],Table1[NetPrem],""))</f>
        <v/>
      </c>
      <c r="AG38" s="48">
        <f>IF(Table1[[#This Row],[SYM]]="","",SUMIFS(Table1[NetPrem],Table1[Trade'#],Table1[[#This Row],[Trade'#]],Table1[Leg],"&lt;="&amp;Table1[[#This Row],[Leg]]))</f>
        <v>1210.04</v>
      </c>
      <c r="AH38" s="48"/>
    </row>
    <row r="39" spans="1:34" x14ac:dyDescent="0.25">
      <c r="A39" s="15" t="s">
        <v>229</v>
      </c>
      <c r="B39" s="54">
        <v>8</v>
      </c>
      <c r="C39" s="54">
        <v>4</v>
      </c>
      <c r="D39" s="15" t="s">
        <v>30</v>
      </c>
      <c r="E39" s="61">
        <v>44323</v>
      </c>
      <c r="F39" s="61">
        <v>44323</v>
      </c>
      <c r="G39" s="61">
        <v>44344</v>
      </c>
      <c r="H39" s="54">
        <v>21.5</v>
      </c>
      <c r="I39" s="54"/>
      <c r="J39" s="53">
        <v>10</v>
      </c>
      <c r="K39" s="57">
        <v>-746.64</v>
      </c>
      <c r="M39" t="s">
        <v>150</v>
      </c>
      <c r="N39" t="e">
        <f>RTD("tos.rtd",,"last", "AAL")</f>
        <v>#N/A</v>
      </c>
      <c r="O39" t="e">
        <f>RTD("tos.rtd",,"ASK",".AAL210528P21.5")</f>
        <v>#N/A</v>
      </c>
      <c r="P39" s="10">
        <f>IF(Table1[[#This Row],[TransType]]="LS", Table1[[#This Row],[OpnPrem]]+Table1[[#This Row],[ClsPrem]],
                                            IF(Table1[[#This Row],[TransType]]="AS", Table1[[#This Row],[OpnPrem]]+Table1[[#This Row],[ClsPrem]],
                                               Table1[[#This Row],[OpnPrem]]-Table1[[#This Row],[ClsPrem]]))</f>
        <v>-746.64</v>
      </c>
      <c r="Q39" s="59">
        <f>IF(Table1[[#This Row],[SYM]]="","",SUMIFS(Table1[NetPrem],Table1[Trade'#],Table1[[#This Row],[Trade'#]],Table1[Leg],"&lt;="&amp;Table1[[#This Row],[Leg]]))</f>
        <v>463.4</v>
      </c>
      <c r="R39" s="11">
        <f t="shared" ca="1" si="0"/>
        <v>1</v>
      </c>
      <c r="S39"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21500</v>
      </c>
      <c r="T39" s="11" t="str">
        <f>IF(Table1[[#This Row],[CloseDate]]&gt;0,"",Table1[Cap])</f>
        <v/>
      </c>
      <c r="U39" s="11" t="str">
        <f>IF(Table1[[#This Row],[CloseDate]]&gt;0,"",
IF(Table1[[#This Row],[TransType]]="BC","",
IF(Table1[[#This Row],[TransType]]="BP",100*Table1[[#This Row],[Strike]]*Table1[[#This Row],['#Contracts]],
Table1[Cap])))</f>
        <v/>
      </c>
      <c r="V39" s="11">
        <f ca="1">IF(Table1[[#This Row],[SYM]]="","",Table1[[#This Row],[Cap]]*Table1[[#This Row],[Days]])</f>
        <v>21500</v>
      </c>
      <c r="W39" s="11">
        <f ca="1">IF(Table1[[#This Row],[SYM]]="","",SUMIFS(Table1[CapDays],Table1[Trade'#],Table1[[#This Row],[Trade'#]],Table1[Leg],"&lt;="&amp;Table1[[#This Row],[Leg]]))</f>
        <v>703000</v>
      </c>
      <c r="X39" s="60">
        <f ca="1">IF(Table1[[#This Row],[TotCapDays]],365*Table1[[#This Row],[TotPrem]]/Table1[[#This Row],[TotCapDays]],"")</f>
        <v>0.24059886201991465</v>
      </c>
      <c r="Y39" s="10">
        <f>IF(Table1[[#This Row],[SYM]]="","",
IF(Table1[[#This Row],[TransType]]="LS",Table1[[#This Row],[Strike]]-Table1[[#This Row],[TotPrem]]/Table1[[#This Row],['#Contracts]],
IF(Table1[[#This Row],['#Contracts]],Table1[[#This Row],[Strike]]-Table1[[#This Row],[TotPrem]]/Table1[[#This Row],['#Contracts]]/100,"")))</f>
        <v>21.0366</v>
      </c>
      <c r="Z39" s="11" t="str">
        <f>IF(Table1[[#This Row],[CloseDate]]&gt;0,"",
IF(Table1[[#This Row],[TransType]]="LS",Table1['#Contracts],
IF(Table1[[#This Row],[TransType]]="AS",100*Table1[[#This Row],['#Contracts]],
IF(Table1[[#This Row],[TransType]]="SP",100*Table1[[#This Row],['#Contracts]],
IF(Table1[[#This Row],[TransType]]="BP",100*Table1[[#This Row],['#Contracts]],"")))))</f>
        <v/>
      </c>
      <c r="AA39" s="58">
        <f ca="1">IF(Table1[[#This Row],[CloseDate]]&gt;0,Table1[CloseDate],
IF(Table1[[#This Row],[ExpDate]]&gt;0,Table1[ExpDate],
TODAY()))</f>
        <v>44323</v>
      </c>
      <c r="AB39" s="10">
        <f ca="1">IF(PERFORMANCE!D8&gt;0,
IF(PERFORMANCE!D8&lt;Table1[[#This Row],[ActDate]],"",Table1[NetPrem]),
IF(TODAY()&lt;Table1[[#This Row],[ActDate]],"",Table1[NetPrem]))</f>
        <v>-746.64</v>
      </c>
      <c r="AC39" s="10">
        <f ca="1">IF(PERFORMANCE!D8&gt;0,
IF(PERFORMANCE!D8&lt;Table1[[#This Row],[ActDate]],"",
IF(PERFORMANCE!D8 - Table1[[#This Row],[ActDate]]&lt;366,Table1[NetPrem],"")),
IF(TODAY()&lt;Table1[[#This Row],[ActDate]],"",
IF(TODAY() - Table1[[#This Row],[ActDate]]&lt;366,Table1[NetPrem],"")))</f>
        <v>-746.64</v>
      </c>
      <c r="AD39" s="10">
        <f ca="1">IF(PERFORMANCE!D8&gt;0,
IF(PERFORMANCE!D8&lt;Table1[[#This Row],[ActDate]],"",
IF(YEAR(PERFORMANCE!D8)=YEAR(Table1[[#This Row],[ActDate]]),Table1[NetPrem],"")),
IF(TODAY()&lt;Table1[[#This Row],[ActDate]],"",
IF(YEAR(TODAY())=YEAR(Table1[[#This Row],[ActDate]]),Table1[NetPrem],"")))</f>
        <v>-746.64</v>
      </c>
      <c r="AE39" s="10" t="str">
        <f ca="1">IF(PERFORMANCE!D8&gt;0,
IF(PERFORMANCE!D8&lt;Table1[[#This Row],[ActDate]],Table1[NetPrem],""),
IF(TODAY()&lt;Table1[[#This Row],[ActDate]],Table1[NetPrem],""))</f>
        <v/>
      </c>
      <c r="AG39" s="48">
        <f>IF(Table1[[#This Row],[SYM]]="","",SUMIFS(Table1[NetPrem],Table1[Trade'#],Table1[[#This Row],[Trade'#]],Table1[Leg],"&lt;="&amp;Table1[[#This Row],[Leg]]))</f>
        <v>463.4</v>
      </c>
      <c r="AH39" s="48"/>
    </row>
    <row r="40" spans="1:34" x14ac:dyDescent="0.25">
      <c r="A40" s="15" t="s">
        <v>230</v>
      </c>
      <c r="B40" s="54">
        <v>9</v>
      </c>
      <c r="C40" s="54">
        <v>1</v>
      </c>
      <c r="D40" s="15" t="s">
        <v>30</v>
      </c>
      <c r="E40" s="61">
        <v>44294</v>
      </c>
      <c r="F40" s="61">
        <v>44322</v>
      </c>
      <c r="G40" s="61">
        <v>44323</v>
      </c>
      <c r="H40" s="54">
        <v>25</v>
      </c>
      <c r="I40" s="54"/>
      <c r="J40" s="53">
        <v>10</v>
      </c>
      <c r="K40" s="57">
        <v>433.34</v>
      </c>
      <c r="M40" t="s">
        <v>152</v>
      </c>
      <c r="N40" t="e">
        <f>RTD("tos.rtd",,"last", "CCL")</f>
        <v>#N/A</v>
      </c>
      <c r="O40" t="e">
        <f>RTD("tos.rtd",,"ASK",".CCL21057P25")</f>
        <v>#N/A</v>
      </c>
      <c r="P40" s="10">
        <f>IF(Table1[[#This Row],[TransType]]="LS", Table1[[#This Row],[OpnPrem]]+Table1[[#This Row],[ClsPrem]],
                                            IF(Table1[[#This Row],[TransType]]="AS", Table1[[#This Row],[OpnPrem]]+Table1[[#This Row],[ClsPrem]],
                                               Table1[[#This Row],[OpnPrem]]-Table1[[#This Row],[ClsPrem]]))</f>
        <v>433.34</v>
      </c>
      <c r="Q40" s="59">
        <f>IF(Table1[[#This Row],[SYM]]="","",SUMIFS(Table1[NetPrem],Table1[Trade'#],Table1[[#This Row],[Trade'#]],Table1[Leg],"&lt;="&amp;Table1[[#This Row],[Leg]]))</f>
        <v>433.34</v>
      </c>
      <c r="R40" s="11">
        <f t="shared" ca="1" si="0"/>
        <v>28</v>
      </c>
      <c r="S40"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25000</v>
      </c>
      <c r="T40" s="11" t="str">
        <f>IF(Table1[[#This Row],[CloseDate]]&gt;0,"",Table1[Cap])</f>
        <v/>
      </c>
      <c r="U40" s="11" t="str">
        <f>IF(Table1[[#This Row],[CloseDate]]&gt;0,"",
IF(Table1[[#This Row],[TransType]]="BC","",
IF(Table1[[#This Row],[TransType]]="BP",100*Table1[[#This Row],[Strike]]*Table1[[#This Row],['#Contracts]],
Table1[Cap])))</f>
        <v/>
      </c>
      <c r="V40" s="11">
        <f ca="1">IF(Table1[[#This Row],[SYM]]="","",Table1[[#This Row],[Cap]]*Table1[[#This Row],[Days]])</f>
        <v>700000</v>
      </c>
      <c r="W40" s="11">
        <f ca="1">IF(Table1[[#This Row],[SYM]]="","",SUMIFS(Table1[CapDays],Table1[Trade'#],Table1[[#This Row],[Trade'#]],Table1[Leg],"&lt;="&amp;Table1[[#This Row],[Leg]]))</f>
        <v>700000</v>
      </c>
      <c r="X40" s="60">
        <f ca="1">IF(Table1[[#This Row],[TotCapDays]],365*Table1[[#This Row],[TotPrem]]/Table1[[#This Row],[TotCapDays]],"")</f>
        <v>0.2259558571428571</v>
      </c>
      <c r="Y40" s="10">
        <f>IF(Table1[[#This Row],[SYM]]="","",
IF(Table1[[#This Row],[TransType]]="LS",Table1[[#This Row],[Strike]]-Table1[[#This Row],[TotPrem]]/Table1[[#This Row],['#Contracts]],
IF(Table1[[#This Row],['#Contracts]],Table1[[#This Row],[Strike]]-Table1[[#This Row],[TotPrem]]/Table1[[#This Row],['#Contracts]]/100,"")))</f>
        <v>24.566659999999999</v>
      </c>
      <c r="Z40" s="11" t="str">
        <f>IF(Table1[[#This Row],[CloseDate]]&gt;0,"",
IF(Table1[[#This Row],[TransType]]="LS",Table1['#Contracts],
IF(Table1[[#This Row],[TransType]]="AS",100*Table1[[#This Row],['#Contracts]],
IF(Table1[[#This Row],[TransType]]="SP",100*Table1[[#This Row],['#Contracts]],
IF(Table1[[#This Row],[TransType]]="BP",100*Table1[[#This Row],['#Contracts]],"")))))</f>
        <v/>
      </c>
      <c r="AA40" s="58">
        <f ca="1">IF(Table1[[#This Row],[CloseDate]]&gt;0,Table1[CloseDate],
IF(Table1[[#This Row],[ExpDate]]&gt;0,Table1[ExpDate],
TODAY()))</f>
        <v>44322</v>
      </c>
      <c r="AB40" s="10">
        <f ca="1">IF(PERFORMANCE!D8&gt;0,
IF(PERFORMANCE!D8&lt;Table1[[#This Row],[ActDate]],"",Table1[NetPrem]),
IF(TODAY()&lt;Table1[[#This Row],[ActDate]],"",Table1[NetPrem]))</f>
        <v>433.34</v>
      </c>
      <c r="AC40" s="10">
        <f ca="1">IF(PERFORMANCE!D8&gt;0,
IF(PERFORMANCE!D8&lt;Table1[[#This Row],[ActDate]],"",
IF(PERFORMANCE!D8 - Table1[[#This Row],[ActDate]]&lt;366,Table1[NetPrem],"")),
IF(TODAY()&lt;Table1[[#This Row],[ActDate]],"",
IF(TODAY() - Table1[[#This Row],[ActDate]]&lt;366,Table1[NetPrem],"")))</f>
        <v>433.34</v>
      </c>
      <c r="AD40" s="10">
        <f ca="1">IF(PERFORMANCE!D8&gt;0,
IF(PERFORMANCE!D8&lt;Table1[[#This Row],[ActDate]],"",
IF(YEAR(PERFORMANCE!D8)=YEAR(Table1[[#This Row],[ActDate]]),Table1[NetPrem],"")),
IF(TODAY()&lt;Table1[[#This Row],[ActDate]],"",
IF(YEAR(TODAY())=YEAR(Table1[[#This Row],[ActDate]]),Table1[NetPrem],"")))</f>
        <v>433.34</v>
      </c>
      <c r="AE40" s="10" t="str">
        <f ca="1">IF(PERFORMANCE!D8&gt;0,
IF(PERFORMANCE!D8&lt;Table1[[#This Row],[ActDate]],Table1[NetPrem],""),
IF(TODAY()&lt;Table1[[#This Row],[ActDate]],Table1[NetPrem],""))</f>
        <v/>
      </c>
      <c r="AG40" s="48">
        <f>IF(Table1[[#This Row],[SYM]]="","",SUMIFS(Table1[NetPrem],Table1[Trade'#],Table1[[#This Row],[Trade'#]],Table1[Leg],"&lt;="&amp;Table1[[#This Row],[Leg]]))</f>
        <v>433.34</v>
      </c>
      <c r="AH40" s="48"/>
    </row>
    <row r="41" spans="1:34" x14ac:dyDescent="0.25">
      <c r="A41" s="15" t="s">
        <v>231</v>
      </c>
      <c r="B41" s="54">
        <v>9</v>
      </c>
      <c r="C41" s="54">
        <v>2</v>
      </c>
      <c r="D41" s="15" t="s">
        <v>30</v>
      </c>
      <c r="E41" s="61">
        <v>44319</v>
      </c>
      <c r="F41" s="61">
        <v>44322</v>
      </c>
      <c r="G41" s="61">
        <v>44323</v>
      </c>
      <c r="H41" s="54">
        <v>25</v>
      </c>
      <c r="I41" s="54"/>
      <c r="J41" s="53">
        <v>10</v>
      </c>
      <c r="K41" s="57">
        <v>-40.14</v>
      </c>
      <c r="M41" t="s">
        <v>152</v>
      </c>
      <c r="N41" t="e">
        <f>RTD("tos.rtd",,"last", "CCL")</f>
        <v>#N/A</v>
      </c>
      <c r="O41" t="e">
        <f>RTD("tos.rtd",,"ASK",".CCL21057P25")</f>
        <v>#N/A</v>
      </c>
      <c r="P41" s="10">
        <f>IF(Table1[[#This Row],[TransType]]="LS", Table1[[#This Row],[OpnPrem]]+Table1[[#This Row],[ClsPrem]],
                                            IF(Table1[[#This Row],[TransType]]="AS", Table1[[#This Row],[OpnPrem]]+Table1[[#This Row],[ClsPrem]],
                                               Table1[[#This Row],[OpnPrem]]-Table1[[#This Row],[ClsPrem]]))</f>
        <v>-40.14</v>
      </c>
      <c r="Q41" s="59">
        <f>IF(Table1[[#This Row],[SYM]]="","",SUMIFS(Table1[NetPrem],Table1[Trade'#],Table1[[#This Row],[Trade'#]],Table1[Leg],"&lt;="&amp;Table1[[#This Row],[Leg]]))</f>
        <v>393.2</v>
      </c>
      <c r="R41" s="11">
        <f t="shared" ref="R41:R72" ca="1" si="1">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3</v>
      </c>
      <c r="S41"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25000</v>
      </c>
      <c r="T41" s="11" t="str">
        <f>IF(Table1[[#This Row],[CloseDate]]&gt;0,"",Table1[Cap])</f>
        <v/>
      </c>
      <c r="U41" s="11" t="str">
        <f>IF(Table1[[#This Row],[CloseDate]]&gt;0,"",
IF(Table1[[#This Row],[TransType]]="BC","",
IF(Table1[[#This Row],[TransType]]="BP",100*Table1[[#This Row],[Strike]]*Table1[[#This Row],['#Contracts]],
Table1[Cap])))</f>
        <v/>
      </c>
      <c r="V41" s="11">
        <f ca="1">IF(Table1[[#This Row],[SYM]]="","",Table1[[#This Row],[Cap]]*Table1[[#This Row],[Days]])</f>
        <v>75000</v>
      </c>
      <c r="W41" s="11">
        <f ca="1">IF(Table1[[#This Row],[SYM]]="","",SUMIFS(Table1[CapDays],Table1[Trade'#],Table1[[#This Row],[Trade'#]],Table1[Leg],"&lt;="&amp;Table1[[#This Row],[Leg]]))</f>
        <v>775000</v>
      </c>
      <c r="X41" s="60">
        <f ca="1">IF(Table1[[#This Row],[TotCapDays]],365*Table1[[#This Row],[TotPrem]]/Table1[[#This Row],[TotCapDays]],"")</f>
        <v>0.18518451612903225</v>
      </c>
      <c r="Y41" s="10">
        <f>IF(Table1[[#This Row],[SYM]]="","",
IF(Table1[[#This Row],[TransType]]="LS",Table1[[#This Row],[Strike]]-Table1[[#This Row],[TotPrem]]/Table1[[#This Row],['#Contracts]],
IF(Table1[[#This Row],['#Contracts]],Table1[[#This Row],[Strike]]-Table1[[#This Row],[TotPrem]]/Table1[[#This Row],['#Contracts]]/100,"")))</f>
        <v>24.6068</v>
      </c>
      <c r="Z41" s="11" t="str">
        <f>IF(Table1[[#This Row],[CloseDate]]&gt;0,"",
IF(Table1[[#This Row],[TransType]]="LS",Table1['#Contracts],
IF(Table1[[#This Row],[TransType]]="AS",100*Table1[[#This Row],['#Contracts]],
IF(Table1[[#This Row],[TransType]]="SP",100*Table1[[#This Row],['#Contracts]],
IF(Table1[[#This Row],[TransType]]="BP",100*Table1[[#This Row],['#Contracts]],"")))))</f>
        <v/>
      </c>
      <c r="AA41" s="58">
        <f ca="1">IF(Table1[[#This Row],[CloseDate]]&gt;0,Table1[CloseDate],
IF(Table1[[#This Row],[ExpDate]]&gt;0,Table1[ExpDate],
TODAY()))</f>
        <v>44322</v>
      </c>
      <c r="AB41" s="10">
        <f ca="1">IF(PERFORMANCE!D8&gt;0,
IF(PERFORMANCE!D8&lt;Table1[[#This Row],[ActDate]],"",Table1[NetPrem]),
IF(TODAY()&lt;Table1[[#This Row],[ActDate]],"",Table1[NetPrem]))</f>
        <v>-40.14</v>
      </c>
      <c r="AC41" s="10">
        <f ca="1">IF(PERFORMANCE!D8&gt;0,
IF(PERFORMANCE!D8&lt;Table1[[#This Row],[ActDate]],"",
IF(PERFORMANCE!D8 - Table1[[#This Row],[ActDate]]&lt;366,Table1[NetPrem],"")),
IF(TODAY()&lt;Table1[[#This Row],[ActDate]],"",
IF(TODAY() - Table1[[#This Row],[ActDate]]&lt;366,Table1[NetPrem],"")))</f>
        <v>-40.14</v>
      </c>
      <c r="AD41" s="10">
        <f ca="1">IF(PERFORMANCE!D8&gt;0,
IF(PERFORMANCE!D8&lt;Table1[[#This Row],[ActDate]],"",
IF(YEAR(PERFORMANCE!D8)=YEAR(Table1[[#This Row],[ActDate]]),Table1[NetPrem],"")),
IF(TODAY()&lt;Table1[[#This Row],[ActDate]],"",
IF(YEAR(TODAY())=YEAR(Table1[[#This Row],[ActDate]]),Table1[NetPrem],"")))</f>
        <v>-40.14</v>
      </c>
      <c r="AE41" s="10" t="str">
        <f ca="1">IF(PERFORMANCE!D8&gt;0,
IF(PERFORMANCE!D8&lt;Table1[[#This Row],[ActDate]],Table1[NetPrem],""),
IF(TODAY()&lt;Table1[[#This Row],[ActDate]],Table1[NetPrem],""))</f>
        <v/>
      </c>
      <c r="AG41" s="48">
        <f>IF(Table1[[#This Row],[SYM]]="","",SUMIFS(Table1[NetPrem],Table1[Trade'#],Table1[[#This Row],[Trade'#]],Table1[Leg],"&lt;="&amp;Table1[[#This Row],[Leg]]))</f>
        <v>393.2</v>
      </c>
      <c r="AH41" s="48"/>
    </row>
    <row r="42" spans="1:34" x14ac:dyDescent="0.25">
      <c r="A42" s="15" t="s">
        <v>232</v>
      </c>
      <c r="B42" s="54">
        <v>10</v>
      </c>
      <c r="C42" s="54">
        <v>1</v>
      </c>
      <c r="D42" s="15" t="s">
        <v>30</v>
      </c>
      <c r="E42" s="61">
        <v>44295</v>
      </c>
      <c r="F42" s="61">
        <v>44313</v>
      </c>
      <c r="G42" s="61">
        <v>44316</v>
      </c>
      <c r="H42" s="54">
        <v>13</v>
      </c>
      <c r="I42" s="54"/>
      <c r="J42" s="53">
        <v>3</v>
      </c>
      <c r="K42" s="57">
        <v>103</v>
      </c>
      <c r="M42" t="s">
        <v>148</v>
      </c>
      <c r="N42" t="e">
        <f>RTD("tos.rtd",,"last", "GE")</f>
        <v>#N/A</v>
      </c>
      <c r="O42" t="e">
        <f>RTD("tos.rtd",,"ASK",".GE210430P13")</f>
        <v>#N/A</v>
      </c>
      <c r="P42" s="10">
        <f>IF(Table1[[#This Row],[TransType]]="LS", Table1[[#This Row],[OpnPrem]]+Table1[[#This Row],[ClsPrem]],
                                            IF(Table1[[#This Row],[TransType]]="AS", Table1[[#This Row],[OpnPrem]]+Table1[[#This Row],[ClsPrem]],
                                               Table1[[#This Row],[OpnPrem]]-Table1[[#This Row],[ClsPrem]]))</f>
        <v>103</v>
      </c>
      <c r="Q42" s="59">
        <f>IF(Table1[[#This Row],[SYM]]="","",SUMIFS(Table1[NetPrem],Table1[Trade'#],Table1[[#This Row],[Trade'#]],Table1[Leg],"&lt;="&amp;Table1[[#This Row],[Leg]]))</f>
        <v>103</v>
      </c>
      <c r="R42" s="11">
        <f t="shared" ca="1" si="1"/>
        <v>18</v>
      </c>
      <c r="S42"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3900</v>
      </c>
      <c r="T42" s="11" t="str">
        <f>IF(Table1[[#This Row],[CloseDate]]&gt;0,"",Table1[Cap])</f>
        <v/>
      </c>
      <c r="U42" s="11" t="str">
        <f>IF(Table1[[#This Row],[CloseDate]]&gt;0,"",
IF(Table1[[#This Row],[TransType]]="BC","",
IF(Table1[[#This Row],[TransType]]="BP",100*Table1[[#This Row],[Strike]]*Table1[[#This Row],['#Contracts]],
Table1[Cap])))</f>
        <v/>
      </c>
      <c r="V42" s="11">
        <f ca="1">IF(Table1[[#This Row],[SYM]]="","",Table1[[#This Row],[Cap]]*Table1[[#This Row],[Days]])</f>
        <v>70200</v>
      </c>
      <c r="W42" s="11">
        <f ca="1">IF(Table1[[#This Row],[SYM]]="","",SUMIFS(Table1[CapDays],Table1[Trade'#],Table1[[#This Row],[Trade'#]],Table1[Leg],"&lt;="&amp;Table1[[#This Row],[Leg]]))</f>
        <v>70200</v>
      </c>
      <c r="X42" s="60">
        <f ca="1">IF(Table1[[#This Row],[TotCapDays]],365*Table1[[#This Row],[TotPrem]]/Table1[[#This Row],[TotCapDays]],"")</f>
        <v>0.53554131054131049</v>
      </c>
      <c r="Y42" s="10">
        <f>IF(Table1[[#This Row],[SYM]]="","",
IF(Table1[[#This Row],[TransType]]="LS",Table1[[#This Row],[Strike]]-Table1[[#This Row],[TotPrem]]/Table1[[#This Row],['#Contracts]],
IF(Table1[[#This Row],['#Contracts]],Table1[[#This Row],[Strike]]-Table1[[#This Row],[TotPrem]]/Table1[[#This Row],['#Contracts]]/100,"")))</f>
        <v>12.656666666666666</v>
      </c>
      <c r="Z42" s="11" t="str">
        <f>IF(Table1[[#This Row],[CloseDate]]&gt;0,"",
IF(Table1[[#This Row],[TransType]]="LS",Table1['#Contracts],
IF(Table1[[#This Row],[TransType]]="AS",100*Table1[[#This Row],['#Contracts]],
IF(Table1[[#This Row],[TransType]]="SP",100*Table1[[#This Row],['#Contracts]],
IF(Table1[[#This Row],[TransType]]="BP",100*Table1[[#This Row],['#Contracts]],"")))))</f>
        <v/>
      </c>
      <c r="AA42" s="58">
        <f ca="1">IF(Table1[[#This Row],[CloseDate]]&gt;0,Table1[CloseDate],
IF(Table1[[#This Row],[ExpDate]]&gt;0,Table1[ExpDate],
TODAY()))</f>
        <v>44313</v>
      </c>
      <c r="AB42" s="10">
        <f ca="1">IF(PERFORMANCE!D8&gt;0,
IF(PERFORMANCE!D8&lt;Table1[[#This Row],[ActDate]],"",Table1[NetPrem]),
IF(TODAY()&lt;Table1[[#This Row],[ActDate]],"",Table1[NetPrem]))</f>
        <v>103</v>
      </c>
      <c r="AC42" s="10">
        <f ca="1">IF(PERFORMANCE!D8&gt;0,
IF(PERFORMANCE!D8&lt;Table1[[#This Row],[ActDate]],"",
IF(PERFORMANCE!D8 - Table1[[#This Row],[ActDate]]&lt;366,Table1[NetPrem],"")),
IF(TODAY()&lt;Table1[[#This Row],[ActDate]],"",
IF(TODAY() - Table1[[#This Row],[ActDate]]&lt;366,Table1[NetPrem],"")))</f>
        <v>103</v>
      </c>
      <c r="AD42" s="10">
        <f ca="1">IF(PERFORMANCE!D8&gt;0,
IF(PERFORMANCE!D8&lt;Table1[[#This Row],[ActDate]],"",
IF(YEAR(PERFORMANCE!D8)=YEAR(Table1[[#This Row],[ActDate]]),Table1[NetPrem],"")),
IF(TODAY()&lt;Table1[[#This Row],[ActDate]],"",
IF(YEAR(TODAY())=YEAR(Table1[[#This Row],[ActDate]]),Table1[NetPrem],"")))</f>
        <v>103</v>
      </c>
      <c r="AE42" s="10" t="str">
        <f ca="1">IF(PERFORMANCE!D8&gt;0,
IF(PERFORMANCE!D8&lt;Table1[[#This Row],[ActDate]],Table1[NetPrem],""),
IF(TODAY()&lt;Table1[[#This Row],[ActDate]],Table1[NetPrem],""))</f>
        <v/>
      </c>
      <c r="AG42" s="48">
        <f>IF(Table1[[#This Row],[SYM]]="","",SUMIFS(Table1[NetPrem],Table1[Trade'#],Table1[[#This Row],[Trade'#]],Table1[Leg],"&lt;="&amp;Table1[[#This Row],[Leg]]))</f>
        <v>103</v>
      </c>
      <c r="AH42" s="48"/>
    </row>
    <row r="43" spans="1:34" x14ac:dyDescent="0.25">
      <c r="A43" s="15" t="s">
        <v>233</v>
      </c>
      <c r="B43" s="54">
        <v>10</v>
      </c>
      <c r="C43" s="54">
        <v>2</v>
      </c>
      <c r="D43" s="15" t="s">
        <v>30</v>
      </c>
      <c r="E43" s="61">
        <v>44313</v>
      </c>
      <c r="F43" s="61">
        <v>44313</v>
      </c>
      <c r="G43" s="61">
        <v>44316</v>
      </c>
      <c r="H43" s="54">
        <v>13</v>
      </c>
      <c r="I43" s="54"/>
      <c r="J43" s="53">
        <v>2</v>
      </c>
      <c r="K43" s="57">
        <v>-19.329999999999998</v>
      </c>
      <c r="M43" t="s">
        <v>148</v>
      </c>
      <c r="N43" t="e">
        <f>RTD("tos.rtd",,"last", "GE")</f>
        <v>#N/A</v>
      </c>
      <c r="O43" t="e">
        <f>RTD("tos.rtd",,"ASK",".GE210430P13")</f>
        <v>#N/A</v>
      </c>
      <c r="P43" s="10">
        <f>IF(Table1[[#This Row],[TransType]]="LS", Table1[[#This Row],[OpnPrem]]+Table1[[#This Row],[ClsPrem]],
                                            IF(Table1[[#This Row],[TransType]]="AS", Table1[[#This Row],[OpnPrem]]+Table1[[#This Row],[ClsPrem]],
                                               Table1[[#This Row],[OpnPrem]]-Table1[[#This Row],[ClsPrem]]))</f>
        <v>-19.329999999999998</v>
      </c>
      <c r="Q43" s="59">
        <f>IF(Table1[[#This Row],[SYM]]="","",SUMIFS(Table1[NetPrem],Table1[Trade'#],Table1[[#This Row],[Trade'#]],Table1[Leg],"&lt;="&amp;Table1[[#This Row],[Leg]]))</f>
        <v>83.67</v>
      </c>
      <c r="R43" s="11">
        <f t="shared" ca="1" si="1"/>
        <v>1</v>
      </c>
      <c r="S43"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2600</v>
      </c>
      <c r="T43" s="11" t="str">
        <f>IF(Table1[[#This Row],[CloseDate]]&gt;0,"",Table1[Cap])</f>
        <v/>
      </c>
      <c r="U43" s="11" t="str">
        <f>IF(Table1[[#This Row],[CloseDate]]&gt;0,"",
IF(Table1[[#This Row],[TransType]]="BC","",
IF(Table1[[#This Row],[TransType]]="BP",100*Table1[[#This Row],[Strike]]*Table1[[#This Row],['#Contracts]],
Table1[Cap])))</f>
        <v/>
      </c>
      <c r="V43" s="11">
        <f ca="1">IF(Table1[[#This Row],[SYM]]="","",Table1[[#This Row],[Cap]]*Table1[[#This Row],[Days]])</f>
        <v>2600</v>
      </c>
      <c r="W43" s="11">
        <f ca="1">IF(Table1[[#This Row],[SYM]]="","",SUMIFS(Table1[CapDays],Table1[Trade'#],Table1[[#This Row],[Trade'#]],Table1[Leg],"&lt;="&amp;Table1[[#This Row],[Leg]]))</f>
        <v>72800</v>
      </c>
      <c r="X43" s="60">
        <f ca="1">IF(Table1[[#This Row],[TotCapDays]],365*Table1[[#This Row],[TotPrem]]/Table1[[#This Row],[TotCapDays]],"")</f>
        <v>0.41949931318681316</v>
      </c>
      <c r="Y43" s="10">
        <f>IF(Table1[[#This Row],[SYM]]="","",
IF(Table1[[#This Row],[TransType]]="LS",Table1[[#This Row],[Strike]]-Table1[[#This Row],[TotPrem]]/Table1[[#This Row],['#Contracts]],
IF(Table1[[#This Row],['#Contracts]],Table1[[#This Row],[Strike]]-Table1[[#This Row],[TotPrem]]/Table1[[#This Row],['#Contracts]]/100,"")))</f>
        <v>12.58165</v>
      </c>
      <c r="Z43" s="11" t="str">
        <f>IF(Table1[[#This Row],[CloseDate]]&gt;0,"",
IF(Table1[[#This Row],[TransType]]="LS",Table1['#Contracts],
IF(Table1[[#This Row],[TransType]]="AS",100*Table1[[#This Row],['#Contracts]],
IF(Table1[[#This Row],[TransType]]="SP",100*Table1[[#This Row],['#Contracts]],
IF(Table1[[#This Row],[TransType]]="BP",100*Table1[[#This Row],['#Contracts]],"")))))</f>
        <v/>
      </c>
      <c r="AA43" s="58">
        <f ca="1">IF(Table1[[#This Row],[CloseDate]]&gt;0,Table1[CloseDate],
IF(Table1[[#This Row],[ExpDate]]&gt;0,Table1[ExpDate],
TODAY()))</f>
        <v>44313</v>
      </c>
      <c r="AB43" s="10">
        <f ca="1">IF(PERFORMANCE!D8&gt;0,
IF(PERFORMANCE!D8&lt;Table1[[#This Row],[ActDate]],"",Table1[NetPrem]),
IF(TODAY()&lt;Table1[[#This Row],[ActDate]],"",Table1[NetPrem]))</f>
        <v>-19.329999999999998</v>
      </c>
      <c r="AC43" s="10">
        <f ca="1">IF(PERFORMANCE!D8&gt;0,
IF(PERFORMANCE!D8&lt;Table1[[#This Row],[ActDate]],"",
IF(PERFORMANCE!D8 - Table1[[#This Row],[ActDate]]&lt;366,Table1[NetPrem],"")),
IF(TODAY()&lt;Table1[[#This Row],[ActDate]],"",
IF(TODAY() - Table1[[#This Row],[ActDate]]&lt;366,Table1[NetPrem],"")))</f>
        <v>-19.329999999999998</v>
      </c>
      <c r="AD43" s="10">
        <f ca="1">IF(PERFORMANCE!D8&gt;0,
IF(PERFORMANCE!D8&lt;Table1[[#This Row],[ActDate]],"",
IF(YEAR(PERFORMANCE!D8)=YEAR(Table1[[#This Row],[ActDate]]),Table1[NetPrem],"")),
IF(TODAY()&lt;Table1[[#This Row],[ActDate]],"",
IF(YEAR(TODAY())=YEAR(Table1[[#This Row],[ActDate]]),Table1[NetPrem],"")))</f>
        <v>-19.329999999999998</v>
      </c>
      <c r="AE43" s="10" t="str">
        <f ca="1">IF(PERFORMANCE!D8&gt;0,
IF(PERFORMANCE!D8&lt;Table1[[#This Row],[ActDate]],Table1[NetPrem],""),
IF(TODAY()&lt;Table1[[#This Row],[ActDate]],Table1[NetPrem],""))</f>
        <v/>
      </c>
      <c r="AG43" s="48">
        <f>IF(Table1[[#This Row],[SYM]]="","",SUMIFS(Table1[NetPrem],Table1[Trade'#],Table1[[#This Row],[Trade'#]],Table1[Leg],"&lt;="&amp;Table1[[#This Row],[Leg]]))</f>
        <v>83.67</v>
      </c>
      <c r="AH43" s="48"/>
    </row>
    <row r="44" spans="1:34" x14ac:dyDescent="0.25">
      <c r="A44" s="15" t="s">
        <v>234</v>
      </c>
      <c r="B44" s="54">
        <v>10</v>
      </c>
      <c r="C44" s="54">
        <v>3</v>
      </c>
      <c r="D44" s="15" t="s">
        <v>30</v>
      </c>
      <c r="E44" s="61">
        <v>44313</v>
      </c>
      <c r="F44" s="61">
        <v>44313</v>
      </c>
      <c r="G44" s="61">
        <v>44316</v>
      </c>
      <c r="H44" s="54">
        <v>13</v>
      </c>
      <c r="I44" s="54"/>
      <c r="J44" s="53">
        <v>1</v>
      </c>
      <c r="K44" s="57">
        <v>-9.66</v>
      </c>
      <c r="M44" t="s">
        <v>148</v>
      </c>
      <c r="N44" t="e">
        <f>RTD("tos.rtd",,"last", "GE")</f>
        <v>#N/A</v>
      </c>
      <c r="O44" t="e">
        <f>RTD("tos.rtd",,"ASK",".GE210430P13")</f>
        <v>#N/A</v>
      </c>
      <c r="P44" s="10">
        <f>IF(Table1[[#This Row],[TransType]]="LS", Table1[[#This Row],[OpnPrem]]+Table1[[#This Row],[ClsPrem]],
                                            IF(Table1[[#This Row],[TransType]]="AS", Table1[[#This Row],[OpnPrem]]+Table1[[#This Row],[ClsPrem]],
                                               Table1[[#This Row],[OpnPrem]]-Table1[[#This Row],[ClsPrem]]))</f>
        <v>-9.66</v>
      </c>
      <c r="Q44" s="59">
        <f>IF(Table1[[#This Row],[SYM]]="","",SUMIFS(Table1[NetPrem],Table1[Trade'#],Table1[[#This Row],[Trade'#]],Table1[Leg],"&lt;="&amp;Table1[[#This Row],[Leg]]))</f>
        <v>74.010000000000005</v>
      </c>
      <c r="R44" s="11">
        <f t="shared" ca="1" si="1"/>
        <v>1</v>
      </c>
      <c r="S44"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1300</v>
      </c>
      <c r="T44" s="11" t="str">
        <f>IF(Table1[[#This Row],[CloseDate]]&gt;0,"",Table1[Cap])</f>
        <v/>
      </c>
      <c r="U44" s="11" t="str">
        <f>IF(Table1[[#This Row],[CloseDate]]&gt;0,"",
IF(Table1[[#This Row],[TransType]]="BC","",
IF(Table1[[#This Row],[TransType]]="BP",100*Table1[[#This Row],[Strike]]*Table1[[#This Row],['#Contracts]],
Table1[Cap])))</f>
        <v/>
      </c>
      <c r="V44" s="11">
        <f ca="1">IF(Table1[[#This Row],[SYM]]="","",Table1[[#This Row],[Cap]]*Table1[[#This Row],[Days]])</f>
        <v>1300</v>
      </c>
      <c r="W44" s="11">
        <f ca="1">IF(Table1[[#This Row],[SYM]]="","",SUMIFS(Table1[CapDays],Table1[Trade'#],Table1[[#This Row],[Trade'#]],Table1[Leg],"&lt;="&amp;Table1[[#This Row],[Leg]]))</f>
        <v>74100</v>
      </c>
      <c r="X44" s="60">
        <f ca="1">IF(Table1[[#This Row],[TotCapDays]],365*Table1[[#This Row],[TotPrem]]/Table1[[#This Row],[TotCapDays]],"")</f>
        <v>0.36455668016194331</v>
      </c>
      <c r="Y44" s="10">
        <f>IF(Table1[[#This Row],[SYM]]="","",
IF(Table1[[#This Row],[TransType]]="LS",Table1[[#This Row],[Strike]]-Table1[[#This Row],[TotPrem]]/Table1[[#This Row],['#Contracts]],
IF(Table1[[#This Row],['#Contracts]],Table1[[#This Row],[Strike]]-Table1[[#This Row],[TotPrem]]/Table1[[#This Row],['#Contracts]]/100,"")))</f>
        <v>12.2599</v>
      </c>
      <c r="Z44" s="11" t="str">
        <f>IF(Table1[[#This Row],[CloseDate]]&gt;0,"",
IF(Table1[[#This Row],[TransType]]="LS",Table1['#Contracts],
IF(Table1[[#This Row],[TransType]]="AS",100*Table1[[#This Row],['#Contracts]],
IF(Table1[[#This Row],[TransType]]="SP",100*Table1[[#This Row],['#Contracts]],
IF(Table1[[#This Row],[TransType]]="BP",100*Table1[[#This Row],['#Contracts]],"")))))</f>
        <v/>
      </c>
      <c r="AA44" s="58">
        <f ca="1">IF(Table1[[#This Row],[CloseDate]]&gt;0,Table1[CloseDate],
IF(Table1[[#This Row],[ExpDate]]&gt;0,Table1[ExpDate],
TODAY()))</f>
        <v>44313</v>
      </c>
      <c r="AB44" s="10">
        <f ca="1">IF(PERFORMANCE!D8&gt;0,
IF(PERFORMANCE!D8&lt;Table1[[#This Row],[ActDate]],"",Table1[NetPrem]),
IF(TODAY()&lt;Table1[[#This Row],[ActDate]],"",Table1[NetPrem]))</f>
        <v>-9.66</v>
      </c>
      <c r="AC44" s="10">
        <f ca="1">IF(PERFORMANCE!D8&gt;0,
IF(PERFORMANCE!D8&lt;Table1[[#This Row],[ActDate]],"",
IF(PERFORMANCE!D8 - Table1[[#This Row],[ActDate]]&lt;366,Table1[NetPrem],"")),
IF(TODAY()&lt;Table1[[#This Row],[ActDate]],"",
IF(TODAY() - Table1[[#This Row],[ActDate]]&lt;366,Table1[NetPrem],"")))</f>
        <v>-9.66</v>
      </c>
      <c r="AD44" s="10">
        <f ca="1">IF(PERFORMANCE!D8&gt;0,
IF(PERFORMANCE!D8&lt;Table1[[#This Row],[ActDate]],"",
IF(YEAR(PERFORMANCE!D8)=YEAR(Table1[[#This Row],[ActDate]]),Table1[NetPrem],"")),
IF(TODAY()&lt;Table1[[#This Row],[ActDate]],"",
IF(YEAR(TODAY())=YEAR(Table1[[#This Row],[ActDate]]),Table1[NetPrem],"")))</f>
        <v>-9.66</v>
      </c>
      <c r="AE44" s="10" t="str">
        <f ca="1">IF(PERFORMANCE!D8&gt;0,
IF(PERFORMANCE!D8&lt;Table1[[#This Row],[ActDate]],Table1[NetPrem],""),
IF(TODAY()&lt;Table1[[#This Row],[ActDate]],Table1[NetPrem],""))</f>
        <v/>
      </c>
      <c r="AG44" s="48">
        <f>IF(Table1[[#This Row],[SYM]]="","",SUMIFS(Table1[NetPrem],Table1[Trade'#],Table1[[#This Row],[Trade'#]],Table1[Leg],"&lt;="&amp;Table1[[#This Row],[Leg]]))</f>
        <v>74.010000000000005</v>
      </c>
      <c r="AH44" s="48"/>
    </row>
    <row r="45" spans="1:34" x14ac:dyDescent="0.25">
      <c r="A45" s="15" t="s">
        <v>235</v>
      </c>
      <c r="B45" s="54">
        <v>11</v>
      </c>
      <c r="C45" s="54">
        <v>1</v>
      </c>
      <c r="D45" s="15" t="s">
        <v>30</v>
      </c>
      <c r="E45" s="61">
        <v>44305</v>
      </c>
      <c r="F45" s="61">
        <v>44330</v>
      </c>
      <c r="G45" s="61">
        <v>44337</v>
      </c>
      <c r="H45" s="54">
        <v>48</v>
      </c>
      <c r="I45" s="54"/>
      <c r="J45" s="53">
        <v>4</v>
      </c>
      <c r="K45" s="57">
        <v>237.33</v>
      </c>
      <c r="M45" t="s">
        <v>236</v>
      </c>
      <c r="N45" t="e">
        <f>RTD("tos.rtd",,"last", "CPB")</f>
        <v>#N/A</v>
      </c>
      <c r="O45" t="e">
        <f>RTD("tos.rtd",,"ASK",".CPB210521P48")</f>
        <v>#N/A</v>
      </c>
      <c r="P45" s="10">
        <f>IF(Table1[[#This Row],[TransType]]="LS", Table1[[#This Row],[OpnPrem]]+Table1[[#This Row],[ClsPrem]],
                                            IF(Table1[[#This Row],[TransType]]="AS", Table1[[#This Row],[OpnPrem]]+Table1[[#This Row],[ClsPrem]],
                                               Table1[[#This Row],[OpnPrem]]-Table1[[#This Row],[ClsPrem]]))</f>
        <v>237.33</v>
      </c>
      <c r="Q45" s="59">
        <f>IF(Table1[[#This Row],[SYM]]="","",SUMIFS(Table1[NetPrem],Table1[Trade'#],Table1[[#This Row],[Trade'#]],Table1[Leg],"&lt;="&amp;Table1[[#This Row],[Leg]]))</f>
        <v>237.33</v>
      </c>
      <c r="R45" s="11">
        <f t="shared" ca="1" si="1"/>
        <v>25</v>
      </c>
      <c r="S45"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19200</v>
      </c>
      <c r="T45" s="11" t="str">
        <f>IF(Table1[[#This Row],[CloseDate]]&gt;0,"",Table1[Cap])</f>
        <v/>
      </c>
      <c r="U45" s="11" t="str">
        <f>IF(Table1[[#This Row],[CloseDate]]&gt;0,"",
IF(Table1[[#This Row],[TransType]]="BC","",
IF(Table1[[#This Row],[TransType]]="BP",100*Table1[[#This Row],[Strike]]*Table1[[#This Row],['#Contracts]],
Table1[Cap])))</f>
        <v/>
      </c>
      <c r="V45" s="11">
        <f ca="1">IF(Table1[[#This Row],[SYM]]="","",Table1[[#This Row],[Cap]]*Table1[[#This Row],[Days]])</f>
        <v>480000</v>
      </c>
      <c r="W45" s="11">
        <f ca="1">IF(Table1[[#This Row],[SYM]]="","",SUMIFS(Table1[CapDays],Table1[Trade'#],Table1[[#This Row],[Trade'#]],Table1[Leg],"&lt;="&amp;Table1[[#This Row],[Leg]]))</f>
        <v>480000</v>
      </c>
      <c r="X45" s="60">
        <f ca="1">IF(Table1[[#This Row],[TotCapDays]],365*Table1[[#This Row],[TotPrem]]/Table1[[#This Row],[TotCapDays]],"")</f>
        <v>0.18046968750000003</v>
      </c>
      <c r="Y45" s="10">
        <f>IF(Table1[[#This Row],[SYM]]="","",
IF(Table1[[#This Row],[TransType]]="LS",Table1[[#This Row],[Strike]]-Table1[[#This Row],[TotPrem]]/Table1[[#This Row],['#Contracts]],
IF(Table1[[#This Row],['#Contracts]],Table1[[#This Row],[Strike]]-Table1[[#This Row],[TotPrem]]/Table1[[#This Row],['#Contracts]]/100,"")))</f>
        <v>47.406675</v>
      </c>
      <c r="Z45" s="11" t="str">
        <f>IF(Table1[[#This Row],[CloseDate]]&gt;0,"",
IF(Table1[[#This Row],[TransType]]="LS",Table1['#Contracts],
IF(Table1[[#This Row],[TransType]]="AS",100*Table1[[#This Row],['#Contracts]],
IF(Table1[[#This Row],[TransType]]="SP",100*Table1[[#This Row],['#Contracts]],
IF(Table1[[#This Row],[TransType]]="BP",100*Table1[[#This Row],['#Contracts]],"")))))</f>
        <v/>
      </c>
      <c r="AA45" s="58">
        <f ca="1">IF(Table1[[#This Row],[CloseDate]]&gt;0,Table1[CloseDate],
IF(Table1[[#This Row],[ExpDate]]&gt;0,Table1[ExpDate],
TODAY()))</f>
        <v>44330</v>
      </c>
      <c r="AB45" s="10">
        <f ca="1">IF(PERFORMANCE!D8&gt;0,
IF(PERFORMANCE!D8&lt;Table1[[#This Row],[ActDate]],"",Table1[NetPrem]),
IF(TODAY()&lt;Table1[[#This Row],[ActDate]],"",Table1[NetPrem]))</f>
        <v>237.33</v>
      </c>
      <c r="AC45" s="10">
        <f ca="1">IF(PERFORMANCE!D8&gt;0,
IF(PERFORMANCE!D8&lt;Table1[[#This Row],[ActDate]],"",
IF(PERFORMANCE!D8 - Table1[[#This Row],[ActDate]]&lt;366,Table1[NetPrem],"")),
IF(TODAY()&lt;Table1[[#This Row],[ActDate]],"",
IF(TODAY() - Table1[[#This Row],[ActDate]]&lt;366,Table1[NetPrem],"")))</f>
        <v>237.33</v>
      </c>
      <c r="AD45" s="10">
        <f ca="1">IF(PERFORMANCE!D8&gt;0,
IF(PERFORMANCE!D8&lt;Table1[[#This Row],[ActDate]],"",
IF(YEAR(PERFORMANCE!D8)=YEAR(Table1[[#This Row],[ActDate]]),Table1[NetPrem],"")),
IF(TODAY()&lt;Table1[[#This Row],[ActDate]],"",
IF(YEAR(TODAY())=YEAR(Table1[[#This Row],[ActDate]]),Table1[NetPrem],"")))</f>
        <v>237.33</v>
      </c>
      <c r="AE45" s="10" t="str">
        <f ca="1">IF(PERFORMANCE!D8&gt;0,
IF(PERFORMANCE!D8&lt;Table1[[#This Row],[ActDate]],Table1[NetPrem],""),
IF(TODAY()&lt;Table1[[#This Row],[ActDate]],Table1[NetPrem],""))</f>
        <v/>
      </c>
      <c r="AG45" s="48">
        <f>IF(Table1[[#This Row],[SYM]]="","",SUMIFS(Table1[NetPrem],Table1[Trade'#],Table1[[#This Row],[Trade'#]],Table1[Leg],"&lt;="&amp;Table1[[#This Row],[Leg]]))</f>
        <v>237.33</v>
      </c>
      <c r="AH45" s="48"/>
    </row>
    <row r="46" spans="1:34" x14ac:dyDescent="0.25">
      <c r="A46" s="15" t="s">
        <v>237</v>
      </c>
      <c r="B46" s="54">
        <v>11</v>
      </c>
      <c r="C46" s="54">
        <v>2</v>
      </c>
      <c r="D46" s="15" t="s">
        <v>30</v>
      </c>
      <c r="E46" s="61">
        <v>44330</v>
      </c>
      <c r="F46" s="61">
        <v>44330</v>
      </c>
      <c r="G46" s="61">
        <v>44337</v>
      </c>
      <c r="H46" s="54">
        <v>48</v>
      </c>
      <c r="I46" s="54"/>
      <c r="J46" s="53">
        <v>4</v>
      </c>
      <c r="K46" s="57">
        <v>-62.66</v>
      </c>
      <c r="M46" s="57" t="s">
        <v>236</v>
      </c>
      <c r="N46" t="e">
        <f>RTD("tos.rtd",,"last", "CPB")</f>
        <v>#N/A</v>
      </c>
      <c r="O46" t="e">
        <f>RTD("tos.rtd",,"ASK",".CPB210521P48")</f>
        <v>#N/A</v>
      </c>
      <c r="P46" s="10">
        <f>IF(Table1[[#This Row],[TransType]]="LS", Table1[[#This Row],[OpnPrem]]+Table1[[#This Row],[ClsPrem]],
                                            IF(Table1[[#This Row],[TransType]]="AS", Table1[[#This Row],[OpnPrem]]+Table1[[#This Row],[ClsPrem]],
                                               Table1[[#This Row],[OpnPrem]]-Table1[[#This Row],[ClsPrem]]))</f>
        <v>-62.66</v>
      </c>
      <c r="Q46" s="59">
        <f>IF(Table1[[#This Row],[SYM]]="","",SUMIFS(Table1[NetPrem],Table1[Trade'#],Table1[[#This Row],[Trade'#]],Table1[Leg],"&lt;="&amp;Table1[[#This Row],[Leg]]))</f>
        <v>174.67000000000002</v>
      </c>
      <c r="R46" s="11">
        <f t="shared" ca="1" si="1"/>
        <v>1</v>
      </c>
      <c r="S46"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19200</v>
      </c>
      <c r="T46" s="11" t="str">
        <f>IF(Table1[[#This Row],[CloseDate]]&gt;0,"",Table1[Cap])</f>
        <v/>
      </c>
      <c r="U46" s="11" t="str">
        <f>IF(Table1[[#This Row],[CloseDate]]&gt;0,"",
IF(Table1[[#This Row],[TransType]]="BC","",
IF(Table1[[#This Row],[TransType]]="BP",100*Table1[[#This Row],[Strike]]*Table1[[#This Row],['#Contracts]],
Table1[Cap])))</f>
        <v/>
      </c>
      <c r="V46" s="11">
        <f ca="1">IF(Table1[[#This Row],[SYM]]="","",Table1[[#This Row],[Cap]]*Table1[[#This Row],[Days]])</f>
        <v>19200</v>
      </c>
      <c r="W46" s="11">
        <f ca="1">IF(Table1[[#This Row],[SYM]]="","",SUMIFS(Table1[CapDays],Table1[Trade'#],Table1[[#This Row],[Trade'#]],Table1[Leg],"&lt;="&amp;Table1[[#This Row],[Leg]]))</f>
        <v>499200</v>
      </c>
      <c r="X46" s="60">
        <f ca="1">IF(Table1[[#This Row],[TotCapDays]],365*Table1[[#This Row],[TotPrem]]/Table1[[#This Row],[TotCapDays]],"")</f>
        <v>0.12771344150641026</v>
      </c>
      <c r="Y46" s="10">
        <f>IF(Table1[[#This Row],[SYM]]="","",
IF(Table1[[#This Row],[TransType]]="LS",Table1[[#This Row],[Strike]]-Table1[[#This Row],[TotPrem]]/Table1[[#This Row],['#Contracts]],
IF(Table1[[#This Row],['#Contracts]],Table1[[#This Row],[Strike]]-Table1[[#This Row],[TotPrem]]/Table1[[#This Row],['#Contracts]]/100,"")))</f>
        <v>47.563324999999999</v>
      </c>
      <c r="Z46" s="11" t="str">
        <f>IF(Table1[[#This Row],[CloseDate]]&gt;0,"",
IF(Table1[[#This Row],[TransType]]="LS",Table1['#Contracts],
IF(Table1[[#This Row],[TransType]]="AS",100*Table1[[#This Row],['#Contracts]],
IF(Table1[[#This Row],[TransType]]="SP",100*Table1[[#This Row],['#Contracts]],
IF(Table1[[#This Row],[TransType]]="BP",100*Table1[[#This Row],['#Contracts]],"")))))</f>
        <v/>
      </c>
      <c r="AA46" s="58">
        <f ca="1">IF(Table1[[#This Row],[CloseDate]]&gt;0,Table1[CloseDate],
IF(Table1[[#This Row],[ExpDate]]&gt;0,Table1[ExpDate],
TODAY()))</f>
        <v>44330</v>
      </c>
      <c r="AB46" s="10">
        <f ca="1">IF(PERFORMANCE!D8&gt;0,
IF(PERFORMANCE!D8&lt;Table1[[#This Row],[ActDate]],"",Table1[NetPrem]),
IF(TODAY()&lt;Table1[[#This Row],[ActDate]],"",Table1[NetPrem]))</f>
        <v>-62.66</v>
      </c>
      <c r="AC46" s="10">
        <f ca="1">IF(PERFORMANCE!D8&gt;0,
IF(PERFORMANCE!D8&lt;Table1[[#This Row],[ActDate]],"",
IF(PERFORMANCE!D8 - Table1[[#This Row],[ActDate]]&lt;366,Table1[NetPrem],"")),
IF(TODAY()&lt;Table1[[#This Row],[ActDate]],"",
IF(TODAY() - Table1[[#This Row],[ActDate]]&lt;366,Table1[NetPrem],"")))</f>
        <v>-62.66</v>
      </c>
      <c r="AD46" s="10">
        <f ca="1">IF(PERFORMANCE!D8&gt;0,
IF(PERFORMANCE!D8&lt;Table1[[#This Row],[ActDate]],"",
IF(YEAR(PERFORMANCE!D8)=YEAR(Table1[[#This Row],[ActDate]]),Table1[NetPrem],"")),
IF(TODAY()&lt;Table1[[#This Row],[ActDate]],"",
IF(YEAR(TODAY())=YEAR(Table1[[#This Row],[ActDate]]),Table1[NetPrem],"")))</f>
        <v>-62.66</v>
      </c>
      <c r="AE46" s="10" t="str">
        <f ca="1">IF(PERFORMANCE!D8&gt;0,
IF(PERFORMANCE!D8&lt;Table1[[#This Row],[ActDate]],Table1[NetPrem],""),
IF(TODAY()&lt;Table1[[#This Row],[ActDate]],Table1[NetPrem],""))</f>
        <v/>
      </c>
      <c r="AG46" s="48">
        <f>IF(Table1[[#This Row],[SYM]]="","",SUMIFS(Table1[NetPrem],Table1[Trade'#],Table1[[#This Row],[Trade'#]],Table1[Leg],"&lt;="&amp;Table1[[#This Row],[Leg]]))</f>
        <v>174.67000000000002</v>
      </c>
      <c r="AH46" s="48"/>
    </row>
    <row r="47" spans="1:34" x14ac:dyDescent="0.25">
      <c r="A47" s="15" t="s">
        <v>238</v>
      </c>
      <c r="B47" s="54">
        <v>12</v>
      </c>
      <c r="C47" s="54">
        <v>1</v>
      </c>
      <c r="D47" s="15" t="s">
        <v>30</v>
      </c>
      <c r="E47" s="61">
        <v>44305</v>
      </c>
      <c r="F47" s="61">
        <v>44313</v>
      </c>
      <c r="G47" s="61">
        <v>44337</v>
      </c>
      <c r="H47" s="54">
        <v>40</v>
      </c>
      <c r="I47" s="54"/>
      <c r="J47" s="53">
        <v>3</v>
      </c>
      <c r="K47" s="57">
        <v>238</v>
      </c>
      <c r="M47" s="57" t="s">
        <v>239</v>
      </c>
      <c r="N47" s="54" t="e">
        <f>RTD("tos.rtd",,"last", "GBX")</f>
        <v>#N/A</v>
      </c>
      <c r="O47" s="54" t="e">
        <f>RTD("tos.rtd",,"ASK",".GBX210521P40")</f>
        <v>#N/A</v>
      </c>
      <c r="P47" s="10">
        <f>IF(Table1[[#This Row],[TransType]]="LS", Table1[[#This Row],[OpnPrem]]+Table1[[#This Row],[ClsPrem]],
                                            IF(Table1[[#This Row],[TransType]]="AS", Table1[[#This Row],[OpnPrem]]+Table1[[#This Row],[ClsPrem]],
                                               Table1[[#This Row],[OpnPrem]]-Table1[[#This Row],[ClsPrem]]))</f>
        <v>238</v>
      </c>
      <c r="Q47" s="59">
        <f>IF(Table1[[#This Row],[SYM]]="","",SUMIFS(Table1[NetPrem],Table1[Trade'#],Table1[[#This Row],[Trade'#]],Table1[Leg],"&lt;="&amp;Table1[[#This Row],[Leg]]))</f>
        <v>238</v>
      </c>
      <c r="R47" s="11">
        <f t="shared" ca="1" si="1"/>
        <v>8</v>
      </c>
      <c r="S47"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12000</v>
      </c>
      <c r="T47" s="11" t="str">
        <f>IF(Table1[[#This Row],[CloseDate]]&gt;0,"",Table1[Cap])</f>
        <v/>
      </c>
      <c r="U47" s="11" t="str">
        <f>IF(Table1[[#This Row],[CloseDate]]&gt;0,"",
IF(Table1[[#This Row],[TransType]]="BC","",
IF(Table1[[#This Row],[TransType]]="BP",100*Table1[[#This Row],[Strike]]*Table1[[#This Row],['#Contracts]],
Table1[Cap])))</f>
        <v/>
      </c>
      <c r="V47" s="11">
        <f ca="1">IF(Table1[[#This Row],[SYM]]="","",Table1[[#This Row],[Cap]]*Table1[[#This Row],[Days]])</f>
        <v>96000</v>
      </c>
      <c r="W47" s="11">
        <f ca="1">IF(Table1[[#This Row],[SYM]]="","",SUMIFS(Table1[CapDays],Table1[Trade'#],Table1[[#This Row],[Trade'#]],Table1[Leg],"&lt;="&amp;Table1[[#This Row],[Leg]]))</f>
        <v>96000</v>
      </c>
      <c r="X47" s="60">
        <f ca="1">IF(Table1[[#This Row],[TotCapDays]],365*Table1[[#This Row],[TotPrem]]/Table1[[#This Row],[TotCapDays]],"")</f>
        <v>0.90489583333333334</v>
      </c>
      <c r="Y47" s="10">
        <f>IF(Table1[[#This Row],[SYM]]="","",
IF(Table1[[#This Row],[TransType]]="LS",Table1[[#This Row],[Strike]]-Table1[[#This Row],[TotPrem]]/Table1[[#This Row],['#Contracts]],
IF(Table1[[#This Row],['#Contracts]],Table1[[#This Row],[Strike]]-Table1[[#This Row],[TotPrem]]/Table1[[#This Row],['#Contracts]]/100,"")))</f>
        <v>39.206666666666663</v>
      </c>
      <c r="Z47" s="11" t="str">
        <f>IF(Table1[[#This Row],[CloseDate]]&gt;0,"",
IF(Table1[[#This Row],[TransType]]="LS",Table1['#Contracts],
IF(Table1[[#This Row],[TransType]]="AS",100*Table1[[#This Row],['#Contracts]],
IF(Table1[[#This Row],[TransType]]="SP",100*Table1[[#This Row],['#Contracts]],
IF(Table1[[#This Row],[TransType]]="BP",100*Table1[[#This Row],['#Contracts]],"")))))</f>
        <v/>
      </c>
      <c r="AA47" s="58">
        <f ca="1">IF(Table1[[#This Row],[CloseDate]]&gt;0,Table1[CloseDate],
IF(Table1[[#This Row],[ExpDate]]&gt;0,Table1[ExpDate],
TODAY()))</f>
        <v>44313</v>
      </c>
      <c r="AB47" s="10">
        <f ca="1">IF(PERFORMANCE!D8&gt;0,
IF(PERFORMANCE!D8&lt;Table1[[#This Row],[ActDate]],"",Table1[NetPrem]),
IF(TODAY()&lt;Table1[[#This Row],[ActDate]],"",Table1[NetPrem]))</f>
        <v>238</v>
      </c>
      <c r="AC47" s="10">
        <f ca="1">IF(PERFORMANCE!D8&gt;0,
IF(PERFORMANCE!D8&lt;Table1[[#This Row],[ActDate]],"",
IF(PERFORMANCE!D8 - Table1[[#This Row],[ActDate]]&lt;366,Table1[NetPrem],"")),
IF(TODAY()&lt;Table1[[#This Row],[ActDate]],"",
IF(TODAY() - Table1[[#This Row],[ActDate]]&lt;366,Table1[NetPrem],"")))</f>
        <v>238</v>
      </c>
      <c r="AD47" s="10">
        <f ca="1">IF(PERFORMANCE!D8&gt;0,
IF(PERFORMANCE!D8&lt;Table1[[#This Row],[ActDate]],"",
IF(YEAR(PERFORMANCE!D8)=YEAR(Table1[[#This Row],[ActDate]]),Table1[NetPrem],"")),
IF(TODAY()&lt;Table1[[#This Row],[ActDate]],"",
IF(YEAR(TODAY())=YEAR(Table1[[#This Row],[ActDate]]),Table1[NetPrem],"")))</f>
        <v>238</v>
      </c>
      <c r="AE47" s="10" t="str">
        <f ca="1">IF(PERFORMANCE!D8&gt;0,
IF(PERFORMANCE!D8&lt;Table1[[#This Row],[ActDate]],Table1[NetPrem],""),
IF(TODAY()&lt;Table1[[#This Row],[ActDate]],Table1[NetPrem],""))</f>
        <v/>
      </c>
      <c r="AG47" s="48">
        <f>IF(Table1[[#This Row],[SYM]]="","",SUMIFS(Table1[NetPrem],Table1[Trade'#],Table1[[#This Row],[Trade'#]],Table1[Leg],"&lt;="&amp;Table1[[#This Row],[Leg]]))</f>
        <v>238</v>
      </c>
      <c r="AH47" s="48"/>
    </row>
    <row r="48" spans="1:34" x14ac:dyDescent="0.25">
      <c r="A48" s="15" t="s">
        <v>240</v>
      </c>
      <c r="B48" s="54">
        <v>12</v>
      </c>
      <c r="C48" s="54">
        <v>2</v>
      </c>
      <c r="D48" s="15" t="s">
        <v>30</v>
      </c>
      <c r="E48" s="61">
        <v>44313</v>
      </c>
      <c r="F48" s="61">
        <v>44313</v>
      </c>
      <c r="G48" s="61">
        <v>44337</v>
      </c>
      <c r="H48" s="54">
        <v>40</v>
      </c>
      <c r="I48" s="54"/>
      <c r="J48" s="53">
        <v>3</v>
      </c>
      <c r="K48" s="57">
        <v>-67.989999999999995</v>
      </c>
      <c r="M48" s="57" t="s">
        <v>239</v>
      </c>
      <c r="N48" s="54" t="e">
        <f>RTD("tos.rtd",,"last", "GBX")</f>
        <v>#N/A</v>
      </c>
      <c r="O48" s="54" t="e">
        <f>RTD("tos.rtd",,"ASK",".GBX210521P40")</f>
        <v>#N/A</v>
      </c>
      <c r="P48" s="10">
        <f>IF(Table1[[#This Row],[TransType]]="LS", Table1[[#This Row],[OpnPrem]]+Table1[[#This Row],[ClsPrem]],
                                            IF(Table1[[#This Row],[TransType]]="AS", Table1[[#This Row],[OpnPrem]]+Table1[[#This Row],[ClsPrem]],
                                               Table1[[#This Row],[OpnPrem]]-Table1[[#This Row],[ClsPrem]]))</f>
        <v>-67.989999999999995</v>
      </c>
      <c r="Q48" s="59">
        <f>IF(Table1[[#This Row],[SYM]]="","",SUMIFS(Table1[NetPrem],Table1[Trade'#],Table1[[#This Row],[Trade'#]],Table1[Leg],"&lt;="&amp;Table1[[#This Row],[Leg]]))</f>
        <v>170.01</v>
      </c>
      <c r="R48" s="11">
        <f t="shared" ca="1" si="1"/>
        <v>1</v>
      </c>
      <c r="S48"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12000</v>
      </c>
      <c r="T48" s="11" t="str">
        <f>IF(Table1[[#This Row],[CloseDate]]&gt;0,"",Table1[Cap])</f>
        <v/>
      </c>
      <c r="U48" s="11" t="str">
        <f>IF(Table1[[#This Row],[CloseDate]]&gt;0,"",
IF(Table1[[#This Row],[TransType]]="BC","",
IF(Table1[[#This Row],[TransType]]="BP",100*Table1[[#This Row],[Strike]]*Table1[[#This Row],['#Contracts]],
Table1[Cap])))</f>
        <v/>
      </c>
      <c r="V48" s="11">
        <f ca="1">IF(Table1[[#This Row],[SYM]]="","",Table1[[#This Row],[Cap]]*Table1[[#This Row],[Days]])</f>
        <v>12000</v>
      </c>
      <c r="W48" s="11">
        <f ca="1">IF(Table1[[#This Row],[SYM]]="","",SUMIFS(Table1[CapDays],Table1[Trade'#],Table1[[#This Row],[Trade'#]],Table1[Leg],"&lt;="&amp;Table1[[#This Row],[Leg]]))</f>
        <v>108000</v>
      </c>
      <c r="X48" s="60">
        <f ca="1">IF(Table1[[#This Row],[TotCapDays]],365*Table1[[#This Row],[TotPrem]]/Table1[[#This Row],[TotCapDays]],"")</f>
        <v>0.57457083333333325</v>
      </c>
      <c r="Y48" s="10">
        <f>IF(Table1[[#This Row],[SYM]]="","",
IF(Table1[[#This Row],[TransType]]="LS",Table1[[#This Row],[Strike]]-Table1[[#This Row],[TotPrem]]/Table1[[#This Row],['#Contracts]],
IF(Table1[[#This Row],['#Contracts]],Table1[[#This Row],[Strike]]-Table1[[#This Row],[TotPrem]]/Table1[[#This Row],['#Contracts]]/100,"")))</f>
        <v>39.433300000000003</v>
      </c>
      <c r="Z48" s="11" t="str">
        <f>IF(Table1[[#This Row],[CloseDate]]&gt;0,"",
IF(Table1[[#This Row],[TransType]]="LS",Table1['#Contracts],
IF(Table1[[#This Row],[TransType]]="AS",100*Table1[[#This Row],['#Contracts]],
IF(Table1[[#This Row],[TransType]]="SP",100*Table1[[#This Row],['#Contracts]],
IF(Table1[[#This Row],[TransType]]="BP",100*Table1[[#This Row],['#Contracts]],"")))))</f>
        <v/>
      </c>
      <c r="AA48" s="58">
        <f ca="1">IF(Table1[[#This Row],[CloseDate]]&gt;0,Table1[CloseDate],
IF(Table1[[#This Row],[ExpDate]]&gt;0,Table1[ExpDate],
TODAY()))</f>
        <v>44313</v>
      </c>
      <c r="AB48" s="10">
        <f ca="1">IF(PERFORMANCE!D8&gt;0,
IF(PERFORMANCE!D8&lt;Table1[[#This Row],[ActDate]],"",Table1[NetPrem]),
IF(TODAY()&lt;Table1[[#This Row],[ActDate]],"",Table1[NetPrem]))</f>
        <v>-67.989999999999995</v>
      </c>
      <c r="AC48" s="10">
        <f ca="1">IF(PERFORMANCE!D8&gt;0,
IF(PERFORMANCE!D8&lt;Table1[[#This Row],[ActDate]],"",
IF(PERFORMANCE!D8 - Table1[[#This Row],[ActDate]]&lt;366,Table1[NetPrem],"")),
IF(TODAY()&lt;Table1[[#This Row],[ActDate]],"",
IF(TODAY() - Table1[[#This Row],[ActDate]]&lt;366,Table1[NetPrem],"")))</f>
        <v>-67.989999999999995</v>
      </c>
      <c r="AD48" s="10">
        <f ca="1">IF(PERFORMANCE!D8&gt;0,
IF(PERFORMANCE!D8&lt;Table1[[#This Row],[ActDate]],"",
IF(YEAR(PERFORMANCE!D8)=YEAR(Table1[[#This Row],[ActDate]]),Table1[NetPrem],"")),
IF(TODAY()&lt;Table1[[#This Row],[ActDate]],"",
IF(YEAR(TODAY())=YEAR(Table1[[#This Row],[ActDate]]),Table1[NetPrem],"")))</f>
        <v>-67.989999999999995</v>
      </c>
      <c r="AE48" s="10" t="str">
        <f ca="1">IF(PERFORMANCE!D8&gt;0,
IF(PERFORMANCE!D8&lt;Table1[[#This Row],[ActDate]],Table1[NetPrem],""),
IF(TODAY()&lt;Table1[[#This Row],[ActDate]],Table1[NetPrem],""))</f>
        <v/>
      </c>
      <c r="AG48">
        <f>IF(Table1[[#This Row],[SYM]]="","",SUMIFS(Table1[NetPrem],Table1[Trade'#],Table1[[#This Row],[Trade'#]],Table1[Leg],"&lt;="&amp;Table1[[#This Row],[Leg]]))</f>
        <v>170.01</v>
      </c>
    </row>
    <row r="49" spans="1:33" x14ac:dyDescent="0.25">
      <c r="A49" s="15" t="s">
        <v>241</v>
      </c>
      <c r="B49" s="54">
        <v>13</v>
      </c>
      <c r="C49" s="54">
        <v>1</v>
      </c>
      <c r="D49" s="15" t="s">
        <v>30</v>
      </c>
      <c r="E49" s="61">
        <v>44308</v>
      </c>
      <c r="F49" s="61">
        <v>44330</v>
      </c>
      <c r="G49" s="61">
        <v>44337</v>
      </c>
      <c r="H49" s="54">
        <v>24.5</v>
      </c>
      <c r="I49" s="54"/>
      <c r="J49" s="53">
        <v>10</v>
      </c>
      <c r="K49" s="57">
        <v>363.34</v>
      </c>
      <c r="M49" s="57" t="s">
        <v>152</v>
      </c>
      <c r="N49" s="54" t="e">
        <f>RTD("tos.rtd",,"last", "CCL")</f>
        <v>#N/A</v>
      </c>
      <c r="O49" s="54" t="e">
        <f>RTD("tos.rtd",,"ASK",".CCL210521P24.5")</f>
        <v>#N/A</v>
      </c>
      <c r="P49" s="10">
        <f>IF(Table1[[#This Row],[TransType]]="LS", Table1[[#This Row],[OpnPrem]]+Table1[[#This Row],[ClsPrem]],
                                            IF(Table1[[#This Row],[TransType]]="AS", Table1[[#This Row],[OpnPrem]]+Table1[[#This Row],[ClsPrem]],
                                               Table1[[#This Row],[OpnPrem]]-Table1[[#This Row],[ClsPrem]]))</f>
        <v>363.34</v>
      </c>
      <c r="Q49" s="59">
        <f>IF(Table1[[#This Row],[SYM]]="","",SUMIFS(Table1[NetPrem],Table1[Trade'#],Table1[[#This Row],[Trade'#]],Table1[Leg],"&lt;="&amp;Table1[[#This Row],[Leg]]))</f>
        <v>363.34</v>
      </c>
      <c r="R49" s="11">
        <f t="shared" ca="1" si="1"/>
        <v>22</v>
      </c>
      <c r="S49"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24500</v>
      </c>
      <c r="T49" s="11" t="str">
        <f>IF(Table1[[#This Row],[CloseDate]]&gt;0,"",Table1[Cap])</f>
        <v/>
      </c>
      <c r="U49" s="11" t="str">
        <f>IF(Table1[[#This Row],[CloseDate]]&gt;0,"",
IF(Table1[[#This Row],[TransType]]="BC","",
IF(Table1[[#This Row],[TransType]]="BP",100*Table1[[#This Row],[Strike]]*Table1[[#This Row],['#Contracts]],
Table1[Cap])))</f>
        <v/>
      </c>
      <c r="V49" s="11">
        <f ca="1">IF(Table1[[#This Row],[SYM]]="","",Table1[[#This Row],[Cap]]*Table1[[#This Row],[Days]])</f>
        <v>539000</v>
      </c>
      <c r="W49" s="11">
        <f ca="1">IF(Table1[[#This Row],[SYM]]="","",SUMIFS(Table1[CapDays],Table1[Trade'#],Table1[[#This Row],[Trade'#]],Table1[Leg],"&lt;="&amp;Table1[[#This Row],[Leg]]))</f>
        <v>539000</v>
      </c>
      <c r="X49" s="60">
        <f ca="1">IF(Table1[[#This Row],[TotCapDays]],365*Table1[[#This Row],[TotPrem]]/Table1[[#This Row],[TotCapDays]],"")</f>
        <v>0.24604656771799624</v>
      </c>
      <c r="Y49" s="10">
        <f>IF(Table1[[#This Row],[SYM]]="","",
IF(Table1[[#This Row],[TransType]]="LS",Table1[[#This Row],[Strike]]-Table1[[#This Row],[TotPrem]]/Table1[[#This Row],['#Contracts]],
IF(Table1[[#This Row],['#Contracts]],Table1[[#This Row],[Strike]]-Table1[[#This Row],[TotPrem]]/Table1[[#This Row],['#Contracts]]/100,"")))</f>
        <v>24.136659999999999</v>
      </c>
      <c r="Z49" s="11" t="str">
        <f>IF(Table1[[#This Row],[CloseDate]]&gt;0,"",
IF(Table1[[#This Row],[TransType]]="LS",Table1['#Contracts],
IF(Table1[[#This Row],[TransType]]="AS",100*Table1[[#This Row],['#Contracts]],
IF(Table1[[#This Row],[TransType]]="SP",100*Table1[[#This Row],['#Contracts]],
IF(Table1[[#This Row],[TransType]]="BP",100*Table1[[#This Row],['#Contracts]],"")))))</f>
        <v/>
      </c>
      <c r="AA49" s="58">
        <f ca="1">IF(Table1[[#This Row],[CloseDate]]&gt;0,Table1[CloseDate],
IF(Table1[[#This Row],[ExpDate]]&gt;0,Table1[ExpDate],
TODAY()))</f>
        <v>44330</v>
      </c>
      <c r="AB49" s="10">
        <f ca="1">IF(PERFORMANCE!D8&gt;0,
IF(PERFORMANCE!D8&lt;Table1[[#This Row],[ActDate]],"",Table1[NetPrem]),
IF(TODAY()&lt;Table1[[#This Row],[ActDate]],"",Table1[NetPrem]))</f>
        <v>363.34</v>
      </c>
      <c r="AC49" s="10">
        <f ca="1">IF(PERFORMANCE!D8&gt;0,
IF(PERFORMANCE!D8&lt;Table1[[#This Row],[ActDate]],"",
IF(PERFORMANCE!D8 - Table1[[#This Row],[ActDate]]&lt;366,Table1[NetPrem],"")),
IF(TODAY()&lt;Table1[[#This Row],[ActDate]],"",
IF(TODAY() - Table1[[#This Row],[ActDate]]&lt;366,Table1[NetPrem],"")))</f>
        <v>363.34</v>
      </c>
      <c r="AD49" s="10">
        <f ca="1">IF(PERFORMANCE!D8&gt;0,
IF(PERFORMANCE!D8&lt;Table1[[#This Row],[ActDate]],"",
IF(YEAR(PERFORMANCE!D8)=YEAR(Table1[[#This Row],[ActDate]]),Table1[NetPrem],"")),
IF(TODAY()&lt;Table1[[#This Row],[ActDate]],"",
IF(YEAR(TODAY())=YEAR(Table1[[#This Row],[ActDate]]),Table1[NetPrem],"")))</f>
        <v>363.34</v>
      </c>
      <c r="AE49" s="10" t="str">
        <f ca="1">IF(PERFORMANCE!D8&gt;0,
IF(PERFORMANCE!D8&lt;Table1[[#This Row],[ActDate]],Table1[NetPrem],""),
IF(TODAY()&lt;Table1[[#This Row],[ActDate]],Table1[NetPrem],""))</f>
        <v/>
      </c>
      <c r="AG49">
        <f>IF(Table1[[#This Row],[SYM]]="","",SUMIFS(Table1[NetPrem],Table1[Trade'#],Table1[[#This Row],[Trade'#]],Table1[Leg],"&lt;="&amp;Table1[[#This Row],[Leg]]))</f>
        <v>363.34</v>
      </c>
    </row>
    <row r="50" spans="1:33" x14ac:dyDescent="0.25">
      <c r="A50" s="15" t="s">
        <v>242</v>
      </c>
      <c r="B50" s="54">
        <v>13</v>
      </c>
      <c r="C50" s="54">
        <v>2</v>
      </c>
      <c r="D50" s="15" t="s">
        <v>30</v>
      </c>
      <c r="E50" s="61">
        <v>44330</v>
      </c>
      <c r="F50" s="61">
        <v>44330</v>
      </c>
      <c r="G50" s="61">
        <v>44337</v>
      </c>
      <c r="H50" s="54">
        <v>24.5</v>
      </c>
      <c r="I50" s="54"/>
      <c r="J50" s="53">
        <v>10</v>
      </c>
      <c r="K50" s="57">
        <v>-96.64</v>
      </c>
      <c r="M50" s="57" t="s">
        <v>152</v>
      </c>
      <c r="N50" s="54" t="e">
        <f>RTD("tos.rtd",,"last", "CCL")</f>
        <v>#N/A</v>
      </c>
      <c r="O50" s="54" t="e">
        <f>RTD("tos.rtd",,"ASK",".CCL210521P24.5")</f>
        <v>#N/A</v>
      </c>
      <c r="P50" s="10">
        <f>IF(Table1[[#This Row],[TransType]]="LS", Table1[[#This Row],[OpnPrem]]+Table1[[#This Row],[ClsPrem]],
                                            IF(Table1[[#This Row],[TransType]]="AS", Table1[[#This Row],[OpnPrem]]+Table1[[#This Row],[ClsPrem]],
                                               Table1[[#This Row],[OpnPrem]]-Table1[[#This Row],[ClsPrem]]))</f>
        <v>-96.64</v>
      </c>
      <c r="Q50" s="59">
        <f>IF(Table1[[#This Row],[SYM]]="","",SUMIFS(Table1[NetPrem],Table1[Trade'#],Table1[[#This Row],[Trade'#]],Table1[Leg],"&lt;="&amp;Table1[[#This Row],[Leg]]))</f>
        <v>266.7</v>
      </c>
      <c r="R50" s="11">
        <f t="shared" ca="1" si="1"/>
        <v>1</v>
      </c>
      <c r="S50"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24500</v>
      </c>
      <c r="T50" s="11" t="str">
        <f>IF(Table1[[#This Row],[CloseDate]]&gt;0,"",Table1[Cap])</f>
        <v/>
      </c>
      <c r="U50" s="11" t="str">
        <f>IF(Table1[[#This Row],[CloseDate]]&gt;0,"",
IF(Table1[[#This Row],[TransType]]="BC","",
IF(Table1[[#This Row],[TransType]]="BP",100*Table1[[#This Row],[Strike]]*Table1[[#This Row],['#Contracts]],
Table1[Cap])))</f>
        <v/>
      </c>
      <c r="V50" s="11">
        <f ca="1">IF(Table1[[#This Row],[SYM]]="","",Table1[[#This Row],[Cap]]*Table1[[#This Row],[Days]])</f>
        <v>24500</v>
      </c>
      <c r="W50" s="11">
        <f ca="1">IF(Table1[[#This Row],[SYM]]="","",SUMIFS(Table1[CapDays],Table1[Trade'#],Table1[[#This Row],[Trade'#]],Table1[Leg],"&lt;="&amp;Table1[[#This Row],[Leg]]))</f>
        <v>563500</v>
      </c>
      <c r="X50" s="60">
        <f ca="1">IF(Table1[[#This Row],[TotCapDays]],365*Table1[[#This Row],[TotPrem]]/Table1[[#This Row],[TotCapDays]],"")</f>
        <v>0.17275155279503104</v>
      </c>
      <c r="Y50" s="10">
        <f>IF(Table1[[#This Row],[SYM]]="","",
IF(Table1[[#This Row],[TransType]]="LS",Table1[[#This Row],[Strike]]-Table1[[#This Row],[TotPrem]]/Table1[[#This Row],['#Contracts]],
IF(Table1[[#This Row],['#Contracts]],Table1[[#This Row],[Strike]]-Table1[[#This Row],[TotPrem]]/Table1[[#This Row],['#Contracts]]/100,"")))</f>
        <v>24.2333</v>
      </c>
      <c r="Z50" s="11" t="str">
        <f>IF(Table1[[#This Row],[CloseDate]]&gt;0,"",
IF(Table1[[#This Row],[TransType]]="LS",Table1['#Contracts],
IF(Table1[[#This Row],[TransType]]="AS",100*Table1[[#This Row],['#Contracts]],
IF(Table1[[#This Row],[TransType]]="SP",100*Table1[[#This Row],['#Contracts]],
IF(Table1[[#This Row],[TransType]]="BP",100*Table1[[#This Row],['#Contracts]],"")))))</f>
        <v/>
      </c>
      <c r="AA50" s="58">
        <f ca="1">IF(Table1[[#This Row],[CloseDate]]&gt;0,Table1[CloseDate],
IF(Table1[[#This Row],[ExpDate]]&gt;0,Table1[ExpDate],
TODAY()))</f>
        <v>44330</v>
      </c>
      <c r="AB50" s="10">
        <f ca="1">IF(PERFORMANCE!D8&gt;0,
IF(PERFORMANCE!D8&lt;Table1[[#This Row],[ActDate]],"",Table1[NetPrem]),
IF(TODAY()&lt;Table1[[#This Row],[ActDate]],"",Table1[NetPrem]))</f>
        <v>-96.64</v>
      </c>
      <c r="AC50" s="10">
        <f ca="1">IF(PERFORMANCE!D8&gt;0,
IF(PERFORMANCE!D8&lt;Table1[[#This Row],[ActDate]],"",
IF(PERFORMANCE!D8 - Table1[[#This Row],[ActDate]]&lt;366,Table1[NetPrem],"")),
IF(TODAY()&lt;Table1[[#This Row],[ActDate]],"",
IF(TODAY() - Table1[[#This Row],[ActDate]]&lt;366,Table1[NetPrem],"")))</f>
        <v>-96.64</v>
      </c>
      <c r="AD50" s="10">
        <f ca="1">IF(PERFORMANCE!D8&gt;0,
IF(PERFORMANCE!D8&lt;Table1[[#This Row],[ActDate]],"",
IF(YEAR(PERFORMANCE!D8)=YEAR(Table1[[#This Row],[ActDate]]),Table1[NetPrem],"")),
IF(TODAY()&lt;Table1[[#This Row],[ActDate]],"",
IF(YEAR(TODAY())=YEAR(Table1[[#This Row],[ActDate]]),Table1[NetPrem],"")))</f>
        <v>-96.64</v>
      </c>
      <c r="AE50" s="10" t="str">
        <f ca="1">IF(PERFORMANCE!D8&gt;0,
IF(PERFORMANCE!D8&lt;Table1[[#This Row],[ActDate]],Table1[NetPrem],""),
IF(TODAY()&lt;Table1[[#This Row],[ActDate]],Table1[NetPrem],""))</f>
        <v/>
      </c>
      <c r="AG50">
        <f>IF(Table1[[#This Row],[SYM]]="","",SUMIFS(Table1[NetPrem],Table1[Trade'#],Table1[[#This Row],[Trade'#]],Table1[Leg],"&lt;="&amp;Table1[[#This Row],[Leg]]))</f>
        <v>266.7</v>
      </c>
    </row>
    <row r="51" spans="1:33" x14ac:dyDescent="0.25">
      <c r="A51" s="15" t="s">
        <v>243</v>
      </c>
      <c r="B51" s="54">
        <v>14</v>
      </c>
      <c r="C51" s="54">
        <v>1</v>
      </c>
      <c r="D51" s="15" t="s">
        <v>30</v>
      </c>
      <c r="E51" s="61">
        <v>44312</v>
      </c>
      <c r="F51" s="61">
        <v>44322</v>
      </c>
      <c r="G51" s="61">
        <v>44337</v>
      </c>
      <c r="H51" s="54">
        <v>62.5</v>
      </c>
      <c r="I51" s="54"/>
      <c r="J51" s="53">
        <v>3</v>
      </c>
      <c r="K51" s="57">
        <v>385</v>
      </c>
      <c r="M51" s="57" t="s">
        <v>146</v>
      </c>
      <c r="N51" s="54" t="e">
        <f>RTD("tos.rtd",,"last", "BIG")</f>
        <v>#N/A</v>
      </c>
      <c r="O51" s="54" t="e">
        <f>RTD("tos.rtd",,"ASK",".BIG210521P62.5")</f>
        <v>#N/A</v>
      </c>
      <c r="P51" s="10">
        <f>IF(Table1[[#This Row],[TransType]]="LS", Table1[[#This Row],[OpnPrem]]+Table1[[#This Row],[ClsPrem]],
                                            IF(Table1[[#This Row],[TransType]]="AS", Table1[[#This Row],[OpnPrem]]+Table1[[#This Row],[ClsPrem]],
                                               Table1[[#This Row],[OpnPrem]]-Table1[[#This Row],[ClsPrem]]))</f>
        <v>385</v>
      </c>
      <c r="Q51" s="59">
        <f>IF(Table1[[#This Row],[SYM]]="","",SUMIFS(Table1[NetPrem],Table1[Trade'#],Table1[[#This Row],[Trade'#]],Table1[Leg],"&lt;="&amp;Table1[[#This Row],[Leg]]))</f>
        <v>385</v>
      </c>
      <c r="R51" s="11">
        <f t="shared" ca="1" si="1"/>
        <v>10</v>
      </c>
      <c r="S51"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18750</v>
      </c>
      <c r="T51" s="11" t="str">
        <f>IF(Table1[[#This Row],[CloseDate]]&gt;0,"",Table1[Cap])</f>
        <v/>
      </c>
      <c r="U51" s="11" t="str">
        <f>IF(Table1[[#This Row],[CloseDate]]&gt;0,"",
IF(Table1[[#This Row],[TransType]]="BC","",
IF(Table1[[#This Row],[TransType]]="BP",100*Table1[[#This Row],[Strike]]*Table1[[#This Row],['#Contracts]],
Table1[Cap])))</f>
        <v/>
      </c>
      <c r="V51" s="11">
        <f ca="1">IF(Table1[[#This Row],[SYM]]="","",Table1[[#This Row],[Cap]]*Table1[[#This Row],[Days]])</f>
        <v>187500</v>
      </c>
      <c r="W51" s="11">
        <f ca="1">IF(Table1[[#This Row],[SYM]]="","",SUMIFS(Table1[CapDays],Table1[Trade'#],Table1[[#This Row],[Trade'#]],Table1[Leg],"&lt;="&amp;Table1[[#This Row],[Leg]]))</f>
        <v>187500</v>
      </c>
      <c r="X51" s="60">
        <f ca="1">IF(Table1[[#This Row],[TotCapDays]],365*Table1[[#This Row],[TotPrem]]/Table1[[#This Row],[TotCapDays]],"")</f>
        <v>0.74946666666666661</v>
      </c>
      <c r="Y51" s="10">
        <f>IF(Table1[[#This Row],[SYM]]="","",
IF(Table1[[#This Row],[TransType]]="LS",Table1[[#This Row],[Strike]]-Table1[[#This Row],[TotPrem]]/Table1[[#This Row],['#Contracts]],
IF(Table1[[#This Row],['#Contracts]],Table1[[#This Row],[Strike]]-Table1[[#This Row],[TotPrem]]/Table1[[#This Row],['#Contracts]]/100,"")))</f>
        <v>61.216666666666669</v>
      </c>
      <c r="Z51" s="11" t="str">
        <f>IF(Table1[[#This Row],[CloseDate]]&gt;0,"",
IF(Table1[[#This Row],[TransType]]="LS",Table1['#Contracts],
IF(Table1[[#This Row],[TransType]]="AS",100*Table1[[#This Row],['#Contracts]],
IF(Table1[[#This Row],[TransType]]="SP",100*Table1[[#This Row],['#Contracts]],
IF(Table1[[#This Row],[TransType]]="BP",100*Table1[[#This Row],['#Contracts]],"")))))</f>
        <v/>
      </c>
      <c r="AA51" s="58">
        <f ca="1">IF(Table1[[#This Row],[CloseDate]]&gt;0,Table1[CloseDate],
IF(Table1[[#This Row],[ExpDate]]&gt;0,Table1[ExpDate],
TODAY()))</f>
        <v>44322</v>
      </c>
      <c r="AB51" s="10">
        <f ca="1">IF(PERFORMANCE!D8&gt;0,
IF(PERFORMANCE!D8&lt;Table1[[#This Row],[ActDate]],"",Table1[NetPrem]),
IF(TODAY()&lt;Table1[[#This Row],[ActDate]],"",Table1[NetPrem]))</f>
        <v>385</v>
      </c>
      <c r="AC51" s="10">
        <f ca="1">IF(PERFORMANCE!D8&gt;0,
IF(PERFORMANCE!D8&lt;Table1[[#This Row],[ActDate]],"",
IF(PERFORMANCE!D8 - Table1[[#This Row],[ActDate]]&lt;366,Table1[NetPrem],"")),
IF(TODAY()&lt;Table1[[#This Row],[ActDate]],"",
IF(TODAY() - Table1[[#This Row],[ActDate]]&lt;366,Table1[NetPrem],"")))</f>
        <v>385</v>
      </c>
      <c r="AD51" s="10">
        <f ca="1">IF(PERFORMANCE!D8&gt;0,
IF(PERFORMANCE!D8&lt;Table1[[#This Row],[ActDate]],"",
IF(YEAR(PERFORMANCE!D8)=YEAR(Table1[[#This Row],[ActDate]]),Table1[NetPrem],"")),
IF(TODAY()&lt;Table1[[#This Row],[ActDate]],"",
IF(YEAR(TODAY())=YEAR(Table1[[#This Row],[ActDate]]),Table1[NetPrem],"")))</f>
        <v>385</v>
      </c>
      <c r="AE51" s="10" t="str">
        <f ca="1">IF(PERFORMANCE!D8&gt;0,
IF(PERFORMANCE!D8&lt;Table1[[#This Row],[ActDate]],Table1[NetPrem],""),
IF(TODAY()&lt;Table1[[#This Row],[ActDate]],Table1[NetPrem],""))</f>
        <v/>
      </c>
      <c r="AG51">
        <f>IF(Table1[[#This Row],[SYM]]="","",SUMIFS(Table1[NetPrem],Table1[Trade'#],Table1[[#This Row],[Trade'#]],Table1[Leg],"&lt;="&amp;Table1[[#This Row],[Leg]]))</f>
        <v>385</v>
      </c>
    </row>
    <row r="52" spans="1:33" x14ac:dyDescent="0.25">
      <c r="A52" s="15" t="s">
        <v>244</v>
      </c>
      <c r="B52" s="54">
        <v>14</v>
      </c>
      <c r="C52" s="54">
        <v>2</v>
      </c>
      <c r="D52" s="15" t="s">
        <v>30</v>
      </c>
      <c r="E52" s="61">
        <v>44322</v>
      </c>
      <c r="F52" s="61">
        <v>44322</v>
      </c>
      <c r="G52" s="61">
        <v>44337</v>
      </c>
      <c r="H52" s="54">
        <v>62.5</v>
      </c>
      <c r="I52" s="54"/>
      <c r="J52" s="53">
        <v>2</v>
      </c>
      <c r="K52" s="57">
        <v>-65.33</v>
      </c>
      <c r="M52" s="57" t="s">
        <v>146</v>
      </c>
      <c r="N52" s="54" t="e">
        <f>RTD("tos.rtd",,"last", "BIG")</f>
        <v>#N/A</v>
      </c>
      <c r="O52" s="54" t="e">
        <f>RTD("tos.rtd",,"ASK",".BIG210521P62.5")</f>
        <v>#N/A</v>
      </c>
      <c r="P52" s="10">
        <f>IF(Table1[[#This Row],[TransType]]="LS", Table1[[#This Row],[OpnPrem]]+Table1[[#This Row],[ClsPrem]],
                                            IF(Table1[[#This Row],[TransType]]="AS", Table1[[#This Row],[OpnPrem]]+Table1[[#This Row],[ClsPrem]],
                                               Table1[[#This Row],[OpnPrem]]-Table1[[#This Row],[ClsPrem]]))</f>
        <v>-65.33</v>
      </c>
      <c r="Q52" s="59">
        <f>IF(Table1[[#This Row],[SYM]]="","",SUMIFS(Table1[NetPrem],Table1[Trade'#],Table1[[#This Row],[Trade'#]],Table1[Leg],"&lt;="&amp;Table1[[#This Row],[Leg]]))</f>
        <v>319.67</v>
      </c>
      <c r="R52" s="11">
        <f t="shared" ca="1" si="1"/>
        <v>1</v>
      </c>
      <c r="S52"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12500</v>
      </c>
      <c r="T52" s="11" t="str">
        <f>IF(Table1[[#This Row],[CloseDate]]&gt;0,"",Table1[Cap])</f>
        <v/>
      </c>
      <c r="U52" s="11" t="str">
        <f>IF(Table1[[#This Row],[CloseDate]]&gt;0,"",
IF(Table1[[#This Row],[TransType]]="BC","",
IF(Table1[[#This Row],[TransType]]="BP",100*Table1[[#This Row],[Strike]]*Table1[[#This Row],['#Contracts]],
Table1[Cap])))</f>
        <v/>
      </c>
      <c r="V52" s="11">
        <f ca="1">IF(Table1[[#This Row],[SYM]]="","",Table1[[#This Row],[Cap]]*Table1[[#This Row],[Days]])</f>
        <v>12500</v>
      </c>
      <c r="W52" s="11">
        <f ca="1">IF(Table1[[#This Row],[SYM]]="","",SUMIFS(Table1[CapDays],Table1[Trade'#],Table1[[#This Row],[Trade'#]],Table1[Leg],"&lt;="&amp;Table1[[#This Row],[Leg]]))</f>
        <v>200000</v>
      </c>
      <c r="X52" s="60">
        <f ca="1">IF(Table1[[#This Row],[TotCapDays]],365*Table1[[#This Row],[TotPrem]]/Table1[[#This Row],[TotCapDays]],"")</f>
        <v>0.58339775000000005</v>
      </c>
      <c r="Y52" s="10">
        <f>IF(Table1[[#This Row],[SYM]]="","",
IF(Table1[[#This Row],[TransType]]="LS",Table1[[#This Row],[Strike]]-Table1[[#This Row],[TotPrem]]/Table1[[#This Row],['#Contracts]],
IF(Table1[[#This Row],['#Contracts]],Table1[[#This Row],[Strike]]-Table1[[#This Row],[TotPrem]]/Table1[[#This Row],['#Contracts]]/100,"")))</f>
        <v>60.901649999999997</v>
      </c>
      <c r="Z52" s="11" t="str">
        <f>IF(Table1[[#This Row],[CloseDate]]&gt;0,"",
IF(Table1[[#This Row],[TransType]]="LS",Table1['#Contracts],
IF(Table1[[#This Row],[TransType]]="AS",100*Table1[[#This Row],['#Contracts]],
IF(Table1[[#This Row],[TransType]]="SP",100*Table1[[#This Row],['#Contracts]],
IF(Table1[[#This Row],[TransType]]="BP",100*Table1[[#This Row],['#Contracts]],"")))))</f>
        <v/>
      </c>
      <c r="AA52" s="58">
        <f ca="1">IF(Table1[[#This Row],[CloseDate]]&gt;0,Table1[CloseDate],
IF(Table1[[#This Row],[ExpDate]]&gt;0,Table1[ExpDate],
TODAY()))</f>
        <v>44322</v>
      </c>
      <c r="AB52" s="10">
        <f ca="1">IF(PERFORMANCE!D8&gt;0,
IF(PERFORMANCE!D8&lt;Table1[[#This Row],[ActDate]],"",Table1[NetPrem]),
IF(TODAY()&lt;Table1[[#This Row],[ActDate]],"",Table1[NetPrem]))</f>
        <v>-65.33</v>
      </c>
      <c r="AC52" s="10">
        <f ca="1">IF(PERFORMANCE!D8&gt;0,
IF(PERFORMANCE!D8&lt;Table1[[#This Row],[ActDate]],"",
IF(PERFORMANCE!D8 - Table1[[#This Row],[ActDate]]&lt;366,Table1[NetPrem],"")),
IF(TODAY()&lt;Table1[[#This Row],[ActDate]],"",
IF(TODAY() - Table1[[#This Row],[ActDate]]&lt;366,Table1[NetPrem],"")))</f>
        <v>-65.33</v>
      </c>
      <c r="AD52" s="10">
        <f ca="1">IF(PERFORMANCE!D8&gt;0,
IF(PERFORMANCE!D8&lt;Table1[[#This Row],[ActDate]],"",
IF(YEAR(PERFORMANCE!D8)=YEAR(Table1[[#This Row],[ActDate]]),Table1[NetPrem],"")),
IF(TODAY()&lt;Table1[[#This Row],[ActDate]],"",
IF(YEAR(TODAY())=YEAR(Table1[[#This Row],[ActDate]]),Table1[NetPrem],"")))</f>
        <v>-65.33</v>
      </c>
      <c r="AE52" s="10" t="str">
        <f ca="1">IF(PERFORMANCE!D8&gt;0,
IF(PERFORMANCE!D8&lt;Table1[[#This Row],[ActDate]],Table1[NetPrem],""),
IF(TODAY()&lt;Table1[[#This Row],[ActDate]],Table1[NetPrem],""))</f>
        <v/>
      </c>
      <c r="AG52">
        <f>IF(Table1[[#This Row],[SYM]]="","",SUMIFS(Table1[NetPrem],Table1[Trade'#],Table1[[#This Row],[Trade'#]],Table1[Leg],"&lt;="&amp;Table1[[#This Row],[Leg]]))</f>
        <v>319.67</v>
      </c>
    </row>
    <row r="53" spans="1:33" x14ac:dyDescent="0.25">
      <c r="A53" s="15" t="s">
        <v>245</v>
      </c>
      <c r="B53" s="54">
        <v>14</v>
      </c>
      <c r="C53" s="54">
        <v>3</v>
      </c>
      <c r="D53" s="15" t="s">
        <v>30</v>
      </c>
      <c r="E53" s="61">
        <v>44322</v>
      </c>
      <c r="F53" s="61">
        <v>44322</v>
      </c>
      <c r="G53" s="61">
        <v>44337</v>
      </c>
      <c r="H53" s="54">
        <v>62.5</v>
      </c>
      <c r="I53" s="54"/>
      <c r="J53" s="53">
        <v>1</v>
      </c>
      <c r="K53" s="57">
        <v>-32.659999999999997</v>
      </c>
      <c r="M53" s="57" t="s">
        <v>146</v>
      </c>
      <c r="N53" s="54" t="e">
        <f>RTD("tos.rtd",,"last", "BIG")</f>
        <v>#N/A</v>
      </c>
      <c r="O53" s="54" t="e">
        <f>RTD("tos.rtd",,"ASK",".BIG210521P62.5")</f>
        <v>#N/A</v>
      </c>
      <c r="P53" s="10">
        <f>IF(Table1[[#This Row],[TransType]]="LS", Table1[[#This Row],[OpnPrem]]+Table1[[#This Row],[ClsPrem]],
                                            IF(Table1[[#This Row],[TransType]]="AS", Table1[[#This Row],[OpnPrem]]+Table1[[#This Row],[ClsPrem]],
                                               Table1[[#This Row],[OpnPrem]]-Table1[[#This Row],[ClsPrem]]))</f>
        <v>-32.659999999999997</v>
      </c>
      <c r="Q53" s="59">
        <f>IF(Table1[[#This Row],[SYM]]="","",SUMIFS(Table1[NetPrem],Table1[Trade'#],Table1[[#This Row],[Trade'#]],Table1[Leg],"&lt;="&amp;Table1[[#This Row],[Leg]]))</f>
        <v>287.01</v>
      </c>
      <c r="R53" s="11">
        <f t="shared" ca="1" si="1"/>
        <v>1</v>
      </c>
      <c r="S53"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6250</v>
      </c>
      <c r="T53" s="11" t="str">
        <f>IF(Table1[[#This Row],[CloseDate]]&gt;0,"",Table1[Cap])</f>
        <v/>
      </c>
      <c r="U53" s="11" t="str">
        <f>IF(Table1[[#This Row],[CloseDate]]&gt;0,"",
IF(Table1[[#This Row],[TransType]]="BC","",
IF(Table1[[#This Row],[TransType]]="BP",100*Table1[[#This Row],[Strike]]*Table1[[#This Row],['#Contracts]],
Table1[Cap])))</f>
        <v/>
      </c>
      <c r="V53" s="11">
        <f ca="1">IF(Table1[[#This Row],[SYM]]="","",Table1[[#This Row],[Cap]]*Table1[[#This Row],[Days]])</f>
        <v>6250</v>
      </c>
      <c r="W53" s="11">
        <f ca="1">IF(Table1[[#This Row],[SYM]]="","",SUMIFS(Table1[CapDays],Table1[Trade'#],Table1[[#This Row],[Trade'#]],Table1[Leg],"&lt;="&amp;Table1[[#This Row],[Leg]]))</f>
        <v>206250</v>
      </c>
      <c r="X53" s="60">
        <f ca="1">IF(Table1[[#This Row],[TotCapDays]],365*Table1[[#This Row],[TotPrem]]/Table1[[#This Row],[TotCapDays]],"")</f>
        <v>0.50792072727272719</v>
      </c>
      <c r="Y53" s="10">
        <f>IF(Table1[[#This Row],[SYM]]="","",
IF(Table1[[#This Row],[TransType]]="LS",Table1[[#This Row],[Strike]]-Table1[[#This Row],[TotPrem]]/Table1[[#This Row],['#Contracts]],
IF(Table1[[#This Row],['#Contracts]],Table1[[#This Row],[Strike]]-Table1[[#This Row],[TotPrem]]/Table1[[#This Row],['#Contracts]]/100,"")))</f>
        <v>59.629899999999999</v>
      </c>
      <c r="Z53" s="11" t="str">
        <f>IF(Table1[[#This Row],[CloseDate]]&gt;0,"",
IF(Table1[[#This Row],[TransType]]="LS",Table1['#Contracts],
IF(Table1[[#This Row],[TransType]]="AS",100*Table1[[#This Row],['#Contracts]],
IF(Table1[[#This Row],[TransType]]="SP",100*Table1[[#This Row],['#Contracts]],
IF(Table1[[#This Row],[TransType]]="BP",100*Table1[[#This Row],['#Contracts]],"")))))</f>
        <v/>
      </c>
      <c r="AA53" s="58">
        <f ca="1">IF(Table1[[#This Row],[CloseDate]]&gt;0,Table1[CloseDate],
IF(Table1[[#This Row],[ExpDate]]&gt;0,Table1[ExpDate],
TODAY()))</f>
        <v>44322</v>
      </c>
      <c r="AB53" s="10">
        <f ca="1">IF(PERFORMANCE!D8&gt;0,
IF(PERFORMANCE!D8&lt;Table1[[#This Row],[ActDate]],"",Table1[NetPrem]),
IF(TODAY()&lt;Table1[[#This Row],[ActDate]],"",Table1[NetPrem]))</f>
        <v>-32.659999999999997</v>
      </c>
      <c r="AC53" s="10">
        <f ca="1">IF(PERFORMANCE!D8&gt;0,
IF(PERFORMANCE!D8&lt;Table1[[#This Row],[ActDate]],"",
IF(PERFORMANCE!D8 - Table1[[#This Row],[ActDate]]&lt;366,Table1[NetPrem],"")),
IF(TODAY()&lt;Table1[[#This Row],[ActDate]],"",
IF(TODAY() - Table1[[#This Row],[ActDate]]&lt;366,Table1[NetPrem],"")))</f>
        <v>-32.659999999999997</v>
      </c>
      <c r="AD53" s="10">
        <f ca="1">IF(PERFORMANCE!D8&gt;0,
IF(PERFORMANCE!D8&lt;Table1[[#This Row],[ActDate]],"",
IF(YEAR(PERFORMANCE!D8)=YEAR(Table1[[#This Row],[ActDate]]),Table1[NetPrem],"")),
IF(TODAY()&lt;Table1[[#This Row],[ActDate]],"",
IF(YEAR(TODAY())=YEAR(Table1[[#This Row],[ActDate]]),Table1[NetPrem],"")))</f>
        <v>-32.659999999999997</v>
      </c>
      <c r="AE53" s="10" t="str">
        <f ca="1">IF(PERFORMANCE!D8&gt;0,
IF(PERFORMANCE!D8&lt;Table1[[#This Row],[ActDate]],Table1[NetPrem],""),
IF(TODAY()&lt;Table1[[#This Row],[ActDate]],Table1[NetPrem],""))</f>
        <v/>
      </c>
      <c r="AG53">
        <f>IF(Table1[[#This Row],[SYM]]="","",SUMIFS(Table1[NetPrem],Table1[Trade'#],Table1[[#This Row],[Trade'#]],Table1[Leg],"&lt;="&amp;Table1[[#This Row],[Leg]]))</f>
        <v>287.01</v>
      </c>
    </row>
    <row r="54" spans="1:33" x14ac:dyDescent="0.25">
      <c r="A54" s="15" t="s">
        <v>246</v>
      </c>
      <c r="B54" s="54">
        <v>15</v>
      </c>
      <c r="C54" s="54">
        <v>1</v>
      </c>
      <c r="D54" s="15" t="s">
        <v>30</v>
      </c>
      <c r="E54" s="61">
        <v>44312</v>
      </c>
      <c r="F54" s="61">
        <v>44329</v>
      </c>
      <c r="G54" s="61">
        <v>44330</v>
      </c>
      <c r="H54" s="54">
        <v>23.5</v>
      </c>
      <c r="I54" s="54"/>
      <c r="J54" s="53">
        <v>6</v>
      </c>
      <c r="K54" s="57">
        <v>308.01</v>
      </c>
      <c r="M54" s="57" t="s">
        <v>247</v>
      </c>
      <c r="N54" s="54" t="e">
        <f>RTD("tos.rtd",,"last", "BBBY")</f>
        <v>#N/A</v>
      </c>
      <c r="O54" s="54" t="e">
        <f>RTD("tos.rtd",,"ASK",".BBBY210514P23.5")</f>
        <v>#N/A</v>
      </c>
      <c r="P54" s="10">
        <f>IF(Table1[[#This Row],[TransType]]="LS", Table1[[#This Row],[OpnPrem]]+Table1[[#This Row],[ClsPrem]],
                                            IF(Table1[[#This Row],[TransType]]="AS", Table1[[#This Row],[OpnPrem]]+Table1[[#This Row],[ClsPrem]],
                                               Table1[[#This Row],[OpnPrem]]-Table1[[#This Row],[ClsPrem]]))</f>
        <v>308.01</v>
      </c>
      <c r="Q54" s="59">
        <f>IF(Table1[[#This Row],[SYM]]="","",SUMIFS(Table1[NetPrem],Table1[Trade'#],Table1[[#This Row],[Trade'#]],Table1[Leg],"&lt;="&amp;Table1[[#This Row],[Leg]]))</f>
        <v>308.01</v>
      </c>
      <c r="R54" s="11">
        <f t="shared" ca="1" si="1"/>
        <v>17</v>
      </c>
      <c r="S54"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14100</v>
      </c>
      <c r="T54" s="11" t="str">
        <f>IF(Table1[[#This Row],[CloseDate]]&gt;0,"",Table1[Cap])</f>
        <v/>
      </c>
      <c r="U54" s="11" t="str">
        <f>IF(Table1[[#This Row],[CloseDate]]&gt;0,"",
IF(Table1[[#This Row],[TransType]]="BC","",
IF(Table1[[#This Row],[TransType]]="BP",100*Table1[[#This Row],[Strike]]*Table1[[#This Row],['#Contracts]],
Table1[Cap])))</f>
        <v/>
      </c>
      <c r="V54" s="11">
        <f ca="1">IF(Table1[[#This Row],[SYM]]="","",Table1[[#This Row],[Cap]]*Table1[[#This Row],[Days]])</f>
        <v>239700</v>
      </c>
      <c r="W54" s="11">
        <f ca="1">IF(Table1[[#This Row],[SYM]]="","",SUMIFS(Table1[CapDays],Table1[Trade'#],Table1[[#This Row],[Trade'#]],Table1[Leg],"&lt;="&amp;Table1[[#This Row],[Leg]]))</f>
        <v>239700</v>
      </c>
      <c r="X54" s="60">
        <f ca="1">IF(Table1[[#This Row],[TotCapDays]],365*Table1[[#This Row],[TotPrem]]/Table1[[#This Row],[TotCapDays]],"")</f>
        <v>0.46901814768460576</v>
      </c>
      <c r="Y54" s="10">
        <f>IF(Table1[[#This Row],[SYM]]="","",
IF(Table1[[#This Row],[TransType]]="LS",Table1[[#This Row],[Strike]]-Table1[[#This Row],[TotPrem]]/Table1[[#This Row],['#Contracts]],
IF(Table1[[#This Row],['#Contracts]],Table1[[#This Row],[Strike]]-Table1[[#This Row],[TotPrem]]/Table1[[#This Row],['#Contracts]]/100,"")))</f>
        <v>22.986650000000001</v>
      </c>
      <c r="Z54" s="11" t="str">
        <f>IF(Table1[[#This Row],[CloseDate]]&gt;0,"",
IF(Table1[[#This Row],[TransType]]="LS",Table1['#Contracts],
IF(Table1[[#This Row],[TransType]]="AS",100*Table1[[#This Row],['#Contracts]],
IF(Table1[[#This Row],[TransType]]="SP",100*Table1[[#This Row],['#Contracts]],
IF(Table1[[#This Row],[TransType]]="BP",100*Table1[[#This Row],['#Contracts]],"")))))</f>
        <v/>
      </c>
      <c r="AA54" s="58">
        <f ca="1">IF(Table1[[#This Row],[CloseDate]]&gt;0,Table1[CloseDate],
IF(Table1[[#This Row],[ExpDate]]&gt;0,Table1[ExpDate],
TODAY()))</f>
        <v>44329</v>
      </c>
      <c r="AB54" s="10">
        <f ca="1">IF(PERFORMANCE!D8&gt;0,
IF(PERFORMANCE!D8&lt;Table1[[#This Row],[ActDate]],"",Table1[NetPrem]),
IF(TODAY()&lt;Table1[[#This Row],[ActDate]],"",Table1[NetPrem]))</f>
        <v>308.01</v>
      </c>
      <c r="AC54" s="10">
        <f ca="1">IF(PERFORMANCE!D8&gt;0,
IF(PERFORMANCE!D8&lt;Table1[[#This Row],[ActDate]],"",
IF(PERFORMANCE!D8 - Table1[[#This Row],[ActDate]]&lt;366,Table1[NetPrem],"")),
IF(TODAY()&lt;Table1[[#This Row],[ActDate]],"",
IF(TODAY() - Table1[[#This Row],[ActDate]]&lt;366,Table1[NetPrem],"")))</f>
        <v>308.01</v>
      </c>
      <c r="AD54" s="10">
        <f ca="1">IF(PERFORMANCE!D8&gt;0,
IF(PERFORMANCE!D8&lt;Table1[[#This Row],[ActDate]],"",
IF(YEAR(PERFORMANCE!D8)=YEAR(Table1[[#This Row],[ActDate]]),Table1[NetPrem],"")),
IF(TODAY()&lt;Table1[[#This Row],[ActDate]],"",
IF(YEAR(TODAY())=YEAR(Table1[[#This Row],[ActDate]]),Table1[NetPrem],"")))</f>
        <v>308.01</v>
      </c>
      <c r="AE54" s="10" t="str">
        <f ca="1">IF(PERFORMANCE!D8&gt;0,
IF(PERFORMANCE!D8&lt;Table1[[#This Row],[ActDate]],Table1[NetPrem],""),
IF(TODAY()&lt;Table1[[#This Row],[ActDate]],Table1[NetPrem],""))</f>
        <v/>
      </c>
      <c r="AG54">
        <f>IF(Table1[[#This Row],[SYM]]="","",SUMIFS(Table1[NetPrem],Table1[Trade'#],Table1[[#This Row],[Trade'#]],Table1[Leg],"&lt;="&amp;Table1[[#This Row],[Leg]]))</f>
        <v>308.01</v>
      </c>
    </row>
    <row r="55" spans="1:33" x14ac:dyDescent="0.25">
      <c r="A55" s="15" t="s">
        <v>248</v>
      </c>
      <c r="B55" s="54">
        <v>15</v>
      </c>
      <c r="C55" s="54">
        <v>2</v>
      </c>
      <c r="D55" s="15" t="s">
        <v>30</v>
      </c>
      <c r="E55" s="61">
        <v>44329</v>
      </c>
      <c r="F55" s="61">
        <v>44329</v>
      </c>
      <c r="G55" s="61">
        <v>44330</v>
      </c>
      <c r="H55" s="54">
        <v>23.5</v>
      </c>
      <c r="I55" s="54"/>
      <c r="J55" s="53">
        <v>6</v>
      </c>
      <c r="K55" s="57">
        <v>-411.98</v>
      </c>
      <c r="M55" s="57" t="s">
        <v>247</v>
      </c>
      <c r="N55" s="54" t="e">
        <f>RTD("tos.rtd",,"last", "BBBY")</f>
        <v>#N/A</v>
      </c>
      <c r="O55" s="54" t="e">
        <f>RTD("tos.rtd",,"ASK",".BBBY210514P23.5")</f>
        <v>#N/A</v>
      </c>
      <c r="P55" s="10">
        <f>IF(Table1[[#This Row],[TransType]]="LS", Table1[[#This Row],[OpnPrem]]+Table1[[#This Row],[ClsPrem]],
                                            IF(Table1[[#This Row],[TransType]]="AS", Table1[[#This Row],[OpnPrem]]+Table1[[#This Row],[ClsPrem]],
                                               Table1[[#This Row],[OpnPrem]]-Table1[[#This Row],[ClsPrem]]))</f>
        <v>-411.98</v>
      </c>
      <c r="Q55" s="59">
        <f>IF(Table1[[#This Row],[SYM]]="","",SUMIFS(Table1[NetPrem],Table1[Trade'#],Table1[[#This Row],[Trade'#]],Table1[Leg],"&lt;="&amp;Table1[[#This Row],[Leg]]))</f>
        <v>-103.97000000000003</v>
      </c>
      <c r="R55" s="11">
        <f t="shared" ca="1" si="1"/>
        <v>1</v>
      </c>
      <c r="S55"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14100</v>
      </c>
      <c r="T55" s="11" t="str">
        <f>IF(Table1[[#This Row],[CloseDate]]&gt;0,"",Table1[Cap])</f>
        <v/>
      </c>
      <c r="U55" s="11" t="str">
        <f>IF(Table1[[#This Row],[CloseDate]]&gt;0,"",
IF(Table1[[#This Row],[TransType]]="BC","",
IF(Table1[[#This Row],[TransType]]="BP",100*Table1[[#This Row],[Strike]]*Table1[[#This Row],['#Contracts]],
Table1[Cap])))</f>
        <v/>
      </c>
      <c r="V55" s="11">
        <f ca="1">IF(Table1[[#This Row],[SYM]]="","",Table1[[#This Row],[Cap]]*Table1[[#This Row],[Days]])</f>
        <v>14100</v>
      </c>
      <c r="W55" s="11">
        <f ca="1">IF(Table1[[#This Row],[SYM]]="","",SUMIFS(Table1[CapDays],Table1[Trade'#],Table1[[#This Row],[Trade'#]],Table1[Leg],"&lt;="&amp;Table1[[#This Row],[Leg]]))</f>
        <v>253800</v>
      </c>
      <c r="X55" s="60">
        <f ca="1">IF(Table1[[#This Row],[TotCapDays]],365*Table1[[#This Row],[TotPrem]]/Table1[[#This Row],[TotCapDays]],"")</f>
        <v>-0.14952344365642242</v>
      </c>
      <c r="Y55" s="10">
        <f>IF(Table1[[#This Row],[SYM]]="","",
IF(Table1[[#This Row],[TransType]]="LS",Table1[[#This Row],[Strike]]-Table1[[#This Row],[TotPrem]]/Table1[[#This Row],['#Contracts]],
IF(Table1[[#This Row],['#Contracts]],Table1[[#This Row],[Strike]]-Table1[[#This Row],[TotPrem]]/Table1[[#This Row],['#Contracts]]/100,"")))</f>
        <v>23.673283333333334</v>
      </c>
      <c r="Z55" s="11" t="str">
        <f>IF(Table1[[#This Row],[CloseDate]]&gt;0,"",
IF(Table1[[#This Row],[TransType]]="LS",Table1['#Contracts],
IF(Table1[[#This Row],[TransType]]="AS",100*Table1[[#This Row],['#Contracts]],
IF(Table1[[#This Row],[TransType]]="SP",100*Table1[[#This Row],['#Contracts]],
IF(Table1[[#This Row],[TransType]]="BP",100*Table1[[#This Row],['#Contracts]],"")))))</f>
        <v/>
      </c>
      <c r="AA55" s="58">
        <f ca="1">IF(Table1[[#This Row],[CloseDate]]&gt;0,Table1[CloseDate],
IF(Table1[[#This Row],[ExpDate]]&gt;0,Table1[ExpDate],
TODAY()))</f>
        <v>44329</v>
      </c>
      <c r="AB55" s="10">
        <f ca="1">IF(PERFORMANCE!D8&gt;0,
IF(PERFORMANCE!D8&lt;Table1[[#This Row],[ActDate]],"",Table1[NetPrem]),
IF(TODAY()&lt;Table1[[#This Row],[ActDate]],"",Table1[NetPrem]))</f>
        <v>-411.98</v>
      </c>
      <c r="AC55" s="10">
        <f ca="1">IF(PERFORMANCE!D8&gt;0,
IF(PERFORMANCE!D8&lt;Table1[[#This Row],[ActDate]],"",
IF(PERFORMANCE!D8 - Table1[[#This Row],[ActDate]]&lt;366,Table1[NetPrem],"")),
IF(TODAY()&lt;Table1[[#This Row],[ActDate]],"",
IF(TODAY() - Table1[[#This Row],[ActDate]]&lt;366,Table1[NetPrem],"")))</f>
        <v>-411.98</v>
      </c>
      <c r="AD55" s="10">
        <f ca="1">IF(PERFORMANCE!D8&gt;0,
IF(PERFORMANCE!D8&lt;Table1[[#This Row],[ActDate]],"",
IF(YEAR(PERFORMANCE!D8)=YEAR(Table1[[#This Row],[ActDate]]),Table1[NetPrem],"")),
IF(TODAY()&lt;Table1[[#This Row],[ActDate]],"",
IF(YEAR(TODAY())=YEAR(Table1[[#This Row],[ActDate]]),Table1[NetPrem],"")))</f>
        <v>-411.98</v>
      </c>
      <c r="AE55" s="10" t="str">
        <f ca="1">IF(PERFORMANCE!D8&gt;0,
IF(PERFORMANCE!D8&lt;Table1[[#This Row],[ActDate]],Table1[NetPrem],""),
IF(TODAY()&lt;Table1[[#This Row],[ActDate]],Table1[NetPrem],""))</f>
        <v/>
      </c>
      <c r="AG55">
        <f>IF(Table1[[#This Row],[SYM]]="","",SUMIFS(Table1[NetPrem],Table1[Trade'#],Table1[[#This Row],[Trade'#]],Table1[Leg],"&lt;="&amp;Table1[[#This Row],[Leg]]))</f>
        <v>-103.97000000000003</v>
      </c>
    </row>
    <row r="56" spans="1:33" x14ac:dyDescent="0.25">
      <c r="A56" s="15" t="s">
        <v>249</v>
      </c>
      <c r="B56" s="54">
        <v>15</v>
      </c>
      <c r="C56" s="54">
        <v>3</v>
      </c>
      <c r="D56" s="15" t="s">
        <v>30</v>
      </c>
      <c r="E56" s="61">
        <v>44329</v>
      </c>
      <c r="F56" s="61">
        <v>44330</v>
      </c>
      <c r="G56" s="61">
        <v>44337</v>
      </c>
      <c r="H56" s="54">
        <v>23</v>
      </c>
      <c r="I56" s="54"/>
      <c r="J56" s="53">
        <v>6</v>
      </c>
      <c r="K56" s="57">
        <v>560.01</v>
      </c>
      <c r="M56" s="57" t="s">
        <v>247</v>
      </c>
      <c r="N56" s="54" t="e">
        <f>RTD("tos.rtd",,"last", "BBBY")</f>
        <v>#N/A</v>
      </c>
      <c r="O56" s="54" t="e">
        <f>RTD("tos.rtd",,"ASK",".BBBY210521P23")</f>
        <v>#N/A</v>
      </c>
      <c r="P56" s="10">
        <f>IF(Table1[[#This Row],[TransType]]="LS", Table1[[#This Row],[OpnPrem]]+Table1[[#This Row],[ClsPrem]],
                                            IF(Table1[[#This Row],[TransType]]="AS", Table1[[#This Row],[OpnPrem]]+Table1[[#This Row],[ClsPrem]],
                                               Table1[[#This Row],[OpnPrem]]-Table1[[#This Row],[ClsPrem]]))</f>
        <v>560.01</v>
      </c>
      <c r="Q56" s="59">
        <f>IF(Table1[[#This Row],[SYM]]="","",SUMIFS(Table1[NetPrem],Table1[Trade'#],Table1[[#This Row],[Trade'#]],Table1[Leg],"&lt;="&amp;Table1[[#This Row],[Leg]]))</f>
        <v>456.03999999999996</v>
      </c>
      <c r="R56" s="11">
        <f t="shared" ca="1" si="1"/>
        <v>1</v>
      </c>
      <c r="S56"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13800</v>
      </c>
      <c r="T56" s="11" t="str">
        <f>IF(Table1[[#This Row],[CloseDate]]&gt;0,"",Table1[Cap])</f>
        <v/>
      </c>
      <c r="U56" s="11" t="str">
        <f>IF(Table1[[#This Row],[CloseDate]]&gt;0,"",
IF(Table1[[#This Row],[TransType]]="BC","",
IF(Table1[[#This Row],[TransType]]="BP",100*Table1[[#This Row],[Strike]]*Table1[[#This Row],['#Contracts]],
Table1[Cap])))</f>
        <v/>
      </c>
      <c r="V56" s="11">
        <f ca="1">IF(Table1[[#This Row],[SYM]]="","",Table1[[#This Row],[Cap]]*Table1[[#This Row],[Days]])</f>
        <v>13800</v>
      </c>
      <c r="W56" s="11">
        <f ca="1">IF(Table1[[#This Row],[SYM]]="","",SUMIFS(Table1[CapDays],Table1[Trade'#],Table1[[#This Row],[Trade'#]],Table1[Leg],"&lt;="&amp;Table1[[#This Row],[Leg]]))</f>
        <v>267600</v>
      </c>
      <c r="X56" s="60">
        <f ca="1">IF(Table1[[#This Row],[TotCapDays]],365*Table1[[#This Row],[TotPrem]]/Table1[[#This Row],[TotCapDays]],"")</f>
        <v>0.62202765321375175</v>
      </c>
      <c r="Y56" s="10">
        <f>IF(Table1[[#This Row],[SYM]]="","",
IF(Table1[[#This Row],[TransType]]="LS",Table1[[#This Row],[Strike]]-Table1[[#This Row],[TotPrem]]/Table1[[#This Row],['#Contracts]],
IF(Table1[[#This Row],['#Contracts]],Table1[[#This Row],[Strike]]-Table1[[#This Row],[TotPrem]]/Table1[[#This Row],['#Contracts]]/100,"")))</f>
        <v>22.239933333333333</v>
      </c>
      <c r="Z56" s="11" t="str">
        <f>IF(Table1[[#This Row],[CloseDate]]&gt;0,"",
IF(Table1[[#This Row],[TransType]]="LS",Table1['#Contracts],
IF(Table1[[#This Row],[TransType]]="AS",100*Table1[[#This Row],['#Contracts]],
IF(Table1[[#This Row],[TransType]]="SP",100*Table1[[#This Row],['#Contracts]],
IF(Table1[[#This Row],[TransType]]="BP",100*Table1[[#This Row],['#Contracts]],"")))))</f>
        <v/>
      </c>
      <c r="AA56" s="58">
        <f ca="1">IF(Table1[[#This Row],[CloseDate]]&gt;0,Table1[CloseDate],
IF(Table1[[#This Row],[ExpDate]]&gt;0,Table1[ExpDate],
TODAY()))</f>
        <v>44330</v>
      </c>
      <c r="AB56" s="10">
        <f ca="1">IF(PERFORMANCE!D8&gt;0,
IF(PERFORMANCE!D8&lt;Table1[[#This Row],[ActDate]],"",Table1[NetPrem]),
IF(TODAY()&lt;Table1[[#This Row],[ActDate]],"",Table1[NetPrem]))</f>
        <v>560.01</v>
      </c>
      <c r="AC56" s="10">
        <f ca="1">IF(PERFORMANCE!D8&gt;0,
IF(PERFORMANCE!D8&lt;Table1[[#This Row],[ActDate]],"",
IF(PERFORMANCE!D8 - Table1[[#This Row],[ActDate]]&lt;366,Table1[NetPrem],"")),
IF(TODAY()&lt;Table1[[#This Row],[ActDate]],"",
IF(TODAY() - Table1[[#This Row],[ActDate]]&lt;366,Table1[NetPrem],"")))</f>
        <v>560.01</v>
      </c>
      <c r="AD56" s="10">
        <f ca="1">IF(PERFORMANCE!D8&gt;0,
IF(PERFORMANCE!D8&lt;Table1[[#This Row],[ActDate]],"",
IF(YEAR(PERFORMANCE!D8)=YEAR(Table1[[#This Row],[ActDate]]),Table1[NetPrem],"")),
IF(TODAY()&lt;Table1[[#This Row],[ActDate]],"",
IF(YEAR(TODAY())=YEAR(Table1[[#This Row],[ActDate]]),Table1[NetPrem],"")))</f>
        <v>560.01</v>
      </c>
      <c r="AE56" s="10" t="str">
        <f ca="1">IF(PERFORMANCE!D8&gt;0,
IF(PERFORMANCE!D8&lt;Table1[[#This Row],[ActDate]],Table1[NetPrem],""),
IF(TODAY()&lt;Table1[[#This Row],[ActDate]],Table1[NetPrem],""))</f>
        <v/>
      </c>
      <c r="AG56">
        <f>IF(Table1[[#This Row],[SYM]]="","",SUMIFS(Table1[NetPrem],Table1[Trade'#],Table1[[#This Row],[Trade'#]],Table1[Leg],"&lt;="&amp;Table1[[#This Row],[Leg]]))</f>
        <v>456.03999999999996</v>
      </c>
    </row>
    <row r="57" spans="1:33" x14ac:dyDescent="0.25">
      <c r="A57" s="15" t="s">
        <v>250</v>
      </c>
      <c r="B57" s="54">
        <v>15</v>
      </c>
      <c r="C57" s="54">
        <v>4</v>
      </c>
      <c r="D57" s="15" t="s">
        <v>30</v>
      </c>
      <c r="E57" s="61">
        <v>44330</v>
      </c>
      <c r="F57" s="61">
        <v>44330</v>
      </c>
      <c r="G57" s="61">
        <v>44337</v>
      </c>
      <c r="H57" s="54">
        <v>23</v>
      </c>
      <c r="I57" s="54"/>
      <c r="J57" s="53">
        <v>6</v>
      </c>
      <c r="K57" s="57">
        <v>-117.98</v>
      </c>
      <c r="M57" s="57" t="s">
        <v>247</v>
      </c>
      <c r="N57" s="54" t="e">
        <f>RTD("tos.rtd",,"last", "BBBY")</f>
        <v>#N/A</v>
      </c>
      <c r="O57" s="54" t="e">
        <f>RTD("tos.rtd",,"ASK",".BBBY210521P23")</f>
        <v>#N/A</v>
      </c>
      <c r="P57" s="10">
        <f>IF(Table1[[#This Row],[TransType]]="LS", Table1[[#This Row],[OpnPrem]]+Table1[[#This Row],[ClsPrem]],
                                            IF(Table1[[#This Row],[TransType]]="AS", Table1[[#This Row],[OpnPrem]]+Table1[[#This Row],[ClsPrem]],
                                               Table1[[#This Row],[OpnPrem]]-Table1[[#This Row],[ClsPrem]]))</f>
        <v>-117.98</v>
      </c>
      <c r="Q57" s="59">
        <f>IF(Table1[[#This Row],[SYM]]="","",SUMIFS(Table1[NetPrem],Table1[Trade'#],Table1[[#This Row],[Trade'#]],Table1[Leg],"&lt;="&amp;Table1[[#This Row],[Leg]]))</f>
        <v>338.05999999999995</v>
      </c>
      <c r="R57" s="11">
        <f t="shared" ca="1" si="1"/>
        <v>1</v>
      </c>
      <c r="S57"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13800</v>
      </c>
      <c r="T57" s="11" t="str">
        <f>IF(Table1[[#This Row],[CloseDate]]&gt;0,"",Table1[Cap])</f>
        <v/>
      </c>
      <c r="U57" s="11" t="str">
        <f>IF(Table1[[#This Row],[CloseDate]]&gt;0,"",
IF(Table1[[#This Row],[TransType]]="BC","",
IF(Table1[[#This Row],[TransType]]="BP",100*Table1[[#This Row],[Strike]]*Table1[[#This Row],['#Contracts]],
Table1[Cap])))</f>
        <v/>
      </c>
      <c r="V57" s="11">
        <f ca="1">IF(Table1[[#This Row],[SYM]]="","",Table1[[#This Row],[Cap]]*Table1[[#This Row],[Days]])</f>
        <v>13800</v>
      </c>
      <c r="W57" s="11">
        <f ca="1">IF(Table1[[#This Row],[SYM]]="","",SUMIFS(Table1[CapDays],Table1[Trade'#],Table1[[#This Row],[Trade'#]],Table1[Leg],"&lt;="&amp;Table1[[#This Row],[Leg]]))</f>
        <v>281400</v>
      </c>
      <c r="X57" s="60">
        <f ca="1">IF(Table1[[#This Row],[TotCapDays]],365*Table1[[#This Row],[TotPrem]]/Table1[[#This Row],[TotCapDays]],"")</f>
        <v>0.43849289267945979</v>
      </c>
      <c r="Y57" s="10">
        <f>IF(Table1[[#This Row],[SYM]]="","",
IF(Table1[[#This Row],[TransType]]="LS",Table1[[#This Row],[Strike]]-Table1[[#This Row],[TotPrem]]/Table1[[#This Row],['#Contracts]],
IF(Table1[[#This Row],['#Contracts]],Table1[[#This Row],[Strike]]-Table1[[#This Row],[TotPrem]]/Table1[[#This Row],['#Contracts]]/100,"")))</f>
        <v>22.436566666666668</v>
      </c>
      <c r="Z57" s="11" t="str">
        <f>IF(Table1[[#This Row],[CloseDate]]&gt;0,"",
IF(Table1[[#This Row],[TransType]]="LS",Table1['#Contracts],
IF(Table1[[#This Row],[TransType]]="AS",100*Table1[[#This Row],['#Contracts]],
IF(Table1[[#This Row],[TransType]]="SP",100*Table1[[#This Row],['#Contracts]],
IF(Table1[[#This Row],[TransType]]="BP",100*Table1[[#This Row],['#Contracts]],"")))))</f>
        <v/>
      </c>
      <c r="AA57" s="58">
        <f ca="1">IF(Table1[[#This Row],[CloseDate]]&gt;0,Table1[CloseDate],
IF(Table1[[#This Row],[ExpDate]]&gt;0,Table1[ExpDate],
TODAY()))</f>
        <v>44330</v>
      </c>
      <c r="AB57" s="10">
        <f ca="1">IF(PERFORMANCE!D8&gt;0,
IF(PERFORMANCE!D8&lt;Table1[[#This Row],[ActDate]],"",Table1[NetPrem]),
IF(TODAY()&lt;Table1[[#This Row],[ActDate]],"",Table1[NetPrem]))</f>
        <v>-117.98</v>
      </c>
      <c r="AC57" s="10">
        <f ca="1">IF(PERFORMANCE!D8&gt;0,
IF(PERFORMANCE!D8&lt;Table1[[#This Row],[ActDate]],"",
IF(PERFORMANCE!D8 - Table1[[#This Row],[ActDate]]&lt;366,Table1[NetPrem],"")),
IF(TODAY()&lt;Table1[[#This Row],[ActDate]],"",
IF(TODAY() - Table1[[#This Row],[ActDate]]&lt;366,Table1[NetPrem],"")))</f>
        <v>-117.98</v>
      </c>
      <c r="AD57" s="10">
        <f ca="1">IF(PERFORMANCE!D8&gt;0,
IF(PERFORMANCE!D8&lt;Table1[[#This Row],[ActDate]],"",
IF(YEAR(PERFORMANCE!D8)=YEAR(Table1[[#This Row],[ActDate]]),Table1[NetPrem],"")),
IF(TODAY()&lt;Table1[[#This Row],[ActDate]],"",
IF(YEAR(TODAY())=YEAR(Table1[[#This Row],[ActDate]]),Table1[NetPrem],"")))</f>
        <v>-117.98</v>
      </c>
      <c r="AE57" s="10" t="str">
        <f ca="1">IF(PERFORMANCE!D8&gt;0,
IF(PERFORMANCE!D8&lt;Table1[[#This Row],[ActDate]],Table1[NetPrem],""),
IF(TODAY()&lt;Table1[[#This Row],[ActDate]],Table1[NetPrem],""))</f>
        <v/>
      </c>
      <c r="AG57">
        <f>IF(Table1[[#This Row],[SYM]]="","",SUMIFS(Table1[NetPrem],Table1[Trade'#],Table1[[#This Row],[Trade'#]],Table1[Leg],"&lt;="&amp;Table1[[#This Row],[Leg]]))</f>
        <v>338.05999999999995</v>
      </c>
    </row>
    <row r="58" spans="1:33" x14ac:dyDescent="0.25">
      <c r="A58" s="15" t="s">
        <v>251</v>
      </c>
      <c r="B58" s="54">
        <v>16</v>
      </c>
      <c r="C58" s="54">
        <v>1</v>
      </c>
      <c r="D58" s="15" t="s">
        <v>30</v>
      </c>
      <c r="E58" s="61">
        <v>44313</v>
      </c>
      <c r="F58" s="61">
        <v>44329</v>
      </c>
      <c r="G58" s="61">
        <v>44330</v>
      </c>
      <c r="H58" s="54">
        <v>51</v>
      </c>
      <c r="I58" s="54"/>
      <c r="J58" s="53">
        <v>4</v>
      </c>
      <c r="K58" s="57">
        <v>329.33</v>
      </c>
      <c r="M58" s="57" t="s">
        <v>252</v>
      </c>
      <c r="N58" s="54" t="e">
        <f>RTD("tos.rtd",,"last", "UAL")</f>
        <v>#N/A</v>
      </c>
      <c r="O58" s="54" t="e">
        <f>RTD("tos.rtd",,"ASK",".UAL210514P51")</f>
        <v>#N/A</v>
      </c>
      <c r="P58" s="10">
        <f>IF(Table1[[#This Row],[TransType]]="LS", Table1[[#This Row],[OpnPrem]]+Table1[[#This Row],[ClsPrem]],
                                            IF(Table1[[#This Row],[TransType]]="AS", Table1[[#This Row],[OpnPrem]]+Table1[[#This Row],[ClsPrem]],
                                               Table1[[#This Row],[OpnPrem]]-Table1[[#This Row],[ClsPrem]]))</f>
        <v>329.33</v>
      </c>
      <c r="Q58" s="59">
        <f>IF(Table1[[#This Row],[SYM]]="","",SUMIFS(Table1[NetPrem],Table1[Trade'#],Table1[[#This Row],[Trade'#]],Table1[Leg],"&lt;="&amp;Table1[[#This Row],[Leg]]))</f>
        <v>329.33</v>
      </c>
      <c r="R58" s="11">
        <f t="shared" ca="1" si="1"/>
        <v>16</v>
      </c>
      <c r="S58"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20400</v>
      </c>
      <c r="T58" s="11" t="str">
        <f>IF(Table1[[#This Row],[CloseDate]]&gt;0,"",Table1[Cap])</f>
        <v/>
      </c>
      <c r="U58" s="11" t="str">
        <f>IF(Table1[[#This Row],[CloseDate]]&gt;0,"",
IF(Table1[[#This Row],[TransType]]="BC","",
IF(Table1[[#This Row],[TransType]]="BP",100*Table1[[#This Row],[Strike]]*Table1[[#This Row],['#Contracts]],
Table1[Cap])))</f>
        <v/>
      </c>
      <c r="V58" s="11">
        <f ca="1">IF(Table1[[#This Row],[SYM]]="","",Table1[[#This Row],[Cap]]*Table1[[#This Row],[Days]])</f>
        <v>326400</v>
      </c>
      <c r="W58" s="11">
        <f ca="1">IF(Table1[[#This Row],[SYM]]="","",SUMIFS(Table1[CapDays],Table1[Trade'#],Table1[[#This Row],[Trade'#]],Table1[Leg],"&lt;="&amp;Table1[[#This Row],[Leg]]))</f>
        <v>326400</v>
      </c>
      <c r="X58" s="60">
        <f ca="1">IF(Table1[[#This Row],[TotCapDays]],365*Table1[[#This Row],[TotPrem]]/Table1[[#This Row],[TotCapDays]],"")</f>
        <v>0.36827650122549016</v>
      </c>
      <c r="Y58" s="10">
        <f>IF(Table1[[#This Row],[SYM]]="","",
IF(Table1[[#This Row],[TransType]]="LS",Table1[[#This Row],[Strike]]-Table1[[#This Row],[TotPrem]]/Table1[[#This Row],['#Contracts]],
IF(Table1[[#This Row],['#Contracts]],Table1[[#This Row],[Strike]]-Table1[[#This Row],[TotPrem]]/Table1[[#This Row],['#Contracts]]/100,"")))</f>
        <v>50.176675000000003</v>
      </c>
      <c r="Z58" s="11" t="str">
        <f>IF(Table1[[#This Row],[CloseDate]]&gt;0,"",
IF(Table1[[#This Row],[TransType]]="LS",Table1['#Contracts],
IF(Table1[[#This Row],[TransType]]="AS",100*Table1[[#This Row],['#Contracts]],
IF(Table1[[#This Row],[TransType]]="SP",100*Table1[[#This Row],['#Contracts]],
IF(Table1[[#This Row],[TransType]]="BP",100*Table1[[#This Row],['#Contracts]],"")))))</f>
        <v/>
      </c>
      <c r="AA58" s="58">
        <f ca="1">IF(Table1[[#This Row],[CloseDate]]&gt;0,Table1[CloseDate],
IF(Table1[[#This Row],[ExpDate]]&gt;0,Table1[ExpDate],
TODAY()))</f>
        <v>44329</v>
      </c>
      <c r="AB58" s="10">
        <f ca="1">IF(PERFORMANCE!D8&gt;0,
IF(PERFORMANCE!D8&lt;Table1[[#This Row],[ActDate]],"",Table1[NetPrem]),
IF(TODAY()&lt;Table1[[#This Row],[ActDate]],"",Table1[NetPrem]))</f>
        <v>329.33</v>
      </c>
      <c r="AC58" s="10">
        <f ca="1">IF(PERFORMANCE!D8&gt;0,
IF(PERFORMANCE!D8&lt;Table1[[#This Row],[ActDate]],"",
IF(PERFORMANCE!D8 - Table1[[#This Row],[ActDate]]&lt;366,Table1[NetPrem],"")),
IF(TODAY()&lt;Table1[[#This Row],[ActDate]],"",
IF(TODAY() - Table1[[#This Row],[ActDate]]&lt;366,Table1[NetPrem],"")))</f>
        <v>329.33</v>
      </c>
      <c r="AD58" s="10">
        <f ca="1">IF(PERFORMANCE!D8&gt;0,
IF(PERFORMANCE!D8&lt;Table1[[#This Row],[ActDate]],"",
IF(YEAR(PERFORMANCE!D8)=YEAR(Table1[[#This Row],[ActDate]]),Table1[NetPrem],"")),
IF(TODAY()&lt;Table1[[#This Row],[ActDate]],"",
IF(YEAR(TODAY())=YEAR(Table1[[#This Row],[ActDate]]),Table1[NetPrem],"")))</f>
        <v>329.33</v>
      </c>
      <c r="AE58" s="10" t="str">
        <f ca="1">IF(PERFORMANCE!D8&gt;0,
IF(PERFORMANCE!D8&lt;Table1[[#This Row],[ActDate]],Table1[NetPrem],""),
IF(TODAY()&lt;Table1[[#This Row],[ActDate]],Table1[NetPrem],""))</f>
        <v/>
      </c>
      <c r="AG58">
        <f>IF(Table1[[#This Row],[SYM]]="","",SUMIFS(Table1[NetPrem],Table1[Trade'#],Table1[[#This Row],[Trade'#]],Table1[Leg],"&lt;="&amp;Table1[[#This Row],[Leg]]))</f>
        <v>329.33</v>
      </c>
    </row>
    <row r="59" spans="1:33" x14ac:dyDescent="0.25">
      <c r="A59" s="15" t="s">
        <v>253</v>
      </c>
      <c r="B59" s="54">
        <v>16</v>
      </c>
      <c r="C59" s="54">
        <v>2</v>
      </c>
      <c r="D59" s="15" t="s">
        <v>30</v>
      </c>
      <c r="E59" s="61">
        <v>44329</v>
      </c>
      <c r="F59" s="61">
        <v>44329</v>
      </c>
      <c r="G59" s="61">
        <v>44330</v>
      </c>
      <c r="H59" s="54">
        <v>51</v>
      </c>
      <c r="I59" s="54"/>
      <c r="J59" s="53">
        <v>4</v>
      </c>
      <c r="K59" s="57">
        <v>-150.66</v>
      </c>
      <c r="M59" s="57" t="s">
        <v>252</v>
      </c>
      <c r="N59" s="54" t="e">
        <f>RTD("tos.rtd",,"last", "UAL")</f>
        <v>#N/A</v>
      </c>
      <c r="O59" s="54" t="e">
        <f>RTD("tos.rtd",,"ASK",".UAL210514P51")</f>
        <v>#N/A</v>
      </c>
      <c r="P59" s="10">
        <f>IF(Table1[[#This Row],[TransType]]="LS", Table1[[#This Row],[OpnPrem]]+Table1[[#This Row],[ClsPrem]],
                                            IF(Table1[[#This Row],[TransType]]="AS", Table1[[#This Row],[OpnPrem]]+Table1[[#This Row],[ClsPrem]],
                                               Table1[[#This Row],[OpnPrem]]-Table1[[#This Row],[ClsPrem]]))</f>
        <v>-150.66</v>
      </c>
      <c r="Q59" s="59">
        <f>IF(Table1[[#This Row],[SYM]]="","",SUMIFS(Table1[NetPrem],Table1[Trade'#],Table1[[#This Row],[Trade'#]],Table1[Leg],"&lt;="&amp;Table1[[#This Row],[Leg]]))</f>
        <v>178.67</v>
      </c>
      <c r="R59" s="11">
        <f t="shared" ca="1" si="1"/>
        <v>1</v>
      </c>
      <c r="S59"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20400</v>
      </c>
      <c r="T59" s="11" t="str">
        <f>IF(Table1[[#This Row],[CloseDate]]&gt;0,"",Table1[Cap])</f>
        <v/>
      </c>
      <c r="U59" s="11" t="str">
        <f>IF(Table1[[#This Row],[CloseDate]]&gt;0,"",
IF(Table1[[#This Row],[TransType]]="BC","",
IF(Table1[[#This Row],[TransType]]="BP",100*Table1[[#This Row],[Strike]]*Table1[[#This Row],['#Contracts]],
Table1[Cap])))</f>
        <v/>
      </c>
      <c r="V59" s="11">
        <f ca="1">IF(Table1[[#This Row],[SYM]]="","",Table1[[#This Row],[Cap]]*Table1[[#This Row],[Days]])</f>
        <v>20400</v>
      </c>
      <c r="W59" s="11">
        <f ca="1">IF(Table1[[#This Row],[SYM]]="","",SUMIFS(Table1[CapDays],Table1[Trade'#],Table1[[#This Row],[Trade'#]],Table1[Leg],"&lt;="&amp;Table1[[#This Row],[Leg]]))</f>
        <v>346800</v>
      </c>
      <c r="X59" s="60">
        <f ca="1">IF(Table1[[#This Row],[TotCapDays]],365*Table1[[#This Row],[TotPrem]]/Table1[[#This Row],[TotCapDays]],"")</f>
        <v>0.18804656862745098</v>
      </c>
      <c r="Y59" s="10">
        <f>IF(Table1[[#This Row],[SYM]]="","",
IF(Table1[[#This Row],[TransType]]="LS",Table1[[#This Row],[Strike]]-Table1[[#This Row],[TotPrem]]/Table1[[#This Row],['#Contracts]],
IF(Table1[[#This Row],['#Contracts]],Table1[[#This Row],[Strike]]-Table1[[#This Row],[TotPrem]]/Table1[[#This Row],['#Contracts]]/100,"")))</f>
        <v>50.553325000000001</v>
      </c>
      <c r="Z59" s="11" t="str">
        <f>IF(Table1[[#This Row],[CloseDate]]&gt;0,"",
IF(Table1[[#This Row],[TransType]]="LS",Table1['#Contracts],
IF(Table1[[#This Row],[TransType]]="AS",100*Table1[[#This Row],['#Contracts]],
IF(Table1[[#This Row],[TransType]]="SP",100*Table1[[#This Row],['#Contracts]],
IF(Table1[[#This Row],[TransType]]="BP",100*Table1[[#This Row],['#Contracts]],"")))))</f>
        <v/>
      </c>
      <c r="AA59" s="58">
        <f ca="1">IF(Table1[[#This Row],[CloseDate]]&gt;0,Table1[CloseDate],
IF(Table1[[#This Row],[ExpDate]]&gt;0,Table1[ExpDate],
TODAY()))</f>
        <v>44329</v>
      </c>
      <c r="AB59" s="10">
        <f ca="1">IF(PERFORMANCE!D8&gt;0,
IF(PERFORMANCE!D8&lt;Table1[[#This Row],[ActDate]],"",Table1[NetPrem]),
IF(TODAY()&lt;Table1[[#This Row],[ActDate]],"",Table1[NetPrem]))</f>
        <v>-150.66</v>
      </c>
      <c r="AC59" s="10">
        <f ca="1">IF(PERFORMANCE!D8&gt;0,
IF(PERFORMANCE!D8&lt;Table1[[#This Row],[ActDate]],"",
IF(PERFORMANCE!D8 - Table1[[#This Row],[ActDate]]&lt;366,Table1[NetPrem],"")),
IF(TODAY()&lt;Table1[[#This Row],[ActDate]],"",
IF(TODAY() - Table1[[#This Row],[ActDate]]&lt;366,Table1[NetPrem],"")))</f>
        <v>-150.66</v>
      </c>
      <c r="AD59" s="10">
        <f ca="1">IF(PERFORMANCE!D8&gt;0,
IF(PERFORMANCE!D8&lt;Table1[[#This Row],[ActDate]],"",
IF(YEAR(PERFORMANCE!D8)=YEAR(Table1[[#This Row],[ActDate]]),Table1[NetPrem],"")),
IF(TODAY()&lt;Table1[[#This Row],[ActDate]],"",
IF(YEAR(TODAY())=YEAR(Table1[[#This Row],[ActDate]]),Table1[NetPrem],"")))</f>
        <v>-150.66</v>
      </c>
      <c r="AE59" s="10" t="str">
        <f ca="1">IF(PERFORMANCE!D8&gt;0,
IF(PERFORMANCE!D8&lt;Table1[[#This Row],[ActDate]],Table1[NetPrem],""),
IF(TODAY()&lt;Table1[[#This Row],[ActDate]],Table1[NetPrem],""))</f>
        <v/>
      </c>
      <c r="AG59">
        <f>IF(Table1[[#This Row],[SYM]]="","",SUMIFS(Table1[NetPrem],Table1[Trade'#],Table1[[#This Row],[Trade'#]],Table1[Leg],"&lt;="&amp;Table1[[#This Row],[Leg]]))</f>
        <v>178.67</v>
      </c>
    </row>
    <row r="60" spans="1:33" x14ac:dyDescent="0.25">
      <c r="A60" s="15" t="s">
        <v>254</v>
      </c>
      <c r="B60" s="54">
        <v>16</v>
      </c>
      <c r="C60" s="54">
        <v>3</v>
      </c>
      <c r="D60" s="15" t="s">
        <v>30</v>
      </c>
      <c r="E60" s="61">
        <v>44329</v>
      </c>
      <c r="F60" s="61">
        <v>44330</v>
      </c>
      <c r="G60" s="61">
        <v>44337</v>
      </c>
      <c r="H60" s="54">
        <v>50</v>
      </c>
      <c r="I60" s="54"/>
      <c r="J60" s="53">
        <v>4</v>
      </c>
      <c r="K60" s="57">
        <v>337.33</v>
      </c>
      <c r="M60" s="57" t="s">
        <v>252</v>
      </c>
      <c r="N60" s="54" t="e">
        <f>RTD("tos.rtd",,"last", "UAL")</f>
        <v>#N/A</v>
      </c>
      <c r="O60" s="54" t="e">
        <f>RTD("tos.rtd",,"ASK",".UAL210521P50")</f>
        <v>#N/A</v>
      </c>
      <c r="P60" s="10">
        <f>IF(Table1[[#This Row],[TransType]]="LS", Table1[[#This Row],[OpnPrem]]+Table1[[#This Row],[ClsPrem]],
                                            IF(Table1[[#This Row],[TransType]]="AS", Table1[[#This Row],[OpnPrem]]+Table1[[#This Row],[ClsPrem]],
                                               Table1[[#This Row],[OpnPrem]]-Table1[[#This Row],[ClsPrem]]))</f>
        <v>337.33</v>
      </c>
      <c r="Q60" s="59">
        <f>IF(Table1[[#This Row],[SYM]]="","",SUMIFS(Table1[NetPrem],Table1[Trade'#],Table1[[#This Row],[Trade'#]],Table1[Leg],"&lt;="&amp;Table1[[#This Row],[Leg]]))</f>
        <v>516</v>
      </c>
      <c r="R60" s="11">
        <f t="shared" ca="1" si="1"/>
        <v>1</v>
      </c>
      <c r="S60"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20000</v>
      </c>
      <c r="T60" s="11" t="str">
        <f>IF(Table1[[#This Row],[CloseDate]]&gt;0,"",Table1[Cap])</f>
        <v/>
      </c>
      <c r="U60" s="11" t="str">
        <f>IF(Table1[[#This Row],[CloseDate]]&gt;0,"",
IF(Table1[[#This Row],[TransType]]="BC","",
IF(Table1[[#This Row],[TransType]]="BP",100*Table1[[#This Row],[Strike]]*Table1[[#This Row],['#Contracts]],
Table1[Cap])))</f>
        <v/>
      </c>
      <c r="V60" s="11">
        <f ca="1">IF(Table1[[#This Row],[SYM]]="","",Table1[[#This Row],[Cap]]*Table1[[#This Row],[Days]])</f>
        <v>20000</v>
      </c>
      <c r="W60" s="11">
        <f ca="1">IF(Table1[[#This Row],[SYM]]="","",SUMIFS(Table1[CapDays],Table1[Trade'#],Table1[[#This Row],[Trade'#]],Table1[Leg],"&lt;="&amp;Table1[[#This Row],[Leg]]))</f>
        <v>366800</v>
      </c>
      <c r="X60" s="60">
        <f ca="1">IF(Table1[[#This Row],[TotCapDays]],365*Table1[[#This Row],[TotPrem]]/Table1[[#This Row],[TotCapDays]],"")</f>
        <v>0.51346782988004358</v>
      </c>
      <c r="Y60" s="10">
        <f>IF(Table1[[#This Row],[SYM]]="","",
IF(Table1[[#This Row],[TransType]]="LS",Table1[[#This Row],[Strike]]-Table1[[#This Row],[TotPrem]]/Table1[[#This Row],['#Contracts]],
IF(Table1[[#This Row],['#Contracts]],Table1[[#This Row],[Strike]]-Table1[[#This Row],[TotPrem]]/Table1[[#This Row],['#Contracts]]/100,"")))</f>
        <v>48.71</v>
      </c>
      <c r="Z60" s="11" t="str">
        <f>IF(Table1[[#This Row],[CloseDate]]&gt;0,"",
IF(Table1[[#This Row],[TransType]]="LS",Table1['#Contracts],
IF(Table1[[#This Row],[TransType]]="AS",100*Table1[[#This Row],['#Contracts]],
IF(Table1[[#This Row],[TransType]]="SP",100*Table1[[#This Row],['#Contracts]],
IF(Table1[[#This Row],[TransType]]="BP",100*Table1[[#This Row],['#Contracts]],"")))))</f>
        <v/>
      </c>
      <c r="AA60" s="58">
        <f ca="1">IF(Table1[[#This Row],[CloseDate]]&gt;0,Table1[CloseDate],
IF(Table1[[#This Row],[ExpDate]]&gt;0,Table1[ExpDate],
TODAY()))</f>
        <v>44330</v>
      </c>
      <c r="AB60" s="10">
        <f ca="1">IF(PERFORMANCE!D8&gt;0,
IF(PERFORMANCE!D8&lt;Table1[[#This Row],[ActDate]],"",Table1[NetPrem]),
IF(TODAY()&lt;Table1[[#This Row],[ActDate]],"",Table1[NetPrem]))</f>
        <v>337.33</v>
      </c>
      <c r="AC60" s="10">
        <f ca="1">IF(PERFORMANCE!D8&gt;0,
IF(PERFORMANCE!D8&lt;Table1[[#This Row],[ActDate]],"",
IF(PERFORMANCE!D8 - Table1[[#This Row],[ActDate]]&lt;366,Table1[NetPrem],"")),
IF(TODAY()&lt;Table1[[#This Row],[ActDate]],"",
IF(TODAY() - Table1[[#This Row],[ActDate]]&lt;366,Table1[NetPrem],"")))</f>
        <v>337.33</v>
      </c>
      <c r="AD60" s="10">
        <f ca="1">IF(PERFORMANCE!D8&gt;0,
IF(PERFORMANCE!D8&lt;Table1[[#This Row],[ActDate]],"",
IF(YEAR(PERFORMANCE!D8)=YEAR(Table1[[#This Row],[ActDate]]),Table1[NetPrem],"")),
IF(TODAY()&lt;Table1[[#This Row],[ActDate]],"",
IF(YEAR(TODAY())=YEAR(Table1[[#This Row],[ActDate]]),Table1[NetPrem],"")))</f>
        <v>337.33</v>
      </c>
      <c r="AE60" s="10" t="str">
        <f ca="1">IF(PERFORMANCE!D8&gt;0,
IF(PERFORMANCE!D8&lt;Table1[[#This Row],[ActDate]],Table1[NetPrem],""),
IF(TODAY()&lt;Table1[[#This Row],[ActDate]],Table1[NetPrem],""))</f>
        <v/>
      </c>
      <c r="AG60">
        <f>IF(Table1[[#This Row],[SYM]]="","",SUMIFS(Table1[NetPrem],Table1[Trade'#],Table1[[#This Row],[Trade'#]],Table1[Leg],"&lt;="&amp;Table1[[#This Row],[Leg]]))</f>
        <v>516</v>
      </c>
    </row>
    <row r="61" spans="1:33" x14ac:dyDescent="0.25">
      <c r="A61" s="15" t="s">
        <v>255</v>
      </c>
      <c r="B61" s="54">
        <v>16</v>
      </c>
      <c r="C61" s="54">
        <v>4</v>
      </c>
      <c r="D61" s="15" t="s">
        <v>30</v>
      </c>
      <c r="E61" s="61">
        <v>44330</v>
      </c>
      <c r="F61" s="61">
        <v>44330</v>
      </c>
      <c r="G61" s="61">
        <v>44337</v>
      </c>
      <c r="H61" s="54">
        <v>50</v>
      </c>
      <c r="I61" s="54"/>
      <c r="J61" s="53">
        <v>4</v>
      </c>
      <c r="K61" s="57">
        <v>-62.66</v>
      </c>
      <c r="M61" s="57" t="s">
        <v>252</v>
      </c>
      <c r="N61" s="54" t="e">
        <f>RTD("tos.rtd",,"last", "UAL")</f>
        <v>#N/A</v>
      </c>
      <c r="O61" s="54" t="e">
        <f>RTD("tos.rtd",,"ASK",".UAL210521P50")</f>
        <v>#N/A</v>
      </c>
      <c r="P61" s="10">
        <f>IF(Table1[[#This Row],[TransType]]="LS", Table1[[#This Row],[OpnPrem]]+Table1[[#This Row],[ClsPrem]],
                                            IF(Table1[[#This Row],[TransType]]="AS", Table1[[#This Row],[OpnPrem]]+Table1[[#This Row],[ClsPrem]],
                                               Table1[[#This Row],[OpnPrem]]-Table1[[#This Row],[ClsPrem]]))</f>
        <v>-62.66</v>
      </c>
      <c r="Q61" s="59">
        <f>IF(Table1[[#This Row],[SYM]]="","",SUMIFS(Table1[NetPrem],Table1[Trade'#],Table1[[#This Row],[Trade'#]],Table1[Leg],"&lt;="&amp;Table1[[#This Row],[Leg]]))</f>
        <v>453.34000000000003</v>
      </c>
      <c r="R61" s="11">
        <f t="shared" ca="1" si="1"/>
        <v>1</v>
      </c>
      <c r="S61"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20000</v>
      </c>
      <c r="T61" s="11" t="str">
        <f>IF(Table1[[#This Row],[CloseDate]]&gt;0,"",Table1[Cap])</f>
        <v/>
      </c>
      <c r="U61" s="11" t="str">
        <f>IF(Table1[[#This Row],[CloseDate]]&gt;0,"",
IF(Table1[[#This Row],[TransType]]="BC","",
IF(Table1[[#This Row],[TransType]]="BP",100*Table1[[#This Row],[Strike]]*Table1[[#This Row],['#Contracts]],
Table1[Cap])))</f>
        <v/>
      </c>
      <c r="V61" s="11">
        <f ca="1">IF(Table1[[#This Row],[SYM]]="","",Table1[[#This Row],[Cap]]*Table1[[#This Row],[Days]])</f>
        <v>20000</v>
      </c>
      <c r="W61" s="11">
        <f ca="1">IF(Table1[[#This Row],[SYM]]="","",SUMIFS(Table1[CapDays],Table1[Trade'#],Table1[[#This Row],[Trade'#]],Table1[Leg],"&lt;="&amp;Table1[[#This Row],[Leg]]))</f>
        <v>386800</v>
      </c>
      <c r="X61" s="60">
        <f ca="1">IF(Table1[[#This Row],[TotCapDays]],365*Table1[[#This Row],[TotPrem]]/Table1[[#This Row],[TotCapDays]],"")</f>
        <v>0.42778981385729059</v>
      </c>
      <c r="Y61" s="10">
        <f>IF(Table1[[#This Row],[SYM]]="","",
IF(Table1[[#This Row],[TransType]]="LS",Table1[[#This Row],[Strike]]-Table1[[#This Row],[TotPrem]]/Table1[[#This Row],['#Contracts]],
IF(Table1[[#This Row],['#Contracts]],Table1[[#This Row],[Strike]]-Table1[[#This Row],[TotPrem]]/Table1[[#This Row],['#Contracts]]/100,"")))</f>
        <v>48.86665</v>
      </c>
      <c r="Z61" s="11" t="str">
        <f>IF(Table1[[#This Row],[CloseDate]]&gt;0,"",
IF(Table1[[#This Row],[TransType]]="LS",Table1['#Contracts],
IF(Table1[[#This Row],[TransType]]="AS",100*Table1[[#This Row],['#Contracts]],
IF(Table1[[#This Row],[TransType]]="SP",100*Table1[[#This Row],['#Contracts]],
IF(Table1[[#This Row],[TransType]]="BP",100*Table1[[#This Row],['#Contracts]],"")))))</f>
        <v/>
      </c>
      <c r="AA61" s="58">
        <f ca="1">IF(Table1[[#This Row],[CloseDate]]&gt;0,Table1[CloseDate],
IF(Table1[[#This Row],[ExpDate]]&gt;0,Table1[ExpDate],
TODAY()))</f>
        <v>44330</v>
      </c>
      <c r="AB61" s="10">
        <f ca="1">IF(PERFORMANCE!D8&gt;0,
IF(PERFORMANCE!D8&lt;Table1[[#This Row],[ActDate]],"",Table1[NetPrem]),
IF(TODAY()&lt;Table1[[#This Row],[ActDate]],"",Table1[NetPrem]))</f>
        <v>-62.66</v>
      </c>
      <c r="AC61" s="10">
        <f ca="1">IF(PERFORMANCE!D8&gt;0,
IF(PERFORMANCE!D8&lt;Table1[[#This Row],[ActDate]],"",
IF(PERFORMANCE!D8 - Table1[[#This Row],[ActDate]]&lt;366,Table1[NetPrem],"")),
IF(TODAY()&lt;Table1[[#This Row],[ActDate]],"",
IF(TODAY() - Table1[[#This Row],[ActDate]]&lt;366,Table1[NetPrem],"")))</f>
        <v>-62.66</v>
      </c>
      <c r="AD61" s="10">
        <f ca="1">IF(PERFORMANCE!D8&gt;0,
IF(PERFORMANCE!D8&lt;Table1[[#This Row],[ActDate]],"",
IF(YEAR(PERFORMANCE!D8)=YEAR(Table1[[#This Row],[ActDate]]),Table1[NetPrem],"")),
IF(TODAY()&lt;Table1[[#This Row],[ActDate]],"",
IF(YEAR(TODAY())=YEAR(Table1[[#This Row],[ActDate]]),Table1[NetPrem],"")))</f>
        <v>-62.66</v>
      </c>
      <c r="AE61" s="10" t="str">
        <f ca="1">IF(PERFORMANCE!D8&gt;0,
IF(PERFORMANCE!D8&lt;Table1[[#This Row],[ActDate]],Table1[NetPrem],""),
IF(TODAY()&lt;Table1[[#This Row],[ActDate]],Table1[NetPrem],""))</f>
        <v/>
      </c>
      <c r="AG61">
        <f>IF(Table1[[#This Row],[SYM]]="","",SUMIFS(Table1[NetPrem],Table1[Trade'#],Table1[[#This Row],[Trade'#]],Table1[Leg],"&lt;="&amp;Table1[[#This Row],[Leg]]))</f>
        <v>453.34000000000003</v>
      </c>
    </row>
    <row r="62" spans="1:33" x14ac:dyDescent="0.25">
      <c r="A62" s="15" t="s">
        <v>256</v>
      </c>
      <c r="B62" s="54">
        <v>17</v>
      </c>
      <c r="C62" s="54">
        <v>1</v>
      </c>
      <c r="D62" s="15" t="s">
        <v>30</v>
      </c>
      <c r="E62" s="61">
        <v>44314</v>
      </c>
      <c r="F62" s="61">
        <v>44322</v>
      </c>
      <c r="G62" s="61">
        <v>44323</v>
      </c>
      <c r="H62" s="54">
        <v>45</v>
      </c>
      <c r="I62" s="54"/>
      <c r="J62" s="53">
        <v>2</v>
      </c>
      <c r="K62" s="57">
        <v>192.67</v>
      </c>
      <c r="M62" s="57" t="s">
        <v>142</v>
      </c>
      <c r="N62" s="54" t="e">
        <f>RTD("tos.rtd",,"last", "SFIX")</f>
        <v>#N/A</v>
      </c>
      <c r="O62" s="54" t="e">
        <f>RTD("tos.rtd",,"ASK",".SFIX21057P45")</f>
        <v>#N/A</v>
      </c>
      <c r="P62" s="10">
        <f>IF(Table1[[#This Row],[TransType]]="LS", Table1[[#This Row],[OpnPrem]]+Table1[[#This Row],[ClsPrem]],
                                            IF(Table1[[#This Row],[TransType]]="AS", Table1[[#This Row],[OpnPrem]]+Table1[[#This Row],[ClsPrem]],
                                               Table1[[#This Row],[OpnPrem]]-Table1[[#This Row],[ClsPrem]]))</f>
        <v>192.67</v>
      </c>
      <c r="Q62" s="59">
        <f>IF(Table1[[#This Row],[SYM]]="","",SUMIFS(Table1[NetPrem],Table1[Trade'#],Table1[[#This Row],[Trade'#]],Table1[Leg],"&lt;="&amp;Table1[[#This Row],[Leg]]))</f>
        <v>192.67</v>
      </c>
      <c r="R62" s="11">
        <f t="shared" ca="1" si="1"/>
        <v>8</v>
      </c>
      <c r="S62"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9000</v>
      </c>
      <c r="T62" s="11" t="str">
        <f>IF(Table1[[#This Row],[CloseDate]]&gt;0,"",Table1[Cap])</f>
        <v/>
      </c>
      <c r="U62" s="11" t="str">
        <f>IF(Table1[[#This Row],[CloseDate]]&gt;0,"",
IF(Table1[[#This Row],[TransType]]="BC","",
IF(Table1[[#This Row],[TransType]]="BP",100*Table1[[#This Row],[Strike]]*Table1[[#This Row],['#Contracts]],
Table1[Cap])))</f>
        <v/>
      </c>
      <c r="V62" s="11">
        <f ca="1">IF(Table1[[#This Row],[SYM]]="","",Table1[[#This Row],[Cap]]*Table1[[#This Row],[Days]])</f>
        <v>72000</v>
      </c>
      <c r="W62" s="11">
        <f ca="1">IF(Table1[[#This Row],[SYM]]="","",SUMIFS(Table1[CapDays],Table1[Trade'#],Table1[[#This Row],[Trade'#]],Table1[Leg],"&lt;="&amp;Table1[[#This Row],[Leg]]))</f>
        <v>72000</v>
      </c>
      <c r="X62" s="60">
        <f ca="1">IF(Table1[[#This Row],[TotCapDays]],365*Table1[[#This Row],[TotPrem]]/Table1[[#This Row],[TotCapDays]],"")</f>
        <v>0.97672986111111093</v>
      </c>
      <c r="Y62" s="10">
        <f>IF(Table1[[#This Row],[SYM]]="","",
IF(Table1[[#This Row],[TransType]]="LS",Table1[[#This Row],[Strike]]-Table1[[#This Row],[TotPrem]]/Table1[[#This Row],['#Contracts]],
IF(Table1[[#This Row],['#Contracts]],Table1[[#This Row],[Strike]]-Table1[[#This Row],[TotPrem]]/Table1[[#This Row],['#Contracts]]/100,"")))</f>
        <v>44.036650000000002</v>
      </c>
      <c r="Z62" s="11" t="str">
        <f>IF(Table1[[#This Row],[CloseDate]]&gt;0,"",
IF(Table1[[#This Row],[TransType]]="LS",Table1['#Contracts],
IF(Table1[[#This Row],[TransType]]="AS",100*Table1[[#This Row],['#Contracts]],
IF(Table1[[#This Row],[TransType]]="SP",100*Table1[[#This Row],['#Contracts]],
IF(Table1[[#This Row],[TransType]]="BP",100*Table1[[#This Row],['#Contracts]],"")))))</f>
        <v/>
      </c>
      <c r="AA62" s="58">
        <f ca="1">IF(Table1[[#This Row],[CloseDate]]&gt;0,Table1[CloseDate],
IF(Table1[[#This Row],[ExpDate]]&gt;0,Table1[ExpDate],
TODAY()))</f>
        <v>44322</v>
      </c>
      <c r="AB62" s="10">
        <f ca="1">IF(PERFORMANCE!D8&gt;0,
IF(PERFORMANCE!D8&lt;Table1[[#This Row],[ActDate]],"",Table1[NetPrem]),
IF(TODAY()&lt;Table1[[#This Row],[ActDate]],"",Table1[NetPrem]))</f>
        <v>192.67</v>
      </c>
      <c r="AC62" s="10">
        <f ca="1">IF(PERFORMANCE!D8&gt;0,
IF(PERFORMANCE!D8&lt;Table1[[#This Row],[ActDate]],"",
IF(PERFORMANCE!D8 - Table1[[#This Row],[ActDate]]&lt;366,Table1[NetPrem],"")),
IF(TODAY()&lt;Table1[[#This Row],[ActDate]],"",
IF(TODAY() - Table1[[#This Row],[ActDate]]&lt;366,Table1[NetPrem],"")))</f>
        <v>192.67</v>
      </c>
      <c r="AD62" s="10">
        <f ca="1">IF(PERFORMANCE!D8&gt;0,
IF(PERFORMANCE!D8&lt;Table1[[#This Row],[ActDate]],"",
IF(YEAR(PERFORMANCE!D8)=YEAR(Table1[[#This Row],[ActDate]]),Table1[NetPrem],"")),
IF(TODAY()&lt;Table1[[#This Row],[ActDate]],"",
IF(YEAR(TODAY())=YEAR(Table1[[#This Row],[ActDate]]),Table1[NetPrem],"")))</f>
        <v>192.67</v>
      </c>
      <c r="AE62" s="10" t="str">
        <f ca="1">IF(PERFORMANCE!D8&gt;0,
IF(PERFORMANCE!D8&lt;Table1[[#This Row],[ActDate]],Table1[NetPrem],""),
IF(TODAY()&lt;Table1[[#This Row],[ActDate]],Table1[NetPrem],""))</f>
        <v/>
      </c>
      <c r="AG62">
        <f>IF(Table1[[#This Row],[SYM]]="","",SUMIFS(Table1[NetPrem],Table1[Trade'#],Table1[[#This Row],[Trade'#]],Table1[Leg],"&lt;="&amp;Table1[[#This Row],[Leg]]))</f>
        <v>192.67</v>
      </c>
    </row>
    <row r="63" spans="1:33" x14ac:dyDescent="0.25">
      <c r="A63" s="15" t="s">
        <v>257</v>
      </c>
      <c r="B63" s="54">
        <v>17</v>
      </c>
      <c r="C63" s="54">
        <v>2</v>
      </c>
      <c r="D63" s="15" t="s">
        <v>30</v>
      </c>
      <c r="E63" s="61">
        <v>44322</v>
      </c>
      <c r="F63" s="61">
        <v>44322</v>
      </c>
      <c r="G63" s="61">
        <v>44323</v>
      </c>
      <c r="H63" s="54">
        <v>45</v>
      </c>
      <c r="I63" s="54"/>
      <c r="J63" s="53">
        <v>2</v>
      </c>
      <c r="K63" s="57">
        <v>-1241.33</v>
      </c>
      <c r="M63" s="57" t="s">
        <v>142</v>
      </c>
      <c r="N63" s="54" t="e">
        <f>RTD("tos.rtd",,"last", "SFIX")</f>
        <v>#N/A</v>
      </c>
      <c r="O63" s="54" t="e">
        <f>RTD("tos.rtd",,"ASK",".SFIX21057P45")</f>
        <v>#N/A</v>
      </c>
      <c r="P63" s="10">
        <f>IF(Table1[[#This Row],[TransType]]="LS", Table1[[#This Row],[OpnPrem]]+Table1[[#This Row],[ClsPrem]],
                                            IF(Table1[[#This Row],[TransType]]="AS", Table1[[#This Row],[OpnPrem]]+Table1[[#This Row],[ClsPrem]],
                                               Table1[[#This Row],[OpnPrem]]-Table1[[#This Row],[ClsPrem]]))</f>
        <v>-1241.33</v>
      </c>
      <c r="Q63" s="59">
        <f>IF(Table1[[#This Row],[SYM]]="","",SUMIFS(Table1[NetPrem],Table1[Trade'#],Table1[[#This Row],[Trade'#]],Table1[Leg],"&lt;="&amp;Table1[[#This Row],[Leg]]))</f>
        <v>-1048.6599999999999</v>
      </c>
      <c r="R63" s="11">
        <f t="shared" ca="1" si="1"/>
        <v>1</v>
      </c>
      <c r="S63"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9000</v>
      </c>
      <c r="T63" s="11" t="str">
        <f>IF(Table1[[#This Row],[CloseDate]]&gt;0,"",Table1[Cap])</f>
        <v/>
      </c>
      <c r="U63" s="11" t="str">
        <f>IF(Table1[[#This Row],[CloseDate]]&gt;0,"",
IF(Table1[[#This Row],[TransType]]="BC","",
IF(Table1[[#This Row],[TransType]]="BP",100*Table1[[#This Row],[Strike]]*Table1[[#This Row],['#Contracts]],
Table1[Cap])))</f>
        <v/>
      </c>
      <c r="V63" s="11">
        <f ca="1">IF(Table1[[#This Row],[SYM]]="","",Table1[[#This Row],[Cap]]*Table1[[#This Row],[Days]])</f>
        <v>9000</v>
      </c>
      <c r="W63" s="11">
        <f ca="1">IF(Table1[[#This Row],[SYM]]="","",SUMIFS(Table1[CapDays],Table1[Trade'#],Table1[[#This Row],[Trade'#]],Table1[Leg],"&lt;="&amp;Table1[[#This Row],[Leg]]))</f>
        <v>81000</v>
      </c>
      <c r="X63" s="60">
        <f ca="1">IF(Table1[[#This Row],[TotCapDays]],365*Table1[[#This Row],[TotPrem]]/Table1[[#This Row],[TotCapDays]],"")</f>
        <v>-4.7254432098765431</v>
      </c>
      <c r="Y63" s="10">
        <f>IF(Table1[[#This Row],[SYM]]="","",
IF(Table1[[#This Row],[TransType]]="LS",Table1[[#This Row],[Strike]]-Table1[[#This Row],[TotPrem]]/Table1[[#This Row],['#Contracts]],
IF(Table1[[#This Row],['#Contracts]],Table1[[#This Row],[Strike]]-Table1[[#This Row],[TotPrem]]/Table1[[#This Row],['#Contracts]]/100,"")))</f>
        <v>50.243299999999998</v>
      </c>
      <c r="Z63" s="11" t="str">
        <f>IF(Table1[[#This Row],[CloseDate]]&gt;0,"",
IF(Table1[[#This Row],[TransType]]="LS",Table1['#Contracts],
IF(Table1[[#This Row],[TransType]]="AS",100*Table1[[#This Row],['#Contracts]],
IF(Table1[[#This Row],[TransType]]="SP",100*Table1[[#This Row],['#Contracts]],
IF(Table1[[#This Row],[TransType]]="BP",100*Table1[[#This Row],['#Contracts]],"")))))</f>
        <v/>
      </c>
      <c r="AA63" s="58">
        <f ca="1">IF(Table1[[#This Row],[CloseDate]]&gt;0,Table1[CloseDate],
IF(Table1[[#This Row],[ExpDate]]&gt;0,Table1[ExpDate],
TODAY()))</f>
        <v>44322</v>
      </c>
      <c r="AB63" s="10">
        <f ca="1">IF(PERFORMANCE!D8&gt;0,
IF(PERFORMANCE!D8&lt;Table1[[#This Row],[ActDate]],"",Table1[NetPrem]),
IF(TODAY()&lt;Table1[[#This Row],[ActDate]],"",Table1[NetPrem]))</f>
        <v>-1241.33</v>
      </c>
      <c r="AC63" s="10">
        <f ca="1">IF(PERFORMANCE!D8&gt;0,
IF(PERFORMANCE!D8&lt;Table1[[#This Row],[ActDate]],"",
IF(PERFORMANCE!D8 - Table1[[#This Row],[ActDate]]&lt;366,Table1[NetPrem],"")),
IF(TODAY()&lt;Table1[[#This Row],[ActDate]],"",
IF(TODAY() - Table1[[#This Row],[ActDate]]&lt;366,Table1[NetPrem],"")))</f>
        <v>-1241.33</v>
      </c>
      <c r="AD63" s="10">
        <f ca="1">IF(PERFORMANCE!D8&gt;0,
IF(PERFORMANCE!D8&lt;Table1[[#This Row],[ActDate]],"",
IF(YEAR(PERFORMANCE!D8)=YEAR(Table1[[#This Row],[ActDate]]),Table1[NetPrem],"")),
IF(TODAY()&lt;Table1[[#This Row],[ActDate]],"",
IF(YEAR(TODAY())=YEAR(Table1[[#This Row],[ActDate]]),Table1[NetPrem],"")))</f>
        <v>-1241.33</v>
      </c>
      <c r="AE63" s="10" t="str">
        <f ca="1">IF(PERFORMANCE!D8&gt;0,
IF(PERFORMANCE!D8&lt;Table1[[#This Row],[ActDate]],Table1[NetPrem],""),
IF(TODAY()&lt;Table1[[#This Row],[ActDate]],Table1[NetPrem],""))</f>
        <v/>
      </c>
      <c r="AG63">
        <f>IF(Table1[[#This Row],[SYM]]="","",SUMIFS(Table1[NetPrem],Table1[Trade'#],Table1[[#This Row],[Trade'#]],Table1[Leg],"&lt;="&amp;Table1[[#This Row],[Leg]]))</f>
        <v>-1048.6599999999999</v>
      </c>
    </row>
    <row r="64" spans="1:33" x14ac:dyDescent="0.25">
      <c r="A64" s="15" t="s">
        <v>258</v>
      </c>
      <c r="B64" s="54">
        <v>17</v>
      </c>
      <c r="C64" s="54">
        <v>3</v>
      </c>
      <c r="D64" s="15" t="s">
        <v>30</v>
      </c>
      <c r="E64" s="61">
        <v>44322</v>
      </c>
      <c r="F64" s="15"/>
      <c r="G64" s="61">
        <v>44358</v>
      </c>
      <c r="H64" s="54">
        <v>43</v>
      </c>
      <c r="I64" s="54"/>
      <c r="J64" s="53">
        <v>2</v>
      </c>
      <c r="K64" s="57">
        <v>1298.6600000000001</v>
      </c>
      <c r="M64" s="57" t="s">
        <v>142</v>
      </c>
      <c r="N64" s="54" t="e">
        <f>RTD("tos.rtd",,"last", "SFIX")</f>
        <v>#N/A</v>
      </c>
      <c r="O64" s="54" t="e">
        <f>RTD("tos.rtd",,"ASK",".SFIX210611P43")</f>
        <v>#N/A</v>
      </c>
      <c r="P64" s="10">
        <f>IF(Table1[[#This Row],[TransType]]="LS", Table1[[#This Row],[OpnPrem]]+Table1[[#This Row],[ClsPrem]],
                                            IF(Table1[[#This Row],[TransType]]="AS", Table1[[#This Row],[OpnPrem]]+Table1[[#This Row],[ClsPrem]],
                                               Table1[[#This Row],[OpnPrem]]-Table1[[#This Row],[ClsPrem]]))</f>
        <v>1298.6600000000001</v>
      </c>
      <c r="Q64" s="59">
        <f>IF(Table1[[#This Row],[SYM]]="","",SUMIFS(Table1[NetPrem],Table1[Trade'#],Table1[[#This Row],[Trade'#]],Table1[Leg],"&lt;="&amp;Table1[[#This Row],[Leg]]))</f>
        <v>250.00000000000023</v>
      </c>
      <c r="R64" s="11">
        <f t="shared" ca="1" si="1"/>
        <v>36</v>
      </c>
      <c r="S64"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8600</v>
      </c>
      <c r="T64" s="11">
        <f>IF(Table1[[#This Row],[CloseDate]]&gt;0,"",Table1[Cap])</f>
        <v>8600</v>
      </c>
      <c r="U64" s="11">
        <f>IF(Table1[[#This Row],[CloseDate]]&gt;0,"",
IF(Table1[[#This Row],[TransType]]="BC","",
IF(Table1[[#This Row],[TransType]]="BP",100*Table1[[#This Row],[Strike]]*Table1[[#This Row],['#Contracts]],
Table1[Cap])))</f>
        <v>8600</v>
      </c>
      <c r="V64" s="11">
        <f ca="1">IF(Table1[[#This Row],[SYM]]="","",Table1[[#This Row],[Cap]]*Table1[[#This Row],[Days]])</f>
        <v>309600</v>
      </c>
      <c r="W64" s="11">
        <f ca="1">IF(Table1[[#This Row],[SYM]]="","",SUMIFS(Table1[CapDays],Table1[Trade'#],Table1[[#This Row],[Trade'#]],Table1[Leg],"&lt;="&amp;Table1[[#This Row],[Leg]]))</f>
        <v>390600</v>
      </c>
      <c r="X64" s="60">
        <f ca="1">IF(Table1[[#This Row],[TotCapDays]],365*Table1[[#This Row],[TotPrem]]/Table1[[#This Row],[TotCapDays]],"")</f>
        <v>0.23361495135688706</v>
      </c>
      <c r="Y64" s="10">
        <f>IF(Table1[[#This Row],[SYM]]="","",
IF(Table1[[#This Row],[TransType]]="LS",Table1[[#This Row],[Strike]]-Table1[[#This Row],[TotPrem]]/Table1[[#This Row],['#Contracts]],
IF(Table1[[#This Row],['#Contracts]],Table1[[#This Row],[Strike]]-Table1[[#This Row],[TotPrem]]/Table1[[#This Row],['#Contracts]]/100,"")))</f>
        <v>41.75</v>
      </c>
      <c r="Z64" s="11">
        <f>IF(Table1[[#This Row],[CloseDate]]&gt;0,"",
IF(Table1[[#This Row],[TransType]]="LS",Table1['#Contracts],
IF(Table1[[#This Row],[TransType]]="AS",100*Table1[[#This Row],['#Contracts]],
IF(Table1[[#This Row],[TransType]]="SP",100*Table1[[#This Row],['#Contracts]],
IF(Table1[[#This Row],[TransType]]="BP",100*Table1[[#This Row],['#Contracts]],"")))))</f>
        <v>200</v>
      </c>
      <c r="AA64" s="58">
        <f ca="1">IF(Table1[[#This Row],[CloseDate]]&gt;0,Table1[CloseDate],
IF(Table1[[#This Row],[ExpDate]]&gt;0,Table1[ExpDate],
TODAY()))</f>
        <v>44358</v>
      </c>
      <c r="AB64" s="10">
        <f ca="1">IF(PERFORMANCE!D8&gt;0,
IF(PERFORMANCE!D8&lt;Table1[[#This Row],[ActDate]],"",Table1[NetPrem]),
IF(TODAY()&lt;Table1[[#This Row],[ActDate]],"",Table1[NetPrem]))</f>
        <v>1298.6600000000001</v>
      </c>
      <c r="AC64" s="10">
        <f ca="1">IF(PERFORMANCE!D8&gt;0,
IF(PERFORMANCE!D8&lt;Table1[[#This Row],[ActDate]],"",
IF(PERFORMANCE!D8 - Table1[[#This Row],[ActDate]]&lt;366,Table1[NetPrem],"")),
IF(TODAY()&lt;Table1[[#This Row],[ActDate]],"",
IF(TODAY() - Table1[[#This Row],[ActDate]]&lt;366,Table1[NetPrem],"")))</f>
        <v>1298.6600000000001</v>
      </c>
      <c r="AD64" s="10">
        <f ca="1">IF(PERFORMANCE!D8&gt;0,
IF(PERFORMANCE!D8&lt;Table1[[#This Row],[ActDate]],"",
IF(YEAR(PERFORMANCE!D8)=YEAR(Table1[[#This Row],[ActDate]]),Table1[NetPrem],"")),
IF(TODAY()&lt;Table1[[#This Row],[ActDate]],"",
IF(YEAR(TODAY())=YEAR(Table1[[#This Row],[ActDate]]),Table1[NetPrem],"")))</f>
        <v>1298.6600000000001</v>
      </c>
      <c r="AE64" s="10" t="str">
        <f ca="1">IF(PERFORMANCE!D8&gt;0,
IF(PERFORMANCE!D8&lt;Table1[[#This Row],[ActDate]],Table1[NetPrem],""),
IF(TODAY()&lt;Table1[[#This Row],[ActDate]],Table1[NetPrem],""))</f>
        <v/>
      </c>
      <c r="AG64">
        <f>IF(Table1[[#This Row],[SYM]]="","",SUMIFS(Table1[NetPrem],Table1[Trade'#],Table1[[#This Row],[Trade'#]],Table1[Leg],"&lt;="&amp;Table1[[#This Row],[Leg]]))</f>
        <v>250.00000000000023</v>
      </c>
    </row>
    <row r="65" spans="1:33" x14ac:dyDescent="0.25">
      <c r="A65" s="15" t="s">
        <v>259</v>
      </c>
      <c r="B65" s="54">
        <v>18</v>
      </c>
      <c r="C65" s="54">
        <v>1</v>
      </c>
      <c r="D65" s="15" t="s">
        <v>30</v>
      </c>
      <c r="E65" s="61">
        <v>44316</v>
      </c>
      <c r="F65" s="15"/>
      <c r="G65" s="61">
        <v>44337</v>
      </c>
      <c r="H65" s="54">
        <v>65</v>
      </c>
      <c r="I65" s="54"/>
      <c r="J65" s="53">
        <v>2</v>
      </c>
      <c r="K65" s="57">
        <v>198.67</v>
      </c>
      <c r="M65" s="57" t="s">
        <v>260</v>
      </c>
      <c r="N65" s="54" t="e">
        <f>RTD("tos.rtd",,"last", "EAT")</f>
        <v>#N/A</v>
      </c>
      <c r="O65" s="54" t="e">
        <f>RTD("tos.rtd",,"ASK",".EAT210521P65")</f>
        <v>#N/A</v>
      </c>
      <c r="P65" s="10">
        <f>IF(Table1[[#This Row],[TransType]]="LS", Table1[[#This Row],[OpnPrem]]+Table1[[#This Row],[ClsPrem]],
                                            IF(Table1[[#This Row],[TransType]]="AS", Table1[[#This Row],[OpnPrem]]+Table1[[#This Row],[ClsPrem]],
                                               Table1[[#This Row],[OpnPrem]]-Table1[[#This Row],[ClsPrem]]))</f>
        <v>198.67</v>
      </c>
      <c r="Q65" s="59">
        <f>IF(Table1[[#This Row],[SYM]]="","",SUMIFS(Table1[NetPrem],Table1[Trade'#],Table1[[#This Row],[Trade'#]],Table1[Leg],"&lt;="&amp;Table1[[#This Row],[Leg]]))</f>
        <v>198.67</v>
      </c>
      <c r="R65" s="11">
        <f t="shared" ca="1" si="1"/>
        <v>21</v>
      </c>
      <c r="S65"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13000</v>
      </c>
      <c r="T65" s="11">
        <f>IF(Table1[[#This Row],[CloseDate]]&gt;0,"",Table1[Cap])</f>
        <v>13000</v>
      </c>
      <c r="U65" s="11">
        <f>IF(Table1[[#This Row],[CloseDate]]&gt;0,"",
IF(Table1[[#This Row],[TransType]]="BC","",
IF(Table1[[#This Row],[TransType]]="BP",100*Table1[[#This Row],[Strike]]*Table1[[#This Row],['#Contracts]],
Table1[Cap])))</f>
        <v>13000</v>
      </c>
      <c r="V65" s="11">
        <f ca="1">IF(Table1[[#This Row],[SYM]]="","",Table1[[#This Row],[Cap]]*Table1[[#This Row],[Days]])</f>
        <v>273000</v>
      </c>
      <c r="W65" s="11">
        <f ca="1">IF(Table1[[#This Row],[SYM]]="","",SUMIFS(Table1[CapDays],Table1[Trade'#],Table1[[#This Row],[Trade'#]],Table1[Leg],"&lt;="&amp;Table1[[#This Row],[Leg]]))</f>
        <v>273000</v>
      </c>
      <c r="X65" s="60">
        <f ca="1">IF(Table1[[#This Row],[TotCapDays]],365*Table1[[#This Row],[TotPrem]]/Table1[[#This Row],[TotCapDays]],"")</f>
        <v>0.26562106227106225</v>
      </c>
      <c r="Y65" s="10">
        <f>IF(Table1[[#This Row],[SYM]]="","",
IF(Table1[[#This Row],[TransType]]="LS",Table1[[#This Row],[Strike]]-Table1[[#This Row],[TotPrem]]/Table1[[#This Row],['#Contracts]],
IF(Table1[[#This Row],['#Contracts]],Table1[[#This Row],[Strike]]-Table1[[#This Row],[TotPrem]]/Table1[[#This Row],['#Contracts]]/100,"")))</f>
        <v>64.006649999999993</v>
      </c>
      <c r="Z65" s="11">
        <f>IF(Table1[[#This Row],[CloseDate]]&gt;0,"",
IF(Table1[[#This Row],[TransType]]="LS",Table1['#Contracts],
IF(Table1[[#This Row],[TransType]]="AS",100*Table1[[#This Row],['#Contracts]],
IF(Table1[[#This Row],[TransType]]="SP",100*Table1[[#This Row],['#Contracts]],
IF(Table1[[#This Row],[TransType]]="BP",100*Table1[[#This Row],['#Contracts]],"")))))</f>
        <v>200</v>
      </c>
      <c r="AA65" s="58">
        <f ca="1">IF(Table1[[#This Row],[CloseDate]]&gt;0,Table1[CloseDate],
IF(Table1[[#This Row],[ExpDate]]&gt;0,Table1[ExpDate],
TODAY()))</f>
        <v>44337</v>
      </c>
      <c r="AB65" s="10">
        <f ca="1">IF(PERFORMANCE!D8&gt;0,
IF(PERFORMANCE!D8&lt;Table1[[#This Row],[ActDate]],"",Table1[NetPrem]),
IF(TODAY()&lt;Table1[[#This Row],[ActDate]],"",Table1[NetPrem]))</f>
        <v>198.67</v>
      </c>
      <c r="AC65" s="10">
        <f ca="1">IF(PERFORMANCE!D8&gt;0,
IF(PERFORMANCE!D8&lt;Table1[[#This Row],[ActDate]],"",
IF(PERFORMANCE!D8 - Table1[[#This Row],[ActDate]]&lt;366,Table1[NetPrem],"")),
IF(TODAY()&lt;Table1[[#This Row],[ActDate]],"",
IF(TODAY() - Table1[[#This Row],[ActDate]]&lt;366,Table1[NetPrem],"")))</f>
        <v>198.67</v>
      </c>
      <c r="AD65" s="10">
        <f ca="1">IF(PERFORMANCE!D8&gt;0,
IF(PERFORMANCE!D8&lt;Table1[[#This Row],[ActDate]],"",
IF(YEAR(PERFORMANCE!D8)=YEAR(Table1[[#This Row],[ActDate]]),Table1[NetPrem],"")),
IF(TODAY()&lt;Table1[[#This Row],[ActDate]],"",
IF(YEAR(TODAY())=YEAR(Table1[[#This Row],[ActDate]]),Table1[NetPrem],"")))</f>
        <v>198.67</v>
      </c>
      <c r="AE65" s="10" t="str">
        <f ca="1">IF(PERFORMANCE!D8&gt;0,
IF(PERFORMANCE!D8&lt;Table1[[#This Row],[ActDate]],Table1[NetPrem],""),
IF(TODAY()&lt;Table1[[#This Row],[ActDate]],Table1[NetPrem],""))</f>
        <v/>
      </c>
      <c r="AG65">
        <f>IF(Table1[[#This Row],[SYM]]="","",SUMIFS(Table1[NetPrem],Table1[Trade'#],Table1[[#This Row],[Trade'#]],Table1[Leg],"&lt;="&amp;Table1[[#This Row],[Leg]]))</f>
        <v>198.67</v>
      </c>
    </row>
    <row r="66" spans="1:33" x14ac:dyDescent="0.25">
      <c r="A66" s="15" t="s">
        <v>261</v>
      </c>
      <c r="B66" s="54">
        <v>18</v>
      </c>
      <c r="C66" s="54">
        <v>2</v>
      </c>
      <c r="D66" s="15" t="s">
        <v>30</v>
      </c>
      <c r="E66" s="61">
        <v>44320</v>
      </c>
      <c r="F66" s="15"/>
      <c r="G66" s="61">
        <v>44337</v>
      </c>
      <c r="H66" s="54">
        <v>65</v>
      </c>
      <c r="I66" s="54"/>
      <c r="J66" s="53">
        <v>2</v>
      </c>
      <c r="K66" s="57">
        <v>458.67</v>
      </c>
      <c r="M66" s="57" t="s">
        <v>260</v>
      </c>
      <c r="N66" s="54" t="e">
        <f>RTD("tos.rtd",,"last", "EAT")</f>
        <v>#N/A</v>
      </c>
      <c r="O66" s="54" t="e">
        <f>RTD("tos.rtd",,"ASK",".EAT210521P65")</f>
        <v>#N/A</v>
      </c>
      <c r="P66" s="10">
        <f>IF(Table1[[#This Row],[TransType]]="LS", Table1[[#This Row],[OpnPrem]]+Table1[[#This Row],[ClsPrem]],
                                            IF(Table1[[#This Row],[TransType]]="AS", Table1[[#This Row],[OpnPrem]]+Table1[[#This Row],[ClsPrem]],
                                               Table1[[#This Row],[OpnPrem]]-Table1[[#This Row],[ClsPrem]]))</f>
        <v>458.67</v>
      </c>
      <c r="Q66" s="59">
        <f>IF(Table1[[#This Row],[SYM]]="","",SUMIFS(Table1[NetPrem],Table1[Trade'#],Table1[[#This Row],[Trade'#]],Table1[Leg],"&lt;="&amp;Table1[[#This Row],[Leg]]))</f>
        <v>657.34</v>
      </c>
      <c r="R66" s="11">
        <f t="shared" ca="1" si="1"/>
        <v>17</v>
      </c>
      <c r="S66"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13000</v>
      </c>
      <c r="T66" s="11">
        <f>IF(Table1[[#This Row],[CloseDate]]&gt;0,"",Table1[Cap])</f>
        <v>13000</v>
      </c>
      <c r="U66" s="11">
        <f>IF(Table1[[#This Row],[CloseDate]]&gt;0,"",
IF(Table1[[#This Row],[TransType]]="BC","",
IF(Table1[[#This Row],[TransType]]="BP",100*Table1[[#This Row],[Strike]]*Table1[[#This Row],['#Contracts]],
Table1[Cap])))</f>
        <v>13000</v>
      </c>
      <c r="V66" s="11">
        <f ca="1">IF(Table1[[#This Row],[SYM]]="","",Table1[[#This Row],[Cap]]*Table1[[#This Row],[Days]])</f>
        <v>221000</v>
      </c>
      <c r="W66" s="11">
        <f ca="1">IF(Table1[[#This Row],[SYM]]="","",SUMIFS(Table1[CapDays],Table1[Trade'#],Table1[[#This Row],[Trade'#]],Table1[Leg],"&lt;="&amp;Table1[[#This Row],[Leg]]))</f>
        <v>494000</v>
      </c>
      <c r="X66" s="60">
        <f ca="1">IF(Table1[[#This Row],[TotCapDays]],365*Table1[[#This Row],[TotPrem]]/Table1[[#This Row],[TotCapDays]],"")</f>
        <v>0.48568643724696359</v>
      </c>
      <c r="Y66" s="10">
        <f>IF(Table1[[#This Row],[SYM]]="","",
IF(Table1[[#This Row],[TransType]]="LS",Table1[[#This Row],[Strike]]-Table1[[#This Row],[TotPrem]]/Table1[[#This Row],['#Contracts]],
IF(Table1[[#This Row],['#Contracts]],Table1[[#This Row],[Strike]]-Table1[[#This Row],[TotPrem]]/Table1[[#This Row],['#Contracts]]/100,"")))</f>
        <v>61.713299999999997</v>
      </c>
      <c r="Z66" s="11">
        <f>IF(Table1[[#This Row],[CloseDate]]&gt;0,"",
IF(Table1[[#This Row],[TransType]]="LS",Table1['#Contracts],
IF(Table1[[#This Row],[TransType]]="AS",100*Table1[[#This Row],['#Contracts]],
IF(Table1[[#This Row],[TransType]]="SP",100*Table1[[#This Row],['#Contracts]],
IF(Table1[[#This Row],[TransType]]="BP",100*Table1[[#This Row],['#Contracts]],"")))))</f>
        <v>200</v>
      </c>
      <c r="AA66" s="58">
        <f ca="1">IF(Table1[[#This Row],[CloseDate]]&gt;0,Table1[CloseDate],
IF(Table1[[#This Row],[ExpDate]]&gt;0,Table1[ExpDate],
TODAY()))</f>
        <v>44337</v>
      </c>
      <c r="AB66" s="10">
        <f ca="1">IF(PERFORMANCE!D8&gt;0,
IF(PERFORMANCE!D8&lt;Table1[[#This Row],[ActDate]],"",Table1[NetPrem]),
IF(TODAY()&lt;Table1[[#This Row],[ActDate]],"",Table1[NetPrem]))</f>
        <v>458.67</v>
      </c>
      <c r="AC66" s="10">
        <f ca="1">IF(PERFORMANCE!D8&gt;0,
IF(PERFORMANCE!D8&lt;Table1[[#This Row],[ActDate]],"",
IF(PERFORMANCE!D8 - Table1[[#This Row],[ActDate]]&lt;366,Table1[NetPrem],"")),
IF(TODAY()&lt;Table1[[#This Row],[ActDate]],"",
IF(TODAY() - Table1[[#This Row],[ActDate]]&lt;366,Table1[NetPrem],"")))</f>
        <v>458.67</v>
      </c>
      <c r="AD66" s="10">
        <f ca="1">IF(PERFORMANCE!D8&gt;0,
IF(PERFORMANCE!D8&lt;Table1[[#This Row],[ActDate]],"",
IF(YEAR(PERFORMANCE!D8)=YEAR(Table1[[#This Row],[ActDate]]),Table1[NetPrem],"")),
IF(TODAY()&lt;Table1[[#This Row],[ActDate]],"",
IF(YEAR(TODAY())=YEAR(Table1[[#This Row],[ActDate]]),Table1[NetPrem],"")))</f>
        <v>458.67</v>
      </c>
      <c r="AE66" s="10" t="str">
        <f ca="1">IF(PERFORMANCE!D8&gt;0,
IF(PERFORMANCE!D8&lt;Table1[[#This Row],[ActDate]],Table1[NetPrem],""),
IF(TODAY()&lt;Table1[[#This Row],[ActDate]],Table1[NetPrem],""))</f>
        <v/>
      </c>
      <c r="AG66">
        <f>IF(Table1[[#This Row],[SYM]]="","",SUMIFS(Table1[NetPrem],Table1[Trade'#],Table1[[#This Row],[Trade'#]],Table1[Leg],"&lt;="&amp;Table1[[#This Row],[Leg]]))</f>
        <v>657.34</v>
      </c>
    </row>
    <row r="67" spans="1:33" x14ac:dyDescent="0.25">
      <c r="A67" s="15" t="s">
        <v>262</v>
      </c>
      <c r="B67" s="54">
        <v>19</v>
      </c>
      <c r="C67" s="54">
        <v>1</v>
      </c>
      <c r="D67" s="15" t="s">
        <v>30</v>
      </c>
      <c r="E67" s="61">
        <v>44322</v>
      </c>
      <c r="F67" s="61">
        <v>44326</v>
      </c>
      <c r="G67" s="61">
        <v>44365</v>
      </c>
      <c r="H67" s="54">
        <v>90</v>
      </c>
      <c r="I67" s="54"/>
      <c r="J67" s="53">
        <v>2</v>
      </c>
      <c r="K67" s="57">
        <v>498.67</v>
      </c>
      <c r="M67" s="57" t="s">
        <v>176</v>
      </c>
      <c r="N67" s="54" t="e">
        <f>RTD("tos.rtd",,"last", "PCAR")</f>
        <v>#N/A</v>
      </c>
      <c r="O67" s="54" t="e">
        <f>RTD("tos.rtd",,"ASK",".PCAR210618P90")</f>
        <v>#N/A</v>
      </c>
      <c r="P67" s="10">
        <f>IF(Table1[[#This Row],[TransType]]="LS", Table1[[#This Row],[OpnPrem]]+Table1[[#This Row],[ClsPrem]],
                                            IF(Table1[[#This Row],[TransType]]="AS", Table1[[#This Row],[OpnPrem]]+Table1[[#This Row],[ClsPrem]],
                                               Table1[[#This Row],[OpnPrem]]-Table1[[#This Row],[ClsPrem]]))</f>
        <v>498.67</v>
      </c>
      <c r="Q67" s="59">
        <f>IF(Table1[[#This Row],[SYM]]="","",SUMIFS(Table1[NetPrem],Table1[Trade'#],Table1[[#This Row],[Trade'#]],Table1[Leg],"&lt;="&amp;Table1[[#This Row],[Leg]]))</f>
        <v>498.67</v>
      </c>
      <c r="R67" s="11">
        <f t="shared" ca="1" si="1"/>
        <v>4</v>
      </c>
      <c r="S67"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18000</v>
      </c>
      <c r="T67" s="11" t="str">
        <f>IF(Table1[[#This Row],[CloseDate]]&gt;0,"",Table1[Cap])</f>
        <v/>
      </c>
      <c r="U67" s="11" t="str">
        <f>IF(Table1[[#This Row],[CloseDate]]&gt;0,"",
IF(Table1[[#This Row],[TransType]]="BC","",
IF(Table1[[#This Row],[TransType]]="BP",100*Table1[[#This Row],[Strike]]*Table1[[#This Row],['#Contracts]],
Table1[Cap])))</f>
        <v/>
      </c>
      <c r="V67" s="11">
        <f ca="1">IF(Table1[[#This Row],[SYM]]="","",Table1[[#This Row],[Cap]]*Table1[[#This Row],[Days]])</f>
        <v>72000</v>
      </c>
      <c r="W67" s="11">
        <f ca="1">IF(Table1[[#This Row],[SYM]]="","",SUMIFS(Table1[CapDays],Table1[Trade'#],Table1[[#This Row],[Trade'#]],Table1[Leg],"&lt;="&amp;Table1[[#This Row],[Leg]]))</f>
        <v>72000</v>
      </c>
      <c r="X67" s="60">
        <f ca="1">IF(Table1[[#This Row],[TotCapDays]],365*Table1[[#This Row],[TotPrem]]/Table1[[#This Row],[TotCapDays]],"")</f>
        <v>2.5279798611111115</v>
      </c>
      <c r="Y67" s="10">
        <f>IF(Table1[[#This Row],[SYM]]="","",
IF(Table1[[#This Row],[TransType]]="LS",Table1[[#This Row],[Strike]]-Table1[[#This Row],[TotPrem]]/Table1[[#This Row],['#Contracts]],
IF(Table1[[#This Row],['#Contracts]],Table1[[#This Row],[Strike]]-Table1[[#This Row],[TotPrem]]/Table1[[#This Row],['#Contracts]]/100,"")))</f>
        <v>87.506649999999993</v>
      </c>
      <c r="Z67" s="11" t="str">
        <f>IF(Table1[[#This Row],[CloseDate]]&gt;0,"",
IF(Table1[[#This Row],[TransType]]="LS",Table1['#Contracts],
IF(Table1[[#This Row],[TransType]]="AS",100*Table1[[#This Row],['#Contracts]],
IF(Table1[[#This Row],[TransType]]="SP",100*Table1[[#This Row],['#Contracts]],
IF(Table1[[#This Row],[TransType]]="BP",100*Table1[[#This Row],['#Contracts]],"")))))</f>
        <v/>
      </c>
      <c r="AA67" s="58">
        <f ca="1">IF(Table1[[#This Row],[CloseDate]]&gt;0,Table1[CloseDate],
IF(Table1[[#This Row],[ExpDate]]&gt;0,Table1[ExpDate],
TODAY()))</f>
        <v>44326</v>
      </c>
      <c r="AB67" s="10">
        <f ca="1">IF(PERFORMANCE!D8&gt;0,
IF(PERFORMANCE!D8&lt;Table1[[#This Row],[ActDate]],"",Table1[NetPrem]),
IF(TODAY()&lt;Table1[[#This Row],[ActDate]],"",Table1[NetPrem]))</f>
        <v>498.67</v>
      </c>
      <c r="AC67" s="10">
        <f ca="1">IF(PERFORMANCE!D8&gt;0,
IF(PERFORMANCE!D8&lt;Table1[[#This Row],[ActDate]],"",
IF(PERFORMANCE!D8 - Table1[[#This Row],[ActDate]]&lt;366,Table1[NetPrem],"")),
IF(TODAY()&lt;Table1[[#This Row],[ActDate]],"",
IF(TODAY() - Table1[[#This Row],[ActDate]]&lt;366,Table1[NetPrem],"")))</f>
        <v>498.67</v>
      </c>
      <c r="AD67" s="10">
        <f ca="1">IF(PERFORMANCE!D8&gt;0,
IF(PERFORMANCE!D8&lt;Table1[[#This Row],[ActDate]],"",
IF(YEAR(PERFORMANCE!D8)=YEAR(Table1[[#This Row],[ActDate]]),Table1[NetPrem],"")),
IF(TODAY()&lt;Table1[[#This Row],[ActDate]],"",
IF(YEAR(TODAY())=YEAR(Table1[[#This Row],[ActDate]]),Table1[NetPrem],"")))</f>
        <v>498.67</v>
      </c>
      <c r="AE67" s="10" t="str">
        <f ca="1">IF(PERFORMANCE!D8&gt;0,
IF(PERFORMANCE!D8&lt;Table1[[#This Row],[ActDate]],Table1[NetPrem],""),
IF(TODAY()&lt;Table1[[#This Row],[ActDate]],Table1[NetPrem],""))</f>
        <v/>
      </c>
      <c r="AG67">
        <f>IF(Table1[[#This Row],[SYM]]="","",SUMIFS(Table1[NetPrem],Table1[Trade'#],Table1[[#This Row],[Trade'#]],Table1[Leg],"&lt;="&amp;Table1[[#This Row],[Leg]]))</f>
        <v>498.67</v>
      </c>
    </row>
    <row r="68" spans="1:33" x14ac:dyDescent="0.25">
      <c r="A68" s="15" t="s">
        <v>263</v>
      </c>
      <c r="B68" s="54">
        <v>19</v>
      </c>
      <c r="C68" s="54">
        <v>2</v>
      </c>
      <c r="D68" s="15" t="s">
        <v>30</v>
      </c>
      <c r="E68" s="61">
        <v>44326</v>
      </c>
      <c r="F68" s="61">
        <v>44326</v>
      </c>
      <c r="G68" s="61">
        <v>44365</v>
      </c>
      <c r="H68" s="54">
        <v>90</v>
      </c>
      <c r="I68" s="54"/>
      <c r="J68" s="53">
        <v>2</v>
      </c>
      <c r="K68" s="57">
        <v>-173.33</v>
      </c>
      <c r="M68" s="57" t="s">
        <v>176</v>
      </c>
      <c r="N68" s="54" t="e">
        <f>RTD("tos.rtd",,"last", "PCAR")</f>
        <v>#N/A</v>
      </c>
      <c r="O68" s="54" t="e">
        <f>RTD("tos.rtd",,"ASK",".PCAR210618P90")</f>
        <v>#N/A</v>
      </c>
      <c r="P68" s="10">
        <f>IF(Table1[[#This Row],[TransType]]="LS", Table1[[#This Row],[OpnPrem]]+Table1[[#This Row],[ClsPrem]],
                                            IF(Table1[[#This Row],[TransType]]="AS", Table1[[#This Row],[OpnPrem]]+Table1[[#This Row],[ClsPrem]],
                                               Table1[[#This Row],[OpnPrem]]-Table1[[#This Row],[ClsPrem]]))</f>
        <v>-173.33</v>
      </c>
      <c r="Q68" s="59">
        <f>IF(Table1[[#This Row],[SYM]]="","",SUMIFS(Table1[NetPrem],Table1[Trade'#],Table1[[#This Row],[Trade'#]],Table1[Leg],"&lt;="&amp;Table1[[#This Row],[Leg]]))</f>
        <v>325.34000000000003</v>
      </c>
      <c r="R68" s="11">
        <f t="shared" ca="1" si="1"/>
        <v>1</v>
      </c>
      <c r="S68"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18000</v>
      </c>
      <c r="T68" s="11" t="str">
        <f>IF(Table1[[#This Row],[CloseDate]]&gt;0,"",Table1[Cap])</f>
        <v/>
      </c>
      <c r="U68" s="11" t="str">
        <f>IF(Table1[[#This Row],[CloseDate]]&gt;0,"",
IF(Table1[[#This Row],[TransType]]="BC","",
IF(Table1[[#This Row],[TransType]]="BP",100*Table1[[#This Row],[Strike]]*Table1[[#This Row],['#Contracts]],
Table1[Cap])))</f>
        <v/>
      </c>
      <c r="V68" s="11">
        <f ca="1">IF(Table1[[#This Row],[SYM]]="","",Table1[[#This Row],[Cap]]*Table1[[#This Row],[Days]])</f>
        <v>18000</v>
      </c>
      <c r="W68" s="11">
        <f ca="1">IF(Table1[[#This Row],[SYM]]="","",SUMIFS(Table1[CapDays],Table1[Trade'#],Table1[[#This Row],[Trade'#]],Table1[Leg],"&lt;="&amp;Table1[[#This Row],[Leg]]))</f>
        <v>90000</v>
      </c>
      <c r="X68" s="60">
        <f ca="1">IF(Table1[[#This Row],[TotCapDays]],365*Table1[[#This Row],[TotPrem]]/Table1[[#This Row],[TotCapDays]],"")</f>
        <v>1.3194344444444446</v>
      </c>
      <c r="Y68" s="10">
        <f>IF(Table1[[#This Row],[SYM]]="","",
IF(Table1[[#This Row],[TransType]]="LS",Table1[[#This Row],[Strike]]-Table1[[#This Row],[TotPrem]]/Table1[[#This Row],['#Contracts]],
IF(Table1[[#This Row],['#Contracts]],Table1[[#This Row],[Strike]]-Table1[[#This Row],[TotPrem]]/Table1[[#This Row],['#Contracts]]/100,"")))</f>
        <v>88.3733</v>
      </c>
      <c r="Z68" s="11" t="str">
        <f>IF(Table1[[#This Row],[CloseDate]]&gt;0,"",
IF(Table1[[#This Row],[TransType]]="LS",Table1['#Contracts],
IF(Table1[[#This Row],[TransType]]="AS",100*Table1[[#This Row],['#Contracts]],
IF(Table1[[#This Row],[TransType]]="SP",100*Table1[[#This Row],['#Contracts]],
IF(Table1[[#This Row],[TransType]]="BP",100*Table1[[#This Row],['#Contracts]],"")))))</f>
        <v/>
      </c>
      <c r="AA68" s="58">
        <f ca="1">IF(Table1[[#This Row],[CloseDate]]&gt;0,Table1[CloseDate],
IF(Table1[[#This Row],[ExpDate]]&gt;0,Table1[ExpDate],
TODAY()))</f>
        <v>44326</v>
      </c>
      <c r="AB68" s="10">
        <f ca="1">IF(PERFORMANCE!D8&gt;0,
IF(PERFORMANCE!D8&lt;Table1[[#This Row],[ActDate]],"",Table1[NetPrem]),
IF(TODAY()&lt;Table1[[#This Row],[ActDate]],"",Table1[NetPrem]))</f>
        <v>-173.33</v>
      </c>
      <c r="AC68" s="10">
        <f ca="1">IF(PERFORMANCE!D8&gt;0,
IF(PERFORMANCE!D8&lt;Table1[[#This Row],[ActDate]],"",
IF(PERFORMANCE!D8 - Table1[[#This Row],[ActDate]]&lt;366,Table1[NetPrem],"")),
IF(TODAY()&lt;Table1[[#This Row],[ActDate]],"",
IF(TODAY() - Table1[[#This Row],[ActDate]]&lt;366,Table1[NetPrem],"")))</f>
        <v>-173.33</v>
      </c>
      <c r="AD68" s="10">
        <f ca="1">IF(PERFORMANCE!D8&gt;0,
IF(PERFORMANCE!D8&lt;Table1[[#This Row],[ActDate]],"",
IF(YEAR(PERFORMANCE!D8)=YEAR(Table1[[#This Row],[ActDate]]),Table1[NetPrem],"")),
IF(TODAY()&lt;Table1[[#This Row],[ActDate]],"",
IF(YEAR(TODAY())=YEAR(Table1[[#This Row],[ActDate]]),Table1[NetPrem],"")))</f>
        <v>-173.33</v>
      </c>
      <c r="AE68" s="10" t="str">
        <f ca="1">IF(PERFORMANCE!D8&gt;0,
IF(PERFORMANCE!D8&lt;Table1[[#This Row],[ActDate]],Table1[NetPrem],""),
IF(TODAY()&lt;Table1[[#This Row],[ActDate]],Table1[NetPrem],""))</f>
        <v/>
      </c>
      <c r="AG68">
        <f>IF(Table1[[#This Row],[SYM]]="","",SUMIFS(Table1[NetPrem],Table1[Trade'#],Table1[[#This Row],[Trade'#]],Table1[Leg],"&lt;="&amp;Table1[[#This Row],[Leg]]))</f>
        <v>325.34000000000003</v>
      </c>
    </row>
    <row r="69" spans="1:33" x14ac:dyDescent="0.25">
      <c r="A69" s="15" t="s">
        <v>264</v>
      </c>
      <c r="B69" s="54">
        <v>20</v>
      </c>
      <c r="C69" s="54">
        <v>1</v>
      </c>
      <c r="D69" s="15" t="s">
        <v>30</v>
      </c>
      <c r="E69" s="61">
        <v>44323</v>
      </c>
      <c r="F69" s="15"/>
      <c r="G69" s="61">
        <v>44351</v>
      </c>
      <c r="H69" s="54">
        <v>21</v>
      </c>
      <c r="I69" s="54"/>
      <c r="J69" s="53">
        <v>10</v>
      </c>
      <c r="K69" s="57">
        <v>553.34</v>
      </c>
      <c r="M69" s="57" t="s">
        <v>150</v>
      </c>
      <c r="N69" s="54" t="e">
        <f>RTD("tos.rtd",,"last", "AAL")</f>
        <v>#N/A</v>
      </c>
      <c r="O69" s="54" t="e">
        <f>RTD("tos.rtd",,"ASK",".AAL21064P21")</f>
        <v>#N/A</v>
      </c>
      <c r="P69" s="10">
        <f>IF(Table1[[#This Row],[TransType]]="LS", Table1[[#This Row],[OpnPrem]]+Table1[[#This Row],[ClsPrem]],
                                            IF(Table1[[#This Row],[TransType]]="AS", Table1[[#This Row],[OpnPrem]]+Table1[[#This Row],[ClsPrem]],
                                               Table1[[#This Row],[OpnPrem]]-Table1[[#This Row],[ClsPrem]]))</f>
        <v>553.34</v>
      </c>
      <c r="Q69" s="59">
        <f>IF(Table1[[#This Row],[SYM]]="","",SUMIFS(Table1[NetPrem],Table1[Trade'#],Table1[[#This Row],[Trade'#]],Table1[Leg],"&lt;="&amp;Table1[[#This Row],[Leg]]))</f>
        <v>553.34</v>
      </c>
      <c r="R69" s="11">
        <f t="shared" ca="1" si="1"/>
        <v>28</v>
      </c>
      <c r="S69"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21000</v>
      </c>
      <c r="T69" s="11">
        <f>IF(Table1[[#This Row],[CloseDate]]&gt;0,"",Table1[Cap])</f>
        <v>21000</v>
      </c>
      <c r="U69" s="11">
        <f>IF(Table1[[#This Row],[CloseDate]]&gt;0,"",
IF(Table1[[#This Row],[TransType]]="BC","",
IF(Table1[[#This Row],[TransType]]="BP",100*Table1[[#This Row],[Strike]]*Table1[[#This Row],['#Contracts]],
Table1[Cap])))</f>
        <v>21000</v>
      </c>
      <c r="V69" s="11">
        <f ca="1">IF(Table1[[#This Row],[SYM]]="","",Table1[[#This Row],[Cap]]*Table1[[#This Row],[Days]])</f>
        <v>588000</v>
      </c>
      <c r="W69" s="11">
        <f ca="1">IF(Table1[[#This Row],[SYM]]="","",SUMIFS(Table1[CapDays],Table1[Trade'#],Table1[[#This Row],[Trade'#]],Table1[Leg],"&lt;="&amp;Table1[[#This Row],[Leg]]))</f>
        <v>588000</v>
      </c>
      <c r="X69" s="60">
        <f ca="1">IF(Table1[[#This Row],[TotCapDays]],365*Table1[[#This Row],[TotPrem]]/Table1[[#This Row],[TotCapDays]],"")</f>
        <v>0.34348486394557826</v>
      </c>
      <c r="Y69" s="10">
        <f>IF(Table1[[#This Row],[SYM]]="","",
IF(Table1[[#This Row],[TransType]]="LS",Table1[[#This Row],[Strike]]-Table1[[#This Row],[TotPrem]]/Table1[[#This Row],['#Contracts]],
IF(Table1[[#This Row],['#Contracts]],Table1[[#This Row],[Strike]]-Table1[[#This Row],[TotPrem]]/Table1[[#This Row],['#Contracts]]/100,"")))</f>
        <v>20.446660000000001</v>
      </c>
      <c r="Z69" s="11">
        <f>IF(Table1[[#This Row],[CloseDate]]&gt;0,"",
IF(Table1[[#This Row],[TransType]]="LS",Table1['#Contracts],
IF(Table1[[#This Row],[TransType]]="AS",100*Table1[[#This Row],['#Contracts]],
IF(Table1[[#This Row],[TransType]]="SP",100*Table1[[#This Row],['#Contracts]],
IF(Table1[[#This Row],[TransType]]="BP",100*Table1[[#This Row],['#Contracts]],"")))))</f>
        <v>1000</v>
      </c>
      <c r="AA69" s="58">
        <f ca="1">IF(Table1[[#This Row],[CloseDate]]&gt;0,Table1[CloseDate],
IF(Table1[[#This Row],[ExpDate]]&gt;0,Table1[ExpDate],
TODAY()))</f>
        <v>44351</v>
      </c>
      <c r="AB69" s="10">
        <f ca="1">IF(PERFORMANCE!D8&gt;0,
IF(PERFORMANCE!D8&lt;Table1[[#This Row],[ActDate]],"",Table1[NetPrem]),
IF(TODAY()&lt;Table1[[#This Row],[ActDate]],"",Table1[NetPrem]))</f>
        <v>553.34</v>
      </c>
      <c r="AC69" s="10">
        <f ca="1">IF(PERFORMANCE!D8&gt;0,
IF(PERFORMANCE!D8&lt;Table1[[#This Row],[ActDate]],"",
IF(PERFORMANCE!D8 - Table1[[#This Row],[ActDate]]&lt;366,Table1[NetPrem],"")),
IF(TODAY()&lt;Table1[[#This Row],[ActDate]],"",
IF(TODAY() - Table1[[#This Row],[ActDate]]&lt;366,Table1[NetPrem],"")))</f>
        <v>553.34</v>
      </c>
      <c r="AD69" s="10">
        <f ca="1">IF(PERFORMANCE!D8&gt;0,
IF(PERFORMANCE!D8&lt;Table1[[#This Row],[ActDate]],"",
IF(YEAR(PERFORMANCE!D8)=YEAR(Table1[[#This Row],[ActDate]]),Table1[NetPrem],"")),
IF(TODAY()&lt;Table1[[#This Row],[ActDate]],"",
IF(YEAR(TODAY())=YEAR(Table1[[#This Row],[ActDate]]),Table1[NetPrem],"")))</f>
        <v>553.34</v>
      </c>
      <c r="AE69" s="10" t="str">
        <f ca="1">IF(PERFORMANCE!D8&gt;0,
IF(PERFORMANCE!D8&lt;Table1[[#This Row],[ActDate]],Table1[NetPrem],""),
IF(TODAY()&lt;Table1[[#This Row],[ActDate]],Table1[NetPrem],""))</f>
        <v/>
      </c>
      <c r="AG69">
        <f>IF(Table1[[#This Row],[SYM]]="","",SUMIFS(Table1[NetPrem],Table1[Trade'#],Table1[[#This Row],[Trade'#]],Table1[Leg],"&lt;="&amp;Table1[[#This Row],[Leg]]))</f>
        <v>553.34</v>
      </c>
    </row>
    <row r="70" spans="1:33" x14ac:dyDescent="0.25">
      <c r="A70" s="15" t="s">
        <v>265</v>
      </c>
      <c r="B70" s="54">
        <v>21</v>
      </c>
      <c r="C70" s="54">
        <v>1</v>
      </c>
      <c r="D70" s="15" t="s">
        <v>30</v>
      </c>
      <c r="E70" s="61">
        <v>44326</v>
      </c>
      <c r="F70" s="15"/>
      <c r="G70" s="61">
        <v>44344</v>
      </c>
      <c r="H70" s="54">
        <v>50</v>
      </c>
      <c r="I70" s="54"/>
      <c r="J70" s="53">
        <v>2</v>
      </c>
      <c r="K70" s="57">
        <v>304.67</v>
      </c>
      <c r="M70" s="57" t="s">
        <v>177</v>
      </c>
      <c r="N70" s="54" t="e">
        <f>RTD("tos.rtd",,"last", "SNAP")</f>
        <v>#N/A</v>
      </c>
      <c r="O70" s="54" t="e">
        <f>RTD("tos.rtd",,"ASK",".SNAP210528P50")</f>
        <v>#N/A</v>
      </c>
      <c r="P70" s="10">
        <f>IF(Table1[[#This Row],[TransType]]="LS", Table1[[#This Row],[OpnPrem]]+Table1[[#This Row],[ClsPrem]],
                                            IF(Table1[[#This Row],[TransType]]="AS", Table1[[#This Row],[OpnPrem]]+Table1[[#This Row],[ClsPrem]],
                                               Table1[[#This Row],[OpnPrem]]-Table1[[#This Row],[ClsPrem]]))</f>
        <v>304.67</v>
      </c>
      <c r="Q70" s="59">
        <f>IF(Table1[[#This Row],[SYM]]="","",SUMIFS(Table1[NetPrem],Table1[Trade'#],Table1[[#This Row],[Trade'#]],Table1[Leg],"&lt;="&amp;Table1[[#This Row],[Leg]]))</f>
        <v>304.67</v>
      </c>
      <c r="R70" s="11">
        <f t="shared" ca="1" si="1"/>
        <v>18</v>
      </c>
      <c r="S70"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10000</v>
      </c>
      <c r="T70" s="11">
        <f>IF(Table1[[#This Row],[CloseDate]]&gt;0,"",Table1[Cap])</f>
        <v>10000</v>
      </c>
      <c r="U70" s="11">
        <f>IF(Table1[[#This Row],[CloseDate]]&gt;0,"",
IF(Table1[[#This Row],[TransType]]="BC","",
IF(Table1[[#This Row],[TransType]]="BP",100*Table1[[#This Row],[Strike]]*Table1[[#This Row],['#Contracts]],
Table1[Cap])))</f>
        <v>10000</v>
      </c>
      <c r="V70" s="11">
        <f ca="1">IF(Table1[[#This Row],[SYM]]="","",Table1[[#This Row],[Cap]]*Table1[[#This Row],[Days]])</f>
        <v>180000</v>
      </c>
      <c r="W70" s="11">
        <f ca="1">IF(Table1[[#This Row],[SYM]]="","",SUMIFS(Table1[CapDays],Table1[Trade'#],Table1[[#This Row],[Trade'#]],Table1[Leg],"&lt;="&amp;Table1[[#This Row],[Leg]]))</f>
        <v>180000</v>
      </c>
      <c r="X70" s="60">
        <f ca="1">IF(Table1[[#This Row],[TotCapDays]],365*Table1[[#This Row],[TotPrem]]/Table1[[#This Row],[TotCapDays]],"")</f>
        <v>0.61780305555555559</v>
      </c>
      <c r="Y70" s="10">
        <f>IF(Table1[[#This Row],[SYM]]="","",
IF(Table1[[#This Row],[TransType]]="LS",Table1[[#This Row],[Strike]]-Table1[[#This Row],[TotPrem]]/Table1[[#This Row],['#Contracts]],
IF(Table1[[#This Row],['#Contracts]],Table1[[#This Row],[Strike]]-Table1[[#This Row],[TotPrem]]/Table1[[#This Row],['#Contracts]]/100,"")))</f>
        <v>48.476649999999999</v>
      </c>
      <c r="Z70" s="11">
        <f>IF(Table1[[#This Row],[CloseDate]]&gt;0,"",
IF(Table1[[#This Row],[TransType]]="LS",Table1['#Contracts],
IF(Table1[[#This Row],[TransType]]="AS",100*Table1[[#This Row],['#Contracts]],
IF(Table1[[#This Row],[TransType]]="SP",100*Table1[[#This Row],['#Contracts]],
IF(Table1[[#This Row],[TransType]]="BP",100*Table1[[#This Row],['#Contracts]],"")))))</f>
        <v>200</v>
      </c>
      <c r="AA70" s="58">
        <f ca="1">IF(Table1[[#This Row],[CloseDate]]&gt;0,Table1[CloseDate],
IF(Table1[[#This Row],[ExpDate]]&gt;0,Table1[ExpDate],
TODAY()))</f>
        <v>44344</v>
      </c>
      <c r="AB70" s="10">
        <f ca="1">IF(PERFORMANCE!D8&gt;0,
IF(PERFORMANCE!D8&lt;Table1[[#This Row],[ActDate]],"",Table1[NetPrem]),
IF(TODAY()&lt;Table1[[#This Row],[ActDate]],"",Table1[NetPrem]))</f>
        <v>304.67</v>
      </c>
      <c r="AC70" s="10">
        <f ca="1">IF(PERFORMANCE!D8&gt;0,
IF(PERFORMANCE!D8&lt;Table1[[#This Row],[ActDate]],"",
IF(PERFORMANCE!D8 - Table1[[#This Row],[ActDate]]&lt;366,Table1[NetPrem],"")),
IF(TODAY()&lt;Table1[[#This Row],[ActDate]],"",
IF(TODAY() - Table1[[#This Row],[ActDate]]&lt;366,Table1[NetPrem],"")))</f>
        <v>304.67</v>
      </c>
      <c r="AD70" s="10">
        <f ca="1">IF(PERFORMANCE!D8&gt;0,
IF(PERFORMANCE!D8&lt;Table1[[#This Row],[ActDate]],"",
IF(YEAR(PERFORMANCE!D8)=YEAR(Table1[[#This Row],[ActDate]]),Table1[NetPrem],"")),
IF(TODAY()&lt;Table1[[#This Row],[ActDate]],"",
IF(YEAR(TODAY())=YEAR(Table1[[#This Row],[ActDate]]),Table1[NetPrem],"")))</f>
        <v>304.67</v>
      </c>
      <c r="AE70" s="10" t="str">
        <f ca="1">IF(PERFORMANCE!D8&gt;0,
IF(PERFORMANCE!D8&lt;Table1[[#This Row],[ActDate]],Table1[NetPrem],""),
IF(TODAY()&lt;Table1[[#This Row],[ActDate]],Table1[NetPrem],""))</f>
        <v/>
      </c>
      <c r="AG70">
        <f>IF(Table1[[#This Row],[SYM]]="","",SUMIFS(Table1[NetPrem],Table1[Trade'#],Table1[[#This Row],[Trade'#]],Table1[Leg],"&lt;="&amp;Table1[[#This Row],[Leg]]))</f>
        <v>304.67</v>
      </c>
    </row>
    <row r="71" spans="1:33" x14ac:dyDescent="0.25">
      <c r="A71" s="15" t="s">
        <v>266</v>
      </c>
      <c r="B71" s="54">
        <v>22</v>
      </c>
      <c r="C71" s="54">
        <v>1</v>
      </c>
      <c r="D71" s="15" t="s">
        <v>30</v>
      </c>
      <c r="E71" s="61">
        <v>44327</v>
      </c>
      <c r="F71" s="15"/>
      <c r="G71" s="61">
        <v>44351</v>
      </c>
      <c r="H71" s="54">
        <v>24.5</v>
      </c>
      <c r="I71" s="54"/>
      <c r="J71" s="53">
        <v>4</v>
      </c>
      <c r="K71" s="57">
        <v>265.33</v>
      </c>
      <c r="M71" s="57" t="s">
        <v>267</v>
      </c>
      <c r="N71" s="54" t="e">
        <f>RTD("tos.rtd",,"last", "DBX")</f>
        <v>#N/A</v>
      </c>
      <c r="O71" s="54" t="e">
        <f>RTD("tos.rtd",,"ASK",".DBX21064P24.5")</f>
        <v>#N/A</v>
      </c>
      <c r="P71" s="10">
        <f>IF(Table1[[#This Row],[TransType]]="LS", Table1[[#This Row],[OpnPrem]]+Table1[[#This Row],[ClsPrem]],
                                            IF(Table1[[#This Row],[TransType]]="AS", Table1[[#This Row],[OpnPrem]]+Table1[[#This Row],[ClsPrem]],
                                               Table1[[#This Row],[OpnPrem]]-Table1[[#This Row],[ClsPrem]]))</f>
        <v>265.33</v>
      </c>
      <c r="Q71" s="59">
        <f>IF(Table1[[#This Row],[SYM]]="","",SUMIFS(Table1[NetPrem],Table1[Trade'#],Table1[[#This Row],[Trade'#]],Table1[Leg],"&lt;="&amp;Table1[[#This Row],[Leg]]))</f>
        <v>265.33</v>
      </c>
      <c r="R71" s="11">
        <f t="shared" ca="1" si="1"/>
        <v>24</v>
      </c>
      <c r="S71"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9800</v>
      </c>
      <c r="T71" s="11">
        <f>IF(Table1[[#This Row],[CloseDate]]&gt;0,"",Table1[Cap])</f>
        <v>9800</v>
      </c>
      <c r="U71" s="11">
        <f>IF(Table1[[#This Row],[CloseDate]]&gt;0,"",
IF(Table1[[#This Row],[TransType]]="BC","",
IF(Table1[[#This Row],[TransType]]="BP",100*Table1[[#This Row],[Strike]]*Table1[[#This Row],['#Contracts]],
Table1[Cap])))</f>
        <v>9800</v>
      </c>
      <c r="V71" s="11">
        <f ca="1">IF(Table1[[#This Row],[SYM]]="","",Table1[[#This Row],[Cap]]*Table1[[#This Row],[Days]])</f>
        <v>235200</v>
      </c>
      <c r="W71" s="11">
        <f ca="1">IF(Table1[[#This Row],[SYM]]="","",SUMIFS(Table1[CapDays],Table1[Trade'#],Table1[[#This Row],[Trade'#]],Table1[Leg],"&lt;="&amp;Table1[[#This Row],[Leg]]))</f>
        <v>235200</v>
      </c>
      <c r="X71" s="60">
        <f ca="1">IF(Table1[[#This Row],[TotCapDays]],365*Table1[[#This Row],[TotPrem]]/Table1[[#This Row],[TotCapDays]],"")</f>
        <v>0.41175786564625849</v>
      </c>
      <c r="Y71" s="10">
        <f>IF(Table1[[#This Row],[SYM]]="","",
IF(Table1[[#This Row],[TransType]]="LS",Table1[[#This Row],[Strike]]-Table1[[#This Row],[TotPrem]]/Table1[[#This Row],['#Contracts]],
IF(Table1[[#This Row],['#Contracts]],Table1[[#This Row],[Strike]]-Table1[[#This Row],[TotPrem]]/Table1[[#This Row],['#Contracts]]/100,"")))</f>
        <v>23.836675</v>
      </c>
      <c r="Z71" s="11">
        <f>IF(Table1[[#This Row],[CloseDate]]&gt;0,"",
IF(Table1[[#This Row],[TransType]]="LS",Table1['#Contracts],
IF(Table1[[#This Row],[TransType]]="AS",100*Table1[[#This Row],['#Contracts]],
IF(Table1[[#This Row],[TransType]]="SP",100*Table1[[#This Row],['#Contracts]],
IF(Table1[[#This Row],[TransType]]="BP",100*Table1[[#This Row],['#Contracts]],"")))))</f>
        <v>400</v>
      </c>
      <c r="AA71" s="58">
        <f ca="1">IF(Table1[[#This Row],[CloseDate]]&gt;0,Table1[CloseDate],
IF(Table1[[#This Row],[ExpDate]]&gt;0,Table1[ExpDate],
TODAY()))</f>
        <v>44351</v>
      </c>
      <c r="AB71" s="10">
        <f ca="1">IF(PERFORMANCE!D8&gt;0,
IF(PERFORMANCE!D8&lt;Table1[[#This Row],[ActDate]],"",Table1[NetPrem]),
IF(TODAY()&lt;Table1[[#This Row],[ActDate]],"",Table1[NetPrem]))</f>
        <v>265.33</v>
      </c>
      <c r="AC71" s="10">
        <f ca="1">IF(PERFORMANCE!D8&gt;0,
IF(PERFORMANCE!D8&lt;Table1[[#This Row],[ActDate]],"",
IF(PERFORMANCE!D8 - Table1[[#This Row],[ActDate]]&lt;366,Table1[NetPrem],"")),
IF(TODAY()&lt;Table1[[#This Row],[ActDate]],"",
IF(TODAY() - Table1[[#This Row],[ActDate]]&lt;366,Table1[NetPrem],"")))</f>
        <v>265.33</v>
      </c>
      <c r="AD71" s="10">
        <f ca="1">IF(PERFORMANCE!D8&gt;0,
IF(PERFORMANCE!D8&lt;Table1[[#This Row],[ActDate]],"",
IF(YEAR(PERFORMANCE!D8)=YEAR(Table1[[#This Row],[ActDate]]),Table1[NetPrem],"")),
IF(TODAY()&lt;Table1[[#This Row],[ActDate]],"",
IF(YEAR(TODAY())=YEAR(Table1[[#This Row],[ActDate]]),Table1[NetPrem],"")))</f>
        <v>265.33</v>
      </c>
      <c r="AE71" s="10" t="str">
        <f ca="1">IF(PERFORMANCE!D8&gt;0,
IF(PERFORMANCE!D8&lt;Table1[[#This Row],[ActDate]],Table1[NetPrem],""),
IF(TODAY()&lt;Table1[[#This Row],[ActDate]],Table1[NetPrem],""))</f>
        <v/>
      </c>
      <c r="AG71">
        <f>IF(Table1[[#This Row],[SYM]]="","",SUMIFS(Table1[NetPrem],Table1[Trade'#],Table1[[#This Row],[Trade'#]],Table1[Leg],"&lt;="&amp;Table1[[#This Row],[Leg]]))</f>
        <v>265.33</v>
      </c>
    </row>
    <row r="72" spans="1:33" x14ac:dyDescent="0.25">
      <c r="A72" s="15" t="s">
        <v>268</v>
      </c>
      <c r="B72" s="54">
        <v>23</v>
      </c>
      <c r="C72" s="54">
        <v>1</v>
      </c>
      <c r="D72" s="15" t="s">
        <v>30</v>
      </c>
      <c r="E72" s="61">
        <v>44333</v>
      </c>
      <c r="F72" s="15"/>
      <c r="G72" s="61">
        <v>44365</v>
      </c>
      <c r="H72" s="54">
        <v>70</v>
      </c>
      <c r="I72" s="54"/>
      <c r="J72" s="53">
        <v>2</v>
      </c>
      <c r="K72" s="57">
        <v>276.67</v>
      </c>
      <c r="M72" s="57" t="s">
        <v>269</v>
      </c>
      <c r="N72" s="54" t="e">
        <f>RTD("tos.rtd",,"last", "AMD")</f>
        <v>#N/A</v>
      </c>
      <c r="O72" s="54" t="e">
        <f>RTD("tos.rtd",,"ASK",".AMD210618P70")</f>
        <v>#N/A</v>
      </c>
      <c r="P72" s="10">
        <f>IF(Table1[[#This Row],[TransType]]="LS", Table1[[#This Row],[OpnPrem]]+Table1[[#This Row],[ClsPrem]],
                                            IF(Table1[[#This Row],[TransType]]="AS", Table1[[#This Row],[OpnPrem]]+Table1[[#This Row],[ClsPrem]],
                                               Table1[[#This Row],[OpnPrem]]-Table1[[#This Row],[ClsPrem]]))</f>
        <v>276.67</v>
      </c>
      <c r="Q72" s="59">
        <f>IF(Table1[[#This Row],[SYM]]="","",SUMIFS(Table1[NetPrem],Table1[Trade'#],Table1[[#This Row],[Trade'#]],Table1[Leg],"&lt;="&amp;Table1[[#This Row],[Leg]]))</f>
        <v>276.67</v>
      </c>
      <c r="R72" s="11">
        <f t="shared" ca="1" si="1"/>
        <v>32</v>
      </c>
      <c r="S72"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14000</v>
      </c>
      <c r="T72" s="11">
        <f>IF(Table1[[#This Row],[CloseDate]]&gt;0,"",Table1[Cap])</f>
        <v>14000</v>
      </c>
      <c r="U72" s="11">
        <f>IF(Table1[[#This Row],[CloseDate]]&gt;0,"",
IF(Table1[[#This Row],[TransType]]="BC","",
IF(Table1[[#This Row],[TransType]]="BP",100*Table1[[#This Row],[Strike]]*Table1[[#This Row],['#Contracts]],
Table1[Cap])))</f>
        <v>14000</v>
      </c>
      <c r="V72" s="11">
        <f ca="1">IF(Table1[[#This Row],[SYM]]="","",Table1[[#This Row],[Cap]]*Table1[[#This Row],[Days]])</f>
        <v>448000</v>
      </c>
      <c r="W72" s="11">
        <f ca="1">IF(Table1[[#This Row],[SYM]]="","",SUMIFS(Table1[CapDays],Table1[Trade'#],Table1[[#This Row],[Trade'#]],Table1[Leg],"&lt;="&amp;Table1[[#This Row],[Leg]]))</f>
        <v>448000</v>
      </c>
      <c r="X72" s="60">
        <f ca="1">IF(Table1[[#This Row],[TotCapDays]],365*Table1[[#This Row],[TotPrem]]/Table1[[#This Row],[TotCapDays]],"")</f>
        <v>0.22541194196428571</v>
      </c>
      <c r="Y72" s="10">
        <f>IF(Table1[[#This Row],[SYM]]="","",
IF(Table1[[#This Row],[TransType]]="LS",Table1[[#This Row],[Strike]]-Table1[[#This Row],[TotPrem]]/Table1[[#This Row],['#Contracts]],
IF(Table1[[#This Row],['#Contracts]],Table1[[#This Row],[Strike]]-Table1[[#This Row],[TotPrem]]/Table1[[#This Row],['#Contracts]]/100,"")))</f>
        <v>68.616649999999993</v>
      </c>
      <c r="Z72" s="11">
        <f>IF(Table1[[#This Row],[CloseDate]]&gt;0,"",
IF(Table1[[#This Row],[TransType]]="LS",Table1['#Contracts],
IF(Table1[[#This Row],[TransType]]="AS",100*Table1[[#This Row],['#Contracts]],
IF(Table1[[#This Row],[TransType]]="SP",100*Table1[[#This Row],['#Contracts]],
IF(Table1[[#This Row],[TransType]]="BP",100*Table1[[#This Row],['#Contracts]],"")))))</f>
        <v>200</v>
      </c>
      <c r="AA72" s="58">
        <f ca="1">IF(Table1[[#This Row],[CloseDate]]&gt;0,Table1[CloseDate],
IF(Table1[[#This Row],[ExpDate]]&gt;0,Table1[ExpDate],
TODAY()))</f>
        <v>44365</v>
      </c>
      <c r="AB72" s="10">
        <f ca="1">IF(PERFORMANCE!D8&gt;0,
IF(PERFORMANCE!D8&lt;Table1[[#This Row],[ActDate]],"",Table1[NetPrem]),
IF(TODAY()&lt;Table1[[#This Row],[ActDate]],"",Table1[NetPrem]))</f>
        <v>276.67</v>
      </c>
      <c r="AC72" s="10">
        <f ca="1">IF(PERFORMANCE!D8&gt;0,
IF(PERFORMANCE!D8&lt;Table1[[#This Row],[ActDate]],"",
IF(PERFORMANCE!D8 - Table1[[#This Row],[ActDate]]&lt;366,Table1[NetPrem],"")),
IF(TODAY()&lt;Table1[[#This Row],[ActDate]],"",
IF(TODAY() - Table1[[#This Row],[ActDate]]&lt;366,Table1[NetPrem],"")))</f>
        <v>276.67</v>
      </c>
      <c r="AD72" s="10">
        <f ca="1">IF(PERFORMANCE!D8&gt;0,
IF(PERFORMANCE!D8&lt;Table1[[#This Row],[ActDate]],"",
IF(YEAR(PERFORMANCE!D8)=YEAR(Table1[[#This Row],[ActDate]]),Table1[NetPrem],"")),
IF(TODAY()&lt;Table1[[#This Row],[ActDate]],"",
IF(YEAR(TODAY())=YEAR(Table1[[#This Row],[ActDate]]),Table1[NetPrem],"")))</f>
        <v>276.67</v>
      </c>
      <c r="AE72" s="10" t="str">
        <f ca="1">IF(PERFORMANCE!D8&gt;0,
IF(PERFORMANCE!D8&lt;Table1[[#This Row],[ActDate]],Table1[NetPrem],""),
IF(TODAY()&lt;Table1[[#This Row],[ActDate]],Table1[NetPrem],""))</f>
        <v/>
      </c>
      <c r="AG72">
        <f>IF(Table1[[#This Row],[SYM]]="","",SUMIFS(Table1[NetPrem],Table1[Trade'#],Table1[[#This Row],[Trade'#]],Table1[Leg],"&lt;="&amp;Table1[[#This Row],[Leg]]))</f>
        <v>276.67</v>
      </c>
    </row>
    <row r="73" spans="1:33" x14ac:dyDescent="0.25">
      <c r="A73" s="15" t="s">
        <v>270</v>
      </c>
      <c r="B73" s="54">
        <v>24</v>
      </c>
      <c r="C73" s="54">
        <v>1</v>
      </c>
      <c r="D73" s="15" t="s">
        <v>30</v>
      </c>
      <c r="E73" s="61">
        <v>44333</v>
      </c>
      <c r="F73" s="61">
        <v>44335</v>
      </c>
      <c r="G73" s="61">
        <v>44365</v>
      </c>
      <c r="H73" s="54">
        <v>33</v>
      </c>
      <c r="I73" s="54"/>
      <c r="J73" s="53">
        <v>1</v>
      </c>
      <c r="K73" s="57">
        <v>93.34</v>
      </c>
      <c r="M73" s="57" t="s">
        <v>271</v>
      </c>
      <c r="N73" s="54" t="e">
        <f>RTD("tos.rtd",,"last", "NRG")</f>
        <v>#N/A</v>
      </c>
      <c r="O73" s="54" t="e">
        <f>RTD("tos.rtd",,"ASK",".NRG210618P33")</f>
        <v>#N/A</v>
      </c>
      <c r="P73" s="10">
        <f>IF(Table1[[#This Row],[TransType]]="LS", Table1[[#This Row],[OpnPrem]]+Table1[[#This Row],[ClsPrem]],
                                            IF(Table1[[#This Row],[TransType]]="AS", Table1[[#This Row],[OpnPrem]]+Table1[[#This Row],[ClsPrem]],
                                               Table1[[#This Row],[OpnPrem]]-Table1[[#This Row],[ClsPrem]]))</f>
        <v>93.34</v>
      </c>
      <c r="Q73" s="59">
        <f>IF(Table1[[#This Row],[SYM]]="","",SUMIFS(Table1[NetPrem],Table1[Trade'#],Table1[[#This Row],[Trade'#]],Table1[Leg],"&lt;="&amp;Table1[[#This Row],[Leg]]))</f>
        <v>93.34</v>
      </c>
      <c r="R73" s="11">
        <f t="shared" ref="R73:R78" ca="1" si="2">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2</v>
      </c>
      <c r="S73"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3300</v>
      </c>
      <c r="T73" s="11" t="str">
        <f>IF(Table1[[#This Row],[CloseDate]]&gt;0,"",Table1[Cap])</f>
        <v/>
      </c>
      <c r="U73" s="11" t="str">
        <f>IF(Table1[[#This Row],[CloseDate]]&gt;0,"",
IF(Table1[[#This Row],[TransType]]="BC","",
IF(Table1[[#This Row],[TransType]]="BP",100*Table1[[#This Row],[Strike]]*Table1[[#This Row],['#Contracts]],
Table1[Cap])))</f>
        <v/>
      </c>
      <c r="V73" s="11">
        <f ca="1">IF(Table1[[#This Row],[SYM]]="","",Table1[[#This Row],[Cap]]*Table1[[#This Row],[Days]])</f>
        <v>6600</v>
      </c>
      <c r="W73" s="11">
        <f ca="1">IF(Table1[[#This Row],[SYM]]="","",SUMIFS(Table1[CapDays],Table1[Trade'#],Table1[[#This Row],[Trade'#]],Table1[Leg],"&lt;="&amp;Table1[[#This Row],[Leg]]))</f>
        <v>6600</v>
      </c>
      <c r="X73" s="60">
        <f ca="1">IF(Table1[[#This Row],[TotCapDays]],365*Table1[[#This Row],[TotPrem]]/Table1[[#This Row],[TotCapDays]],"")</f>
        <v>5.1619848484848481</v>
      </c>
      <c r="Y73" s="10">
        <f>IF(Table1[[#This Row],[SYM]]="","",
IF(Table1[[#This Row],[TransType]]="LS",Table1[[#This Row],[Strike]]-Table1[[#This Row],[TotPrem]]/Table1[[#This Row],['#Contracts]],
IF(Table1[[#This Row],['#Contracts]],Table1[[#This Row],[Strike]]-Table1[[#This Row],[TotPrem]]/Table1[[#This Row],['#Contracts]]/100,"")))</f>
        <v>32.066600000000001</v>
      </c>
      <c r="Z73" s="11" t="str">
        <f>IF(Table1[[#This Row],[CloseDate]]&gt;0,"",
IF(Table1[[#This Row],[TransType]]="LS",Table1['#Contracts],
IF(Table1[[#This Row],[TransType]]="AS",100*Table1[[#This Row],['#Contracts]],
IF(Table1[[#This Row],[TransType]]="SP",100*Table1[[#This Row],['#Contracts]],
IF(Table1[[#This Row],[TransType]]="BP",100*Table1[[#This Row],['#Contracts]],"")))))</f>
        <v/>
      </c>
      <c r="AA73" s="58">
        <f ca="1">IF(Table1[[#This Row],[CloseDate]]&gt;0,Table1[CloseDate],
IF(Table1[[#This Row],[ExpDate]]&gt;0,Table1[ExpDate],
TODAY()))</f>
        <v>44335</v>
      </c>
      <c r="AB73" s="10">
        <f ca="1">IF(PERFORMANCE!D8&gt;0,
IF(PERFORMANCE!D8&lt;Table1[[#This Row],[ActDate]],"",Table1[NetPrem]),
IF(TODAY()&lt;Table1[[#This Row],[ActDate]],"",Table1[NetPrem]))</f>
        <v>93.34</v>
      </c>
      <c r="AC73" s="10">
        <f ca="1">IF(PERFORMANCE!D8&gt;0,
IF(PERFORMANCE!D8&lt;Table1[[#This Row],[ActDate]],"",
IF(PERFORMANCE!D8 - Table1[[#This Row],[ActDate]]&lt;366,Table1[NetPrem],"")),
IF(TODAY()&lt;Table1[[#This Row],[ActDate]],"",
IF(TODAY() - Table1[[#This Row],[ActDate]]&lt;366,Table1[NetPrem],"")))</f>
        <v>93.34</v>
      </c>
      <c r="AD73" s="10">
        <f ca="1">IF(PERFORMANCE!D8&gt;0,
IF(PERFORMANCE!D8&lt;Table1[[#This Row],[ActDate]],"",
IF(YEAR(PERFORMANCE!D8)=YEAR(Table1[[#This Row],[ActDate]]),Table1[NetPrem],"")),
IF(TODAY()&lt;Table1[[#This Row],[ActDate]],"",
IF(YEAR(TODAY())=YEAR(Table1[[#This Row],[ActDate]]),Table1[NetPrem],"")))</f>
        <v>93.34</v>
      </c>
      <c r="AE73" s="10" t="str">
        <f ca="1">IF(PERFORMANCE!D8&gt;0,
IF(PERFORMANCE!D8&lt;Table1[[#This Row],[ActDate]],Table1[NetPrem],""),
IF(TODAY()&lt;Table1[[#This Row],[ActDate]],Table1[NetPrem],""))</f>
        <v/>
      </c>
      <c r="AG73">
        <f>IF(Table1[[#This Row],[SYM]]="","",SUMIFS(Table1[NetPrem],Table1[Trade'#],Table1[[#This Row],[Trade'#]],Table1[Leg],"&lt;="&amp;Table1[[#This Row],[Leg]]))</f>
        <v>93.34</v>
      </c>
    </row>
    <row r="74" spans="1:33" x14ac:dyDescent="0.25">
      <c r="A74" s="15" t="s">
        <v>272</v>
      </c>
      <c r="B74" s="54">
        <v>24</v>
      </c>
      <c r="C74" s="54">
        <v>2</v>
      </c>
      <c r="D74" s="15" t="s">
        <v>30</v>
      </c>
      <c r="E74" s="61">
        <v>44333</v>
      </c>
      <c r="F74" s="61">
        <v>44335</v>
      </c>
      <c r="G74" s="61">
        <v>44365</v>
      </c>
      <c r="H74" s="54">
        <v>33</v>
      </c>
      <c r="I74" s="54"/>
      <c r="J74" s="53">
        <v>2</v>
      </c>
      <c r="K74" s="57">
        <v>186.66</v>
      </c>
      <c r="M74" s="57" t="s">
        <v>271</v>
      </c>
      <c r="N74" s="54" t="e">
        <f>RTD("tos.rtd",,"last", "NRG")</f>
        <v>#N/A</v>
      </c>
      <c r="O74" s="54" t="e">
        <f>RTD("tos.rtd",,"ASK",".NRG210618P33")</f>
        <v>#N/A</v>
      </c>
      <c r="P74" s="10">
        <f>IF(Table1[[#This Row],[TransType]]="LS", Table1[[#This Row],[OpnPrem]]+Table1[[#This Row],[ClsPrem]],
                                            IF(Table1[[#This Row],[TransType]]="AS", Table1[[#This Row],[OpnPrem]]+Table1[[#This Row],[ClsPrem]],
                                               Table1[[#This Row],[OpnPrem]]-Table1[[#This Row],[ClsPrem]]))</f>
        <v>186.66</v>
      </c>
      <c r="Q74" s="59">
        <f>IF(Table1[[#This Row],[SYM]]="","",SUMIFS(Table1[NetPrem],Table1[Trade'#],Table1[[#This Row],[Trade'#]],Table1[Leg],"&lt;="&amp;Table1[[#This Row],[Leg]]))</f>
        <v>280</v>
      </c>
      <c r="R74" s="11">
        <f t="shared" ca="1" si="2"/>
        <v>2</v>
      </c>
      <c r="S74"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6600</v>
      </c>
      <c r="T74" s="11" t="str">
        <f>IF(Table1[[#This Row],[CloseDate]]&gt;0,"",Table1[Cap])</f>
        <v/>
      </c>
      <c r="U74" s="11" t="str">
        <f>IF(Table1[[#This Row],[CloseDate]]&gt;0,"",
IF(Table1[[#This Row],[TransType]]="BC","",
IF(Table1[[#This Row],[TransType]]="BP",100*Table1[[#This Row],[Strike]]*Table1[[#This Row],['#Contracts]],
Table1[Cap])))</f>
        <v/>
      </c>
      <c r="V74" s="11">
        <f ca="1">IF(Table1[[#This Row],[SYM]]="","",Table1[[#This Row],[Cap]]*Table1[[#This Row],[Days]])</f>
        <v>13200</v>
      </c>
      <c r="W74" s="11">
        <f ca="1">IF(Table1[[#This Row],[SYM]]="","",SUMIFS(Table1[CapDays],Table1[Trade'#],Table1[[#This Row],[Trade'#]],Table1[Leg],"&lt;="&amp;Table1[[#This Row],[Leg]]))</f>
        <v>19800</v>
      </c>
      <c r="X74" s="60">
        <f ca="1">IF(Table1[[#This Row],[TotCapDays]],365*Table1[[#This Row],[TotPrem]]/Table1[[#This Row],[TotCapDays]],"")</f>
        <v>5.1616161616161618</v>
      </c>
      <c r="Y74" s="10">
        <f>IF(Table1[[#This Row],[SYM]]="","",
IF(Table1[[#This Row],[TransType]]="LS",Table1[[#This Row],[Strike]]-Table1[[#This Row],[TotPrem]]/Table1[[#This Row],['#Contracts]],
IF(Table1[[#This Row],['#Contracts]],Table1[[#This Row],[Strike]]-Table1[[#This Row],[TotPrem]]/Table1[[#This Row],['#Contracts]]/100,"")))</f>
        <v>31.6</v>
      </c>
      <c r="Z74" s="11" t="str">
        <f>IF(Table1[[#This Row],[CloseDate]]&gt;0,"",
IF(Table1[[#This Row],[TransType]]="LS",Table1['#Contracts],
IF(Table1[[#This Row],[TransType]]="AS",100*Table1[[#This Row],['#Contracts]],
IF(Table1[[#This Row],[TransType]]="SP",100*Table1[[#This Row],['#Contracts]],
IF(Table1[[#This Row],[TransType]]="BP",100*Table1[[#This Row],['#Contracts]],"")))))</f>
        <v/>
      </c>
      <c r="AA74" s="58">
        <f ca="1">IF(Table1[[#This Row],[CloseDate]]&gt;0,Table1[CloseDate],
IF(Table1[[#This Row],[ExpDate]]&gt;0,Table1[ExpDate],
TODAY()))</f>
        <v>44335</v>
      </c>
      <c r="AB74" s="10">
        <f ca="1">IF(PERFORMANCE!D8&gt;0,
IF(PERFORMANCE!D8&lt;Table1[[#This Row],[ActDate]],"",Table1[NetPrem]),
IF(TODAY()&lt;Table1[[#This Row],[ActDate]],"",Table1[NetPrem]))</f>
        <v>186.66</v>
      </c>
      <c r="AC74" s="10">
        <f ca="1">IF(PERFORMANCE!D8&gt;0,
IF(PERFORMANCE!D8&lt;Table1[[#This Row],[ActDate]],"",
IF(PERFORMANCE!D8 - Table1[[#This Row],[ActDate]]&lt;366,Table1[NetPrem],"")),
IF(TODAY()&lt;Table1[[#This Row],[ActDate]],"",
IF(TODAY() - Table1[[#This Row],[ActDate]]&lt;366,Table1[NetPrem],"")))</f>
        <v>186.66</v>
      </c>
      <c r="AD74" s="10">
        <f ca="1">IF(PERFORMANCE!D8&gt;0,
IF(PERFORMANCE!D8&lt;Table1[[#This Row],[ActDate]],"",
IF(YEAR(PERFORMANCE!D8)=YEAR(Table1[[#This Row],[ActDate]]),Table1[NetPrem],"")),
IF(TODAY()&lt;Table1[[#This Row],[ActDate]],"",
IF(YEAR(TODAY())=YEAR(Table1[[#This Row],[ActDate]]),Table1[NetPrem],"")))</f>
        <v>186.66</v>
      </c>
      <c r="AE74" s="10" t="str">
        <f ca="1">IF(PERFORMANCE!D8&gt;0,
IF(PERFORMANCE!D8&lt;Table1[[#This Row],[ActDate]],Table1[NetPrem],""),
IF(TODAY()&lt;Table1[[#This Row],[ActDate]],Table1[NetPrem],""))</f>
        <v/>
      </c>
      <c r="AG74">
        <f>IF(Table1[[#This Row],[SYM]]="","",SUMIFS(Table1[NetPrem],Table1[Trade'#],Table1[[#This Row],[Trade'#]],Table1[Leg],"&lt;="&amp;Table1[[#This Row],[Leg]]))</f>
        <v>280</v>
      </c>
    </row>
    <row r="75" spans="1:33" x14ac:dyDescent="0.25">
      <c r="A75" s="15" t="s">
        <v>273</v>
      </c>
      <c r="B75" s="54">
        <v>24</v>
      </c>
      <c r="C75" s="54">
        <v>3</v>
      </c>
      <c r="D75" s="15" t="s">
        <v>30</v>
      </c>
      <c r="E75" s="61">
        <v>44335</v>
      </c>
      <c r="F75" s="61">
        <v>44335</v>
      </c>
      <c r="G75" s="61">
        <v>44365</v>
      </c>
      <c r="H75" s="54">
        <v>33</v>
      </c>
      <c r="I75" s="54"/>
      <c r="J75" s="53">
        <v>3</v>
      </c>
      <c r="K75" s="57">
        <v>186.66</v>
      </c>
      <c r="M75" s="57" t="s">
        <v>271</v>
      </c>
      <c r="N75" s="54" t="e">
        <f>RTD("tos.rtd",,"last", "NRG")</f>
        <v>#N/A</v>
      </c>
      <c r="O75" s="54" t="e">
        <f>RTD("tos.rtd",,"ASK",".NRG210618P33")</f>
        <v>#N/A</v>
      </c>
      <c r="P75" s="10">
        <f>IF(Table1[[#This Row],[TransType]]="LS", Table1[[#This Row],[OpnPrem]]+Table1[[#This Row],[ClsPrem]],
                                            IF(Table1[[#This Row],[TransType]]="AS", Table1[[#This Row],[OpnPrem]]+Table1[[#This Row],[ClsPrem]],
                                               Table1[[#This Row],[OpnPrem]]-Table1[[#This Row],[ClsPrem]]))</f>
        <v>186.66</v>
      </c>
      <c r="Q75" s="59">
        <f>IF(Table1[[#This Row],[SYM]]="","",SUMIFS(Table1[NetPrem],Table1[Trade'#],Table1[[#This Row],[Trade'#]],Table1[Leg],"&lt;="&amp;Table1[[#This Row],[Leg]]))</f>
        <v>466.65999999999997</v>
      </c>
      <c r="R75" s="11">
        <f t="shared" ca="1" si="2"/>
        <v>1</v>
      </c>
      <c r="S75"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9900</v>
      </c>
      <c r="T75" s="11" t="str">
        <f>IF(Table1[[#This Row],[CloseDate]]&gt;0,"",Table1[Cap])</f>
        <v/>
      </c>
      <c r="U75" s="11" t="str">
        <f>IF(Table1[[#This Row],[CloseDate]]&gt;0,"",
IF(Table1[[#This Row],[TransType]]="BC","",
IF(Table1[[#This Row],[TransType]]="BP",100*Table1[[#This Row],[Strike]]*Table1[[#This Row],['#Contracts]],
Table1[Cap])))</f>
        <v/>
      </c>
      <c r="V75" s="11">
        <f ca="1">IF(Table1[[#This Row],[SYM]]="","",Table1[[#This Row],[Cap]]*Table1[[#This Row],[Days]])</f>
        <v>9900</v>
      </c>
      <c r="W75" s="11">
        <f ca="1">IF(Table1[[#This Row],[SYM]]="","",SUMIFS(Table1[CapDays],Table1[Trade'#],Table1[[#This Row],[Trade'#]],Table1[Leg],"&lt;="&amp;Table1[[#This Row],[Leg]]))</f>
        <v>29700</v>
      </c>
      <c r="X75" s="60">
        <f ca="1">IF(Table1[[#This Row],[TotCapDays]],365*Table1[[#This Row],[TotPrem]]/Table1[[#This Row],[TotCapDays]],"")</f>
        <v>5.7350471380471379</v>
      </c>
      <c r="Y75" s="10">
        <f>IF(Table1[[#This Row],[SYM]]="","",
IF(Table1[[#This Row],[TransType]]="LS",Table1[[#This Row],[Strike]]-Table1[[#This Row],[TotPrem]]/Table1[[#This Row],['#Contracts]],
IF(Table1[[#This Row],['#Contracts]],Table1[[#This Row],[Strike]]-Table1[[#This Row],[TotPrem]]/Table1[[#This Row],['#Contracts]]/100,"")))</f>
        <v>31.444466666666667</v>
      </c>
      <c r="Z75" s="11" t="str">
        <f>IF(Table1[[#This Row],[CloseDate]]&gt;0,"",
IF(Table1[[#This Row],[TransType]]="LS",Table1['#Contracts],
IF(Table1[[#This Row],[TransType]]="AS",100*Table1[[#This Row],['#Contracts]],
IF(Table1[[#This Row],[TransType]]="SP",100*Table1[[#This Row],['#Contracts]],
IF(Table1[[#This Row],[TransType]]="BP",100*Table1[[#This Row],['#Contracts]],"")))))</f>
        <v/>
      </c>
      <c r="AA75" s="58">
        <f ca="1">IF(Table1[[#This Row],[CloseDate]]&gt;0,Table1[CloseDate],
IF(Table1[[#This Row],[ExpDate]]&gt;0,Table1[ExpDate],
TODAY()))</f>
        <v>44335</v>
      </c>
      <c r="AB75" s="10">
        <f ca="1">IF(PERFORMANCE!D8&gt;0,
IF(PERFORMANCE!D8&lt;Table1[[#This Row],[ActDate]],"",Table1[NetPrem]),
IF(TODAY()&lt;Table1[[#This Row],[ActDate]],"",Table1[NetPrem]))</f>
        <v>186.66</v>
      </c>
      <c r="AC75" s="10">
        <f ca="1">IF(PERFORMANCE!D8&gt;0,
IF(PERFORMANCE!D8&lt;Table1[[#This Row],[ActDate]],"",
IF(PERFORMANCE!D8 - Table1[[#This Row],[ActDate]]&lt;366,Table1[NetPrem],"")),
IF(TODAY()&lt;Table1[[#This Row],[ActDate]],"",
IF(TODAY() - Table1[[#This Row],[ActDate]]&lt;366,Table1[NetPrem],"")))</f>
        <v>186.66</v>
      </c>
      <c r="AD75" s="10">
        <f ca="1">IF(PERFORMANCE!D8&gt;0,
IF(PERFORMANCE!D8&lt;Table1[[#This Row],[ActDate]],"",
IF(YEAR(PERFORMANCE!D8)=YEAR(Table1[[#This Row],[ActDate]]),Table1[NetPrem],"")),
IF(TODAY()&lt;Table1[[#This Row],[ActDate]],"",
IF(YEAR(TODAY())=YEAR(Table1[[#This Row],[ActDate]]),Table1[NetPrem],"")))</f>
        <v>186.66</v>
      </c>
      <c r="AE75" s="10" t="str">
        <f ca="1">IF(PERFORMANCE!D8&gt;0,
IF(PERFORMANCE!D8&lt;Table1[[#This Row],[ActDate]],Table1[NetPrem],""),
IF(TODAY()&lt;Table1[[#This Row],[ActDate]],Table1[NetPrem],""))</f>
        <v/>
      </c>
      <c r="AG75">
        <f>IF(Table1[[#This Row],[SYM]]="","",SUMIFS(Table1[NetPrem],Table1[Trade'#],Table1[[#This Row],[Trade'#]],Table1[Leg],"&lt;="&amp;Table1[[#This Row],[Leg]]))</f>
        <v>466.65999999999997</v>
      </c>
    </row>
    <row r="76" spans="1:33" x14ac:dyDescent="0.25">
      <c r="A76" t="s">
        <v>274</v>
      </c>
      <c r="B76">
        <v>25</v>
      </c>
      <c r="C76">
        <v>1</v>
      </c>
      <c r="D76" t="s">
        <v>30</v>
      </c>
      <c r="E76" s="58">
        <v>44333</v>
      </c>
      <c r="F76" s="58">
        <v>44334</v>
      </c>
      <c r="G76" s="58">
        <v>44358</v>
      </c>
      <c r="H76">
        <v>91</v>
      </c>
      <c r="J76">
        <v>2</v>
      </c>
      <c r="K76">
        <v>528.66999999999996</v>
      </c>
      <c r="M76" t="s">
        <v>275</v>
      </c>
      <c r="N76" t="e">
        <f>RTD("tos.rtd",,"last", "IRBT")</f>
        <v>#N/A</v>
      </c>
      <c r="O76" t="e">
        <f>RTD("tos.rtd",,"ASK",".IRBT210611P91")</f>
        <v>#N/A</v>
      </c>
      <c r="P76">
        <f>IF(Table1[[#This Row],[TransType]]="LS", Table1[[#This Row],[OpnPrem]]+Table1[[#This Row],[ClsPrem]],
                                            IF(Table1[[#This Row],[TransType]]="AS", Table1[[#This Row],[OpnPrem]]+Table1[[#This Row],[ClsPrem]],
                                               Table1[[#This Row],[OpnPrem]]-Table1[[#This Row],[ClsPrem]]))</f>
        <v>528.66999999999996</v>
      </c>
      <c r="Q76" s="59">
        <f>IF(Table1[[#This Row],[SYM]]="","",SUMIFS(Table1[NetPrem],Table1[Trade'#],Table1[[#This Row],[Trade'#]],Table1[Leg],"&lt;="&amp;Table1[[#This Row],[Leg]]))</f>
        <v>528.66999999999996</v>
      </c>
      <c r="R76">
        <f t="shared" ca="1" si="2"/>
        <v>1</v>
      </c>
      <c r="S76">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18200</v>
      </c>
      <c r="T76" t="str">
        <f>IF(Table1[[#This Row],[CloseDate]]&gt;0,"",Table1[Cap])</f>
        <v/>
      </c>
      <c r="U76" t="str">
        <f>IF(Table1[[#This Row],[CloseDate]]&gt;0,"",
IF(Table1[[#This Row],[TransType]]="BC","",
IF(Table1[[#This Row],[TransType]]="BP",100*Table1[[#This Row],[Strike]]*Table1[[#This Row],['#Contracts]],
Table1[Cap])))</f>
        <v/>
      </c>
      <c r="V76">
        <f ca="1">IF(Table1[[#This Row],[SYM]]="","",Table1[[#This Row],[Cap]]*Table1[[#This Row],[Days]])</f>
        <v>18200</v>
      </c>
      <c r="W76">
        <f ca="1">IF(Table1[[#This Row],[SYM]]="","",SUMIFS(Table1[CapDays],Table1[Trade'#],Table1[[#This Row],[Trade'#]],Table1[Leg],"&lt;="&amp;Table1[[#This Row],[Leg]]))</f>
        <v>18200</v>
      </c>
      <c r="X76" s="60">
        <f ca="1">IF(Table1[[#This Row],[TotCapDays]],365*Table1[[#This Row],[TotPrem]]/Table1[[#This Row],[TotCapDays]],"")</f>
        <v>10.602447802197801</v>
      </c>
      <c r="Y76" s="10">
        <f>IF(Table1[[#This Row],[SYM]]="","",
IF(Table1[[#This Row],[TransType]]="LS",Table1[[#This Row],[Strike]]-Table1[[#This Row],[TotPrem]]/Table1[[#This Row],['#Contracts]],
IF(Table1[[#This Row],['#Contracts]],Table1[[#This Row],[Strike]]-Table1[[#This Row],[TotPrem]]/Table1[[#This Row],['#Contracts]]/100,"")))</f>
        <v>88.356650000000002</v>
      </c>
      <c r="Z76" t="str">
        <f>IF(Table1[[#This Row],[CloseDate]]&gt;0,"",
IF(Table1[[#This Row],[TransType]]="LS",Table1['#Contracts],
IF(Table1[[#This Row],[TransType]]="AS",100*Table1[[#This Row],['#Contracts]],
IF(Table1[[#This Row],[TransType]]="SP",100*Table1[[#This Row],['#Contracts]],
IF(Table1[[#This Row],[TransType]]="BP",100*Table1[[#This Row],['#Contracts]],"")))))</f>
        <v/>
      </c>
      <c r="AA76" s="58">
        <f ca="1">IF(Table1[[#This Row],[CloseDate]]&gt;0,Table1[CloseDate],
IF(Table1[[#This Row],[ExpDate]]&gt;0,Table1[ExpDate],
TODAY()))</f>
        <v>44334</v>
      </c>
      <c r="AB76">
        <f ca="1">IF(PERFORMANCE!D8&gt;0,
IF(PERFORMANCE!D8&lt;Table1[[#This Row],[ActDate]],"",Table1[NetPrem]),
IF(TODAY()&lt;Table1[[#This Row],[ActDate]],"",Table1[NetPrem]))</f>
        <v>528.66999999999996</v>
      </c>
      <c r="AC76">
        <f ca="1">IF(PERFORMANCE!D8&gt;0,
IF(PERFORMANCE!D8&lt;Table1[[#This Row],[ActDate]],"",
IF(PERFORMANCE!D8 - Table1[[#This Row],[ActDate]]&lt;366,Table1[NetPrem],"")),
IF(TODAY()&lt;Table1[[#This Row],[ActDate]],"",
IF(TODAY() - Table1[[#This Row],[ActDate]]&lt;366,Table1[NetPrem],"")))</f>
        <v>528.66999999999996</v>
      </c>
      <c r="AD76">
        <f ca="1">IF(PERFORMANCE!D8&gt;0,
IF(PERFORMANCE!D8&lt;Table1[[#This Row],[ActDate]],"",
IF(YEAR(PERFORMANCE!D8)=YEAR(Table1[[#This Row],[ActDate]]),Table1[NetPrem],"")),
IF(TODAY()&lt;Table1[[#This Row],[ActDate]],"",
IF(YEAR(TODAY())=YEAR(Table1[[#This Row],[ActDate]]),Table1[NetPrem],"")))</f>
        <v>528.66999999999996</v>
      </c>
      <c r="AE76" t="str">
        <f ca="1">IF(PERFORMANCE!D8&gt;0,
IF(PERFORMANCE!D8&lt;Table1[[#This Row],[ActDate]],Table1[NetPrem],""),
IF(TODAY()&lt;Table1[[#This Row],[ActDate]],Table1[NetPrem],""))</f>
        <v/>
      </c>
      <c r="AG76">
        <f>IF(Table1[[#This Row],[SYM]]="","",SUMIFS(Table1[NetPrem],Table1[Trade'#],Table1[[#This Row],[Trade'#]],Table1[Leg],"&lt;="&amp;Table1[[#This Row],[Leg]]))</f>
        <v>528.66999999999996</v>
      </c>
    </row>
    <row r="77" spans="1:33" x14ac:dyDescent="0.25">
      <c r="A77" t="s">
        <v>276</v>
      </c>
      <c r="B77">
        <v>25</v>
      </c>
      <c r="C77">
        <v>2</v>
      </c>
      <c r="D77" t="s">
        <v>30</v>
      </c>
      <c r="E77" s="58">
        <v>44334</v>
      </c>
      <c r="F77" s="58">
        <v>44334</v>
      </c>
      <c r="G77" s="58">
        <v>44358</v>
      </c>
      <c r="H77">
        <v>91</v>
      </c>
      <c r="J77">
        <v>5</v>
      </c>
      <c r="K77">
        <v>528.66999999999996</v>
      </c>
      <c r="M77" t="s">
        <v>275</v>
      </c>
      <c r="N77" t="e">
        <f>RTD("tos.rtd",,"last", "IRBT")</f>
        <v>#N/A</v>
      </c>
      <c r="O77" t="e">
        <f>RTD("tos.rtd",,"ASK",".IRBT210611P91")</f>
        <v>#N/A</v>
      </c>
      <c r="P77">
        <f>IF(Table1[[#This Row],[TransType]]="LS", Table1[[#This Row],[OpnPrem]]+Table1[[#This Row],[ClsPrem]],
                                            IF(Table1[[#This Row],[TransType]]="AS", Table1[[#This Row],[OpnPrem]]+Table1[[#This Row],[ClsPrem]],
                                               Table1[[#This Row],[OpnPrem]]-Table1[[#This Row],[ClsPrem]]))</f>
        <v>528.66999999999996</v>
      </c>
      <c r="Q77" s="59">
        <f>IF(Table1[[#This Row],[SYM]]="","",SUMIFS(Table1[NetPrem],Table1[Trade'#],Table1[[#This Row],[Trade'#]],Table1[Leg],"&lt;="&amp;Table1[[#This Row],[Leg]]))</f>
        <v>1057.3399999999999</v>
      </c>
      <c r="R77">
        <f t="shared" ca="1" si="2"/>
        <v>1</v>
      </c>
      <c r="S77">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45500</v>
      </c>
      <c r="T77" t="str">
        <f>IF(Table1[[#This Row],[CloseDate]]&gt;0,"",Table1[Cap])</f>
        <v/>
      </c>
      <c r="U77" t="str">
        <f>IF(Table1[[#This Row],[CloseDate]]&gt;0,"",
IF(Table1[[#This Row],[TransType]]="BC","",
IF(Table1[[#This Row],[TransType]]="BP",100*Table1[[#This Row],[Strike]]*Table1[[#This Row],['#Contracts]],
Table1[Cap])))</f>
        <v/>
      </c>
      <c r="V77">
        <f ca="1">IF(Table1[[#This Row],[SYM]]="","",Table1[[#This Row],[Cap]]*Table1[[#This Row],[Days]])</f>
        <v>45500</v>
      </c>
      <c r="W77">
        <f ca="1">IF(Table1[[#This Row],[SYM]]="","",SUMIFS(Table1[CapDays],Table1[Trade'#],Table1[[#This Row],[Trade'#]],Table1[Leg],"&lt;="&amp;Table1[[#This Row],[Leg]]))</f>
        <v>63700</v>
      </c>
      <c r="X77" s="60">
        <f ca="1">IF(Table1[[#This Row],[TotCapDays]],365*Table1[[#This Row],[TotPrem]]/Table1[[#This Row],[TotCapDays]],"")</f>
        <v>6.0585416012558868</v>
      </c>
      <c r="Y77" s="10">
        <f>IF(Table1[[#This Row],[SYM]]="","",
IF(Table1[[#This Row],[TransType]]="LS",Table1[[#This Row],[Strike]]-Table1[[#This Row],[TotPrem]]/Table1[[#This Row],['#Contracts]],
IF(Table1[[#This Row],['#Contracts]],Table1[[#This Row],[Strike]]-Table1[[#This Row],[TotPrem]]/Table1[[#This Row],['#Contracts]]/100,"")))</f>
        <v>88.885320000000007</v>
      </c>
      <c r="Z77" t="str">
        <f>IF(Table1[[#This Row],[CloseDate]]&gt;0,"",
IF(Table1[[#This Row],[TransType]]="LS",Table1['#Contracts],
IF(Table1[[#This Row],[TransType]]="AS",100*Table1[[#This Row],['#Contracts]],
IF(Table1[[#This Row],[TransType]]="SP",100*Table1[[#This Row],['#Contracts]],
IF(Table1[[#This Row],[TransType]]="BP",100*Table1[[#This Row],['#Contracts]],"")))))</f>
        <v/>
      </c>
      <c r="AA77" s="58">
        <f ca="1">IF(Table1[[#This Row],[CloseDate]]&gt;0,Table1[CloseDate],
IF(Table1[[#This Row],[ExpDate]]&gt;0,Table1[ExpDate],
TODAY()))</f>
        <v>44334</v>
      </c>
      <c r="AB77">
        <f ca="1">IF(PERFORMANCE!D8&gt;0,
IF(PERFORMANCE!D8&lt;Table1[[#This Row],[ActDate]],"",Table1[NetPrem]),
IF(TODAY()&lt;Table1[[#This Row],[ActDate]],"",Table1[NetPrem]))</f>
        <v>528.66999999999996</v>
      </c>
      <c r="AC77">
        <f ca="1">IF(PERFORMANCE!D8&gt;0,
IF(PERFORMANCE!D8&lt;Table1[[#This Row],[ActDate]],"",
IF(PERFORMANCE!D8 - Table1[[#This Row],[ActDate]]&lt;366,Table1[NetPrem],"")),
IF(TODAY()&lt;Table1[[#This Row],[ActDate]],"",
IF(TODAY() - Table1[[#This Row],[ActDate]]&lt;366,Table1[NetPrem],"")))</f>
        <v>528.66999999999996</v>
      </c>
      <c r="AD77">
        <f ca="1">IF(PERFORMANCE!D8&gt;0,
IF(PERFORMANCE!D8&lt;Table1[[#This Row],[ActDate]],"",
IF(YEAR(PERFORMANCE!D8)=YEAR(Table1[[#This Row],[ActDate]]),Table1[NetPrem],"")),
IF(TODAY()&lt;Table1[[#This Row],[ActDate]],"",
IF(YEAR(TODAY())=YEAR(Table1[[#This Row],[ActDate]]),Table1[NetPrem],"")))</f>
        <v>528.66999999999996</v>
      </c>
      <c r="AE77" t="str">
        <f ca="1">IF(PERFORMANCE!D8&gt;0,
IF(PERFORMANCE!D8&lt;Table1[[#This Row],[ActDate]],Table1[NetPrem],""),
IF(TODAY()&lt;Table1[[#This Row],[ActDate]],Table1[NetPrem],""))</f>
        <v/>
      </c>
      <c r="AG77">
        <f>IF(Table1[[#This Row],[SYM]]="","",SUMIFS(Table1[NetPrem],Table1[Trade'#],Table1[[#This Row],[Trade'#]],Table1[Leg],"&lt;="&amp;Table1[[#This Row],[Leg]]))</f>
        <v>1057.3399999999999</v>
      </c>
    </row>
    <row r="78" spans="1:33" x14ac:dyDescent="0.25">
      <c r="A78" t="s">
        <v>277</v>
      </c>
      <c r="B78">
        <v>25</v>
      </c>
      <c r="C78">
        <v>3</v>
      </c>
      <c r="D78" t="s">
        <v>30</v>
      </c>
      <c r="E78" s="58">
        <v>44334</v>
      </c>
      <c r="F78" s="58">
        <v>44334</v>
      </c>
      <c r="G78" s="58">
        <v>44358</v>
      </c>
      <c r="H78">
        <v>91</v>
      </c>
      <c r="J78">
        <v>7</v>
      </c>
      <c r="K78">
        <v>528.66999999999996</v>
      </c>
      <c r="M78" t="s">
        <v>275</v>
      </c>
      <c r="N78" t="e">
        <f>RTD("tos.rtd",,"last", "IRBT")</f>
        <v>#N/A</v>
      </c>
      <c r="O78" t="e">
        <f>RTD("tos.rtd",,"ASK",".IRBT210611P91")</f>
        <v>#N/A</v>
      </c>
      <c r="P78">
        <f>IF(Table1[[#This Row],[TransType]]="LS", Table1[[#This Row],[OpnPrem]]+Table1[[#This Row],[ClsPrem]],
                                            IF(Table1[[#This Row],[TransType]]="AS", Table1[[#This Row],[OpnPrem]]+Table1[[#This Row],[ClsPrem]],
                                               Table1[[#This Row],[OpnPrem]]-Table1[[#This Row],[ClsPrem]]))</f>
        <v>528.66999999999996</v>
      </c>
      <c r="Q78" s="59">
        <f>IF(Table1[[#This Row],[SYM]]="","",SUMIFS(Table1[NetPrem],Table1[Trade'#],Table1[[#This Row],[Trade'#]],Table1[Leg],"&lt;="&amp;Table1[[#This Row],[Leg]]))</f>
        <v>1586.0099999999998</v>
      </c>
      <c r="R78">
        <f t="shared" ca="1" si="2"/>
        <v>1</v>
      </c>
      <c r="S78">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63700</v>
      </c>
      <c r="T78" t="str">
        <f>IF(Table1[[#This Row],[CloseDate]]&gt;0,"",Table1[Cap])</f>
        <v/>
      </c>
      <c r="U78" t="str">
        <f>IF(Table1[[#This Row],[CloseDate]]&gt;0,"",
IF(Table1[[#This Row],[TransType]]="BC","",
IF(Table1[[#This Row],[TransType]]="BP",100*Table1[[#This Row],[Strike]]*Table1[[#This Row],['#Contracts]],
Table1[Cap])))</f>
        <v/>
      </c>
      <c r="V78">
        <f ca="1">IF(Table1[[#This Row],[SYM]]="","",Table1[[#This Row],[Cap]]*Table1[[#This Row],[Days]])</f>
        <v>63700</v>
      </c>
      <c r="W78">
        <f ca="1">IF(Table1[[#This Row],[SYM]]="","",SUMIFS(Table1[CapDays],Table1[Trade'#],Table1[[#This Row],[Trade'#]],Table1[Leg],"&lt;="&amp;Table1[[#This Row],[Leg]]))</f>
        <v>127400</v>
      </c>
      <c r="X78" s="60">
        <f ca="1">IF(Table1[[#This Row],[TotCapDays]],365*Table1[[#This Row],[TotPrem]]/Table1[[#This Row],[TotCapDays]],"")</f>
        <v>4.5439062009419144</v>
      </c>
      <c r="Y78" s="10">
        <f>IF(Table1[[#This Row],[SYM]]="","",
IF(Table1[[#This Row],[TransType]]="LS",Table1[[#This Row],[Strike]]-Table1[[#This Row],[TotPrem]]/Table1[[#This Row],['#Contracts]],
IF(Table1[[#This Row],['#Contracts]],Table1[[#This Row],[Strike]]-Table1[[#This Row],[TotPrem]]/Table1[[#This Row],['#Contracts]]/100,"")))</f>
        <v>88.734271428571432</v>
      </c>
      <c r="Z78" t="str">
        <f>IF(Table1[[#This Row],[CloseDate]]&gt;0,"",
IF(Table1[[#This Row],[TransType]]="LS",Table1['#Contracts],
IF(Table1[[#This Row],[TransType]]="AS",100*Table1[[#This Row],['#Contracts]],
IF(Table1[[#This Row],[TransType]]="SP",100*Table1[[#This Row],['#Contracts]],
IF(Table1[[#This Row],[TransType]]="BP",100*Table1[[#This Row],['#Contracts]],"")))))</f>
        <v/>
      </c>
      <c r="AA78" s="58">
        <f ca="1">IF(Table1[[#This Row],[CloseDate]]&gt;0,Table1[CloseDate],
IF(Table1[[#This Row],[ExpDate]]&gt;0,Table1[ExpDate],
TODAY()))</f>
        <v>44334</v>
      </c>
      <c r="AB78">
        <f ca="1">IF(PERFORMANCE!D8&gt;0,
IF(PERFORMANCE!D8&lt;Table1[[#This Row],[ActDate]],"",Table1[NetPrem]),
IF(TODAY()&lt;Table1[[#This Row],[ActDate]],"",Table1[NetPrem]))</f>
        <v>528.66999999999996</v>
      </c>
      <c r="AC78">
        <f ca="1">IF(PERFORMANCE!D8&gt;0,
IF(PERFORMANCE!D8&lt;Table1[[#This Row],[ActDate]],"",
IF(PERFORMANCE!D8 - Table1[[#This Row],[ActDate]]&lt;366,Table1[NetPrem],"")),
IF(TODAY()&lt;Table1[[#This Row],[ActDate]],"",
IF(TODAY() - Table1[[#This Row],[ActDate]]&lt;366,Table1[NetPrem],"")))</f>
        <v>528.66999999999996</v>
      </c>
      <c r="AD78">
        <f ca="1">IF(PERFORMANCE!D8&gt;0,
IF(PERFORMANCE!D8&lt;Table1[[#This Row],[ActDate]],"",
IF(YEAR(PERFORMANCE!D8)=YEAR(Table1[[#This Row],[ActDate]]),Table1[NetPrem],"")),
IF(TODAY()&lt;Table1[[#This Row],[ActDate]],"",
IF(YEAR(TODAY())=YEAR(Table1[[#This Row],[ActDate]]),Table1[NetPrem],"")))</f>
        <v>528.66999999999996</v>
      </c>
      <c r="AE78" t="str">
        <f ca="1">IF(PERFORMANCE!D8&gt;0,
IF(PERFORMANCE!D8&lt;Table1[[#This Row],[ActDate]],Table1[NetPrem],""),
IF(TODAY()&lt;Table1[[#This Row],[ActDate]],Table1[NetPrem],""))</f>
        <v/>
      </c>
      <c r="AG78">
        <f>IF(Table1[[#This Row],[SYM]]="","",SUMIFS(Table1[NetPrem],Table1[Trade'#],Table1[[#This Row],[Trade'#]],Table1[Leg],"&lt;="&amp;Table1[[#This Row],[Leg]]))</f>
        <v>1586.0099999999998</v>
      </c>
    </row>
  </sheetData>
  <mergeCells count="1">
    <mergeCell ref="P7:AE7"/>
  </mergeCells>
  <conditionalFormatting sqref="X9">
    <cfRule type="expression" dxfId="102" priority="5">
      <formula>"o9&lt;0"</formula>
    </cfRule>
    <cfRule type="expression" dxfId="101" priority="8">
      <formula>"o9&gt;0"</formula>
    </cfRule>
    <cfRule type="cellIs" dxfId="100" priority="9" operator="greaterThan">
      <formula>2.332</formula>
    </cfRule>
  </conditionalFormatting>
  <conditionalFormatting sqref="X12">
    <cfRule type="cellIs" dxfId="99" priority="4" operator="greaterThan">
      <formula>2.332</formula>
    </cfRule>
  </conditionalFormatting>
  <pageMargins left="0.45" right="0.2" top="0.75" bottom="0.75" header="0.3" footer="0.3"/>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20"/>
  <sheetViews>
    <sheetView topLeftCell="A2" zoomScaleNormal="100" workbookViewId="0">
      <selection activeCell="C8" sqref="C8"/>
    </sheetView>
  </sheetViews>
  <sheetFormatPr defaultRowHeight="15" x14ac:dyDescent="0.25"/>
  <cols>
    <col min="1" max="1" width="12.7109375" style="51" customWidth="1"/>
    <col min="2" max="2" width="8" style="51" customWidth="1"/>
    <col min="3" max="3" width="36" style="51" bestFit="1" customWidth="1"/>
    <col min="4" max="5" width="10.5703125" style="51" bestFit="1" customWidth="1"/>
    <col min="6" max="6" width="10.7109375" style="2" bestFit="1" customWidth="1"/>
    <col min="7" max="7" width="8.42578125" style="51" customWidth="1"/>
    <col min="8" max="8" width="12.5703125" style="51" bestFit="1" customWidth="1"/>
    <col min="9" max="9" width="13.42578125" style="51" bestFit="1" customWidth="1"/>
    <col min="10" max="10" width="15.7109375" style="51" bestFit="1" customWidth="1"/>
    <col min="11" max="11" width="15.85546875" style="51" bestFit="1" customWidth="1"/>
    <col min="12" max="12" width="15.28515625" style="51" bestFit="1" customWidth="1"/>
    <col min="13" max="13" width="15.85546875" style="51" bestFit="1" customWidth="1"/>
    <col min="14" max="14" width="15.28515625" style="51" bestFit="1" customWidth="1"/>
    <col min="15" max="15" width="15.85546875" style="51" bestFit="1" customWidth="1"/>
    <col min="16" max="16" width="15.28515625" style="51" bestFit="1" customWidth="1"/>
    <col min="17" max="17" width="8.85546875" style="51" bestFit="1" customWidth="1"/>
    <col min="18" max="18" width="7.140625" style="51" bestFit="1" customWidth="1"/>
    <col min="19" max="19" width="10.140625" style="51" bestFit="1" customWidth="1"/>
    <col min="20" max="20" width="6.140625" style="51" bestFit="1" customWidth="1"/>
    <col min="21" max="21" width="9.140625" style="51" bestFit="1" customWidth="1"/>
    <col min="22" max="22" width="7" style="51" bestFit="1" customWidth="1"/>
    <col min="23" max="23" width="10" style="51" bestFit="1" customWidth="1"/>
    <col min="24" max="24" width="6" style="51" bestFit="1" customWidth="1"/>
    <col min="25" max="25" width="9" style="51" bestFit="1" customWidth="1"/>
    <col min="26" max="26" width="6.140625" style="51" bestFit="1" customWidth="1"/>
    <col min="27" max="27" width="9.140625" style="51" bestFit="1" customWidth="1"/>
    <col min="28" max="28" width="6.28515625" style="51" bestFit="1" customWidth="1"/>
    <col min="29" max="29" width="9.28515625" style="51" bestFit="1" customWidth="1"/>
    <col min="30" max="31" width="8.85546875" style="51" bestFit="1" customWidth="1"/>
  </cols>
  <sheetData>
    <row r="1" spans="1:11" x14ac:dyDescent="0.25">
      <c r="A1" t="s">
        <v>278</v>
      </c>
    </row>
    <row r="2" spans="1:11" x14ac:dyDescent="0.25">
      <c r="A2" t="s">
        <v>279</v>
      </c>
    </row>
    <row r="3" spans="1:11" x14ac:dyDescent="0.25">
      <c r="F3" s="2" t="s">
        <v>280</v>
      </c>
    </row>
    <row r="4" spans="1:11" x14ac:dyDescent="0.25">
      <c r="A4" s="29" t="s">
        <v>48</v>
      </c>
      <c r="B4" t="s">
        <v>281</v>
      </c>
    </row>
    <row r="6" spans="1:11" x14ac:dyDescent="0.25">
      <c r="A6" s="3" t="s">
        <v>50</v>
      </c>
      <c r="B6" s="29" t="s">
        <v>24</v>
      </c>
      <c r="C6" s="29" t="s">
        <v>22</v>
      </c>
      <c r="D6" s="29" t="s">
        <v>26</v>
      </c>
      <c r="E6" s="29" t="s">
        <v>28</v>
      </c>
      <c r="F6" s="29" t="s">
        <v>46</v>
      </c>
      <c r="G6" s="29" t="s">
        <v>52</v>
      </c>
      <c r="H6" s="29" t="s">
        <v>193</v>
      </c>
      <c r="I6" s="29" t="s">
        <v>194</v>
      </c>
      <c r="J6" s="29" t="s">
        <v>56</v>
      </c>
      <c r="K6" t="s">
        <v>282</v>
      </c>
    </row>
    <row r="7" spans="1:11" x14ac:dyDescent="0.25">
      <c r="A7" s="2">
        <v>44337</v>
      </c>
      <c r="B7">
        <v>1</v>
      </c>
      <c r="C7" t="s">
        <v>200</v>
      </c>
      <c r="D7">
        <v>4</v>
      </c>
      <c r="E7" t="s">
        <v>30</v>
      </c>
      <c r="F7" s="2">
        <v>44302</v>
      </c>
      <c r="G7">
        <v>77.5</v>
      </c>
      <c r="H7" t="s">
        <v>283</v>
      </c>
      <c r="I7" t="s">
        <v>283</v>
      </c>
      <c r="J7" s="11">
        <v>2</v>
      </c>
      <c r="K7">
        <v>15500</v>
      </c>
    </row>
    <row r="8" spans="1:11" x14ac:dyDescent="0.25">
      <c r="B8">
        <v>18</v>
      </c>
      <c r="C8" t="s">
        <v>259</v>
      </c>
      <c r="D8">
        <v>1</v>
      </c>
      <c r="E8" t="s">
        <v>30</v>
      </c>
      <c r="F8" s="2">
        <v>44316</v>
      </c>
      <c r="G8">
        <v>65</v>
      </c>
      <c r="H8" t="s">
        <v>283</v>
      </c>
      <c r="I8" t="s">
        <v>283</v>
      </c>
      <c r="J8" s="11">
        <v>2</v>
      </c>
      <c r="K8">
        <v>13000</v>
      </c>
    </row>
    <row r="9" spans="1:11" x14ac:dyDescent="0.25">
      <c r="C9" t="s">
        <v>261</v>
      </c>
      <c r="D9">
        <v>2</v>
      </c>
      <c r="E9" t="s">
        <v>30</v>
      </c>
      <c r="F9" s="2">
        <v>44320</v>
      </c>
      <c r="G9">
        <v>65</v>
      </c>
      <c r="H9" t="s">
        <v>283</v>
      </c>
      <c r="I9" t="s">
        <v>283</v>
      </c>
      <c r="J9" s="11">
        <v>2</v>
      </c>
      <c r="K9">
        <v>13000</v>
      </c>
    </row>
    <row r="10" spans="1:11" x14ac:dyDescent="0.25">
      <c r="A10" s="2">
        <v>44344</v>
      </c>
      <c r="B10">
        <v>21</v>
      </c>
      <c r="C10" t="s">
        <v>265</v>
      </c>
      <c r="D10">
        <v>1</v>
      </c>
      <c r="E10" t="s">
        <v>30</v>
      </c>
      <c r="F10" s="2">
        <v>44326</v>
      </c>
      <c r="G10">
        <v>50</v>
      </c>
      <c r="H10" t="s">
        <v>283</v>
      </c>
      <c r="I10" t="s">
        <v>283</v>
      </c>
      <c r="J10" s="11">
        <v>2</v>
      </c>
      <c r="K10">
        <v>10000</v>
      </c>
    </row>
    <row r="11" spans="1:11" x14ac:dyDescent="0.25">
      <c r="A11" s="2">
        <v>44351</v>
      </c>
      <c r="B11">
        <v>20</v>
      </c>
      <c r="C11" t="s">
        <v>264</v>
      </c>
      <c r="D11">
        <v>1</v>
      </c>
      <c r="E11" t="s">
        <v>30</v>
      </c>
      <c r="F11" s="2">
        <v>44323</v>
      </c>
      <c r="G11">
        <v>21</v>
      </c>
      <c r="H11" t="s">
        <v>283</v>
      </c>
      <c r="I11" t="s">
        <v>283</v>
      </c>
      <c r="J11" s="11">
        <v>10</v>
      </c>
      <c r="K11">
        <v>21000</v>
      </c>
    </row>
    <row r="12" spans="1:11" x14ac:dyDescent="0.25">
      <c r="B12">
        <v>22</v>
      </c>
      <c r="C12" t="s">
        <v>266</v>
      </c>
      <c r="D12">
        <v>1</v>
      </c>
      <c r="E12" t="s">
        <v>30</v>
      </c>
      <c r="F12" s="2">
        <v>44327</v>
      </c>
      <c r="G12">
        <v>24.5</v>
      </c>
      <c r="H12" t="s">
        <v>283</v>
      </c>
      <c r="I12" t="s">
        <v>283</v>
      </c>
      <c r="J12" s="11">
        <v>4</v>
      </c>
      <c r="K12">
        <v>9800</v>
      </c>
    </row>
    <row r="13" spans="1:11" x14ac:dyDescent="0.25">
      <c r="A13" s="2">
        <v>44358</v>
      </c>
      <c r="B13">
        <v>6</v>
      </c>
      <c r="C13" t="s">
        <v>222</v>
      </c>
      <c r="D13">
        <v>7</v>
      </c>
      <c r="E13" t="s">
        <v>30</v>
      </c>
      <c r="F13" s="2">
        <v>44328</v>
      </c>
      <c r="G13">
        <v>42</v>
      </c>
      <c r="H13">
        <v>0</v>
      </c>
      <c r="I13">
        <v>0</v>
      </c>
      <c r="J13" s="11">
        <v>1</v>
      </c>
      <c r="K13">
        <v>4200</v>
      </c>
    </row>
    <row r="14" spans="1:11" x14ac:dyDescent="0.25">
      <c r="C14" t="s">
        <v>224</v>
      </c>
      <c r="D14">
        <v>9</v>
      </c>
      <c r="E14" t="s">
        <v>30</v>
      </c>
      <c r="F14" s="2">
        <v>44328</v>
      </c>
      <c r="G14">
        <v>42</v>
      </c>
      <c r="H14">
        <v>0</v>
      </c>
      <c r="I14">
        <v>0</v>
      </c>
      <c r="J14" s="11">
        <v>1</v>
      </c>
      <c r="K14">
        <v>4200</v>
      </c>
    </row>
    <row r="15" spans="1:11" x14ac:dyDescent="0.25">
      <c r="B15">
        <v>17</v>
      </c>
      <c r="C15" t="s">
        <v>258</v>
      </c>
      <c r="D15">
        <v>3</v>
      </c>
      <c r="E15" t="s">
        <v>30</v>
      </c>
      <c r="F15" s="2">
        <v>44322</v>
      </c>
      <c r="G15">
        <v>43</v>
      </c>
      <c r="H15" t="s">
        <v>283</v>
      </c>
      <c r="I15" t="s">
        <v>283</v>
      </c>
      <c r="J15" s="11">
        <v>2</v>
      </c>
      <c r="K15">
        <v>8600</v>
      </c>
    </row>
    <row r="16" spans="1:11" x14ac:dyDescent="0.25">
      <c r="B16">
        <v>25</v>
      </c>
      <c r="C16" t="s">
        <v>274</v>
      </c>
      <c r="D16">
        <v>1</v>
      </c>
      <c r="E16" t="s">
        <v>30</v>
      </c>
      <c r="F16" s="2">
        <v>44333</v>
      </c>
      <c r="G16">
        <v>91</v>
      </c>
      <c r="H16" t="s">
        <v>283</v>
      </c>
      <c r="I16" t="s">
        <v>283</v>
      </c>
      <c r="J16" s="11">
        <v>2</v>
      </c>
      <c r="K16">
        <v>18200</v>
      </c>
    </row>
    <row r="17" spans="1:11" x14ac:dyDescent="0.25">
      <c r="A17" s="2">
        <v>44365</v>
      </c>
      <c r="B17">
        <v>23</v>
      </c>
      <c r="C17" t="s">
        <v>268</v>
      </c>
      <c r="D17">
        <v>1</v>
      </c>
      <c r="E17" t="s">
        <v>30</v>
      </c>
      <c r="F17" s="2">
        <v>44333</v>
      </c>
      <c r="G17">
        <v>70</v>
      </c>
      <c r="H17" t="s">
        <v>283</v>
      </c>
      <c r="I17" t="s">
        <v>283</v>
      </c>
      <c r="J17" s="11">
        <v>2</v>
      </c>
      <c r="K17">
        <v>14000</v>
      </c>
    </row>
    <row r="18" spans="1:11" x14ac:dyDescent="0.25">
      <c r="B18">
        <v>24</v>
      </c>
      <c r="C18" t="s">
        <v>270</v>
      </c>
      <c r="D18">
        <v>1</v>
      </c>
      <c r="E18" t="s">
        <v>30</v>
      </c>
      <c r="F18" s="2">
        <v>44333</v>
      </c>
      <c r="G18">
        <v>33</v>
      </c>
      <c r="H18" t="s">
        <v>283</v>
      </c>
      <c r="I18" t="s">
        <v>283</v>
      </c>
      <c r="J18" s="11">
        <v>1</v>
      </c>
      <c r="K18">
        <v>3300</v>
      </c>
    </row>
    <row r="19" spans="1:11" x14ac:dyDescent="0.25">
      <c r="C19" t="s">
        <v>272</v>
      </c>
      <c r="D19">
        <v>2</v>
      </c>
      <c r="E19" t="s">
        <v>30</v>
      </c>
      <c r="F19" s="2">
        <v>44333</v>
      </c>
      <c r="G19">
        <v>33</v>
      </c>
      <c r="H19" t="s">
        <v>283</v>
      </c>
      <c r="I19" t="s">
        <v>283</v>
      </c>
      <c r="J19" s="11">
        <v>2</v>
      </c>
      <c r="K19">
        <v>6600</v>
      </c>
    </row>
    <row r="20" spans="1:11" x14ac:dyDescent="0.25">
      <c r="A20" t="s">
        <v>284</v>
      </c>
      <c r="K20">
        <v>141400</v>
      </c>
    </row>
  </sheetData>
  <conditionalFormatting sqref="E1:E1048576">
    <cfRule type="cellIs" dxfId="98" priority="4" operator="equal">
      <formula>"(blank)"</formula>
    </cfRule>
    <cfRule type="cellIs" dxfId="97" priority="5" operator="equal">
      <formula>"(blank)"</formula>
    </cfRule>
  </conditionalFormatting>
  <conditionalFormatting sqref="A4:H6 A335:H1048576 A7:F23 A24:G334">
    <cfRule type="cellIs" dxfId="96" priority="3" operator="equal">
      <formula>"(blank)"</formula>
    </cfRule>
  </conditionalFormatting>
  <conditionalFormatting sqref="G7:G17">
    <cfRule type="expression" dxfId="95" priority="1">
      <formula>G7&gt;H7</formula>
    </cfRule>
  </conditionalFormatting>
  <pageMargins left="0.7" right="0.7" top="0.75" bottom="0.75" header="0.3" footer="0.3"/>
  <pageSetup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62"/>
  <sheetViews>
    <sheetView zoomScaleNormal="100" workbookViewId="0">
      <selection activeCell="J10" sqref="J10"/>
    </sheetView>
  </sheetViews>
  <sheetFormatPr defaultRowHeight="15" x14ac:dyDescent="0.25"/>
  <cols>
    <col min="1" max="1" width="43.28515625" style="51" customWidth="1"/>
    <col min="2" max="2" width="9" style="51" customWidth="1"/>
    <col min="3" max="3" width="5.5703125" style="51" customWidth="1"/>
    <col min="4" max="4" width="5.42578125" style="51" customWidth="1"/>
    <col min="5" max="5" width="6.42578125" style="51" customWidth="1"/>
    <col min="6" max="6" width="10.85546875" style="51" customWidth="1"/>
    <col min="7" max="8" width="10.7109375" style="51" bestFit="1" customWidth="1"/>
    <col min="9" max="9" width="7.42578125" style="51" bestFit="1" customWidth="1"/>
    <col min="10" max="10" width="10.7109375" style="48" customWidth="1"/>
    <col min="11" max="11" width="11.28515625" style="51" customWidth="1"/>
    <col min="12" max="12" width="9.5703125" style="51" bestFit="1" customWidth="1"/>
    <col min="13" max="13" width="6.5703125" style="51" bestFit="1" customWidth="1"/>
    <col min="14" max="14" width="12.7109375" style="51" bestFit="1" customWidth="1"/>
    <col min="17" max="17" width="16.140625" style="51" bestFit="1" customWidth="1"/>
  </cols>
  <sheetData>
    <row r="1" spans="1:18" x14ac:dyDescent="0.25">
      <c r="A1" t="s">
        <v>285</v>
      </c>
    </row>
    <row r="2" spans="1:18" x14ac:dyDescent="0.25">
      <c r="A2" t="s">
        <v>286</v>
      </c>
    </row>
    <row r="3" spans="1:18" x14ac:dyDescent="0.25">
      <c r="K3" s="6" t="s">
        <v>287</v>
      </c>
      <c r="L3" s="6"/>
      <c r="M3" s="6"/>
      <c r="N3" s="7">
        <f>365*GETPIVOTDATA(" NetPrem",$A$6)/GETPIVOTDATA(" CapDays",$A$6)</f>
        <v>0.22782598870056489</v>
      </c>
      <c r="P3" s="1"/>
      <c r="Q3" t="s">
        <v>288</v>
      </c>
    </row>
    <row r="4" spans="1:18" x14ac:dyDescent="0.25">
      <c r="A4" t="s">
        <v>24</v>
      </c>
      <c r="B4" s="5">
        <v>1</v>
      </c>
      <c r="K4" s="6" t="s">
        <v>289</v>
      </c>
      <c r="L4" s="6"/>
      <c r="M4" s="6"/>
      <c r="N4" s="49">
        <f>IF(GETPIVOTDATA(" Shares",$A$6)=0,"N/A",(GETPIVOTDATA(" BEcap",$A$6)-GETPIVOTDATA(" NetPrem",$A$6))/GETPIVOTDATA(" Shares",$A$6))</f>
        <v>75.566599999999994</v>
      </c>
      <c r="Q4" t="s">
        <v>290</v>
      </c>
      <c r="R4" t="s">
        <v>291</v>
      </c>
    </row>
    <row r="5" spans="1:18" x14ac:dyDescent="0.25">
      <c r="K5" s="6" t="s">
        <v>292</v>
      </c>
      <c r="L5" s="6"/>
      <c r="M5" s="6"/>
      <c r="N5" s="49">
        <f>GETPIVOTDATA(" OpenCap",$A$6)</f>
        <v>15500</v>
      </c>
      <c r="Q5" s="48">
        <f>SUM(J:J)/2</f>
        <v>7635.2200000000012</v>
      </c>
      <c r="R5">
        <f>SUM(K:K)/2</f>
        <v>8035650</v>
      </c>
    </row>
    <row r="6" spans="1:18" x14ac:dyDescent="0.25">
      <c r="A6" s="29" t="s">
        <v>22</v>
      </c>
      <c r="B6" s="29" t="s">
        <v>26</v>
      </c>
      <c r="C6" s="29" t="s">
        <v>28</v>
      </c>
      <c r="D6" s="29" t="s">
        <v>52</v>
      </c>
      <c r="E6" s="29" t="s">
        <v>56</v>
      </c>
      <c r="F6" s="29" t="s">
        <v>46</v>
      </c>
      <c r="G6" s="29" t="s">
        <v>48</v>
      </c>
      <c r="H6" s="29" t="s">
        <v>50</v>
      </c>
      <c r="I6" s="29" t="s">
        <v>75</v>
      </c>
      <c r="J6" s="48" t="s">
        <v>293</v>
      </c>
      <c r="K6" t="s">
        <v>294</v>
      </c>
      <c r="L6" t="s">
        <v>295</v>
      </c>
      <c r="M6" t="s">
        <v>296</v>
      </c>
      <c r="N6" t="s">
        <v>297</v>
      </c>
    </row>
    <row r="7" spans="1:18" x14ac:dyDescent="0.25">
      <c r="A7" t="s">
        <v>197</v>
      </c>
      <c r="B7">
        <v>1</v>
      </c>
      <c r="C7" t="s">
        <v>30</v>
      </c>
      <c r="D7">
        <v>80</v>
      </c>
      <c r="E7">
        <v>2</v>
      </c>
      <c r="F7" s="2">
        <v>44277</v>
      </c>
      <c r="G7" s="2">
        <v>44280</v>
      </c>
      <c r="H7" s="2">
        <v>44302</v>
      </c>
      <c r="I7" s="11">
        <v>3</v>
      </c>
      <c r="J7" s="48">
        <v>306.67</v>
      </c>
      <c r="K7">
        <v>48000</v>
      </c>
      <c r="L7">
        <v>0</v>
      </c>
      <c r="M7">
        <v>0</v>
      </c>
      <c r="N7">
        <v>0</v>
      </c>
      <c r="Q7" t="s">
        <v>287</v>
      </c>
      <c r="R7" s="1">
        <f>365*(Q5/R5)</f>
        <v>0.34681143404702797</v>
      </c>
    </row>
    <row r="8" spans="1:18" x14ac:dyDescent="0.25">
      <c r="A8" t="s">
        <v>198</v>
      </c>
      <c r="B8">
        <v>2</v>
      </c>
      <c r="C8" t="s">
        <v>30</v>
      </c>
      <c r="D8">
        <v>65</v>
      </c>
      <c r="E8">
        <v>2</v>
      </c>
      <c r="F8" s="2">
        <v>44280</v>
      </c>
      <c r="G8" s="2">
        <v>44280</v>
      </c>
      <c r="H8" s="2">
        <v>44302</v>
      </c>
      <c r="I8" s="11">
        <v>1</v>
      </c>
      <c r="J8" s="48">
        <v>-75.33</v>
      </c>
      <c r="K8">
        <v>13000</v>
      </c>
      <c r="L8">
        <v>0</v>
      </c>
      <c r="M8">
        <v>0</v>
      </c>
      <c r="N8">
        <v>0</v>
      </c>
    </row>
    <row r="9" spans="1:18" x14ac:dyDescent="0.25">
      <c r="A9" t="s">
        <v>199</v>
      </c>
      <c r="B9">
        <v>3</v>
      </c>
      <c r="C9" t="s">
        <v>30</v>
      </c>
      <c r="D9">
        <v>80</v>
      </c>
      <c r="E9">
        <v>2</v>
      </c>
      <c r="F9" s="2">
        <v>44302</v>
      </c>
      <c r="G9" s="2">
        <v>44302</v>
      </c>
      <c r="H9" s="2">
        <v>44302</v>
      </c>
      <c r="I9" s="11">
        <v>1</v>
      </c>
      <c r="J9" s="48">
        <v>-579.33000000000004</v>
      </c>
      <c r="K9">
        <v>16000</v>
      </c>
      <c r="L9">
        <v>0</v>
      </c>
      <c r="M9">
        <v>0</v>
      </c>
      <c r="N9">
        <v>0</v>
      </c>
    </row>
    <row r="10" spans="1:18" x14ac:dyDescent="0.25">
      <c r="A10" t="s">
        <v>200</v>
      </c>
      <c r="B10">
        <v>4</v>
      </c>
      <c r="C10" t="s">
        <v>30</v>
      </c>
      <c r="D10">
        <v>77.5</v>
      </c>
      <c r="E10">
        <v>2</v>
      </c>
      <c r="F10" s="2">
        <v>44302</v>
      </c>
      <c r="G10" t="s">
        <v>281</v>
      </c>
      <c r="H10" s="2">
        <v>44337</v>
      </c>
      <c r="I10" s="11">
        <v>35</v>
      </c>
      <c r="J10" s="48">
        <v>734.67</v>
      </c>
      <c r="K10">
        <v>542500</v>
      </c>
      <c r="L10">
        <v>15500</v>
      </c>
      <c r="M10">
        <v>15500</v>
      </c>
      <c r="N10">
        <v>200</v>
      </c>
    </row>
    <row r="11" spans="1:18" x14ac:dyDescent="0.25">
      <c r="A11" t="s">
        <v>284</v>
      </c>
      <c r="J11" s="48">
        <v>386.67999999999989</v>
      </c>
      <c r="K11">
        <v>619500</v>
      </c>
      <c r="L11">
        <v>15500</v>
      </c>
      <c r="M11">
        <v>15500</v>
      </c>
      <c r="N11">
        <v>200</v>
      </c>
    </row>
    <row r="18" spans="1:17" x14ac:dyDescent="0.25">
      <c r="K18" s="6" t="s">
        <v>287</v>
      </c>
      <c r="L18" s="6"/>
      <c r="M18" s="6"/>
      <c r="N18" s="7">
        <f>365*GETPIVOTDATA(" NetPrem",$A21)/GETPIVOTDATA(" CapDays",A21)</f>
        <v>0.35618696581196579</v>
      </c>
    </row>
    <row r="19" spans="1:17" x14ac:dyDescent="0.25">
      <c r="A19" t="s">
        <v>24</v>
      </c>
      <c r="B19" s="5">
        <v>2</v>
      </c>
      <c r="K19" s="6" t="s">
        <v>289</v>
      </c>
      <c r="L19" s="6"/>
      <c r="M19" s="6"/>
      <c r="N19" s="49" t="str">
        <f>IF(GETPIVOTDATA(" Shares",A21)=0,"N/A",(GETPIVOTDATA(" BEcap",A21)-GETPIVOTDATA(" NetPrem",A21))/GETPIVOTDATA(" Shares",A21))</f>
        <v>N/A</v>
      </c>
    </row>
    <row r="20" spans="1:17" x14ac:dyDescent="0.25">
      <c r="K20" s="6" t="s">
        <v>292</v>
      </c>
      <c r="L20" s="6"/>
      <c r="M20" s="6"/>
      <c r="N20" s="49">
        <f>GETPIVOTDATA(" OpenCap",A21)</f>
        <v>0</v>
      </c>
    </row>
    <row r="21" spans="1:17" x14ac:dyDescent="0.25">
      <c r="A21" s="29" t="s">
        <v>22</v>
      </c>
      <c r="B21" s="29" t="s">
        <v>26</v>
      </c>
      <c r="C21" s="29" t="s">
        <v>28</v>
      </c>
      <c r="D21" s="29" t="s">
        <v>52</v>
      </c>
      <c r="E21" s="29" t="s">
        <v>56</v>
      </c>
      <c r="F21" s="29" t="s">
        <v>46</v>
      </c>
      <c r="G21" s="29" t="s">
        <v>48</v>
      </c>
      <c r="H21" s="29" t="s">
        <v>50</v>
      </c>
      <c r="I21" s="29" t="s">
        <v>75</v>
      </c>
      <c r="J21" s="48" t="s">
        <v>293</v>
      </c>
      <c r="K21" t="s">
        <v>294</v>
      </c>
      <c r="L21" t="s">
        <v>295</v>
      </c>
      <c r="M21" t="s">
        <v>296</v>
      </c>
      <c r="N21" t="s">
        <v>297</v>
      </c>
    </row>
    <row r="22" spans="1:17" x14ac:dyDescent="0.25">
      <c r="A22" t="s">
        <v>201</v>
      </c>
      <c r="B22">
        <v>1</v>
      </c>
      <c r="C22" t="s">
        <v>30</v>
      </c>
      <c r="D22">
        <v>36</v>
      </c>
      <c r="E22">
        <v>2</v>
      </c>
      <c r="F22" s="2">
        <v>44279</v>
      </c>
      <c r="G22" s="2">
        <v>44291</v>
      </c>
      <c r="H22" s="2">
        <v>44302</v>
      </c>
      <c r="I22" s="11">
        <v>12</v>
      </c>
      <c r="J22" s="48">
        <v>110.67</v>
      </c>
      <c r="K22">
        <v>86400</v>
      </c>
      <c r="L22">
        <v>0</v>
      </c>
      <c r="M22">
        <v>0</v>
      </c>
      <c r="N22">
        <v>0</v>
      </c>
    </row>
    <row r="23" spans="1:17" x14ac:dyDescent="0.25">
      <c r="A23" t="s">
        <v>203</v>
      </c>
      <c r="B23">
        <v>2</v>
      </c>
      <c r="C23" t="s">
        <v>30</v>
      </c>
      <c r="D23">
        <v>36</v>
      </c>
      <c r="E23">
        <v>2</v>
      </c>
      <c r="F23" s="2">
        <v>44291</v>
      </c>
      <c r="G23" s="2">
        <v>44291</v>
      </c>
      <c r="H23" s="2">
        <v>44302</v>
      </c>
      <c r="I23" s="11">
        <v>1</v>
      </c>
      <c r="J23" s="48">
        <v>-19.329999999999998</v>
      </c>
      <c r="K23">
        <v>7200</v>
      </c>
      <c r="L23">
        <v>0</v>
      </c>
      <c r="M23">
        <v>0</v>
      </c>
      <c r="N23">
        <v>0</v>
      </c>
    </row>
    <row r="24" spans="1:17" x14ac:dyDescent="0.25">
      <c r="A24" t="s">
        <v>284</v>
      </c>
      <c r="J24" s="48">
        <v>91.34</v>
      </c>
      <c r="K24">
        <v>93600</v>
      </c>
      <c r="L24">
        <v>0</v>
      </c>
      <c r="M24">
        <v>0</v>
      </c>
      <c r="N24">
        <v>0</v>
      </c>
    </row>
    <row r="27" spans="1:17" x14ac:dyDescent="0.25">
      <c r="K27" s="6" t="s">
        <v>287</v>
      </c>
      <c r="L27" s="6"/>
      <c r="M27" s="6"/>
      <c r="N27" s="7">
        <f>365*GETPIVOTDATA(" NetPrem",$A30)/GETPIVOTDATA(" CapDays",A30)</f>
        <v>1.2088223684210526</v>
      </c>
    </row>
    <row r="28" spans="1:17" x14ac:dyDescent="0.25">
      <c r="A28" t="s">
        <v>24</v>
      </c>
      <c r="B28" s="5">
        <v>3</v>
      </c>
      <c r="K28" s="6" t="s">
        <v>289</v>
      </c>
      <c r="L28" s="6"/>
      <c r="M28" s="6"/>
      <c r="N28" s="49" t="str">
        <f>IF(GETPIVOTDATA(" Shares",A30)=0,"N/A",(GETPIVOTDATA(" BEcap",A30)-GETPIVOTDATA(" NetPrem",A30))/GETPIVOTDATA(" Shares",A30))</f>
        <v>N/A</v>
      </c>
      <c r="Q28" s="11"/>
    </row>
    <row r="29" spans="1:17" x14ac:dyDescent="0.25">
      <c r="K29" s="6" t="s">
        <v>292</v>
      </c>
      <c r="L29" s="6"/>
      <c r="M29" s="6"/>
      <c r="N29" s="49">
        <f>GETPIVOTDATA(" OpenCap",A30)</f>
        <v>0</v>
      </c>
    </row>
    <row r="30" spans="1:17" x14ac:dyDescent="0.25">
      <c r="A30" s="29" t="s">
        <v>22</v>
      </c>
      <c r="B30" s="29" t="s">
        <v>26</v>
      </c>
      <c r="C30" s="29" t="s">
        <v>28</v>
      </c>
      <c r="D30" s="29" t="s">
        <v>52</v>
      </c>
      <c r="E30" s="29" t="s">
        <v>56</v>
      </c>
      <c r="F30" s="29" t="s">
        <v>46</v>
      </c>
      <c r="G30" s="29" t="s">
        <v>48</v>
      </c>
      <c r="H30" s="29" t="s">
        <v>50</v>
      </c>
      <c r="I30" s="29" t="s">
        <v>75</v>
      </c>
      <c r="J30" s="48" t="s">
        <v>293</v>
      </c>
      <c r="K30" t="s">
        <v>294</v>
      </c>
      <c r="L30" t="s">
        <v>295</v>
      </c>
      <c r="M30" t="s">
        <v>296</v>
      </c>
      <c r="N30" t="s">
        <v>297</v>
      </c>
    </row>
    <row r="31" spans="1:17" x14ac:dyDescent="0.25">
      <c r="A31" t="s">
        <v>204</v>
      </c>
      <c r="B31">
        <v>1</v>
      </c>
      <c r="C31" t="s">
        <v>30</v>
      </c>
      <c r="D31">
        <v>24</v>
      </c>
      <c r="E31">
        <v>2</v>
      </c>
      <c r="F31" s="2">
        <v>44284</v>
      </c>
      <c r="G31" s="2">
        <v>44287</v>
      </c>
      <c r="H31" s="2">
        <v>44302</v>
      </c>
      <c r="I31" s="11">
        <v>3</v>
      </c>
      <c r="J31" s="48">
        <v>166.67</v>
      </c>
      <c r="K31">
        <v>14400</v>
      </c>
      <c r="L31">
        <v>0</v>
      </c>
      <c r="M31">
        <v>0</v>
      </c>
      <c r="N31">
        <v>0</v>
      </c>
    </row>
    <row r="32" spans="1:17" x14ac:dyDescent="0.25">
      <c r="A32" t="s">
        <v>205</v>
      </c>
      <c r="B32">
        <v>2</v>
      </c>
      <c r="C32" t="s">
        <v>30</v>
      </c>
      <c r="D32">
        <v>24</v>
      </c>
      <c r="E32">
        <v>10</v>
      </c>
      <c r="F32" s="2">
        <v>44285</v>
      </c>
      <c r="G32" s="2">
        <v>44287</v>
      </c>
      <c r="H32" s="2">
        <v>44302</v>
      </c>
      <c r="I32" s="11">
        <v>2</v>
      </c>
      <c r="J32" s="48">
        <v>563.34</v>
      </c>
      <c r="K32">
        <v>48000</v>
      </c>
      <c r="L32">
        <v>0</v>
      </c>
      <c r="M32">
        <v>0</v>
      </c>
      <c r="N32">
        <v>0</v>
      </c>
    </row>
    <row r="33" spans="1:14" x14ac:dyDescent="0.25">
      <c r="A33" t="s">
        <v>206</v>
      </c>
      <c r="B33">
        <v>3</v>
      </c>
      <c r="C33" t="s">
        <v>30</v>
      </c>
      <c r="D33">
        <v>24</v>
      </c>
      <c r="E33">
        <v>12</v>
      </c>
      <c r="F33" s="2">
        <v>44287</v>
      </c>
      <c r="G33" s="2">
        <v>44287</v>
      </c>
      <c r="H33" s="2">
        <v>44302</v>
      </c>
      <c r="I33" s="11">
        <v>1</v>
      </c>
      <c r="J33" s="48">
        <v>-427.97</v>
      </c>
      <c r="K33">
        <v>28800</v>
      </c>
      <c r="L33">
        <v>0</v>
      </c>
      <c r="M33">
        <v>0</v>
      </c>
      <c r="N33">
        <v>0</v>
      </c>
    </row>
    <row r="34" spans="1:14" x14ac:dyDescent="0.25">
      <c r="A34" t="s">
        <v>284</v>
      </c>
      <c r="J34" s="48">
        <v>302.04000000000002</v>
      </c>
      <c r="K34">
        <v>91200</v>
      </c>
      <c r="L34">
        <v>0</v>
      </c>
      <c r="M34">
        <v>0</v>
      </c>
      <c r="N34">
        <v>0</v>
      </c>
    </row>
    <row r="37" spans="1:14" x14ac:dyDescent="0.25">
      <c r="K37" s="6" t="s">
        <v>287</v>
      </c>
      <c r="L37" s="6"/>
      <c r="M37" s="6"/>
      <c r="N37" s="7">
        <f>365*GETPIVOTDATA(" NetPrem",$A40)/GETPIVOTDATA(" CapDays",A40)</f>
        <v>0.2480590128755365</v>
      </c>
    </row>
    <row r="38" spans="1:14" x14ac:dyDescent="0.25">
      <c r="A38" t="s">
        <v>24</v>
      </c>
      <c r="B38" s="5">
        <v>4</v>
      </c>
      <c r="K38" s="6" t="s">
        <v>289</v>
      </c>
      <c r="L38" s="6"/>
      <c r="M38" s="6"/>
      <c r="N38" s="49" t="str">
        <f>IF(GETPIVOTDATA(" Shares",A40)=0,"N/A",(GETPIVOTDATA(" BEcap",A40)-GETPIVOTDATA(" NetPrem",A40))/GETPIVOTDATA(" Shares",A40))</f>
        <v>N/A</v>
      </c>
    </row>
    <row r="39" spans="1:14" x14ac:dyDescent="0.25">
      <c r="K39" s="6" t="s">
        <v>292</v>
      </c>
      <c r="L39" s="6"/>
      <c r="M39" s="6"/>
      <c r="N39" s="49">
        <f>GETPIVOTDATA(" OpenCap",A40)</f>
        <v>0</v>
      </c>
    </row>
    <row r="40" spans="1:14" x14ac:dyDescent="0.25">
      <c r="A40" s="29" t="s">
        <v>22</v>
      </c>
      <c r="B40" s="29" t="s">
        <v>26</v>
      </c>
      <c r="C40" s="29" t="s">
        <v>28</v>
      </c>
      <c r="D40" s="29" t="s">
        <v>52</v>
      </c>
      <c r="E40" s="29" t="s">
        <v>56</v>
      </c>
      <c r="F40" s="29" t="s">
        <v>46</v>
      </c>
      <c r="G40" s="29" t="s">
        <v>48</v>
      </c>
      <c r="H40" s="29" t="s">
        <v>50</v>
      </c>
      <c r="I40" s="29" t="s">
        <v>75</v>
      </c>
      <c r="J40" s="48" t="s">
        <v>293</v>
      </c>
      <c r="K40" t="s">
        <v>294</v>
      </c>
      <c r="L40" t="s">
        <v>295</v>
      </c>
      <c r="M40" t="s">
        <v>296</v>
      </c>
      <c r="N40" t="s">
        <v>297</v>
      </c>
    </row>
    <row r="41" spans="1:14" x14ac:dyDescent="0.25">
      <c r="A41" t="s">
        <v>207</v>
      </c>
      <c r="B41">
        <v>1</v>
      </c>
      <c r="C41" t="s">
        <v>30</v>
      </c>
      <c r="D41">
        <v>42</v>
      </c>
      <c r="E41">
        <v>2</v>
      </c>
      <c r="F41" s="2">
        <v>44287</v>
      </c>
      <c r="G41" s="2">
        <v>44292</v>
      </c>
      <c r="H41" s="2">
        <v>44295</v>
      </c>
      <c r="I41" s="11">
        <v>5</v>
      </c>
      <c r="J41" s="48">
        <v>96.67</v>
      </c>
      <c r="K41">
        <v>42000</v>
      </c>
      <c r="L41">
        <v>0</v>
      </c>
      <c r="M41">
        <v>0</v>
      </c>
      <c r="N41">
        <v>0</v>
      </c>
    </row>
    <row r="42" spans="1:14" x14ac:dyDescent="0.25">
      <c r="A42" t="s">
        <v>208</v>
      </c>
      <c r="B42">
        <v>2</v>
      </c>
      <c r="C42" t="s">
        <v>30</v>
      </c>
      <c r="D42">
        <v>42</v>
      </c>
      <c r="E42">
        <v>2</v>
      </c>
      <c r="F42" s="2">
        <v>44292</v>
      </c>
      <c r="G42" s="2">
        <v>44292</v>
      </c>
      <c r="H42" s="2">
        <v>44295</v>
      </c>
      <c r="I42" s="11">
        <v>1</v>
      </c>
      <c r="J42" s="48">
        <v>-181.33</v>
      </c>
      <c r="K42">
        <v>8400</v>
      </c>
      <c r="L42">
        <v>0</v>
      </c>
      <c r="M42">
        <v>0</v>
      </c>
      <c r="N42">
        <v>0</v>
      </c>
    </row>
    <row r="43" spans="1:14" x14ac:dyDescent="0.25">
      <c r="A43" t="s">
        <v>210</v>
      </c>
      <c r="B43">
        <v>3</v>
      </c>
      <c r="C43" t="s">
        <v>30</v>
      </c>
      <c r="D43">
        <v>40</v>
      </c>
      <c r="E43">
        <v>2</v>
      </c>
      <c r="F43" s="2">
        <v>44292</v>
      </c>
      <c r="G43" s="2">
        <v>44308</v>
      </c>
      <c r="H43" s="2">
        <v>44309</v>
      </c>
      <c r="I43" s="11">
        <v>16</v>
      </c>
      <c r="J43" s="48">
        <v>240.67</v>
      </c>
      <c r="K43">
        <v>128000</v>
      </c>
      <c r="L43">
        <v>0</v>
      </c>
      <c r="M43">
        <v>0</v>
      </c>
      <c r="N43">
        <v>0</v>
      </c>
    </row>
    <row r="44" spans="1:14" x14ac:dyDescent="0.25">
      <c r="A44" t="s">
        <v>209</v>
      </c>
      <c r="B44">
        <v>3</v>
      </c>
      <c r="C44" t="s">
        <v>30</v>
      </c>
      <c r="D44">
        <v>40</v>
      </c>
      <c r="E44">
        <v>2</v>
      </c>
      <c r="F44" s="2">
        <v>44308</v>
      </c>
      <c r="G44" s="2">
        <v>44308</v>
      </c>
      <c r="H44" s="2">
        <v>44309</v>
      </c>
      <c r="I44" s="11">
        <v>1</v>
      </c>
      <c r="J44" s="48">
        <v>-29.33</v>
      </c>
      <c r="K44">
        <v>8000</v>
      </c>
      <c r="L44">
        <v>0</v>
      </c>
      <c r="M44">
        <v>0</v>
      </c>
      <c r="N44">
        <v>0</v>
      </c>
    </row>
    <row r="45" spans="1:14" x14ac:dyDescent="0.25">
      <c r="A45" t="s">
        <v>284</v>
      </c>
      <c r="J45" s="48">
        <v>126.68</v>
      </c>
      <c r="K45">
        <v>186400</v>
      </c>
      <c r="L45">
        <v>0</v>
      </c>
      <c r="M45">
        <v>0</v>
      </c>
      <c r="N45">
        <v>0</v>
      </c>
    </row>
    <row r="48" spans="1:14" x14ac:dyDescent="0.25">
      <c r="K48" s="6" t="s">
        <v>287</v>
      </c>
      <c r="L48" s="6"/>
      <c r="M48" s="6"/>
      <c r="N48" s="7">
        <f>365*GETPIVOTDATA(" NetPrem",$A51)/GETPIVOTDATA(" CapDays",A51)</f>
        <v>0.31531326219512196</v>
      </c>
    </row>
    <row r="49" spans="1:14" x14ac:dyDescent="0.25">
      <c r="A49" t="s">
        <v>24</v>
      </c>
      <c r="B49" s="5">
        <v>5</v>
      </c>
      <c r="K49" s="6" t="s">
        <v>289</v>
      </c>
      <c r="L49" s="6"/>
      <c r="M49" s="6"/>
      <c r="N49" s="49" t="str">
        <f>IF(GETPIVOTDATA(" Shares",A51)=0,"N/A",(GETPIVOTDATA(" BEcap",A51)-GETPIVOTDATA(" NetPrem",A51))/GETPIVOTDATA(" Shares",A51))</f>
        <v>N/A</v>
      </c>
    </row>
    <row r="50" spans="1:14" x14ac:dyDescent="0.25">
      <c r="K50" s="6" t="s">
        <v>292</v>
      </c>
      <c r="L50" s="6"/>
      <c r="M50" s="6"/>
      <c r="N50" s="49">
        <f>GETPIVOTDATA(" OpenCap",A51)</f>
        <v>0</v>
      </c>
    </row>
    <row r="51" spans="1:14" x14ac:dyDescent="0.25">
      <c r="A51" s="29" t="s">
        <v>22</v>
      </c>
      <c r="B51" s="29" t="s">
        <v>26</v>
      </c>
      <c r="C51" s="29" t="s">
        <v>28</v>
      </c>
      <c r="D51" s="29" t="s">
        <v>52</v>
      </c>
      <c r="E51" s="29" t="s">
        <v>56</v>
      </c>
      <c r="F51" s="29" t="s">
        <v>46</v>
      </c>
      <c r="G51" s="29" t="s">
        <v>48</v>
      </c>
      <c r="H51" s="29" t="s">
        <v>50</v>
      </c>
      <c r="I51" s="29" t="s">
        <v>75</v>
      </c>
      <c r="J51" s="48" t="s">
        <v>293</v>
      </c>
      <c r="K51" t="s">
        <v>294</v>
      </c>
      <c r="L51" t="s">
        <v>295</v>
      </c>
      <c r="M51" t="s">
        <v>296</v>
      </c>
      <c r="N51" t="s">
        <v>297</v>
      </c>
    </row>
    <row r="52" spans="1:14" x14ac:dyDescent="0.25">
      <c r="A52" t="s">
        <v>211</v>
      </c>
      <c r="B52">
        <v>1</v>
      </c>
      <c r="C52" t="s">
        <v>30</v>
      </c>
      <c r="D52">
        <v>18</v>
      </c>
      <c r="E52">
        <v>4</v>
      </c>
      <c r="F52" s="2">
        <v>44291</v>
      </c>
      <c r="G52" s="2">
        <v>44295</v>
      </c>
      <c r="H52" s="2">
        <v>44302</v>
      </c>
      <c r="I52" s="11">
        <v>4</v>
      </c>
      <c r="J52" s="48">
        <v>289.33</v>
      </c>
      <c r="K52">
        <v>28800</v>
      </c>
      <c r="L52">
        <v>0</v>
      </c>
      <c r="M52">
        <v>0</v>
      </c>
      <c r="N52">
        <v>0</v>
      </c>
    </row>
    <row r="53" spans="1:14" x14ac:dyDescent="0.25">
      <c r="A53" t="s">
        <v>213</v>
      </c>
      <c r="B53">
        <v>2</v>
      </c>
      <c r="C53" t="s">
        <v>30</v>
      </c>
      <c r="D53">
        <v>18</v>
      </c>
      <c r="E53">
        <v>4</v>
      </c>
      <c r="F53" s="2">
        <v>44295</v>
      </c>
      <c r="G53" s="2">
        <v>44295</v>
      </c>
      <c r="H53" s="2">
        <v>44302</v>
      </c>
      <c r="I53" s="11">
        <v>1</v>
      </c>
      <c r="J53" s="48">
        <v>-370.66</v>
      </c>
      <c r="K53">
        <v>7200</v>
      </c>
      <c r="L53">
        <v>0</v>
      </c>
      <c r="M53">
        <v>0</v>
      </c>
      <c r="N53">
        <v>0</v>
      </c>
    </row>
    <row r="54" spans="1:14" x14ac:dyDescent="0.25">
      <c r="A54" t="s">
        <v>214</v>
      </c>
      <c r="B54">
        <v>3</v>
      </c>
      <c r="C54" t="s">
        <v>30</v>
      </c>
      <c r="D54">
        <v>17</v>
      </c>
      <c r="E54">
        <v>4</v>
      </c>
      <c r="F54" s="2">
        <v>44295</v>
      </c>
      <c r="G54" s="2">
        <v>44308</v>
      </c>
      <c r="H54" s="2">
        <v>44309</v>
      </c>
      <c r="I54" s="11">
        <v>13</v>
      </c>
      <c r="J54" s="48">
        <v>225.33</v>
      </c>
      <c r="K54">
        <v>88400</v>
      </c>
      <c r="L54">
        <v>0</v>
      </c>
      <c r="M54">
        <v>0</v>
      </c>
      <c r="N54">
        <v>0</v>
      </c>
    </row>
    <row r="55" spans="1:14" x14ac:dyDescent="0.25">
      <c r="A55" t="s">
        <v>215</v>
      </c>
      <c r="B55">
        <v>4</v>
      </c>
      <c r="C55" t="s">
        <v>30</v>
      </c>
      <c r="D55">
        <v>17</v>
      </c>
      <c r="E55">
        <v>4</v>
      </c>
      <c r="F55" s="2">
        <v>44308</v>
      </c>
      <c r="G55" s="2">
        <v>44308</v>
      </c>
      <c r="H55" s="2">
        <v>44309</v>
      </c>
      <c r="I55" s="11">
        <v>1</v>
      </c>
      <c r="J55" s="48">
        <v>-30.66</v>
      </c>
      <c r="K55">
        <v>6800</v>
      </c>
      <c r="L55">
        <v>0</v>
      </c>
      <c r="M55">
        <v>0</v>
      </c>
      <c r="N55">
        <v>0</v>
      </c>
    </row>
    <row r="56" spans="1:14" x14ac:dyDescent="0.25">
      <c r="A56" t="s">
        <v>284</v>
      </c>
      <c r="J56" s="48">
        <v>113.34</v>
      </c>
      <c r="K56">
        <v>131200</v>
      </c>
      <c r="L56">
        <v>0</v>
      </c>
      <c r="M56">
        <v>0</v>
      </c>
      <c r="N56">
        <v>0</v>
      </c>
    </row>
    <row r="59" spans="1:14" x14ac:dyDescent="0.25">
      <c r="K59" s="6" t="s">
        <v>287</v>
      </c>
      <c r="L59" s="6"/>
      <c r="M59" s="6"/>
      <c r="N59" s="7">
        <f>365*GETPIVOTDATA(" NetPrem",$A62)/GETPIVOTDATA(" CapDays",A62)</f>
        <v>0.59690379891927281</v>
      </c>
    </row>
    <row r="60" spans="1:14" x14ac:dyDescent="0.25">
      <c r="A60" t="s">
        <v>24</v>
      </c>
      <c r="B60" s="5">
        <v>6</v>
      </c>
      <c r="K60" s="6" t="s">
        <v>289</v>
      </c>
      <c r="L60" s="6"/>
      <c r="M60" s="6"/>
      <c r="N60" s="49">
        <f>IF(GETPIVOTDATA(" Shares",A62)=0,"N/A",(GETPIVOTDATA(" BEcap",A62)-GETPIVOTDATA(" NetPrem",A62))/GETPIVOTDATA(" Shares",A62))</f>
        <v>37.006450000000001</v>
      </c>
    </row>
    <row r="61" spans="1:14" x14ac:dyDescent="0.25">
      <c r="K61" s="6" t="s">
        <v>292</v>
      </c>
      <c r="L61" s="6"/>
      <c r="M61" s="6"/>
      <c r="N61" s="49">
        <f>GETPIVOTDATA(" OpenCap",A62)</f>
        <v>8400</v>
      </c>
    </row>
    <row r="62" spans="1:14" x14ac:dyDescent="0.25">
      <c r="A62" s="29" t="s">
        <v>22</v>
      </c>
      <c r="B62" s="29" t="s">
        <v>26</v>
      </c>
      <c r="C62" s="29" t="s">
        <v>28</v>
      </c>
      <c r="D62" s="29" t="s">
        <v>52</v>
      </c>
      <c r="E62" s="29" t="s">
        <v>56</v>
      </c>
      <c r="F62" s="29" t="s">
        <v>46</v>
      </c>
      <c r="G62" s="29" t="s">
        <v>48</v>
      </c>
      <c r="H62" s="29" t="s">
        <v>50</v>
      </c>
      <c r="I62" s="29" t="s">
        <v>75</v>
      </c>
      <c r="J62" s="48" t="s">
        <v>293</v>
      </c>
      <c r="K62" t="s">
        <v>294</v>
      </c>
      <c r="L62" t="s">
        <v>295</v>
      </c>
      <c r="M62" t="s">
        <v>296</v>
      </c>
      <c r="N62" t="s">
        <v>297</v>
      </c>
    </row>
    <row r="63" spans="1:14" x14ac:dyDescent="0.25">
      <c r="A63" t="s">
        <v>216</v>
      </c>
      <c r="B63">
        <v>1</v>
      </c>
      <c r="C63" t="s">
        <v>30</v>
      </c>
      <c r="D63">
        <v>45</v>
      </c>
      <c r="E63">
        <v>2</v>
      </c>
      <c r="F63" s="2">
        <v>44291</v>
      </c>
      <c r="G63" s="2">
        <v>44301</v>
      </c>
      <c r="H63" s="2">
        <v>44302</v>
      </c>
      <c r="I63" s="11">
        <v>10</v>
      </c>
      <c r="J63" s="48">
        <v>224.67</v>
      </c>
      <c r="K63">
        <v>90000</v>
      </c>
      <c r="L63">
        <v>0</v>
      </c>
      <c r="M63">
        <v>0</v>
      </c>
      <c r="N63">
        <v>0</v>
      </c>
    </row>
    <row r="64" spans="1:14" x14ac:dyDescent="0.25">
      <c r="A64" t="s">
        <v>217</v>
      </c>
      <c r="B64">
        <v>2</v>
      </c>
      <c r="C64" t="s">
        <v>30</v>
      </c>
      <c r="D64">
        <v>45</v>
      </c>
      <c r="E64">
        <v>2</v>
      </c>
      <c r="F64" s="2">
        <v>44301</v>
      </c>
      <c r="G64" s="2">
        <v>44301</v>
      </c>
      <c r="H64" s="2">
        <v>44302</v>
      </c>
      <c r="I64" s="11">
        <v>1</v>
      </c>
      <c r="J64" s="48">
        <v>-99.33</v>
      </c>
      <c r="K64">
        <v>9000</v>
      </c>
      <c r="L64">
        <v>0</v>
      </c>
      <c r="M64">
        <v>0</v>
      </c>
      <c r="N64">
        <v>0</v>
      </c>
    </row>
    <row r="65" spans="1:16" x14ac:dyDescent="0.25">
      <c r="A65" t="s">
        <v>218</v>
      </c>
      <c r="B65">
        <v>3</v>
      </c>
      <c r="C65" t="s">
        <v>30</v>
      </c>
      <c r="D65">
        <v>45</v>
      </c>
      <c r="E65">
        <v>2</v>
      </c>
      <c r="F65" s="2">
        <v>44301</v>
      </c>
      <c r="G65" s="2">
        <v>44316</v>
      </c>
      <c r="H65" s="2">
        <v>44316</v>
      </c>
      <c r="I65" s="11">
        <v>15</v>
      </c>
      <c r="J65" s="48">
        <v>384.67</v>
      </c>
      <c r="K65">
        <v>135000</v>
      </c>
      <c r="L65">
        <v>0</v>
      </c>
      <c r="M65">
        <v>0</v>
      </c>
      <c r="N65">
        <v>0</v>
      </c>
    </row>
    <row r="66" spans="1:16" x14ac:dyDescent="0.25">
      <c r="A66" t="s">
        <v>219</v>
      </c>
      <c r="B66">
        <v>4</v>
      </c>
      <c r="C66" t="s">
        <v>30</v>
      </c>
      <c r="D66">
        <v>45</v>
      </c>
      <c r="E66">
        <v>2</v>
      </c>
      <c r="F66" s="2">
        <v>44316</v>
      </c>
      <c r="G66" s="2">
        <v>44316</v>
      </c>
      <c r="H66" s="2">
        <v>44316</v>
      </c>
      <c r="I66" s="11">
        <v>1</v>
      </c>
      <c r="J66" s="48">
        <v>-229.33</v>
      </c>
      <c r="K66">
        <v>9000</v>
      </c>
      <c r="L66">
        <v>0</v>
      </c>
      <c r="M66">
        <v>0</v>
      </c>
      <c r="N66">
        <v>0</v>
      </c>
    </row>
    <row r="67" spans="1:16" x14ac:dyDescent="0.25">
      <c r="A67" t="s">
        <v>220</v>
      </c>
      <c r="B67">
        <v>5</v>
      </c>
      <c r="C67" t="s">
        <v>30</v>
      </c>
      <c r="D67">
        <v>44.5</v>
      </c>
      <c r="E67">
        <v>2</v>
      </c>
      <c r="F67" s="2">
        <v>44316</v>
      </c>
      <c r="G67" s="2">
        <v>44328</v>
      </c>
      <c r="H67" s="2">
        <v>44337</v>
      </c>
      <c r="I67" s="11">
        <v>12</v>
      </c>
      <c r="J67" s="48">
        <v>554.66999999999996</v>
      </c>
      <c r="K67">
        <v>106800</v>
      </c>
      <c r="L67">
        <v>0</v>
      </c>
      <c r="M67">
        <v>0</v>
      </c>
      <c r="N67">
        <v>0</v>
      </c>
    </row>
    <row r="68" spans="1:16" x14ac:dyDescent="0.25">
      <c r="A68" t="s">
        <v>221</v>
      </c>
      <c r="B68">
        <v>6</v>
      </c>
      <c r="C68" t="s">
        <v>30</v>
      </c>
      <c r="D68">
        <v>44.5</v>
      </c>
      <c r="E68">
        <v>1</v>
      </c>
      <c r="F68" s="2">
        <v>44328</v>
      </c>
      <c r="G68" s="2">
        <v>44328</v>
      </c>
      <c r="H68" s="2">
        <v>44337</v>
      </c>
      <c r="I68" s="11">
        <v>1</v>
      </c>
      <c r="J68" s="48">
        <v>-347.66</v>
      </c>
      <c r="K68">
        <v>4450</v>
      </c>
      <c r="L68">
        <v>0</v>
      </c>
      <c r="M68">
        <v>0</v>
      </c>
      <c r="N68">
        <v>0</v>
      </c>
    </row>
    <row r="69" spans="1:16" x14ac:dyDescent="0.25">
      <c r="A69" t="s">
        <v>222</v>
      </c>
      <c r="B69">
        <v>7</v>
      </c>
      <c r="C69" t="s">
        <v>30</v>
      </c>
      <c r="D69">
        <v>42</v>
      </c>
      <c r="E69">
        <v>1</v>
      </c>
      <c r="F69" s="2">
        <v>44328</v>
      </c>
      <c r="G69" t="s">
        <v>281</v>
      </c>
      <c r="H69" s="2">
        <v>44358</v>
      </c>
      <c r="I69" s="11">
        <v>30</v>
      </c>
      <c r="J69" s="48">
        <v>486.34</v>
      </c>
      <c r="K69">
        <v>126000</v>
      </c>
      <c r="L69">
        <v>4200</v>
      </c>
      <c r="M69">
        <v>4200</v>
      </c>
      <c r="N69">
        <v>100</v>
      </c>
    </row>
    <row r="70" spans="1:16" x14ac:dyDescent="0.25">
      <c r="A70" t="s">
        <v>223</v>
      </c>
      <c r="B70">
        <v>8</v>
      </c>
      <c r="C70" t="s">
        <v>30</v>
      </c>
      <c r="D70">
        <v>44.5</v>
      </c>
      <c r="E70">
        <v>1</v>
      </c>
      <c r="F70" s="2">
        <v>44328</v>
      </c>
      <c r="G70" s="2">
        <v>44328</v>
      </c>
      <c r="H70" s="2">
        <v>44337</v>
      </c>
      <c r="I70" s="11">
        <v>1</v>
      </c>
      <c r="J70" s="48">
        <v>-440.66</v>
      </c>
      <c r="K70">
        <v>4450</v>
      </c>
      <c r="L70">
        <v>0</v>
      </c>
      <c r="M70">
        <v>0</v>
      </c>
      <c r="N70">
        <v>0</v>
      </c>
    </row>
    <row r="71" spans="1:16" x14ac:dyDescent="0.25">
      <c r="A71" t="s">
        <v>224</v>
      </c>
      <c r="B71">
        <v>9</v>
      </c>
      <c r="C71" t="s">
        <v>30</v>
      </c>
      <c r="D71">
        <v>42</v>
      </c>
      <c r="E71">
        <v>1</v>
      </c>
      <c r="F71" s="2">
        <v>44328</v>
      </c>
      <c r="G71" t="s">
        <v>281</v>
      </c>
      <c r="H71" s="2">
        <v>44358</v>
      </c>
      <c r="I71" s="11">
        <v>30</v>
      </c>
      <c r="J71" s="48">
        <v>465.34</v>
      </c>
      <c r="K71">
        <v>126000</v>
      </c>
      <c r="L71">
        <v>4200</v>
      </c>
      <c r="M71">
        <v>4200</v>
      </c>
      <c r="N71">
        <v>100</v>
      </c>
    </row>
    <row r="72" spans="1:16" x14ac:dyDescent="0.25">
      <c r="A72" t="s">
        <v>284</v>
      </c>
      <c r="J72" s="48">
        <v>998.70999999999981</v>
      </c>
      <c r="K72">
        <v>610700</v>
      </c>
      <c r="L72">
        <v>8400</v>
      </c>
      <c r="M72">
        <v>8400</v>
      </c>
      <c r="N72">
        <v>200</v>
      </c>
    </row>
    <row r="75" spans="1:16" x14ac:dyDescent="0.25">
      <c r="K75" s="6" t="s">
        <v>287</v>
      </c>
      <c r="L75" s="6"/>
      <c r="M75" s="6"/>
      <c r="N75" s="7">
        <f>365*GETPIVOTDATA(" NetPrem",$A78)/GETPIVOTDATA(" CapDays",A78)</f>
        <v>0.47363964285714277</v>
      </c>
    </row>
    <row r="76" spans="1:16" x14ac:dyDescent="0.25">
      <c r="A76" t="s">
        <v>24</v>
      </c>
      <c r="B76" s="5">
        <v>7</v>
      </c>
      <c r="K76" s="6" t="s">
        <v>289</v>
      </c>
      <c r="L76" s="6"/>
      <c r="M76" s="6"/>
      <c r="N76" s="49" t="str">
        <f>IF(GETPIVOTDATA(" Shares",A78)=0,"N/A",(GETPIVOTDATA(" BEcap",A78)-GETPIVOTDATA(" NetPrem",A78))/GETPIVOTDATA(" Shares",A78))</f>
        <v>N/A</v>
      </c>
    </row>
    <row r="77" spans="1:16" x14ac:dyDescent="0.25">
      <c r="K77" s="6" t="s">
        <v>292</v>
      </c>
      <c r="L77" s="6"/>
      <c r="M77" s="6"/>
      <c r="N77" s="49">
        <f>GETPIVOTDATA(" OpenCap",A78)</f>
        <v>0</v>
      </c>
    </row>
    <row r="78" spans="1:16" x14ac:dyDescent="0.25">
      <c r="A78" s="29" t="s">
        <v>22</v>
      </c>
      <c r="B78" s="29" t="s">
        <v>26</v>
      </c>
      <c r="C78" s="29" t="s">
        <v>28</v>
      </c>
      <c r="D78" s="29" t="s">
        <v>52</v>
      </c>
      <c r="E78" s="29" t="s">
        <v>56</v>
      </c>
      <c r="F78" s="29" t="s">
        <v>46</v>
      </c>
      <c r="G78" s="29" t="s">
        <v>48</v>
      </c>
      <c r="H78" s="29" t="s">
        <v>50</v>
      </c>
      <c r="I78" s="29" t="s">
        <v>75</v>
      </c>
      <c r="J78" s="48" t="s">
        <v>293</v>
      </c>
      <c r="K78" t="s">
        <v>294</v>
      </c>
      <c r="L78" t="s">
        <v>295</v>
      </c>
      <c r="M78" t="s">
        <v>296</v>
      </c>
      <c r="N78" t="s">
        <v>297</v>
      </c>
    </row>
    <row r="79" spans="1:16" x14ac:dyDescent="0.25">
      <c r="A79" t="s">
        <v>225</v>
      </c>
      <c r="B79">
        <v>1</v>
      </c>
      <c r="C79" t="s">
        <v>30</v>
      </c>
      <c r="D79">
        <v>28</v>
      </c>
      <c r="E79">
        <v>10</v>
      </c>
      <c r="F79" s="2">
        <v>44292</v>
      </c>
      <c r="G79" s="2">
        <v>44302</v>
      </c>
      <c r="H79" s="2">
        <v>44302</v>
      </c>
      <c r="I79" s="11">
        <v>10</v>
      </c>
      <c r="J79" s="48">
        <v>363.34</v>
      </c>
      <c r="K79">
        <v>280000</v>
      </c>
      <c r="L79">
        <v>0</v>
      </c>
      <c r="M79">
        <v>0</v>
      </c>
      <c r="N79">
        <v>0</v>
      </c>
      <c r="P79" s="1"/>
    </row>
    <row r="80" spans="1:16" x14ac:dyDescent="0.25">
      <c r="A80" t="s">
        <v>284</v>
      </c>
      <c r="J80" s="48">
        <v>363.34</v>
      </c>
      <c r="K80">
        <v>280000</v>
      </c>
      <c r="L80">
        <v>0</v>
      </c>
      <c r="M80">
        <v>0</v>
      </c>
      <c r="N80">
        <v>0</v>
      </c>
    </row>
    <row r="83" spans="1:16" x14ac:dyDescent="0.25">
      <c r="K83" s="6" t="s">
        <v>287</v>
      </c>
      <c r="L83" s="6"/>
      <c r="M83" s="6"/>
      <c r="N83" s="7">
        <f>365*GETPIVOTDATA(" NetPrem",$A86)/GETPIVOTDATA(" CapDays",A86)</f>
        <v>0.24059886201991465</v>
      </c>
    </row>
    <row r="84" spans="1:16" x14ac:dyDescent="0.25">
      <c r="A84" t="s">
        <v>24</v>
      </c>
      <c r="B84" s="5">
        <v>8</v>
      </c>
      <c r="K84" s="6" t="s">
        <v>289</v>
      </c>
      <c r="L84" s="6"/>
      <c r="M84" s="6"/>
      <c r="N84" s="49" t="str">
        <f>IF(GETPIVOTDATA(" Shares",A86)=0,"N/A",(GETPIVOTDATA(" BEcap",A86)-GETPIVOTDATA(" NetPrem",A86))/GETPIVOTDATA(" Shares",A86))</f>
        <v>N/A</v>
      </c>
    </row>
    <row r="85" spans="1:16" x14ac:dyDescent="0.25">
      <c r="K85" s="6" t="s">
        <v>292</v>
      </c>
      <c r="L85" s="6"/>
      <c r="M85" s="6"/>
      <c r="N85" s="49">
        <f>GETPIVOTDATA(" OpenCap",A86)</f>
        <v>0</v>
      </c>
    </row>
    <row r="86" spans="1:16" x14ac:dyDescent="0.25">
      <c r="A86" s="29" t="s">
        <v>22</v>
      </c>
      <c r="B86" s="29" t="s">
        <v>26</v>
      </c>
      <c r="C86" s="29" t="s">
        <v>28</v>
      </c>
      <c r="D86" s="29" t="s">
        <v>52</v>
      </c>
      <c r="E86" s="29" t="s">
        <v>56</v>
      </c>
      <c r="F86" s="29" t="s">
        <v>46</v>
      </c>
      <c r="G86" s="29" t="s">
        <v>48</v>
      </c>
      <c r="H86" s="29" t="s">
        <v>50</v>
      </c>
      <c r="I86" s="29" t="s">
        <v>75</v>
      </c>
      <c r="J86" s="48" t="s">
        <v>293</v>
      </c>
      <c r="K86" t="s">
        <v>294</v>
      </c>
      <c r="L86" t="s">
        <v>295</v>
      </c>
      <c r="M86" t="s">
        <v>296</v>
      </c>
      <c r="N86" t="s">
        <v>297</v>
      </c>
    </row>
    <row r="87" spans="1:16" x14ac:dyDescent="0.25">
      <c r="A87" t="s">
        <v>226</v>
      </c>
      <c r="B87">
        <v>1</v>
      </c>
      <c r="C87" t="s">
        <v>30</v>
      </c>
      <c r="D87">
        <v>22</v>
      </c>
      <c r="E87">
        <v>10</v>
      </c>
      <c r="F87" s="2">
        <v>44294</v>
      </c>
      <c r="G87" s="2">
        <v>44323</v>
      </c>
      <c r="H87" s="2">
        <v>44323</v>
      </c>
      <c r="I87" s="11">
        <v>29</v>
      </c>
      <c r="J87" s="48">
        <v>853.34</v>
      </c>
      <c r="K87">
        <v>638000</v>
      </c>
      <c r="L87">
        <v>0</v>
      </c>
      <c r="M87">
        <v>0</v>
      </c>
      <c r="N87">
        <v>0</v>
      </c>
      <c r="P87" s="1"/>
    </row>
    <row r="88" spans="1:16" x14ac:dyDescent="0.25">
      <c r="A88" t="s">
        <v>227</v>
      </c>
      <c r="B88">
        <v>2</v>
      </c>
      <c r="C88" t="s">
        <v>30</v>
      </c>
      <c r="D88">
        <v>22</v>
      </c>
      <c r="E88">
        <v>10</v>
      </c>
      <c r="F88" s="2">
        <v>44323</v>
      </c>
      <c r="G88" s="2">
        <v>44323</v>
      </c>
      <c r="H88" s="2">
        <v>44323</v>
      </c>
      <c r="I88" s="11">
        <v>1</v>
      </c>
      <c r="J88" s="48">
        <v>-616.64</v>
      </c>
      <c r="K88">
        <v>22000</v>
      </c>
      <c r="L88">
        <v>0</v>
      </c>
      <c r="M88">
        <v>0</v>
      </c>
      <c r="N88">
        <v>0</v>
      </c>
    </row>
    <row r="89" spans="1:16" x14ac:dyDescent="0.25">
      <c r="A89" t="s">
        <v>228</v>
      </c>
      <c r="B89">
        <v>3</v>
      </c>
      <c r="C89" t="s">
        <v>30</v>
      </c>
      <c r="D89">
        <v>21.5</v>
      </c>
      <c r="E89">
        <v>10</v>
      </c>
      <c r="F89" s="2">
        <v>44323</v>
      </c>
      <c r="G89" s="2">
        <v>44323</v>
      </c>
      <c r="H89" s="2">
        <v>44344</v>
      </c>
      <c r="I89" s="11">
        <v>1</v>
      </c>
      <c r="J89" s="48">
        <v>973.34</v>
      </c>
      <c r="K89">
        <v>21500</v>
      </c>
      <c r="L89">
        <v>0</v>
      </c>
      <c r="M89">
        <v>0</v>
      </c>
      <c r="N89">
        <v>0</v>
      </c>
    </row>
    <row r="90" spans="1:16" x14ac:dyDescent="0.25">
      <c r="A90" t="s">
        <v>229</v>
      </c>
      <c r="B90">
        <v>4</v>
      </c>
      <c r="C90" t="s">
        <v>30</v>
      </c>
      <c r="D90">
        <v>21.5</v>
      </c>
      <c r="E90">
        <v>10</v>
      </c>
      <c r="F90" s="2">
        <v>44323</v>
      </c>
      <c r="G90" s="2">
        <v>44323</v>
      </c>
      <c r="H90" s="2">
        <v>44344</v>
      </c>
      <c r="I90" s="11">
        <v>1</v>
      </c>
      <c r="J90" s="48">
        <v>-746.64</v>
      </c>
      <c r="K90">
        <v>21500</v>
      </c>
      <c r="L90">
        <v>0</v>
      </c>
      <c r="M90">
        <v>0</v>
      </c>
      <c r="N90">
        <v>0</v>
      </c>
    </row>
    <row r="91" spans="1:16" x14ac:dyDescent="0.25">
      <c r="A91" t="s">
        <v>284</v>
      </c>
      <c r="J91" s="48">
        <v>463.4</v>
      </c>
      <c r="K91">
        <v>703000</v>
      </c>
      <c r="L91">
        <v>0</v>
      </c>
      <c r="M91">
        <v>0</v>
      </c>
      <c r="N91">
        <v>0</v>
      </c>
    </row>
    <row r="93" spans="1:16" ht="16.5" customHeight="1" x14ac:dyDescent="0.25"/>
    <row r="95" spans="1:16" x14ac:dyDescent="0.25">
      <c r="K95" s="6" t="s">
        <v>287</v>
      </c>
      <c r="L95" s="6"/>
      <c r="M95" s="6"/>
      <c r="N95" s="7">
        <f>365*GETPIVOTDATA(" NetPrem",$A98)/GETPIVOTDATA(" CapDays",A98)</f>
        <v>0.18518451612903225</v>
      </c>
    </row>
    <row r="96" spans="1:16" x14ac:dyDescent="0.25">
      <c r="A96" t="s">
        <v>24</v>
      </c>
      <c r="B96" s="5">
        <v>9</v>
      </c>
      <c r="K96" s="6" t="s">
        <v>289</v>
      </c>
      <c r="L96" s="6"/>
      <c r="M96" s="6"/>
      <c r="N96" s="49" t="str">
        <f>IF(GETPIVOTDATA(" Shares",A98)=0,"N/A",(GETPIVOTDATA(" BEcap",A98)-GETPIVOTDATA(" NetPrem",A98))/GETPIVOTDATA(" Shares",A98))</f>
        <v>N/A</v>
      </c>
    </row>
    <row r="97" spans="1:16" x14ac:dyDescent="0.25">
      <c r="K97" s="6" t="s">
        <v>292</v>
      </c>
      <c r="L97" s="6"/>
      <c r="M97" s="6"/>
      <c r="N97" s="49">
        <f>GETPIVOTDATA(" OpenCap",A98)</f>
        <v>0</v>
      </c>
    </row>
    <row r="98" spans="1:16" x14ac:dyDescent="0.25">
      <c r="A98" s="29" t="s">
        <v>22</v>
      </c>
      <c r="B98" s="29" t="s">
        <v>26</v>
      </c>
      <c r="C98" s="29" t="s">
        <v>28</v>
      </c>
      <c r="D98" s="29" t="s">
        <v>52</v>
      </c>
      <c r="E98" s="29" t="s">
        <v>56</v>
      </c>
      <c r="F98" s="29" t="s">
        <v>46</v>
      </c>
      <c r="G98" s="29" t="s">
        <v>48</v>
      </c>
      <c r="H98" s="29" t="s">
        <v>50</v>
      </c>
      <c r="I98" s="29" t="s">
        <v>75</v>
      </c>
      <c r="J98" s="48" t="s">
        <v>293</v>
      </c>
      <c r="K98" t="s">
        <v>294</v>
      </c>
      <c r="L98" t="s">
        <v>295</v>
      </c>
      <c r="M98" t="s">
        <v>296</v>
      </c>
      <c r="N98" t="s">
        <v>297</v>
      </c>
    </row>
    <row r="99" spans="1:16" x14ac:dyDescent="0.25">
      <c r="A99" t="s">
        <v>230</v>
      </c>
      <c r="B99">
        <v>1</v>
      </c>
      <c r="C99" t="s">
        <v>30</v>
      </c>
      <c r="D99">
        <v>25</v>
      </c>
      <c r="E99">
        <v>10</v>
      </c>
      <c r="F99" s="2">
        <v>44294</v>
      </c>
      <c r="G99" s="2">
        <v>44322</v>
      </c>
      <c r="H99" s="2">
        <v>44323</v>
      </c>
      <c r="I99" s="11">
        <v>28</v>
      </c>
      <c r="J99" s="48">
        <v>433.34</v>
      </c>
      <c r="K99">
        <v>700000</v>
      </c>
      <c r="L99">
        <v>0</v>
      </c>
      <c r="M99">
        <v>0</v>
      </c>
      <c r="N99">
        <v>0</v>
      </c>
      <c r="P99" s="1"/>
    </row>
    <row r="100" spans="1:16" x14ac:dyDescent="0.25">
      <c r="A100" t="s">
        <v>231</v>
      </c>
      <c r="B100">
        <v>2</v>
      </c>
      <c r="C100" t="s">
        <v>30</v>
      </c>
      <c r="D100">
        <v>25</v>
      </c>
      <c r="E100">
        <v>10</v>
      </c>
      <c r="F100" s="2">
        <v>44319</v>
      </c>
      <c r="G100" s="2">
        <v>44322</v>
      </c>
      <c r="H100" s="2">
        <v>44323</v>
      </c>
      <c r="I100" s="11">
        <v>3</v>
      </c>
      <c r="J100" s="48">
        <v>-40.14</v>
      </c>
      <c r="K100">
        <v>75000</v>
      </c>
      <c r="L100">
        <v>0</v>
      </c>
      <c r="M100">
        <v>0</v>
      </c>
      <c r="N100">
        <v>0</v>
      </c>
    </row>
    <row r="101" spans="1:16" x14ac:dyDescent="0.25">
      <c r="A101" t="s">
        <v>284</v>
      </c>
      <c r="J101" s="48">
        <v>393.2</v>
      </c>
      <c r="K101">
        <v>775000</v>
      </c>
      <c r="L101">
        <v>0</v>
      </c>
      <c r="M101">
        <v>0</v>
      </c>
      <c r="N101">
        <v>0</v>
      </c>
    </row>
    <row r="107" spans="1:16" x14ac:dyDescent="0.25">
      <c r="K107" s="6" t="s">
        <v>287</v>
      </c>
      <c r="L107" s="6"/>
      <c r="M107" s="6"/>
      <c r="N107" s="7">
        <f>365*GETPIVOTDATA(" NetPrem",$A110)/GETPIVOTDATA(" CapDays",A110)</f>
        <v>0.36455668016194331</v>
      </c>
    </row>
    <row r="108" spans="1:16" x14ac:dyDescent="0.25">
      <c r="A108" t="s">
        <v>24</v>
      </c>
      <c r="B108" s="5">
        <v>10</v>
      </c>
      <c r="K108" s="6" t="s">
        <v>289</v>
      </c>
      <c r="L108" s="6"/>
      <c r="M108" s="6"/>
      <c r="N108" s="49" t="str">
        <f>IF(GETPIVOTDATA(" Shares",A110)=0,"N/A",(GETPIVOTDATA(" BEcap",A110)-GETPIVOTDATA(" NetPrem",A110))/GETPIVOTDATA(" Shares",A110))</f>
        <v>N/A</v>
      </c>
    </row>
    <row r="109" spans="1:16" x14ac:dyDescent="0.25">
      <c r="K109" s="6" t="s">
        <v>292</v>
      </c>
      <c r="L109" s="6"/>
      <c r="M109" s="6"/>
      <c r="N109" s="49">
        <f>GETPIVOTDATA(" OpenCap",A110)</f>
        <v>0</v>
      </c>
    </row>
    <row r="110" spans="1:16" x14ac:dyDescent="0.25">
      <c r="A110" s="29" t="s">
        <v>22</v>
      </c>
      <c r="B110" s="29" t="s">
        <v>26</v>
      </c>
      <c r="C110" s="29" t="s">
        <v>28</v>
      </c>
      <c r="D110" s="29" t="s">
        <v>52</v>
      </c>
      <c r="E110" s="29" t="s">
        <v>56</v>
      </c>
      <c r="F110" s="29" t="s">
        <v>46</v>
      </c>
      <c r="G110" s="29" t="s">
        <v>48</v>
      </c>
      <c r="H110" s="29" t="s">
        <v>50</v>
      </c>
      <c r="I110" s="29" t="s">
        <v>75</v>
      </c>
      <c r="J110" s="48" t="s">
        <v>293</v>
      </c>
      <c r="K110" t="s">
        <v>294</v>
      </c>
      <c r="L110" t="s">
        <v>295</v>
      </c>
      <c r="M110" t="s">
        <v>296</v>
      </c>
      <c r="N110" t="s">
        <v>297</v>
      </c>
    </row>
    <row r="111" spans="1:16" x14ac:dyDescent="0.25">
      <c r="A111" t="s">
        <v>232</v>
      </c>
      <c r="B111">
        <v>1</v>
      </c>
      <c r="C111" t="s">
        <v>30</v>
      </c>
      <c r="D111">
        <v>13</v>
      </c>
      <c r="E111">
        <v>3</v>
      </c>
      <c r="F111" s="2">
        <v>44295</v>
      </c>
      <c r="G111" s="2">
        <v>44313</v>
      </c>
      <c r="H111" s="2">
        <v>44316</v>
      </c>
      <c r="I111" s="11">
        <v>18</v>
      </c>
      <c r="J111" s="48">
        <v>103</v>
      </c>
      <c r="K111">
        <v>70200</v>
      </c>
      <c r="L111">
        <v>0</v>
      </c>
      <c r="M111">
        <v>0</v>
      </c>
      <c r="N111">
        <v>0</v>
      </c>
    </row>
    <row r="112" spans="1:16" x14ac:dyDescent="0.25">
      <c r="A112" t="s">
        <v>233</v>
      </c>
      <c r="B112">
        <v>2</v>
      </c>
      <c r="C112" t="s">
        <v>30</v>
      </c>
      <c r="D112">
        <v>13</v>
      </c>
      <c r="E112">
        <v>2</v>
      </c>
      <c r="F112" s="2">
        <v>44313</v>
      </c>
      <c r="G112" s="2">
        <v>44313</v>
      </c>
      <c r="H112" s="2">
        <v>44316</v>
      </c>
      <c r="I112" s="11">
        <v>1</v>
      </c>
      <c r="J112" s="48">
        <v>-19.329999999999998</v>
      </c>
      <c r="K112">
        <v>2600</v>
      </c>
      <c r="L112">
        <v>0</v>
      </c>
      <c r="M112">
        <v>0</v>
      </c>
      <c r="N112">
        <v>0</v>
      </c>
    </row>
    <row r="113" spans="1:16" x14ac:dyDescent="0.25">
      <c r="A113" t="s">
        <v>234</v>
      </c>
      <c r="B113">
        <v>3</v>
      </c>
      <c r="C113" t="s">
        <v>30</v>
      </c>
      <c r="D113">
        <v>13</v>
      </c>
      <c r="E113">
        <v>1</v>
      </c>
      <c r="F113" s="2">
        <v>44313</v>
      </c>
      <c r="G113" s="2">
        <v>44313</v>
      </c>
      <c r="H113" s="2">
        <v>44316</v>
      </c>
      <c r="I113" s="11">
        <v>1</v>
      </c>
      <c r="J113" s="48">
        <v>-9.66</v>
      </c>
      <c r="K113">
        <v>1300</v>
      </c>
      <c r="L113">
        <v>0</v>
      </c>
      <c r="M113">
        <v>0</v>
      </c>
      <c r="N113">
        <v>0</v>
      </c>
    </row>
    <row r="114" spans="1:16" x14ac:dyDescent="0.25">
      <c r="A114" t="s">
        <v>284</v>
      </c>
      <c r="J114" s="48">
        <v>74.010000000000005</v>
      </c>
      <c r="K114">
        <v>74100</v>
      </c>
      <c r="L114">
        <v>0</v>
      </c>
      <c r="M114">
        <v>0</v>
      </c>
      <c r="N114">
        <v>0</v>
      </c>
    </row>
    <row r="117" spans="1:16" x14ac:dyDescent="0.25">
      <c r="K117" s="6" t="s">
        <v>287</v>
      </c>
      <c r="L117" s="6"/>
      <c r="M117" s="6"/>
      <c r="N117" s="7">
        <f>365*GETPIVOTDATA(" NetPrem",$A120)/GETPIVOTDATA(" CapDays",A120)</f>
        <v>0.12771344150641026</v>
      </c>
    </row>
    <row r="118" spans="1:16" x14ac:dyDescent="0.25">
      <c r="A118" t="s">
        <v>24</v>
      </c>
      <c r="B118" s="5">
        <v>11</v>
      </c>
      <c r="K118" s="6" t="s">
        <v>289</v>
      </c>
      <c r="L118" s="6"/>
      <c r="M118" s="6"/>
      <c r="N118" s="49" t="str">
        <f>IF(GETPIVOTDATA(" Shares",A120)=0,"N/A",(GETPIVOTDATA(" BEcap",A120)-GETPIVOTDATA(" NetPrem",A120))/GETPIVOTDATA(" Shares",A120))</f>
        <v>N/A</v>
      </c>
    </row>
    <row r="119" spans="1:16" x14ac:dyDescent="0.25">
      <c r="K119" s="6" t="s">
        <v>292</v>
      </c>
      <c r="L119" s="6"/>
      <c r="M119" s="6"/>
      <c r="N119" s="49">
        <f>GETPIVOTDATA(" OpenCap",A120)</f>
        <v>0</v>
      </c>
    </row>
    <row r="120" spans="1:16" x14ac:dyDescent="0.25">
      <c r="A120" s="29" t="s">
        <v>22</v>
      </c>
      <c r="B120" s="29" t="s">
        <v>26</v>
      </c>
      <c r="C120" s="29" t="s">
        <v>28</v>
      </c>
      <c r="D120" s="29" t="s">
        <v>52</v>
      </c>
      <c r="E120" s="29" t="s">
        <v>56</v>
      </c>
      <c r="F120" s="29" t="s">
        <v>46</v>
      </c>
      <c r="G120" s="29" t="s">
        <v>48</v>
      </c>
      <c r="H120" s="29" t="s">
        <v>50</v>
      </c>
      <c r="I120" s="29" t="s">
        <v>75</v>
      </c>
      <c r="J120" s="48" t="s">
        <v>293</v>
      </c>
      <c r="K120" t="s">
        <v>294</v>
      </c>
      <c r="L120" t="s">
        <v>295</v>
      </c>
      <c r="M120" t="s">
        <v>296</v>
      </c>
      <c r="N120" t="s">
        <v>297</v>
      </c>
    </row>
    <row r="121" spans="1:16" x14ac:dyDescent="0.25">
      <c r="A121" t="s">
        <v>235</v>
      </c>
      <c r="B121">
        <v>1</v>
      </c>
      <c r="C121" t="s">
        <v>30</v>
      </c>
      <c r="D121">
        <v>48</v>
      </c>
      <c r="E121">
        <v>4</v>
      </c>
      <c r="F121" s="2">
        <v>44305</v>
      </c>
      <c r="G121" s="2">
        <v>44330</v>
      </c>
      <c r="H121" s="2">
        <v>44337</v>
      </c>
      <c r="I121" s="11">
        <v>25</v>
      </c>
      <c r="J121" s="48">
        <v>237.33</v>
      </c>
      <c r="K121">
        <v>480000</v>
      </c>
      <c r="L121">
        <v>0</v>
      </c>
      <c r="M121">
        <v>0</v>
      </c>
      <c r="N121">
        <v>0</v>
      </c>
      <c r="P121" s="1"/>
    </row>
    <row r="122" spans="1:16" x14ac:dyDescent="0.25">
      <c r="A122" t="s">
        <v>237</v>
      </c>
      <c r="B122">
        <v>2</v>
      </c>
      <c r="C122" t="s">
        <v>30</v>
      </c>
      <c r="D122">
        <v>48</v>
      </c>
      <c r="E122">
        <v>4</v>
      </c>
      <c r="F122" s="2">
        <v>44330</v>
      </c>
      <c r="G122" s="2">
        <v>44330</v>
      </c>
      <c r="H122" s="2">
        <v>44337</v>
      </c>
      <c r="I122" s="11">
        <v>1</v>
      </c>
      <c r="J122" s="48">
        <v>-62.66</v>
      </c>
      <c r="K122">
        <v>19200</v>
      </c>
      <c r="L122">
        <v>0</v>
      </c>
      <c r="M122">
        <v>0</v>
      </c>
      <c r="N122">
        <v>0</v>
      </c>
    </row>
    <row r="123" spans="1:16" x14ac:dyDescent="0.25">
      <c r="A123" t="s">
        <v>284</v>
      </c>
      <c r="J123" s="48">
        <v>174.67</v>
      </c>
      <c r="K123">
        <v>499200</v>
      </c>
      <c r="L123">
        <v>0</v>
      </c>
      <c r="M123">
        <v>0</v>
      </c>
      <c r="N123">
        <v>0</v>
      </c>
    </row>
    <row r="129" spans="1:14" x14ac:dyDescent="0.25">
      <c r="K129" s="6" t="s">
        <v>287</v>
      </c>
      <c r="L129" s="6"/>
      <c r="M129" s="6"/>
      <c r="N129" s="7">
        <f>365*GETPIVOTDATA(" NetPrem",$A132)/GETPIVOTDATA(" CapDays",A132)</f>
        <v>0.57457083333333325</v>
      </c>
    </row>
    <row r="130" spans="1:14" x14ac:dyDescent="0.25">
      <c r="A130" t="s">
        <v>24</v>
      </c>
      <c r="B130" s="5">
        <v>12</v>
      </c>
      <c r="K130" s="6" t="s">
        <v>289</v>
      </c>
      <c r="L130" s="6"/>
      <c r="M130" s="6"/>
      <c r="N130" s="49" t="str">
        <f>IF(GETPIVOTDATA(" Shares",A132)=0,"N/A",(GETPIVOTDATA(" BEcap",A132)-GETPIVOTDATA(" NetPrem",A132))/GETPIVOTDATA(" Shares",A132))</f>
        <v>N/A</v>
      </c>
    </row>
    <row r="131" spans="1:14" x14ac:dyDescent="0.25">
      <c r="K131" s="6" t="s">
        <v>292</v>
      </c>
      <c r="L131" s="6"/>
      <c r="M131" s="6"/>
      <c r="N131" s="49">
        <f>GETPIVOTDATA(" OpenCap",A132)</f>
        <v>0</v>
      </c>
    </row>
    <row r="132" spans="1:14" x14ac:dyDescent="0.25">
      <c r="A132" s="29" t="s">
        <v>22</v>
      </c>
      <c r="B132" s="29" t="s">
        <v>26</v>
      </c>
      <c r="C132" s="29" t="s">
        <v>28</v>
      </c>
      <c r="D132" s="29" t="s">
        <v>52</v>
      </c>
      <c r="E132" s="29" t="s">
        <v>56</v>
      </c>
      <c r="F132" s="29" t="s">
        <v>46</v>
      </c>
      <c r="G132" s="29" t="s">
        <v>48</v>
      </c>
      <c r="H132" s="29" t="s">
        <v>50</v>
      </c>
      <c r="I132" s="29" t="s">
        <v>75</v>
      </c>
      <c r="J132" s="48" t="s">
        <v>293</v>
      </c>
      <c r="K132" t="s">
        <v>294</v>
      </c>
      <c r="L132" t="s">
        <v>295</v>
      </c>
      <c r="M132" t="s">
        <v>296</v>
      </c>
      <c r="N132" t="s">
        <v>297</v>
      </c>
    </row>
    <row r="133" spans="1:14" x14ac:dyDescent="0.25">
      <c r="A133" t="s">
        <v>238</v>
      </c>
      <c r="B133">
        <v>1</v>
      </c>
      <c r="C133" t="s">
        <v>30</v>
      </c>
      <c r="D133">
        <v>40</v>
      </c>
      <c r="E133">
        <v>3</v>
      </c>
      <c r="F133" s="2">
        <v>44305</v>
      </c>
      <c r="G133" s="2">
        <v>44313</v>
      </c>
      <c r="H133" s="2">
        <v>44337</v>
      </c>
      <c r="I133" s="11">
        <v>8</v>
      </c>
      <c r="J133" s="48">
        <v>238</v>
      </c>
      <c r="K133">
        <v>96000</v>
      </c>
      <c r="L133">
        <v>0</v>
      </c>
      <c r="M133">
        <v>0</v>
      </c>
      <c r="N133">
        <v>0</v>
      </c>
    </row>
    <row r="134" spans="1:14" x14ac:dyDescent="0.25">
      <c r="A134" t="s">
        <v>240</v>
      </c>
      <c r="B134">
        <v>2</v>
      </c>
      <c r="C134" t="s">
        <v>30</v>
      </c>
      <c r="D134">
        <v>40</v>
      </c>
      <c r="E134">
        <v>3</v>
      </c>
      <c r="F134" s="2">
        <v>44313</v>
      </c>
      <c r="G134" s="2">
        <v>44313</v>
      </c>
      <c r="H134" s="2">
        <v>44337</v>
      </c>
      <c r="I134" s="11">
        <v>1</v>
      </c>
      <c r="J134" s="48">
        <v>-67.989999999999995</v>
      </c>
      <c r="K134">
        <v>12000</v>
      </c>
      <c r="L134">
        <v>0</v>
      </c>
      <c r="M134">
        <v>0</v>
      </c>
      <c r="N134">
        <v>0</v>
      </c>
    </row>
    <row r="135" spans="1:14" x14ac:dyDescent="0.25">
      <c r="A135" t="s">
        <v>284</v>
      </c>
      <c r="J135" s="48">
        <v>170.01</v>
      </c>
      <c r="K135">
        <v>108000</v>
      </c>
      <c r="L135">
        <v>0</v>
      </c>
      <c r="M135">
        <v>0</v>
      </c>
      <c r="N135">
        <v>0</v>
      </c>
    </row>
    <row r="138" spans="1:14" x14ac:dyDescent="0.25">
      <c r="K138" s="6" t="s">
        <v>287</v>
      </c>
      <c r="L138" s="6"/>
      <c r="M138" s="6"/>
      <c r="N138" s="7">
        <f>365*GETPIVOTDATA(" NetPrem",$A141)/GETPIVOTDATA(" CapDays",A141)</f>
        <v>0.17275155279503104</v>
      </c>
    </row>
    <row r="139" spans="1:14" x14ac:dyDescent="0.25">
      <c r="A139" t="s">
        <v>24</v>
      </c>
      <c r="B139" s="5">
        <v>13</v>
      </c>
      <c r="K139" s="6" t="s">
        <v>289</v>
      </c>
      <c r="L139" s="6"/>
      <c r="M139" s="6"/>
      <c r="N139" s="49" t="str">
        <f>IF(GETPIVOTDATA(" Shares",A141)=0,"N/A",(GETPIVOTDATA(" BEcap",A141)-GETPIVOTDATA(" NetPrem",A141))/GETPIVOTDATA(" Shares",A141))</f>
        <v>N/A</v>
      </c>
    </row>
    <row r="140" spans="1:14" x14ac:dyDescent="0.25">
      <c r="K140" s="6" t="s">
        <v>292</v>
      </c>
      <c r="L140" s="6"/>
      <c r="M140" s="6"/>
      <c r="N140" s="49">
        <f>GETPIVOTDATA(" OpenCap",A141)</f>
        <v>0</v>
      </c>
    </row>
    <row r="141" spans="1:14" x14ac:dyDescent="0.25">
      <c r="A141" s="29" t="s">
        <v>22</v>
      </c>
      <c r="B141" s="29" t="s">
        <v>26</v>
      </c>
      <c r="C141" s="29" t="s">
        <v>28</v>
      </c>
      <c r="D141" s="29" t="s">
        <v>52</v>
      </c>
      <c r="E141" s="29" t="s">
        <v>56</v>
      </c>
      <c r="F141" s="29" t="s">
        <v>46</v>
      </c>
      <c r="G141" s="29" t="s">
        <v>48</v>
      </c>
      <c r="H141" s="29" t="s">
        <v>50</v>
      </c>
      <c r="I141" s="29" t="s">
        <v>75</v>
      </c>
      <c r="J141" s="48" t="s">
        <v>293</v>
      </c>
      <c r="K141" t="s">
        <v>294</v>
      </c>
      <c r="L141" t="s">
        <v>295</v>
      </c>
      <c r="M141" t="s">
        <v>296</v>
      </c>
      <c r="N141" t="s">
        <v>297</v>
      </c>
    </row>
    <row r="142" spans="1:14" x14ac:dyDescent="0.25">
      <c r="A142" t="s">
        <v>241</v>
      </c>
      <c r="B142">
        <v>1</v>
      </c>
      <c r="C142" t="s">
        <v>30</v>
      </c>
      <c r="D142">
        <v>24.5</v>
      </c>
      <c r="E142">
        <v>10</v>
      </c>
      <c r="F142" s="2">
        <v>44308</v>
      </c>
      <c r="G142" s="2">
        <v>44330</v>
      </c>
      <c r="H142" s="2">
        <v>44337</v>
      </c>
      <c r="I142" s="11">
        <v>22</v>
      </c>
      <c r="J142" s="48">
        <v>363.34</v>
      </c>
      <c r="K142">
        <v>539000</v>
      </c>
      <c r="L142">
        <v>0</v>
      </c>
      <c r="M142">
        <v>0</v>
      </c>
      <c r="N142">
        <v>0</v>
      </c>
    </row>
    <row r="143" spans="1:14" x14ac:dyDescent="0.25">
      <c r="A143" t="s">
        <v>242</v>
      </c>
      <c r="B143">
        <v>2</v>
      </c>
      <c r="C143" t="s">
        <v>30</v>
      </c>
      <c r="D143">
        <v>24.5</v>
      </c>
      <c r="E143">
        <v>10</v>
      </c>
      <c r="F143" s="2">
        <v>44330</v>
      </c>
      <c r="G143" s="2">
        <v>44330</v>
      </c>
      <c r="H143" s="2">
        <v>44337</v>
      </c>
      <c r="I143" s="11">
        <v>1</v>
      </c>
      <c r="J143" s="48">
        <v>-96.64</v>
      </c>
      <c r="K143">
        <v>24500</v>
      </c>
      <c r="L143">
        <v>0</v>
      </c>
      <c r="M143">
        <v>0</v>
      </c>
      <c r="N143">
        <v>0</v>
      </c>
    </row>
    <row r="144" spans="1:14" x14ac:dyDescent="0.25">
      <c r="A144" t="s">
        <v>284</v>
      </c>
      <c r="J144" s="48">
        <v>266.7</v>
      </c>
      <c r="K144">
        <v>563500</v>
      </c>
      <c r="L144">
        <v>0</v>
      </c>
      <c r="M144">
        <v>0</v>
      </c>
      <c r="N144">
        <v>0</v>
      </c>
    </row>
    <row r="150" spans="1:14" x14ac:dyDescent="0.25">
      <c r="K150" s="6" t="s">
        <v>287</v>
      </c>
      <c r="L150" s="6"/>
      <c r="M150" s="6"/>
      <c r="N150" s="7">
        <f>365*GETPIVOTDATA(" NetPrem",$A153)/GETPIVOTDATA(" CapDays",A153)</f>
        <v>0.50792072727272719</v>
      </c>
    </row>
    <row r="151" spans="1:14" x14ac:dyDescent="0.25">
      <c r="A151" t="s">
        <v>24</v>
      </c>
      <c r="B151" s="5">
        <v>14</v>
      </c>
      <c r="K151" s="6" t="s">
        <v>289</v>
      </c>
      <c r="L151" s="6"/>
      <c r="M151" s="6"/>
      <c r="N151" s="49" t="str">
        <f>IF(GETPIVOTDATA(" Shares",A153)=0,"N/A",(GETPIVOTDATA(" BEcap",A153)-GETPIVOTDATA(" NetPrem",A153))/GETPIVOTDATA(" Shares",A153))</f>
        <v>N/A</v>
      </c>
    </row>
    <row r="152" spans="1:14" x14ac:dyDescent="0.25">
      <c r="K152" s="6" t="s">
        <v>292</v>
      </c>
      <c r="L152" s="6"/>
      <c r="M152" s="6"/>
      <c r="N152" s="49">
        <f>GETPIVOTDATA(" OpenCap",A153)</f>
        <v>0</v>
      </c>
    </row>
    <row r="153" spans="1:14" x14ac:dyDescent="0.25">
      <c r="A153" s="29" t="s">
        <v>22</v>
      </c>
      <c r="B153" s="29" t="s">
        <v>26</v>
      </c>
      <c r="C153" s="29" t="s">
        <v>28</v>
      </c>
      <c r="D153" s="29" t="s">
        <v>52</v>
      </c>
      <c r="E153" s="29" t="s">
        <v>56</v>
      </c>
      <c r="F153" s="29" t="s">
        <v>46</v>
      </c>
      <c r="G153" s="29" t="s">
        <v>48</v>
      </c>
      <c r="H153" s="29" t="s">
        <v>50</v>
      </c>
      <c r="I153" s="29" t="s">
        <v>75</v>
      </c>
      <c r="J153" s="48" t="s">
        <v>293</v>
      </c>
      <c r="K153" t="s">
        <v>294</v>
      </c>
      <c r="L153" t="s">
        <v>295</v>
      </c>
      <c r="M153" t="s">
        <v>296</v>
      </c>
      <c r="N153" t="s">
        <v>297</v>
      </c>
    </row>
    <row r="154" spans="1:14" x14ac:dyDescent="0.25">
      <c r="A154" t="s">
        <v>243</v>
      </c>
      <c r="B154">
        <v>1</v>
      </c>
      <c r="C154" t="s">
        <v>30</v>
      </c>
      <c r="D154">
        <v>62.5</v>
      </c>
      <c r="E154">
        <v>3</v>
      </c>
      <c r="F154" s="2">
        <v>44312</v>
      </c>
      <c r="G154" s="2">
        <v>44322</v>
      </c>
      <c r="H154" s="2">
        <v>44337</v>
      </c>
      <c r="I154" s="11">
        <v>10</v>
      </c>
      <c r="J154" s="48">
        <v>385</v>
      </c>
      <c r="K154">
        <v>187500</v>
      </c>
      <c r="L154">
        <v>0</v>
      </c>
      <c r="M154">
        <v>0</v>
      </c>
      <c r="N154">
        <v>0</v>
      </c>
    </row>
    <row r="155" spans="1:14" x14ac:dyDescent="0.25">
      <c r="A155" t="s">
        <v>244</v>
      </c>
      <c r="B155">
        <v>2</v>
      </c>
      <c r="C155" t="s">
        <v>30</v>
      </c>
      <c r="D155">
        <v>62.5</v>
      </c>
      <c r="E155">
        <v>2</v>
      </c>
      <c r="F155" s="2">
        <v>44322</v>
      </c>
      <c r="G155" s="2">
        <v>44322</v>
      </c>
      <c r="H155" s="2">
        <v>44337</v>
      </c>
      <c r="I155" s="11">
        <v>1</v>
      </c>
      <c r="J155" s="48">
        <v>-65.33</v>
      </c>
      <c r="K155">
        <v>12500</v>
      </c>
      <c r="L155">
        <v>0</v>
      </c>
      <c r="M155">
        <v>0</v>
      </c>
      <c r="N155">
        <v>0</v>
      </c>
    </row>
    <row r="156" spans="1:14" x14ac:dyDescent="0.25">
      <c r="A156" t="s">
        <v>245</v>
      </c>
      <c r="B156">
        <v>3</v>
      </c>
      <c r="C156" t="s">
        <v>30</v>
      </c>
      <c r="D156">
        <v>62.5</v>
      </c>
      <c r="E156">
        <v>1</v>
      </c>
      <c r="F156" s="2">
        <v>44322</v>
      </c>
      <c r="G156" s="2">
        <v>44322</v>
      </c>
      <c r="H156" s="2">
        <v>44337</v>
      </c>
      <c r="I156" s="11">
        <v>1</v>
      </c>
      <c r="J156" s="48">
        <v>-32.659999999999997</v>
      </c>
      <c r="K156">
        <v>6250</v>
      </c>
      <c r="L156">
        <v>0</v>
      </c>
      <c r="M156">
        <v>0</v>
      </c>
      <c r="N156">
        <v>0</v>
      </c>
    </row>
    <row r="157" spans="1:14" x14ac:dyDescent="0.25">
      <c r="A157" t="s">
        <v>284</v>
      </c>
      <c r="J157" s="48">
        <v>287.01</v>
      </c>
      <c r="K157">
        <v>206250</v>
      </c>
      <c r="L157">
        <v>0</v>
      </c>
      <c r="M157">
        <v>0</v>
      </c>
      <c r="N157">
        <v>0</v>
      </c>
    </row>
    <row r="162" spans="1:14" x14ac:dyDescent="0.25">
      <c r="K162" s="6" t="s">
        <v>287</v>
      </c>
      <c r="L162" s="6"/>
      <c r="M162" s="6"/>
      <c r="N162" s="7">
        <f>365*GETPIVOTDATA(" NetPrem",$A165)/GETPIVOTDATA(" CapDays",A165)</f>
        <v>0.43849289267945973</v>
      </c>
    </row>
    <row r="163" spans="1:14" x14ac:dyDescent="0.25">
      <c r="A163" t="s">
        <v>24</v>
      </c>
      <c r="B163" s="5">
        <v>15</v>
      </c>
      <c r="K163" s="6" t="s">
        <v>289</v>
      </c>
      <c r="L163" s="6"/>
      <c r="M163" s="6"/>
      <c r="N163" s="49" t="str">
        <f>IF(GETPIVOTDATA(" Shares",A165)=0,"N/A",(GETPIVOTDATA(" BEcap",A165)-GETPIVOTDATA(" NetPrem",A165))/GETPIVOTDATA(" Shares",A165))</f>
        <v>N/A</v>
      </c>
    </row>
    <row r="164" spans="1:14" x14ac:dyDescent="0.25">
      <c r="K164" s="6" t="s">
        <v>292</v>
      </c>
      <c r="L164" s="6"/>
      <c r="M164" s="6"/>
      <c r="N164" s="49">
        <f>GETPIVOTDATA(" OpenCap",A165)</f>
        <v>0</v>
      </c>
    </row>
    <row r="165" spans="1:14" x14ac:dyDescent="0.25">
      <c r="A165" s="29" t="s">
        <v>22</v>
      </c>
      <c r="B165" s="29" t="s">
        <v>26</v>
      </c>
      <c r="C165" s="29" t="s">
        <v>28</v>
      </c>
      <c r="D165" s="29" t="s">
        <v>52</v>
      </c>
      <c r="E165" s="29" t="s">
        <v>56</v>
      </c>
      <c r="F165" s="29" t="s">
        <v>46</v>
      </c>
      <c r="G165" s="29" t="s">
        <v>48</v>
      </c>
      <c r="H165" s="29" t="s">
        <v>50</v>
      </c>
      <c r="I165" s="29" t="s">
        <v>75</v>
      </c>
      <c r="J165" s="48" t="s">
        <v>293</v>
      </c>
      <c r="K165" t="s">
        <v>294</v>
      </c>
      <c r="L165" t="s">
        <v>295</v>
      </c>
      <c r="M165" t="s">
        <v>296</v>
      </c>
      <c r="N165" t="s">
        <v>297</v>
      </c>
    </row>
    <row r="166" spans="1:14" x14ac:dyDescent="0.25">
      <c r="A166" t="s">
        <v>246</v>
      </c>
      <c r="B166">
        <v>1</v>
      </c>
      <c r="C166" t="s">
        <v>30</v>
      </c>
      <c r="D166">
        <v>23.5</v>
      </c>
      <c r="E166">
        <v>6</v>
      </c>
      <c r="F166" s="2">
        <v>44312</v>
      </c>
      <c r="G166" s="2">
        <v>44329</v>
      </c>
      <c r="H166" s="2">
        <v>44330</v>
      </c>
      <c r="I166" s="11">
        <v>17</v>
      </c>
      <c r="J166" s="48">
        <v>308.01</v>
      </c>
      <c r="K166">
        <v>239700</v>
      </c>
      <c r="L166">
        <v>0</v>
      </c>
      <c r="M166">
        <v>0</v>
      </c>
      <c r="N166">
        <v>0</v>
      </c>
    </row>
    <row r="167" spans="1:14" x14ac:dyDescent="0.25">
      <c r="A167" t="s">
        <v>248</v>
      </c>
      <c r="B167">
        <v>2</v>
      </c>
      <c r="C167" t="s">
        <v>30</v>
      </c>
      <c r="D167">
        <v>23.5</v>
      </c>
      <c r="E167">
        <v>6</v>
      </c>
      <c r="F167" s="2">
        <v>44329</v>
      </c>
      <c r="G167" s="2">
        <v>44329</v>
      </c>
      <c r="H167" s="2">
        <v>44330</v>
      </c>
      <c r="I167" s="11">
        <v>1</v>
      </c>
      <c r="J167" s="48">
        <v>-411.98</v>
      </c>
      <c r="K167">
        <v>14100</v>
      </c>
      <c r="L167">
        <v>0</v>
      </c>
      <c r="M167">
        <v>0</v>
      </c>
      <c r="N167">
        <v>0</v>
      </c>
    </row>
    <row r="168" spans="1:14" x14ac:dyDescent="0.25">
      <c r="A168" t="s">
        <v>249</v>
      </c>
      <c r="B168">
        <v>3</v>
      </c>
      <c r="C168" t="s">
        <v>30</v>
      </c>
      <c r="D168">
        <v>23</v>
      </c>
      <c r="E168">
        <v>6</v>
      </c>
      <c r="F168" s="2">
        <v>44329</v>
      </c>
      <c r="G168" s="2">
        <v>44330</v>
      </c>
      <c r="H168" s="2">
        <v>44337</v>
      </c>
      <c r="I168" s="11">
        <v>1</v>
      </c>
      <c r="J168" s="48">
        <v>560.01</v>
      </c>
      <c r="K168">
        <v>13800</v>
      </c>
      <c r="L168">
        <v>0</v>
      </c>
      <c r="M168">
        <v>0</v>
      </c>
      <c r="N168">
        <v>0</v>
      </c>
    </row>
    <row r="169" spans="1:14" x14ac:dyDescent="0.25">
      <c r="A169" t="s">
        <v>250</v>
      </c>
      <c r="B169">
        <v>4</v>
      </c>
      <c r="C169" t="s">
        <v>30</v>
      </c>
      <c r="D169">
        <v>23</v>
      </c>
      <c r="E169">
        <v>6</v>
      </c>
      <c r="F169" s="2">
        <v>44330</v>
      </c>
      <c r="G169" s="2">
        <v>44330</v>
      </c>
      <c r="H169" s="2">
        <v>44337</v>
      </c>
      <c r="I169" s="11">
        <v>1</v>
      </c>
      <c r="J169" s="48">
        <v>-117.98</v>
      </c>
      <c r="K169">
        <v>13800</v>
      </c>
      <c r="L169">
        <v>0</v>
      </c>
      <c r="M169">
        <v>0</v>
      </c>
      <c r="N169">
        <v>0</v>
      </c>
    </row>
    <row r="170" spans="1:14" x14ac:dyDescent="0.25">
      <c r="A170" t="s">
        <v>284</v>
      </c>
      <c r="J170" s="48">
        <v>338.05999999999989</v>
      </c>
      <c r="K170">
        <v>281400</v>
      </c>
      <c r="L170">
        <v>0</v>
      </c>
      <c r="M170">
        <v>0</v>
      </c>
      <c r="N170">
        <v>0</v>
      </c>
    </row>
    <row r="174" spans="1:14" x14ac:dyDescent="0.25">
      <c r="K174" s="6" t="s">
        <v>287</v>
      </c>
      <c r="L174" s="6"/>
      <c r="M174" s="6"/>
      <c r="N174" s="7">
        <f>365*GETPIVOTDATA(" NetPrem",$A177)/GETPIVOTDATA(" CapDays",A177)</f>
        <v>0.42778981385729054</v>
      </c>
    </row>
    <row r="175" spans="1:14" x14ac:dyDescent="0.25">
      <c r="A175" t="s">
        <v>24</v>
      </c>
      <c r="B175" s="5">
        <v>16</v>
      </c>
      <c r="K175" s="6" t="s">
        <v>289</v>
      </c>
      <c r="L175" s="6"/>
      <c r="M175" s="6"/>
      <c r="N175" s="49" t="str">
        <f>IF(GETPIVOTDATA(" Shares",A177)=0,"N/A",(GETPIVOTDATA(" BEcap",A177)-GETPIVOTDATA(" NetPrem",A177))/GETPIVOTDATA(" Shares",A177))</f>
        <v>N/A</v>
      </c>
    </row>
    <row r="176" spans="1:14" x14ac:dyDescent="0.25">
      <c r="K176" s="6" t="s">
        <v>292</v>
      </c>
      <c r="L176" s="6"/>
      <c r="M176" s="6"/>
      <c r="N176" s="49">
        <f>GETPIVOTDATA(" OpenCap",A177)</f>
        <v>0</v>
      </c>
    </row>
    <row r="177" spans="1:14" x14ac:dyDescent="0.25">
      <c r="A177" s="29" t="s">
        <v>22</v>
      </c>
      <c r="B177" s="29" t="s">
        <v>26</v>
      </c>
      <c r="C177" s="29" t="s">
        <v>28</v>
      </c>
      <c r="D177" s="29" t="s">
        <v>52</v>
      </c>
      <c r="E177" s="29" t="s">
        <v>56</v>
      </c>
      <c r="F177" s="29" t="s">
        <v>46</v>
      </c>
      <c r="G177" s="29" t="s">
        <v>48</v>
      </c>
      <c r="H177" s="29" t="s">
        <v>50</v>
      </c>
      <c r="I177" s="29" t="s">
        <v>75</v>
      </c>
      <c r="J177" s="48" t="s">
        <v>293</v>
      </c>
      <c r="K177" t="s">
        <v>294</v>
      </c>
      <c r="L177" t="s">
        <v>295</v>
      </c>
      <c r="M177" t="s">
        <v>296</v>
      </c>
      <c r="N177" t="s">
        <v>297</v>
      </c>
    </row>
    <row r="178" spans="1:14" x14ac:dyDescent="0.25">
      <c r="A178" t="s">
        <v>251</v>
      </c>
      <c r="J178" s="48">
        <v>329.33</v>
      </c>
      <c r="K178">
        <v>326400</v>
      </c>
      <c r="L178">
        <v>0</v>
      </c>
      <c r="M178">
        <v>0</v>
      </c>
      <c r="N178">
        <v>0</v>
      </c>
    </row>
    <row r="179" spans="1:14" x14ac:dyDescent="0.25">
      <c r="A179" t="s">
        <v>253</v>
      </c>
      <c r="B179">
        <v>2</v>
      </c>
      <c r="C179" t="s">
        <v>30</v>
      </c>
      <c r="D179">
        <v>51</v>
      </c>
      <c r="E179">
        <v>4</v>
      </c>
      <c r="F179" s="2">
        <v>44329</v>
      </c>
      <c r="G179" s="2">
        <v>44329</v>
      </c>
      <c r="H179" s="2">
        <v>44330</v>
      </c>
      <c r="I179" s="11">
        <v>1</v>
      </c>
      <c r="J179" s="48">
        <v>-150.66</v>
      </c>
      <c r="K179">
        <v>20400</v>
      </c>
      <c r="L179">
        <v>0</v>
      </c>
      <c r="M179">
        <v>0</v>
      </c>
      <c r="N179">
        <v>0</v>
      </c>
    </row>
    <row r="180" spans="1:14" x14ac:dyDescent="0.25">
      <c r="A180" t="s">
        <v>254</v>
      </c>
      <c r="B180">
        <v>3</v>
      </c>
      <c r="C180" t="s">
        <v>30</v>
      </c>
      <c r="D180">
        <v>50</v>
      </c>
      <c r="E180">
        <v>4</v>
      </c>
      <c r="F180" s="2">
        <v>44329</v>
      </c>
      <c r="G180" s="2">
        <v>44330</v>
      </c>
      <c r="H180" s="2">
        <v>44337</v>
      </c>
      <c r="I180" s="11">
        <v>1</v>
      </c>
      <c r="J180" s="48">
        <v>337.33</v>
      </c>
      <c r="K180">
        <v>20000</v>
      </c>
      <c r="L180">
        <v>0</v>
      </c>
      <c r="M180">
        <v>0</v>
      </c>
      <c r="N180">
        <v>0</v>
      </c>
    </row>
    <row r="181" spans="1:14" x14ac:dyDescent="0.25">
      <c r="A181" t="s">
        <v>255</v>
      </c>
      <c r="B181">
        <v>4</v>
      </c>
      <c r="C181" t="s">
        <v>30</v>
      </c>
      <c r="D181">
        <v>50</v>
      </c>
      <c r="E181">
        <v>4</v>
      </c>
      <c r="F181" s="2">
        <v>44330</v>
      </c>
      <c r="G181" s="2">
        <v>44330</v>
      </c>
      <c r="H181" s="2">
        <v>44337</v>
      </c>
      <c r="I181" s="11">
        <v>1</v>
      </c>
      <c r="J181" s="48">
        <v>-62.66</v>
      </c>
      <c r="K181">
        <v>20000</v>
      </c>
      <c r="L181">
        <v>0</v>
      </c>
      <c r="M181">
        <v>0</v>
      </c>
      <c r="N181">
        <v>0</v>
      </c>
    </row>
    <row r="182" spans="1:14" x14ac:dyDescent="0.25">
      <c r="A182" t="s">
        <v>284</v>
      </c>
      <c r="J182" s="48">
        <v>453.34</v>
      </c>
      <c r="K182">
        <v>386800</v>
      </c>
      <c r="L182">
        <v>0</v>
      </c>
      <c r="M182">
        <v>0</v>
      </c>
      <c r="N182">
        <v>0</v>
      </c>
    </row>
    <row r="186" spans="1:14" x14ac:dyDescent="0.25">
      <c r="K186" s="6" t="s">
        <v>287</v>
      </c>
      <c r="L186" s="6"/>
      <c r="M186" s="6"/>
      <c r="N186" s="7">
        <f>365*GETPIVOTDATA(" NetPrem",$A189)/GETPIVOTDATA(" CapDays",A189)</f>
        <v>0.23361495135688704</v>
      </c>
    </row>
    <row r="187" spans="1:14" x14ac:dyDescent="0.25">
      <c r="A187" t="s">
        <v>24</v>
      </c>
      <c r="B187" s="5">
        <v>17</v>
      </c>
      <c r="K187" s="6" t="s">
        <v>289</v>
      </c>
      <c r="L187" s="6"/>
      <c r="M187" s="6"/>
      <c r="N187" s="49">
        <f>IF(GETPIVOTDATA(" Shares",A189)=0,"N/A",(GETPIVOTDATA(" BEcap",A189)-GETPIVOTDATA(" NetPrem",A189))/GETPIVOTDATA(" Shares",A189))</f>
        <v>41.75</v>
      </c>
    </row>
    <row r="188" spans="1:14" x14ac:dyDescent="0.25">
      <c r="K188" s="6" t="s">
        <v>292</v>
      </c>
      <c r="L188" s="6"/>
      <c r="M188" s="6"/>
      <c r="N188" s="49">
        <f>GETPIVOTDATA(" OpenCap",A189)</f>
        <v>8600</v>
      </c>
    </row>
    <row r="189" spans="1:14" x14ac:dyDescent="0.25">
      <c r="A189" s="29" t="s">
        <v>298</v>
      </c>
      <c r="B189" s="29" t="s">
        <v>26</v>
      </c>
      <c r="C189" s="29" t="s">
        <v>28</v>
      </c>
      <c r="D189" s="29" t="s">
        <v>52</v>
      </c>
      <c r="E189" s="29" t="s">
        <v>56</v>
      </c>
      <c r="F189" s="29" t="s">
        <v>46</v>
      </c>
      <c r="G189" s="29" t="s">
        <v>48</v>
      </c>
      <c r="H189" s="29" t="s">
        <v>50</v>
      </c>
      <c r="I189" s="29" t="s">
        <v>75</v>
      </c>
      <c r="J189" s="48" t="s">
        <v>293</v>
      </c>
      <c r="K189" t="s">
        <v>294</v>
      </c>
      <c r="L189" t="s">
        <v>295</v>
      </c>
      <c r="M189" t="s">
        <v>296</v>
      </c>
      <c r="N189" t="s">
        <v>297</v>
      </c>
    </row>
    <row r="190" spans="1:14" x14ac:dyDescent="0.25">
      <c r="A190" t="s">
        <v>256</v>
      </c>
      <c r="B190">
        <v>1</v>
      </c>
      <c r="C190" t="s">
        <v>30</v>
      </c>
      <c r="D190">
        <v>45</v>
      </c>
      <c r="E190">
        <v>2</v>
      </c>
      <c r="F190" s="2">
        <v>44314</v>
      </c>
      <c r="G190" s="2">
        <v>44322</v>
      </c>
      <c r="H190" s="2">
        <v>44323</v>
      </c>
      <c r="I190" s="11">
        <v>8</v>
      </c>
      <c r="J190" s="48">
        <v>192.67</v>
      </c>
      <c r="K190">
        <v>72000</v>
      </c>
      <c r="L190">
        <v>0</v>
      </c>
      <c r="M190">
        <v>0</v>
      </c>
      <c r="N190">
        <v>0</v>
      </c>
    </row>
    <row r="191" spans="1:14" x14ac:dyDescent="0.25">
      <c r="A191" t="s">
        <v>258</v>
      </c>
      <c r="B191">
        <v>3</v>
      </c>
      <c r="C191" t="s">
        <v>30</v>
      </c>
      <c r="D191">
        <v>43</v>
      </c>
      <c r="E191">
        <v>2</v>
      </c>
      <c r="F191" s="2">
        <v>44322</v>
      </c>
      <c r="G191" t="s">
        <v>281</v>
      </c>
      <c r="H191" s="2">
        <v>44358</v>
      </c>
      <c r="I191" s="11">
        <v>36</v>
      </c>
      <c r="J191" s="48">
        <v>1298.6600000000001</v>
      </c>
      <c r="K191">
        <v>309600</v>
      </c>
      <c r="L191">
        <v>8600</v>
      </c>
      <c r="M191">
        <v>8600</v>
      </c>
      <c r="N191">
        <v>200</v>
      </c>
    </row>
    <row r="192" spans="1:14" x14ac:dyDescent="0.25">
      <c r="A192" t="s">
        <v>257</v>
      </c>
      <c r="B192">
        <v>2</v>
      </c>
      <c r="C192" t="s">
        <v>30</v>
      </c>
      <c r="D192">
        <v>45</v>
      </c>
      <c r="E192">
        <v>2</v>
      </c>
      <c r="F192" s="2">
        <v>44322</v>
      </c>
      <c r="G192" s="2">
        <v>44322</v>
      </c>
      <c r="H192" s="2">
        <v>44323</v>
      </c>
      <c r="I192" s="11">
        <v>1</v>
      </c>
      <c r="J192" s="48">
        <v>-1241.33</v>
      </c>
      <c r="K192">
        <v>9000</v>
      </c>
      <c r="L192">
        <v>0</v>
      </c>
      <c r="M192">
        <v>0</v>
      </c>
      <c r="N192">
        <v>0</v>
      </c>
    </row>
    <row r="193" spans="1:14" x14ac:dyDescent="0.25">
      <c r="A193" t="s">
        <v>284</v>
      </c>
      <c r="J193" s="48">
        <v>250.0000000000002</v>
      </c>
      <c r="K193">
        <v>390600</v>
      </c>
      <c r="L193">
        <v>8600</v>
      </c>
      <c r="M193">
        <v>8600</v>
      </c>
      <c r="N193">
        <v>200</v>
      </c>
    </row>
    <row r="198" spans="1:14" x14ac:dyDescent="0.25">
      <c r="K198" s="6" t="s">
        <v>287</v>
      </c>
      <c r="L198" s="6"/>
      <c r="M198" s="6"/>
      <c r="N198" s="7">
        <f>365*GETPIVOTDATA(" NetPrem",$A201)/GETPIVOTDATA(" CapDays",A201)</f>
        <v>0.48568643724696359</v>
      </c>
    </row>
    <row r="199" spans="1:14" x14ac:dyDescent="0.25">
      <c r="A199" t="s">
        <v>24</v>
      </c>
      <c r="B199" s="5">
        <v>18</v>
      </c>
      <c r="K199" s="6" t="s">
        <v>289</v>
      </c>
      <c r="L199" s="6"/>
      <c r="M199" s="6"/>
      <c r="N199" s="49">
        <f>IF(GETPIVOTDATA(" Shares",A201)=0,"N/A",(GETPIVOTDATA(" BEcap",A201)-GETPIVOTDATA(" NetPrem",A201))/GETPIVOTDATA(" Shares",A201))</f>
        <v>63.356650000000002</v>
      </c>
    </row>
    <row r="200" spans="1:14" x14ac:dyDescent="0.25">
      <c r="K200" s="6" t="s">
        <v>292</v>
      </c>
      <c r="L200" s="6"/>
      <c r="M200" s="6"/>
      <c r="N200" s="49">
        <f>GETPIVOTDATA(" OpenCap",A201)</f>
        <v>26000</v>
      </c>
    </row>
    <row r="201" spans="1:14" x14ac:dyDescent="0.25">
      <c r="A201" s="29" t="s">
        <v>22</v>
      </c>
      <c r="B201" s="29" t="s">
        <v>26</v>
      </c>
      <c r="C201" s="29" t="s">
        <v>28</v>
      </c>
      <c r="D201" s="29" t="s">
        <v>52</v>
      </c>
      <c r="E201" s="29" t="s">
        <v>56</v>
      </c>
      <c r="F201" s="29" t="s">
        <v>46</v>
      </c>
      <c r="G201" s="29" t="s">
        <v>48</v>
      </c>
      <c r="H201" s="29" t="s">
        <v>50</v>
      </c>
      <c r="I201" s="29" t="s">
        <v>75</v>
      </c>
      <c r="J201" s="48" t="s">
        <v>293</v>
      </c>
      <c r="K201" t="s">
        <v>294</v>
      </c>
      <c r="L201" t="s">
        <v>295</v>
      </c>
      <c r="M201" t="s">
        <v>296</v>
      </c>
      <c r="N201" t="s">
        <v>297</v>
      </c>
    </row>
    <row r="202" spans="1:14" x14ac:dyDescent="0.25">
      <c r="A202" t="s">
        <v>259</v>
      </c>
      <c r="B202">
        <v>1</v>
      </c>
      <c r="C202" t="s">
        <v>30</v>
      </c>
      <c r="D202">
        <v>65</v>
      </c>
      <c r="E202">
        <v>2</v>
      </c>
      <c r="F202" s="2">
        <v>44316</v>
      </c>
      <c r="G202" t="s">
        <v>281</v>
      </c>
      <c r="H202" s="2">
        <v>44337</v>
      </c>
      <c r="I202" s="11">
        <v>21</v>
      </c>
      <c r="J202" s="48">
        <v>198.67</v>
      </c>
      <c r="K202">
        <v>273000</v>
      </c>
      <c r="L202">
        <v>13000</v>
      </c>
      <c r="M202">
        <v>13000</v>
      </c>
      <c r="N202">
        <v>200</v>
      </c>
    </row>
    <row r="203" spans="1:14" x14ac:dyDescent="0.25">
      <c r="A203" t="s">
        <v>261</v>
      </c>
      <c r="B203">
        <v>2</v>
      </c>
      <c r="C203" t="s">
        <v>30</v>
      </c>
      <c r="D203">
        <v>65</v>
      </c>
      <c r="E203">
        <v>2</v>
      </c>
      <c r="F203" s="2">
        <v>44320</v>
      </c>
      <c r="G203" t="s">
        <v>281</v>
      </c>
      <c r="H203" s="2">
        <v>44337</v>
      </c>
      <c r="I203" s="11">
        <v>17</v>
      </c>
      <c r="J203" s="48">
        <v>458.67</v>
      </c>
      <c r="K203">
        <v>221000</v>
      </c>
      <c r="L203">
        <v>13000</v>
      </c>
      <c r="M203">
        <v>13000</v>
      </c>
      <c r="N203">
        <v>200</v>
      </c>
    </row>
    <row r="204" spans="1:14" x14ac:dyDescent="0.25">
      <c r="A204" t="s">
        <v>284</v>
      </c>
      <c r="J204" s="48">
        <v>657.34</v>
      </c>
      <c r="K204">
        <v>494000</v>
      </c>
      <c r="L204">
        <v>26000</v>
      </c>
      <c r="M204">
        <v>26000</v>
      </c>
      <c r="N204">
        <v>400</v>
      </c>
    </row>
    <row r="209" spans="1:14" x14ac:dyDescent="0.25">
      <c r="K209" s="6" t="s">
        <v>287</v>
      </c>
      <c r="L209" s="6"/>
      <c r="M209" s="6"/>
      <c r="N209" s="7">
        <f>365*GETPIVOTDATA(" NetPrem",$A212)/GETPIVOTDATA(" CapDays",A212)</f>
        <v>1.3194344444444444</v>
      </c>
    </row>
    <row r="210" spans="1:14" x14ac:dyDescent="0.25">
      <c r="A210" t="s">
        <v>24</v>
      </c>
      <c r="B210" s="5">
        <v>19</v>
      </c>
      <c r="K210" s="6" t="s">
        <v>289</v>
      </c>
      <c r="L210" s="6"/>
      <c r="M210" s="6"/>
      <c r="N210" s="49" t="str">
        <f>IF(GETPIVOTDATA(" Shares",A212)=0,"N/A",(GETPIVOTDATA(" BEcap",A212)-GETPIVOTDATA(" NetPrem",A212))/GETPIVOTDATA(" Shares",A212))</f>
        <v>N/A</v>
      </c>
    </row>
    <row r="211" spans="1:14" x14ac:dyDescent="0.25">
      <c r="K211" s="6" t="s">
        <v>292</v>
      </c>
      <c r="L211" s="6"/>
      <c r="M211" s="6"/>
      <c r="N211" s="49">
        <f>GETPIVOTDATA(" OpenCap",A212)</f>
        <v>0</v>
      </c>
    </row>
    <row r="212" spans="1:14" x14ac:dyDescent="0.25">
      <c r="A212" s="29" t="s">
        <v>22</v>
      </c>
      <c r="B212" s="29" t="s">
        <v>26</v>
      </c>
      <c r="C212" s="29" t="s">
        <v>28</v>
      </c>
      <c r="D212" s="29" t="s">
        <v>52</v>
      </c>
      <c r="E212" s="29" t="s">
        <v>56</v>
      </c>
      <c r="F212" s="29" t="s">
        <v>46</v>
      </c>
      <c r="G212" s="29" t="s">
        <v>48</v>
      </c>
      <c r="H212" s="29" t="s">
        <v>50</v>
      </c>
      <c r="I212" s="29" t="s">
        <v>75</v>
      </c>
      <c r="J212" s="48" t="s">
        <v>293</v>
      </c>
      <c r="K212" t="s">
        <v>294</v>
      </c>
      <c r="L212" t="s">
        <v>295</v>
      </c>
      <c r="M212" t="s">
        <v>296</v>
      </c>
      <c r="N212" t="s">
        <v>297</v>
      </c>
    </row>
    <row r="213" spans="1:14" x14ac:dyDescent="0.25">
      <c r="A213" t="s">
        <v>262</v>
      </c>
      <c r="B213">
        <v>1</v>
      </c>
      <c r="C213" t="s">
        <v>30</v>
      </c>
      <c r="D213">
        <v>90</v>
      </c>
      <c r="E213">
        <v>2</v>
      </c>
      <c r="F213" s="2">
        <v>44322</v>
      </c>
      <c r="G213" s="2">
        <v>44326</v>
      </c>
      <c r="H213" s="2">
        <v>44365</v>
      </c>
      <c r="I213" s="11">
        <v>4</v>
      </c>
      <c r="J213" s="48">
        <v>498.67</v>
      </c>
      <c r="K213">
        <v>72000</v>
      </c>
      <c r="L213">
        <v>0</v>
      </c>
      <c r="M213">
        <v>0</v>
      </c>
      <c r="N213">
        <v>0</v>
      </c>
    </row>
    <row r="214" spans="1:14" x14ac:dyDescent="0.25">
      <c r="A214" t="s">
        <v>263</v>
      </c>
      <c r="B214">
        <v>2</v>
      </c>
      <c r="C214" t="s">
        <v>30</v>
      </c>
      <c r="D214">
        <v>90</v>
      </c>
      <c r="E214">
        <v>2</v>
      </c>
      <c r="F214" s="2">
        <v>44326</v>
      </c>
      <c r="G214" s="2">
        <v>44326</v>
      </c>
      <c r="H214" s="2">
        <v>44365</v>
      </c>
      <c r="I214" s="11">
        <v>1</v>
      </c>
      <c r="J214" s="48">
        <v>-173.33</v>
      </c>
      <c r="K214">
        <v>18000</v>
      </c>
      <c r="L214">
        <v>0</v>
      </c>
      <c r="M214">
        <v>0</v>
      </c>
      <c r="N214">
        <v>0</v>
      </c>
    </row>
    <row r="215" spans="1:14" x14ac:dyDescent="0.25">
      <c r="A215" t="s">
        <v>284</v>
      </c>
      <c r="J215" s="48">
        <v>325.33999999999997</v>
      </c>
      <c r="K215">
        <v>90000</v>
      </c>
      <c r="L215">
        <v>0</v>
      </c>
      <c r="M215">
        <v>0</v>
      </c>
      <c r="N215">
        <v>0</v>
      </c>
    </row>
    <row r="221" spans="1:14" x14ac:dyDescent="0.25">
      <c r="K221" s="6" t="s">
        <v>287</v>
      </c>
      <c r="L221" s="6"/>
      <c r="M221" s="6"/>
      <c r="N221" s="7">
        <f>365*GETPIVOTDATA(" NetPrem",$A224)/GETPIVOTDATA(" CapDays",A224)</f>
        <v>0.34348486394557826</v>
      </c>
    </row>
    <row r="222" spans="1:14" x14ac:dyDescent="0.25">
      <c r="A222" t="s">
        <v>24</v>
      </c>
      <c r="B222" s="5">
        <v>20</v>
      </c>
      <c r="K222" s="6" t="s">
        <v>289</v>
      </c>
      <c r="L222" s="6"/>
      <c r="M222" s="6"/>
      <c r="N222" s="49">
        <f>IF(GETPIVOTDATA(" Shares",A224)=0,"N/A",(GETPIVOTDATA(" BEcap",A224)-GETPIVOTDATA(" NetPrem",A224))/GETPIVOTDATA(" Shares",A224))</f>
        <v>20.446660000000001</v>
      </c>
    </row>
    <row r="223" spans="1:14" x14ac:dyDescent="0.25">
      <c r="K223" s="6" t="s">
        <v>292</v>
      </c>
      <c r="L223" s="6"/>
      <c r="M223" s="6"/>
      <c r="N223" s="49">
        <f>GETPIVOTDATA(" OpenCap",A224)</f>
        <v>21000</v>
      </c>
    </row>
    <row r="224" spans="1:14" x14ac:dyDescent="0.25">
      <c r="A224" s="29" t="s">
        <v>22</v>
      </c>
      <c r="B224" s="29" t="s">
        <v>26</v>
      </c>
      <c r="C224" s="29" t="s">
        <v>28</v>
      </c>
      <c r="D224" s="29" t="s">
        <v>52</v>
      </c>
      <c r="E224" s="29" t="s">
        <v>56</v>
      </c>
      <c r="F224" s="29" t="s">
        <v>46</v>
      </c>
      <c r="G224" s="29" t="s">
        <v>48</v>
      </c>
      <c r="H224" s="29" t="s">
        <v>50</v>
      </c>
      <c r="I224" s="29" t="s">
        <v>75</v>
      </c>
      <c r="J224" s="48" t="s">
        <v>293</v>
      </c>
      <c r="K224" t="s">
        <v>294</v>
      </c>
      <c r="L224" t="s">
        <v>295</v>
      </c>
      <c r="M224" t="s">
        <v>296</v>
      </c>
      <c r="N224" t="s">
        <v>297</v>
      </c>
    </row>
    <row r="225" spans="1:14" x14ac:dyDescent="0.25">
      <c r="A225" t="s">
        <v>264</v>
      </c>
      <c r="B225">
        <v>1</v>
      </c>
      <c r="C225" t="s">
        <v>30</v>
      </c>
      <c r="D225">
        <v>21</v>
      </c>
      <c r="E225">
        <v>10</v>
      </c>
      <c r="F225" s="2">
        <v>44323</v>
      </c>
      <c r="G225" t="s">
        <v>281</v>
      </c>
      <c r="H225" s="2">
        <v>44351</v>
      </c>
      <c r="I225" s="11">
        <v>28</v>
      </c>
      <c r="J225" s="48">
        <v>553.34</v>
      </c>
      <c r="K225">
        <v>588000</v>
      </c>
      <c r="L225">
        <v>21000</v>
      </c>
      <c r="M225">
        <v>21000</v>
      </c>
      <c r="N225">
        <v>1000</v>
      </c>
    </row>
    <row r="226" spans="1:14" x14ac:dyDescent="0.25">
      <c r="A226" t="s">
        <v>284</v>
      </c>
      <c r="J226" s="48">
        <v>553.34</v>
      </c>
      <c r="K226">
        <v>588000</v>
      </c>
      <c r="L226">
        <v>21000</v>
      </c>
      <c r="M226">
        <v>21000</v>
      </c>
      <c r="N226">
        <v>1000</v>
      </c>
    </row>
    <row r="233" spans="1:14" x14ac:dyDescent="0.25">
      <c r="K233" s="6" t="s">
        <v>287</v>
      </c>
      <c r="L233" s="6"/>
      <c r="M233" s="6"/>
      <c r="N233" s="7">
        <f>365*GETPIVOTDATA(" NetPrem",$A236)/GETPIVOTDATA(" CapDays",A236)</f>
        <v>0.61780305555555559</v>
      </c>
    </row>
    <row r="234" spans="1:14" x14ac:dyDescent="0.25">
      <c r="A234" t="s">
        <v>24</v>
      </c>
      <c r="B234" s="5">
        <v>21</v>
      </c>
      <c r="K234" s="6" t="s">
        <v>289</v>
      </c>
      <c r="L234" s="6"/>
      <c r="M234" s="6"/>
      <c r="N234" s="49">
        <f>IF(GETPIVOTDATA(" Shares",A236)=0,"N/A",(GETPIVOTDATA(" BEcap",A236)-GETPIVOTDATA(" NetPrem",A236))/GETPIVOTDATA(" Shares",A236))</f>
        <v>48.476649999999999</v>
      </c>
    </row>
    <row r="235" spans="1:14" x14ac:dyDescent="0.25">
      <c r="K235" s="6" t="s">
        <v>292</v>
      </c>
      <c r="L235" s="6"/>
      <c r="M235" s="6"/>
      <c r="N235" s="49">
        <f>GETPIVOTDATA(" OpenCap",A236)</f>
        <v>10000</v>
      </c>
    </row>
    <row r="236" spans="1:14" x14ac:dyDescent="0.25">
      <c r="A236" s="29" t="s">
        <v>22</v>
      </c>
      <c r="B236" s="29" t="s">
        <v>26</v>
      </c>
      <c r="C236" s="29" t="s">
        <v>28</v>
      </c>
      <c r="D236" s="29" t="s">
        <v>52</v>
      </c>
      <c r="E236" s="29" t="s">
        <v>56</v>
      </c>
      <c r="F236" s="29" t="s">
        <v>46</v>
      </c>
      <c r="G236" s="29" t="s">
        <v>48</v>
      </c>
      <c r="H236" s="29" t="s">
        <v>50</v>
      </c>
      <c r="I236" s="29" t="s">
        <v>75</v>
      </c>
      <c r="J236" s="48" t="s">
        <v>293</v>
      </c>
      <c r="K236" t="s">
        <v>294</v>
      </c>
      <c r="L236" t="s">
        <v>295</v>
      </c>
      <c r="M236" t="s">
        <v>296</v>
      </c>
      <c r="N236" t="s">
        <v>297</v>
      </c>
    </row>
    <row r="237" spans="1:14" x14ac:dyDescent="0.25">
      <c r="A237" t="s">
        <v>265</v>
      </c>
      <c r="B237">
        <v>1</v>
      </c>
      <c r="C237" t="s">
        <v>30</v>
      </c>
      <c r="D237">
        <v>50</v>
      </c>
      <c r="E237">
        <v>2</v>
      </c>
      <c r="F237" s="2">
        <v>44326</v>
      </c>
      <c r="G237" t="s">
        <v>281</v>
      </c>
      <c r="H237" s="2">
        <v>44344</v>
      </c>
      <c r="I237" s="11">
        <v>18</v>
      </c>
      <c r="J237" s="48">
        <v>304.67</v>
      </c>
      <c r="K237">
        <v>180000</v>
      </c>
      <c r="L237">
        <v>10000</v>
      </c>
      <c r="M237">
        <v>10000</v>
      </c>
      <c r="N237">
        <v>200</v>
      </c>
    </row>
    <row r="238" spans="1:14" x14ac:dyDescent="0.25">
      <c r="A238" t="s">
        <v>284</v>
      </c>
      <c r="J238" s="48">
        <v>304.67</v>
      </c>
      <c r="K238">
        <v>180000</v>
      </c>
      <c r="L238">
        <v>10000</v>
      </c>
      <c r="M238">
        <v>10000</v>
      </c>
      <c r="N238">
        <v>200</v>
      </c>
    </row>
    <row r="245" spans="1:14" x14ac:dyDescent="0.25">
      <c r="K245" s="6" t="s">
        <v>287</v>
      </c>
      <c r="L245" s="6"/>
      <c r="M245" s="6"/>
      <c r="N245" s="7">
        <f>365*GETPIVOTDATA(" NetPrem",$A248)/GETPIVOTDATA(" CapDays",A248)</f>
        <v>0.41175786564625849</v>
      </c>
    </row>
    <row r="246" spans="1:14" x14ac:dyDescent="0.25">
      <c r="A246" t="s">
        <v>24</v>
      </c>
      <c r="B246" s="5">
        <v>22</v>
      </c>
      <c r="K246" s="6" t="s">
        <v>289</v>
      </c>
      <c r="L246" s="6"/>
      <c r="M246" s="6"/>
      <c r="N246" s="49">
        <f>IF(GETPIVOTDATA(" Shares",A248)=0,"N/A",(GETPIVOTDATA(" BEcap",A248)-GETPIVOTDATA(" NetPrem",A248))/GETPIVOTDATA(" Shares",A248))</f>
        <v>23.836675</v>
      </c>
    </row>
    <row r="247" spans="1:14" x14ac:dyDescent="0.25">
      <c r="K247" s="6" t="s">
        <v>292</v>
      </c>
      <c r="L247" s="6"/>
      <c r="M247" s="6"/>
      <c r="N247" s="49">
        <f>GETPIVOTDATA(" OpenCap",A248)</f>
        <v>9800</v>
      </c>
    </row>
    <row r="248" spans="1:14" x14ac:dyDescent="0.25">
      <c r="A248" s="29" t="s">
        <v>22</v>
      </c>
      <c r="B248" s="29" t="s">
        <v>26</v>
      </c>
      <c r="C248" s="29" t="s">
        <v>28</v>
      </c>
      <c r="D248" s="29" t="s">
        <v>52</v>
      </c>
      <c r="E248" s="29" t="s">
        <v>56</v>
      </c>
      <c r="F248" s="29" t="s">
        <v>46</v>
      </c>
      <c r="G248" s="29" t="s">
        <v>48</v>
      </c>
      <c r="H248" s="29" t="s">
        <v>50</v>
      </c>
      <c r="I248" s="29" t="s">
        <v>75</v>
      </c>
      <c r="J248" s="48" t="s">
        <v>293</v>
      </c>
      <c r="K248" t="s">
        <v>294</v>
      </c>
      <c r="L248" t="s">
        <v>295</v>
      </c>
      <c r="M248" t="s">
        <v>296</v>
      </c>
      <c r="N248" t="s">
        <v>297</v>
      </c>
    </row>
    <row r="249" spans="1:14" x14ac:dyDescent="0.25">
      <c r="A249" t="s">
        <v>266</v>
      </c>
      <c r="B249">
        <v>1</v>
      </c>
      <c r="C249" t="s">
        <v>30</v>
      </c>
      <c r="D249">
        <v>24.5</v>
      </c>
      <c r="E249">
        <v>4</v>
      </c>
      <c r="F249" s="2">
        <v>44327</v>
      </c>
      <c r="G249" t="s">
        <v>281</v>
      </c>
      <c r="H249" s="2">
        <v>44351</v>
      </c>
      <c r="I249" s="11">
        <v>24</v>
      </c>
      <c r="J249" s="48">
        <v>265.33</v>
      </c>
      <c r="K249">
        <v>235200</v>
      </c>
      <c r="L249">
        <v>9800</v>
      </c>
      <c r="M249">
        <v>9800</v>
      </c>
      <c r="N249">
        <v>400</v>
      </c>
    </row>
    <row r="250" spans="1:14" x14ac:dyDescent="0.25">
      <c r="A250" t="s">
        <v>284</v>
      </c>
      <c r="J250" s="48">
        <v>265.33</v>
      </c>
      <c r="K250">
        <v>235200</v>
      </c>
      <c r="L250">
        <v>9800</v>
      </c>
      <c r="M250">
        <v>9800</v>
      </c>
      <c r="N250">
        <v>400</v>
      </c>
    </row>
    <row r="252" spans="1:14" x14ac:dyDescent="0.25">
      <c r="A252" t="s">
        <v>299</v>
      </c>
    </row>
    <row r="257" spans="1:14" x14ac:dyDescent="0.25">
      <c r="K257" s="6" t="s">
        <v>287</v>
      </c>
      <c r="L257" s="6"/>
      <c r="M257" s="6"/>
      <c r="N257" s="7">
        <f>365*GETPIVOTDATA(" NetPrem",$A260)/GETPIVOTDATA(" CapDays",A260)</f>
        <v>0.22541194196428571</v>
      </c>
    </row>
    <row r="258" spans="1:14" x14ac:dyDescent="0.25">
      <c r="A258" t="s">
        <v>24</v>
      </c>
      <c r="B258" s="5">
        <v>23</v>
      </c>
      <c r="K258" s="6" t="s">
        <v>289</v>
      </c>
      <c r="L258" s="6"/>
      <c r="M258" s="6"/>
      <c r="N258" s="49">
        <f>IF(GETPIVOTDATA(" Shares",A260)=0,"N/A",(GETPIVOTDATA(" BEcap",A260)-GETPIVOTDATA(" NetPrem",A260))/GETPIVOTDATA(" Shares",A260))</f>
        <v>68.616649999999993</v>
      </c>
    </row>
    <row r="259" spans="1:14" x14ac:dyDescent="0.25">
      <c r="K259" s="6" t="s">
        <v>292</v>
      </c>
      <c r="L259" s="6"/>
      <c r="M259" s="6"/>
      <c r="N259" s="49">
        <f>GETPIVOTDATA(" OpenCap",A260)</f>
        <v>14000</v>
      </c>
    </row>
    <row r="260" spans="1:14" x14ac:dyDescent="0.25">
      <c r="A260" s="29" t="s">
        <v>22</v>
      </c>
      <c r="B260" s="29" t="s">
        <v>26</v>
      </c>
      <c r="C260" s="29" t="s">
        <v>28</v>
      </c>
      <c r="D260" s="29" t="s">
        <v>52</v>
      </c>
      <c r="E260" s="29" t="s">
        <v>56</v>
      </c>
      <c r="F260" s="29" t="s">
        <v>46</v>
      </c>
      <c r="G260" s="29" t="s">
        <v>48</v>
      </c>
      <c r="H260" s="29" t="s">
        <v>50</v>
      </c>
      <c r="I260" s="29" t="s">
        <v>75</v>
      </c>
      <c r="J260" s="48" t="s">
        <v>293</v>
      </c>
      <c r="K260" t="s">
        <v>294</v>
      </c>
      <c r="L260" t="s">
        <v>295</v>
      </c>
      <c r="M260" t="s">
        <v>296</v>
      </c>
      <c r="N260" t="s">
        <v>297</v>
      </c>
    </row>
    <row r="261" spans="1:14" x14ac:dyDescent="0.25">
      <c r="A261" t="s">
        <v>268</v>
      </c>
      <c r="B261">
        <v>1</v>
      </c>
      <c r="C261" t="s">
        <v>30</v>
      </c>
      <c r="D261">
        <v>70</v>
      </c>
      <c r="E261">
        <v>2</v>
      </c>
      <c r="F261" s="2">
        <v>44333</v>
      </c>
      <c r="G261" t="s">
        <v>281</v>
      </c>
      <c r="H261" s="2">
        <v>44365</v>
      </c>
      <c r="I261" s="11">
        <v>32</v>
      </c>
      <c r="J261" s="48">
        <v>276.67</v>
      </c>
      <c r="K261">
        <v>448000</v>
      </c>
      <c r="L261">
        <v>14000</v>
      </c>
      <c r="M261">
        <v>14000</v>
      </c>
      <c r="N261">
        <v>200</v>
      </c>
    </row>
    <row r="262" spans="1:14" x14ac:dyDescent="0.25">
      <c r="A262" t="s">
        <v>284</v>
      </c>
      <c r="J262" s="48">
        <v>276.67</v>
      </c>
      <c r="K262">
        <v>448000</v>
      </c>
      <c r="L262">
        <v>14000</v>
      </c>
      <c r="M262">
        <v>14000</v>
      </c>
      <c r="N262">
        <v>200</v>
      </c>
    </row>
  </sheetData>
  <pageMargins left="0.7" right="0.7" top="0.75" bottom="0.75" header="0.3" footer="0.3"/>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G23"/>
  <sheetViews>
    <sheetView workbookViewId="0">
      <selection activeCell="B16" sqref="B16"/>
    </sheetView>
  </sheetViews>
  <sheetFormatPr defaultRowHeight="15" x14ac:dyDescent="0.25"/>
  <cols>
    <col min="1" max="1" width="10.42578125" style="51" customWidth="1"/>
    <col min="2" max="13" width="9.7109375" style="51" customWidth="1"/>
    <col min="14" max="14" width="11.28515625" style="51" customWidth="1"/>
    <col min="15" max="15" width="8.42578125" style="51" bestFit="1" customWidth="1"/>
    <col min="16" max="16" width="12.28515625" style="4" customWidth="1"/>
    <col min="17" max="17" width="8.42578125" style="51" bestFit="1" customWidth="1"/>
    <col min="18" max="18" width="12" style="10" customWidth="1"/>
    <col min="19" max="27" width="7.7109375" style="51" bestFit="1" customWidth="1"/>
    <col min="28" max="28" width="6.7109375" style="51" bestFit="1" customWidth="1"/>
    <col min="29" max="29" width="7.7109375" style="51" bestFit="1" customWidth="1"/>
    <col min="30" max="30" width="6.7109375" style="51" bestFit="1" customWidth="1"/>
    <col min="31" max="33" width="7.7109375" style="51" bestFit="1" customWidth="1"/>
    <col min="34" max="35" width="6.7109375" style="51" bestFit="1" customWidth="1"/>
    <col min="36" max="38" width="7.7109375" style="51" bestFit="1" customWidth="1"/>
    <col min="39" max="39" width="6.7109375" style="51" bestFit="1" customWidth="1"/>
    <col min="40" max="43" width="7.7109375" style="51" bestFit="1" customWidth="1"/>
    <col min="44" max="45" width="6.7109375" style="51" bestFit="1" customWidth="1"/>
    <col min="46" max="46" width="5.7109375" style="51" bestFit="1" customWidth="1"/>
    <col min="47" max="59" width="6.7109375" style="51" bestFit="1" customWidth="1"/>
    <col min="60" max="60" width="5.7109375" style="51" bestFit="1" customWidth="1"/>
    <col min="61" max="61" width="4" style="51" bestFit="1" customWidth="1"/>
    <col min="62" max="63" width="5" style="51" bestFit="1" customWidth="1"/>
    <col min="64" max="67" width="6" style="51" bestFit="1" customWidth="1"/>
    <col min="68" max="68" width="3" style="51" bestFit="1" customWidth="1"/>
    <col min="69" max="73" width="6" style="51" bestFit="1" customWidth="1"/>
    <col min="74" max="74" width="3" style="51" bestFit="1" customWidth="1"/>
    <col min="75" max="75" width="6" style="51" bestFit="1" customWidth="1"/>
    <col min="76" max="77" width="3" style="51" bestFit="1" customWidth="1"/>
    <col min="78" max="82" width="6" style="51" bestFit="1" customWidth="1"/>
    <col min="83" max="84" width="3" style="51" bestFit="1" customWidth="1"/>
    <col min="85" max="86" width="6" style="51" bestFit="1" customWidth="1"/>
    <col min="87" max="87" width="3" style="51" bestFit="1" customWidth="1"/>
    <col min="88" max="93" width="6" style="51" bestFit="1" customWidth="1"/>
    <col min="94" max="95" width="5" style="51" bestFit="1" customWidth="1"/>
    <col min="96" max="99" width="6" style="51" bestFit="1" customWidth="1"/>
    <col min="100" max="100" width="3" style="51" bestFit="1" customWidth="1"/>
    <col min="101" max="101" width="6" style="51" bestFit="1" customWidth="1"/>
    <col min="102" max="102" width="3" style="51" bestFit="1" customWidth="1"/>
    <col min="103" max="103" width="5" style="51" bestFit="1" customWidth="1"/>
    <col min="104" max="107" width="6" style="51" bestFit="1" customWidth="1"/>
    <col min="108" max="108" width="3" style="51" bestFit="1" customWidth="1"/>
    <col min="109" max="109" width="6" style="51" bestFit="1" customWidth="1"/>
    <col min="110" max="110" width="3" style="51" bestFit="1" customWidth="1"/>
    <col min="111" max="119" width="6" style="51" bestFit="1" customWidth="1"/>
    <col min="120" max="120" width="3" style="51" bestFit="1" customWidth="1"/>
    <col min="121" max="122" width="6" style="51" bestFit="1" customWidth="1"/>
    <col min="123" max="124" width="3" style="51" bestFit="1" customWidth="1"/>
    <col min="125" max="133" width="6" style="51" bestFit="1" customWidth="1"/>
    <col min="134" max="138" width="7" style="51" bestFit="1" customWidth="1"/>
    <col min="139" max="139" width="4" style="51" bestFit="1" customWidth="1"/>
    <col min="140" max="167" width="7" style="51" bestFit="1" customWidth="1"/>
    <col min="168" max="168" width="6" style="51" bestFit="1" customWidth="1"/>
    <col min="169" max="174" width="7" style="51" bestFit="1" customWidth="1"/>
    <col min="175" max="175" width="4" style="51" bestFit="1" customWidth="1"/>
    <col min="176" max="183" width="7" style="51" bestFit="1" customWidth="1"/>
    <col min="184" max="184" width="6" style="51" bestFit="1" customWidth="1"/>
    <col min="185" max="185" width="7" style="51" bestFit="1" customWidth="1"/>
    <col min="186" max="186" width="6" style="51" bestFit="1" customWidth="1"/>
    <col min="187" max="190" width="7" style="51" bestFit="1" customWidth="1"/>
    <col min="191" max="191" width="6" style="51" bestFit="1" customWidth="1"/>
    <col min="192" max="212" width="7" style="51" bestFit="1" customWidth="1"/>
    <col min="213" max="213" width="6" style="51" bestFit="1" customWidth="1"/>
    <col min="214" max="230" width="7" style="51" bestFit="1" customWidth="1"/>
    <col min="231" max="240" width="8" style="51" bestFit="1" customWidth="1"/>
    <col min="241" max="241" width="10.42578125" style="51" bestFit="1" customWidth="1"/>
    <col min="242" max="242" width="11.28515625" style="51" bestFit="1" customWidth="1"/>
    <col min="243" max="243" width="10.42578125" style="51" bestFit="1" customWidth="1"/>
    <col min="244" max="244" width="7.85546875" style="51" bestFit="1" customWidth="1"/>
    <col min="245" max="245" width="10.42578125" style="51" bestFit="1" customWidth="1"/>
    <col min="246" max="246" width="7.85546875" style="51" bestFit="1" customWidth="1"/>
    <col min="247" max="247" width="10.42578125" style="51" bestFit="1" customWidth="1"/>
    <col min="248" max="248" width="7.85546875" style="51" bestFit="1" customWidth="1"/>
    <col min="249" max="249" width="10.42578125" style="51" bestFit="1" customWidth="1"/>
    <col min="250" max="250" width="7.85546875" style="51" bestFit="1" customWidth="1"/>
    <col min="251" max="251" width="10.42578125" style="51" bestFit="1" customWidth="1"/>
    <col min="252" max="252" width="7.85546875" style="51" bestFit="1" customWidth="1"/>
    <col min="253" max="253" width="10.42578125" style="51" bestFit="1" customWidth="1"/>
    <col min="254" max="254" width="7.85546875" style="51" bestFit="1" customWidth="1"/>
    <col min="255" max="255" width="10.42578125" style="51" bestFit="1" customWidth="1"/>
    <col min="256" max="256" width="4.85546875" style="51" bestFit="1" customWidth="1"/>
    <col min="257" max="258" width="7.85546875" style="51" bestFit="1" customWidth="1"/>
    <col min="259" max="259" width="10.42578125" style="51" bestFit="1" customWidth="1"/>
    <col min="260" max="260" width="7.85546875" style="51" bestFit="1" customWidth="1"/>
    <col min="261" max="261" width="10.42578125" style="51" bestFit="1" customWidth="1"/>
    <col min="262" max="262" width="7.85546875" style="51" bestFit="1" customWidth="1"/>
    <col min="263" max="263" width="10.42578125" style="51" bestFit="1" customWidth="1"/>
    <col min="264" max="264" width="4.85546875" style="51" bestFit="1" customWidth="1"/>
    <col min="265" max="265" width="7.85546875" style="51" bestFit="1" customWidth="1"/>
    <col min="266" max="266" width="4.85546875" style="51" bestFit="1" customWidth="1"/>
    <col min="267" max="268" width="7.85546875" style="51" bestFit="1" customWidth="1"/>
    <col min="269" max="269" width="10.42578125" style="51" bestFit="1" customWidth="1"/>
    <col min="270" max="270" width="7.85546875" style="51" bestFit="1" customWidth="1"/>
    <col min="271" max="271" width="10.42578125" style="51" bestFit="1" customWidth="1"/>
    <col min="272" max="272" width="7.85546875" style="51" bestFit="1" customWidth="1"/>
    <col min="273" max="273" width="10.42578125" style="51" bestFit="1" customWidth="1"/>
    <col min="274" max="274" width="7.85546875" style="51" bestFit="1" customWidth="1"/>
    <col min="275" max="275" width="10.42578125" style="51" bestFit="1" customWidth="1"/>
    <col min="276" max="276" width="7.85546875" style="51" bestFit="1" customWidth="1"/>
    <col min="277" max="277" width="10.42578125" style="51" bestFit="1" customWidth="1"/>
    <col min="278" max="278" width="7.85546875" style="51" bestFit="1" customWidth="1"/>
    <col min="279" max="279" width="10.42578125" style="51" bestFit="1" customWidth="1"/>
    <col min="280" max="280" width="7.85546875" style="51" bestFit="1" customWidth="1"/>
    <col min="281" max="281" width="10.42578125" style="51" bestFit="1" customWidth="1"/>
    <col min="282" max="282" width="7.85546875" style="51" bestFit="1" customWidth="1"/>
    <col min="283" max="283" width="10.42578125" style="51" bestFit="1" customWidth="1"/>
    <col min="284" max="284" width="7.85546875" style="51" bestFit="1" customWidth="1"/>
    <col min="285" max="285" width="10.42578125" style="51" bestFit="1" customWidth="1"/>
    <col min="286" max="286" width="8.85546875" style="51" bestFit="1" customWidth="1"/>
    <col min="287" max="287" width="11.42578125" style="51" bestFit="1" customWidth="1"/>
    <col min="288" max="288" width="8.85546875" style="51" bestFit="1" customWidth="1"/>
    <col min="289" max="289" width="11.42578125" style="51" bestFit="1" customWidth="1"/>
    <col min="290" max="290" width="8.85546875" style="51" bestFit="1" customWidth="1"/>
    <col min="291" max="291" width="11.42578125" style="51" bestFit="1" customWidth="1"/>
    <col min="292" max="292" width="8.85546875" style="51" bestFit="1" customWidth="1"/>
    <col min="293" max="293" width="11.42578125" style="51" bestFit="1" customWidth="1"/>
    <col min="294" max="294" width="8.85546875" style="51" bestFit="1" customWidth="1"/>
    <col min="295" max="295" width="11.42578125" style="51" bestFit="1" customWidth="1"/>
    <col min="296" max="296" width="8.85546875" style="51" bestFit="1" customWidth="1"/>
    <col min="297" max="297" width="11.42578125" style="51" bestFit="1" customWidth="1"/>
    <col min="298" max="298" width="5.85546875" style="51" bestFit="1" customWidth="1"/>
    <col min="299" max="300" width="8.85546875" style="51" bestFit="1" customWidth="1"/>
    <col min="301" max="301" width="11.42578125" style="51" bestFit="1" customWidth="1"/>
    <col min="302" max="302" width="8.85546875" style="51" bestFit="1" customWidth="1"/>
    <col min="303" max="303" width="11.42578125" style="51" bestFit="1" customWidth="1"/>
    <col min="304" max="304" width="8.85546875" style="51" bestFit="1" customWidth="1"/>
    <col min="305" max="305" width="11.42578125" style="51" bestFit="1" customWidth="1"/>
    <col min="306" max="306" width="8.85546875" style="51" bestFit="1" customWidth="1"/>
    <col min="307" max="307" width="11.42578125" style="51" bestFit="1" customWidth="1"/>
    <col min="308" max="308" width="8.85546875" style="51" bestFit="1" customWidth="1"/>
    <col min="309" max="309" width="11.42578125" style="51" bestFit="1" customWidth="1"/>
    <col min="310" max="310" width="8.85546875" style="51" bestFit="1" customWidth="1"/>
    <col min="311" max="311" width="11.42578125" style="51" bestFit="1" customWidth="1"/>
    <col min="312" max="312" width="8.85546875" style="51" bestFit="1" customWidth="1"/>
    <col min="313" max="313" width="11.42578125" style="51" bestFit="1" customWidth="1"/>
    <col min="314" max="314" width="8.85546875" style="51" bestFit="1" customWidth="1"/>
    <col min="315" max="315" width="11.42578125" style="51" bestFit="1" customWidth="1"/>
    <col min="316" max="316" width="8.85546875" style="51" bestFit="1" customWidth="1"/>
    <col min="317" max="317" width="11.42578125" style="51" bestFit="1" customWidth="1"/>
    <col min="318" max="318" width="8.85546875" style="51" bestFit="1" customWidth="1"/>
    <col min="319" max="319" width="11.42578125" style="51" bestFit="1" customWidth="1"/>
    <col min="320" max="320" width="8.85546875" style="51" bestFit="1" customWidth="1"/>
    <col min="321" max="321" width="11.42578125" style="51" bestFit="1" customWidth="1"/>
    <col min="322" max="322" width="8.85546875" style="51" bestFit="1" customWidth="1"/>
    <col min="323" max="323" width="11.42578125" style="51" bestFit="1" customWidth="1"/>
    <col min="324" max="324" width="8.85546875" style="51" bestFit="1" customWidth="1"/>
    <col min="325" max="325" width="11.42578125" style="51" bestFit="1" customWidth="1"/>
    <col min="326" max="326" width="8.85546875" style="51" bestFit="1" customWidth="1"/>
    <col min="327" max="327" width="11.42578125" style="51" bestFit="1" customWidth="1"/>
    <col min="328" max="328" width="8.85546875" style="51" bestFit="1" customWidth="1"/>
    <col min="329" max="329" width="11.42578125" style="51" bestFit="1" customWidth="1"/>
    <col min="330" max="330" width="8.85546875" style="51" bestFit="1" customWidth="1"/>
    <col min="331" max="331" width="11.42578125" style="51" bestFit="1" customWidth="1"/>
    <col min="332" max="332" width="8.85546875" style="51" bestFit="1" customWidth="1"/>
    <col min="333" max="333" width="11.42578125" style="51" bestFit="1" customWidth="1"/>
    <col min="334" max="334" width="8.85546875" style="51" bestFit="1" customWidth="1"/>
    <col min="335" max="335" width="11.42578125" style="51" bestFit="1" customWidth="1"/>
    <col min="336" max="336" width="8.85546875" style="51" bestFit="1" customWidth="1"/>
    <col min="337" max="337" width="11.42578125" style="51" bestFit="1" customWidth="1"/>
    <col min="338" max="338" width="8.85546875" style="51" bestFit="1" customWidth="1"/>
    <col min="339" max="339" width="11.42578125" style="51" bestFit="1" customWidth="1"/>
    <col min="340" max="340" width="8.85546875" style="51" bestFit="1" customWidth="1"/>
    <col min="341" max="341" width="11.42578125" style="51" bestFit="1" customWidth="1"/>
    <col min="342" max="342" width="8.85546875" style="51" bestFit="1" customWidth="1"/>
    <col min="343" max="343" width="11.42578125" style="51" bestFit="1" customWidth="1"/>
    <col min="344" max="344" width="8.85546875" style="51" bestFit="1" customWidth="1"/>
    <col min="345" max="345" width="11.42578125" style="51" bestFit="1" customWidth="1"/>
    <col min="346" max="346" width="8.85546875" style="51" bestFit="1" customWidth="1"/>
    <col min="348" max="348" width="11.42578125" style="51" bestFit="1" customWidth="1"/>
    <col min="349" max="349" width="8.85546875" style="51" bestFit="1" customWidth="1"/>
    <col min="350" max="350" width="11.42578125" style="51" bestFit="1" customWidth="1"/>
    <col min="351" max="351" width="8.85546875" style="51" bestFit="1" customWidth="1"/>
    <col min="352" max="352" width="11.42578125" style="51" bestFit="1" customWidth="1"/>
    <col min="353" max="353" width="8.85546875" style="51" bestFit="1" customWidth="1"/>
    <col min="354" max="354" width="11.42578125" style="51" bestFit="1" customWidth="1"/>
    <col min="355" max="355" width="8.85546875" style="51" bestFit="1" customWidth="1"/>
    <col min="356" max="356" width="11.42578125" style="51" bestFit="1" customWidth="1"/>
    <col min="357" max="357" width="8.85546875" style="51" bestFit="1" customWidth="1"/>
    <col min="358" max="358" width="11.42578125" style="51" bestFit="1" customWidth="1"/>
    <col min="359" max="359" width="8.85546875" style="51" bestFit="1" customWidth="1"/>
    <col min="360" max="360" width="11.42578125" style="51" bestFit="1" customWidth="1"/>
    <col min="361" max="361" width="7.85546875" style="51" bestFit="1" customWidth="1"/>
    <col min="362" max="362" width="10.42578125" style="51" bestFit="1" customWidth="1"/>
    <col min="363" max="363" width="8.85546875" style="51" bestFit="1" customWidth="1"/>
    <col min="364" max="364" width="11.42578125" style="51" bestFit="1" customWidth="1"/>
    <col min="365" max="365" width="8.85546875" style="51" bestFit="1" customWidth="1"/>
    <col min="366" max="366" width="11.42578125" style="51" bestFit="1" customWidth="1"/>
    <col min="367" max="367" width="8.85546875" style="51" bestFit="1" customWidth="1"/>
    <col min="368" max="368" width="11.42578125" style="51" bestFit="1" customWidth="1"/>
    <col min="369" max="369" width="8.85546875" style="51" bestFit="1" customWidth="1"/>
    <col min="370" max="370" width="11.42578125" style="51" bestFit="1" customWidth="1"/>
    <col min="371" max="371" width="8.85546875" style="51" bestFit="1" customWidth="1"/>
    <col min="372" max="372" width="11.42578125" style="51" bestFit="1" customWidth="1"/>
    <col min="373" max="373" width="8.85546875" style="51" bestFit="1" customWidth="1"/>
    <col min="374" max="374" width="11.42578125" style="51" bestFit="1" customWidth="1"/>
    <col min="375" max="375" width="8.85546875" style="51" bestFit="1" customWidth="1"/>
    <col min="376" max="376" width="11.42578125" style="51" bestFit="1" customWidth="1"/>
    <col min="377" max="377" width="5.85546875" style="51" bestFit="1" customWidth="1"/>
    <col min="378" max="379" width="8.85546875" style="51" bestFit="1" customWidth="1"/>
    <col min="380" max="380" width="11.42578125" style="51" bestFit="1" customWidth="1"/>
    <col min="381" max="381" width="8.85546875" style="51" bestFit="1" customWidth="1"/>
    <col min="382" max="382" width="11.42578125" style="51" bestFit="1" customWidth="1"/>
    <col min="383" max="383" width="8.85546875" style="51" bestFit="1" customWidth="1"/>
    <col min="384" max="384" width="11.42578125" style="51" bestFit="1" customWidth="1"/>
    <col min="385" max="385" width="8.85546875" style="51" bestFit="1" customWidth="1"/>
    <col min="386" max="386" width="11.42578125" style="51" bestFit="1" customWidth="1"/>
    <col min="387" max="387" width="8.85546875" style="51" bestFit="1" customWidth="1"/>
    <col min="388" max="388" width="11.42578125" style="51" bestFit="1" customWidth="1"/>
    <col min="389" max="389" width="8.85546875" style="51" bestFit="1" customWidth="1"/>
    <col min="390" max="390" width="11.42578125" style="51" bestFit="1" customWidth="1"/>
    <col min="391" max="391" width="8.85546875" style="51" bestFit="1" customWidth="1"/>
    <col min="392" max="392" width="11.42578125" style="51" bestFit="1" customWidth="1"/>
    <col min="393" max="393" width="8.85546875" style="51" bestFit="1" customWidth="1"/>
    <col min="394" max="394" width="11.42578125" style="51" bestFit="1" customWidth="1"/>
    <col min="395" max="395" width="8.85546875" style="51" bestFit="1" customWidth="1"/>
    <col min="396" max="396" width="11.42578125" style="51" bestFit="1" customWidth="1"/>
    <col min="397" max="397" width="7.85546875" style="51" bestFit="1" customWidth="1"/>
    <col min="398" max="398" width="10.42578125" style="51" bestFit="1" customWidth="1"/>
    <col min="399" max="399" width="8.85546875" style="51" bestFit="1" customWidth="1"/>
    <col min="400" max="400" width="11.42578125" style="51" bestFit="1" customWidth="1"/>
    <col min="401" max="401" width="7.85546875" style="51" bestFit="1" customWidth="1"/>
    <col min="402" max="402" width="10.42578125" style="51" bestFit="1" customWidth="1"/>
    <col min="403" max="403" width="8.85546875" style="51" bestFit="1" customWidth="1"/>
    <col min="404" max="404" width="11.42578125" style="51" bestFit="1" customWidth="1"/>
    <col min="405" max="405" width="8.85546875" style="51" bestFit="1" customWidth="1"/>
    <col min="406" max="406" width="11.42578125" style="51" bestFit="1" customWidth="1"/>
    <col min="407" max="407" width="8.85546875" style="51" bestFit="1" customWidth="1"/>
    <col min="408" max="408" width="11.42578125" style="51" bestFit="1" customWidth="1"/>
    <col min="409" max="409" width="8.85546875" style="51" bestFit="1" customWidth="1"/>
    <col min="410" max="410" width="11.42578125" style="51" bestFit="1" customWidth="1"/>
    <col min="411" max="411" width="7.85546875" style="51" bestFit="1" customWidth="1"/>
    <col min="412" max="412" width="10.42578125" style="51" bestFit="1" customWidth="1"/>
    <col min="413" max="413" width="8.85546875" style="51" bestFit="1" customWidth="1"/>
    <col min="414" max="414" width="11.42578125" style="51" bestFit="1" customWidth="1"/>
    <col min="415" max="415" width="8.85546875" style="51" bestFit="1" customWidth="1"/>
    <col min="416" max="416" width="11.42578125" style="51" bestFit="1" customWidth="1"/>
    <col min="417" max="417" width="8.85546875" style="51" bestFit="1" customWidth="1"/>
    <col min="418" max="418" width="11.42578125" style="51" bestFit="1" customWidth="1"/>
    <col min="419" max="419" width="8.85546875" style="51" bestFit="1" customWidth="1"/>
    <col min="420" max="420" width="11.42578125" style="51" bestFit="1" customWidth="1"/>
    <col min="421" max="421" width="8.85546875" style="51" bestFit="1" customWidth="1"/>
    <col min="422" max="422" width="11.42578125" style="51" bestFit="1" customWidth="1"/>
    <col min="423" max="423" width="8.85546875" style="51" bestFit="1" customWidth="1"/>
    <col min="424" max="424" width="11.42578125" style="51" bestFit="1" customWidth="1"/>
    <col min="425" max="425" width="8.85546875" style="51" bestFit="1" customWidth="1"/>
    <col min="426" max="426" width="11.42578125" style="51" bestFit="1" customWidth="1"/>
    <col min="427" max="427" width="8.85546875" style="51" bestFit="1" customWidth="1"/>
    <col min="428" max="428" width="11.42578125" style="51" bestFit="1" customWidth="1"/>
    <col min="429" max="429" width="8.85546875" style="51" bestFit="1" customWidth="1"/>
    <col min="430" max="430" width="11.42578125" style="51" bestFit="1" customWidth="1"/>
    <col min="431" max="431" width="8.85546875" style="51" bestFit="1" customWidth="1"/>
    <col min="432" max="432" width="11.42578125" style="51" bestFit="1" customWidth="1"/>
    <col min="433" max="433" width="8.85546875" style="51" bestFit="1" customWidth="1"/>
    <col min="434" max="434" width="11.42578125" style="51" bestFit="1" customWidth="1"/>
    <col min="435" max="435" width="8.85546875" style="51" bestFit="1" customWidth="1"/>
    <col min="436" max="436" width="11.42578125" style="51" bestFit="1" customWidth="1"/>
    <col min="437" max="437" width="8.85546875" style="51" bestFit="1" customWidth="1"/>
    <col min="438" max="438" width="11.42578125" style="51" bestFit="1" customWidth="1"/>
    <col min="439" max="439" width="8.85546875" style="51" bestFit="1" customWidth="1"/>
    <col min="440" max="440" width="11.42578125" style="51" bestFit="1" customWidth="1"/>
    <col min="441" max="441" width="8.85546875" style="51" bestFit="1" customWidth="1"/>
    <col min="442" max="442" width="11.42578125" style="51" bestFit="1" customWidth="1"/>
    <col min="443" max="443" width="8.85546875" style="51" bestFit="1" customWidth="1"/>
    <col min="444" max="444" width="11.42578125" style="51" bestFit="1" customWidth="1"/>
    <col min="445" max="445" width="8.85546875" style="51" bestFit="1" customWidth="1"/>
    <col min="446" max="446" width="11.42578125" style="51" bestFit="1" customWidth="1"/>
    <col min="447" max="447" width="8.85546875" style="51" bestFit="1" customWidth="1"/>
    <col min="448" max="448" width="11.42578125" style="51" bestFit="1" customWidth="1"/>
    <col min="449" max="449" width="8.85546875" style="51" bestFit="1" customWidth="1"/>
    <col min="450" max="450" width="11.42578125" style="51" bestFit="1" customWidth="1"/>
    <col min="451" max="451" width="8.85546875" style="51" bestFit="1" customWidth="1"/>
    <col min="452" max="452" width="11.42578125" style="51" bestFit="1" customWidth="1"/>
    <col min="453" max="453" width="8.85546875" style="51" bestFit="1" customWidth="1"/>
    <col min="454" max="454" width="11.42578125" style="51" bestFit="1" customWidth="1"/>
    <col min="455" max="455" width="8.85546875" style="51" bestFit="1" customWidth="1"/>
    <col min="456" max="456" width="11.42578125" style="51" bestFit="1" customWidth="1"/>
    <col min="457" max="457" width="8.85546875" style="51" bestFit="1" customWidth="1"/>
    <col min="458" max="458" width="11.42578125" style="51" bestFit="1" customWidth="1"/>
    <col min="459" max="459" width="8.85546875" style="51" bestFit="1" customWidth="1"/>
    <col min="460" max="460" width="11.42578125" style="51" bestFit="1" customWidth="1"/>
    <col min="461" max="461" width="8.85546875" style="51" bestFit="1" customWidth="1"/>
    <col min="462" max="462" width="11.42578125" style="51" bestFit="1" customWidth="1"/>
    <col min="463" max="463" width="7.85546875" style="51" bestFit="1" customWidth="1"/>
    <col min="464" max="464" width="10.42578125" style="51" bestFit="1" customWidth="1"/>
    <col min="465" max="465" width="8.85546875" style="51" bestFit="1" customWidth="1"/>
    <col min="466" max="466" width="11.42578125" style="51" bestFit="1" customWidth="1"/>
    <col min="467" max="467" width="8.85546875" style="51" bestFit="1" customWidth="1"/>
    <col min="468" max="468" width="11.42578125" style="51" bestFit="1" customWidth="1"/>
    <col min="469" max="469" width="8.85546875" style="51" bestFit="1" customWidth="1"/>
    <col min="470" max="470" width="11.42578125" style="51" bestFit="1" customWidth="1"/>
    <col min="471" max="471" width="8.85546875" style="51" bestFit="1" customWidth="1"/>
    <col min="472" max="472" width="11.42578125" style="51" bestFit="1" customWidth="1"/>
    <col min="473" max="473" width="8.85546875" style="51" bestFit="1" customWidth="1"/>
    <col min="474" max="474" width="11.42578125" style="51" bestFit="1" customWidth="1"/>
    <col min="475" max="475" width="8.85546875" style="51" bestFit="1" customWidth="1"/>
    <col min="476" max="476" width="11.42578125" style="51" bestFit="1" customWidth="1"/>
    <col min="477" max="477" width="8.85546875" style="51" bestFit="1" customWidth="1"/>
    <col min="478" max="478" width="11.42578125" style="51" bestFit="1" customWidth="1"/>
    <col min="479" max="479" width="8.85546875" style="51" bestFit="1" customWidth="1"/>
    <col min="480" max="480" width="11.42578125" style="51" bestFit="1" customWidth="1"/>
    <col min="481" max="481" width="8.85546875" style="51" bestFit="1" customWidth="1"/>
    <col min="482" max="482" width="11.42578125" style="51" bestFit="1" customWidth="1"/>
    <col min="483" max="483" width="8.85546875" style="51" bestFit="1" customWidth="1"/>
    <col min="484" max="484" width="11.42578125" style="51" bestFit="1" customWidth="1"/>
    <col min="485" max="485" width="8.85546875" style="51" bestFit="1" customWidth="1"/>
    <col min="486" max="486" width="11.42578125" style="51" bestFit="1" customWidth="1"/>
    <col min="487" max="487" width="8.85546875" style="51" bestFit="1" customWidth="1"/>
    <col min="488" max="488" width="11.42578125" style="51" bestFit="1" customWidth="1"/>
    <col min="489" max="489" width="8.85546875" style="51" bestFit="1" customWidth="1"/>
    <col min="490" max="490" width="11.42578125" style="51" bestFit="1" customWidth="1"/>
    <col min="491" max="491" width="8.85546875" style="51" bestFit="1" customWidth="1"/>
    <col min="492" max="492" width="11.42578125" style="51" bestFit="1" customWidth="1"/>
    <col min="493" max="493" width="8.85546875" style="51" bestFit="1" customWidth="1"/>
    <col min="494" max="494" width="11.42578125" style="51" bestFit="1" customWidth="1"/>
    <col min="495" max="495" width="8.85546875" style="51" bestFit="1" customWidth="1"/>
    <col min="496" max="496" width="11.42578125" style="51" bestFit="1" customWidth="1"/>
    <col min="497" max="497" width="8.85546875" style="51" bestFit="1" customWidth="1"/>
    <col min="498" max="498" width="11.42578125" style="51" bestFit="1" customWidth="1"/>
    <col min="499" max="499" width="8.85546875" style="51" bestFit="1" customWidth="1"/>
    <col min="500" max="500" width="11.42578125" style="51" bestFit="1" customWidth="1"/>
    <col min="501" max="501" width="8.85546875" style="51" bestFit="1" customWidth="1"/>
    <col min="502" max="502" width="11.42578125" style="51" bestFit="1" customWidth="1"/>
    <col min="503" max="503" width="9.85546875" style="51" bestFit="1" customWidth="1"/>
    <col min="504" max="504" width="12.42578125" style="51" bestFit="1" customWidth="1"/>
    <col min="505" max="505" width="9.85546875" style="51" bestFit="1" customWidth="1"/>
    <col min="506" max="506" width="12.42578125" style="51" bestFit="1" customWidth="1"/>
    <col min="507" max="507" width="9.85546875" style="51" bestFit="1" customWidth="1"/>
    <col min="508" max="508" width="12.42578125" style="51" bestFit="1" customWidth="1"/>
    <col min="509" max="509" width="9.85546875" style="51" bestFit="1" customWidth="1"/>
    <col min="510" max="510" width="12.42578125" style="51" bestFit="1" customWidth="1"/>
    <col min="511" max="511" width="9.85546875" style="51" bestFit="1" customWidth="1"/>
    <col min="512" max="512" width="12.42578125" style="51" bestFit="1" customWidth="1"/>
    <col min="513" max="513" width="9.85546875" style="51" bestFit="1" customWidth="1"/>
    <col min="514" max="514" width="12.42578125" style="51" bestFit="1" customWidth="1"/>
    <col min="515" max="515" width="9.85546875" style="51" bestFit="1" customWidth="1"/>
    <col min="516" max="516" width="12.42578125" style="51" bestFit="1" customWidth="1"/>
    <col min="517" max="517" width="9.85546875" style="51" bestFit="1" customWidth="1"/>
    <col min="518" max="518" width="12.42578125" style="51" bestFit="1" customWidth="1"/>
    <col min="519" max="519" width="9.85546875" style="51" bestFit="1" customWidth="1"/>
    <col min="520" max="520" width="12.42578125" style="51" bestFit="1" customWidth="1"/>
    <col min="521" max="521" width="9.85546875" style="51" bestFit="1" customWidth="1"/>
    <col min="522" max="522" width="12.42578125" style="51" bestFit="1" customWidth="1"/>
    <col min="523" max="523" width="9.85546875" style="51" bestFit="1" customWidth="1"/>
    <col min="524" max="524" width="12.42578125" style="51" bestFit="1" customWidth="1"/>
    <col min="526" max="526" width="5.85546875" style="51" bestFit="1" customWidth="1"/>
    <col min="527" max="527" width="11.28515625" style="51" bestFit="1" customWidth="1"/>
  </cols>
  <sheetData>
    <row r="1" spans="1:18" x14ac:dyDescent="0.25">
      <c r="A1" t="s">
        <v>300</v>
      </c>
    </row>
    <row r="2" spans="1:18" x14ac:dyDescent="0.25">
      <c r="A2" t="s">
        <v>301</v>
      </c>
    </row>
    <row r="3" spans="1:18" s="8" customFormat="1" x14ac:dyDescent="0.25">
      <c r="R3" s="9"/>
    </row>
    <row r="4" spans="1:18" x14ac:dyDescent="0.25">
      <c r="A4" t="s">
        <v>302</v>
      </c>
    </row>
    <row r="5" spans="1:18" x14ac:dyDescent="0.25">
      <c r="A5" t="s">
        <v>303</v>
      </c>
    </row>
    <row r="7" spans="1:18" x14ac:dyDescent="0.25">
      <c r="A7" s="36" t="s">
        <v>304</v>
      </c>
      <c r="D7" t="s">
        <v>305</v>
      </c>
    </row>
    <row r="8" spans="1:18" x14ac:dyDescent="0.25">
      <c r="A8" s="36">
        <f ca="1">TODAY()</f>
        <v>44373</v>
      </c>
      <c r="D8" s="37"/>
      <c r="E8" t="s">
        <v>306</v>
      </c>
    </row>
    <row r="9" spans="1:18" x14ac:dyDescent="0.25">
      <c r="A9" s="36"/>
      <c r="D9" s="36"/>
    </row>
    <row r="11" spans="1:18" ht="30" customHeight="1" x14ac:dyDescent="0.25">
      <c r="A11" s="8" t="s">
        <v>307</v>
      </c>
      <c r="B11" s="8" t="s">
        <v>308</v>
      </c>
      <c r="C11" s="8" t="s">
        <v>309</v>
      </c>
      <c r="D11" s="8" t="s">
        <v>310</v>
      </c>
      <c r="E11" s="8"/>
      <c r="H11" s="29"/>
      <c r="I11" s="29"/>
      <c r="J11" s="29"/>
      <c r="K11" s="29"/>
      <c r="L11" s="29"/>
    </row>
    <row r="12" spans="1:18" x14ac:dyDescent="0.25">
      <c r="A12" s="48">
        <v>3984.8700000000022</v>
      </c>
      <c r="B12" s="48">
        <v>3984.8700000000022</v>
      </c>
      <c r="C12" s="48">
        <v>3984.8700000000022</v>
      </c>
      <c r="D12" s="48">
        <v>4459.0200000000004</v>
      </c>
    </row>
    <row r="13" spans="1:18" x14ac:dyDescent="0.25">
      <c r="A13" s="36"/>
      <c r="D13" s="36"/>
    </row>
    <row r="14" spans="1:18" x14ac:dyDescent="0.25">
      <c r="A14" s="36"/>
      <c r="D14" s="36"/>
    </row>
    <row r="16" spans="1:18" x14ac:dyDescent="0.25">
      <c r="B16" s="36" t="s">
        <v>311</v>
      </c>
      <c r="C16" s="36" t="s">
        <v>312</v>
      </c>
      <c r="D16" s="36" t="s">
        <v>313</v>
      </c>
      <c r="E16" s="36" t="s">
        <v>314</v>
      </c>
      <c r="F16" s="36" t="s">
        <v>284</v>
      </c>
    </row>
    <row r="17" spans="1:19" x14ac:dyDescent="0.25">
      <c r="A17" t="s">
        <v>315</v>
      </c>
      <c r="B17">
        <v>231.34</v>
      </c>
      <c r="C17">
        <v>942.1099999999999</v>
      </c>
      <c r="D17">
        <v>3116.0900000000011</v>
      </c>
      <c r="E17">
        <v>4154.3500000000004</v>
      </c>
      <c r="F17">
        <v>8443.8900000000012</v>
      </c>
    </row>
    <row r="18" spans="1:19" x14ac:dyDescent="0.25">
      <c r="S18" s="1"/>
    </row>
    <row r="19" spans="1:19" x14ac:dyDescent="0.25">
      <c r="S19" s="1"/>
    </row>
    <row r="20" spans="1:19" x14ac:dyDescent="0.25">
      <c r="S20" s="1"/>
    </row>
    <row r="21" spans="1:19" x14ac:dyDescent="0.25">
      <c r="F21" s="29"/>
      <c r="G21" s="29"/>
      <c r="H21" s="29"/>
      <c r="I21" s="29"/>
      <c r="J21" s="29"/>
      <c r="K21" s="29"/>
      <c r="L21" s="29"/>
      <c r="M21" s="29"/>
      <c r="N21" s="29"/>
      <c r="O21" s="29"/>
      <c r="P21" s="30"/>
      <c r="Q21" s="29"/>
      <c r="R21" s="31"/>
      <c r="S21" s="32"/>
    </row>
    <row r="22" spans="1:19" x14ac:dyDescent="0.25">
      <c r="F22" s="29"/>
      <c r="G22" s="29"/>
      <c r="H22" s="29"/>
      <c r="I22" s="29"/>
      <c r="J22" s="29"/>
      <c r="K22" s="29"/>
      <c r="L22" s="29"/>
      <c r="M22" s="29"/>
      <c r="N22" s="29"/>
      <c r="O22" s="29"/>
      <c r="P22" s="30"/>
      <c r="Q22" s="29"/>
      <c r="R22" s="31"/>
      <c r="S22" s="32"/>
    </row>
    <row r="23" spans="1:19" x14ac:dyDescent="0.25">
      <c r="S23" s="1"/>
    </row>
  </sheetData>
  <pageMargins left="0.1" right="0"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check new aroi shhet</vt:lpstr>
      <vt:lpstr>DATA</vt:lpstr>
      <vt:lpstr>OPEN POSITIONS</vt:lpstr>
      <vt:lpstr>CAMPAIGN</vt:lpstr>
      <vt:lpstr>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Justin Kramer</cp:lastModifiedBy>
  <cp:lastPrinted>2018-12-26T20:29:26Z</cp:lastPrinted>
  <dcterms:created xsi:type="dcterms:W3CDTF">2018-09-25T21:57:31Z</dcterms:created>
  <dcterms:modified xsi:type="dcterms:W3CDTF">2021-06-26T22:16:14Z</dcterms:modified>
</cp:coreProperties>
</file>