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1400" windowHeight="8565"/>
  </bookViews>
  <sheets>
    <sheet name="Sheet1" sheetId="1" r:id="rId1"/>
    <sheet name="Sheet2" sheetId="2" r:id="rId2"/>
    <sheet name="Sheet3" sheetId="3" r:id="rId3"/>
  </sheets>
  <definedNames>
    <definedName name="CIQWBGuid" hidden="1">"RIT - Excel Support - PD3 - ETF Arbitrage Pricing.xlsx"</definedName>
  </definedNames>
  <calcPr calcId="144525"/>
</workbook>
</file>

<file path=xl/calcChain.xml><?xml version="1.0" encoding="utf-8"?>
<calcChain xmlns="http://schemas.openxmlformats.org/spreadsheetml/2006/main">
  <c r="N19" i="1" l="1"/>
  <c r="M19" i="1"/>
  <c r="N18" i="1"/>
  <c r="M18" i="1"/>
  <c r="N17" i="1"/>
  <c r="M17" i="1"/>
  <c r="N16" i="1"/>
  <c r="M16" i="1"/>
  <c r="N15" i="1"/>
  <c r="M15" i="1"/>
  <c r="N10" i="1"/>
  <c r="M10" i="1"/>
  <c r="N9" i="1"/>
  <c r="M9" i="1"/>
  <c r="N8" i="1"/>
  <c r="M8" i="1"/>
  <c r="N7" i="1"/>
  <c r="M7" i="1"/>
  <c r="N6" i="1"/>
  <c r="M6" i="1"/>
  <c r="N20" i="1" l="1"/>
  <c r="N11" i="1"/>
  <c r="M11" i="1"/>
  <c r="M20" i="1"/>
  <c r="H15" i="1"/>
  <c r="E14" i="1"/>
  <c r="H14" i="1"/>
  <c r="F14" i="1"/>
  <c r="F15" i="1"/>
  <c r="D15" i="1"/>
  <c r="D14" i="1"/>
  <c r="G15" i="1"/>
  <c r="E15" i="1"/>
  <c r="C14" i="1"/>
  <c r="G14" i="1"/>
  <c r="C15" i="1"/>
  <c r="H13" i="1"/>
  <c r="E13" i="1"/>
  <c r="G13" i="1"/>
  <c r="F13" i="1"/>
  <c r="C13" i="1"/>
  <c r="D13" i="1"/>
  <c r="C8" i="1"/>
  <c r="C9" i="1"/>
  <c r="C10" i="1"/>
  <c r="M22" i="1" l="1"/>
  <c r="N22" i="1"/>
</calcChain>
</file>

<file path=xl/sharedStrings.xml><?xml version="1.0" encoding="utf-8"?>
<sst xmlns="http://schemas.openxmlformats.org/spreadsheetml/2006/main" count="41" uniqueCount="33">
  <si>
    <t>Purpose:</t>
  </si>
  <si>
    <t>Case Data:</t>
  </si>
  <si>
    <t>Security</t>
  </si>
  <si>
    <t>Position</t>
  </si>
  <si>
    <t>Bid Size</t>
  </si>
  <si>
    <t>Ask Size</t>
  </si>
  <si>
    <t>Bid</t>
  </si>
  <si>
    <t>Ask</t>
  </si>
  <si>
    <t>Volume</t>
  </si>
  <si>
    <t>Time Remaining:</t>
  </si>
  <si>
    <t>Time in a Year:</t>
  </si>
  <si>
    <t>Information</t>
  </si>
  <si>
    <t>Estimate #1</t>
  </si>
  <si>
    <t>Estimate #2</t>
  </si>
  <si>
    <t>Estimate #3</t>
  </si>
  <si>
    <t>Estimate #4</t>
  </si>
  <si>
    <t>Estimate #5</t>
  </si>
  <si>
    <t>Time</t>
  </si>
  <si>
    <t>Estimate</t>
  </si>
  <si>
    <t>and see the highest and lowest possible prices based on their information.</t>
  </si>
  <si>
    <t>UB</t>
  </si>
  <si>
    <t>GEM</t>
  </si>
  <si>
    <t>ETF</t>
  </si>
  <si>
    <t>Fill In Your UB Private Information</t>
  </si>
  <si>
    <t>Fill In Your GEM Private Information</t>
  </si>
  <si>
    <t>Possible Results:</t>
  </si>
  <si>
    <t>Lowest</t>
  </si>
  <si>
    <t>Highest</t>
  </si>
  <si>
    <t>Exchange Traded Fund Range</t>
  </si>
  <si>
    <t>P&amp;L:</t>
  </si>
  <si>
    <t xml:space="preserve"> version 1.0</t>
  </si>
  <si>
    <t>Excel Support - Price Discovery 3 Case</t>
  </si>
  <si>
    <t>This support sheet will let a user input their PD3 private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</si>
</sst>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&quot;$&quot;#,##0.00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8"/>
      <color theme="1"/>
      <name val="Cambria"/>
      <family val="1"/>
      <scheme val="major"/>
    </font>
    <font>
      <sz val="10"/>
      <color theme="1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/>
    <xf numFmtId="165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5" fontId="0" fillId="3" borderId="0" xfId="0" applyNumberFormat="1" applyFill="1"/>
    <xf numFmtId="165" fontId="0" fillId="3" borderId="0" xfId="0" applyNumberFormat="1" applyFill="1" applyAlignment="1">
      <alignment horizontal="center"/>
    </xf>
    <xf numFmtId="44" fontId="6" fillId="3" borderId="0" xfId="1" applyFont="1" applyFill="1"/>
    <xf numFmtId="165" fontId="4" fillId="3" borderId="0" xfId="0" applyNumberFormat="1" applyFont="1" applyFill="1" applyAlignment="1">
      <alignment horizontal="center"/>
    </xf>
    <xf numFmtId="10" fontId="0" fillId="3" borderId="0" xfId="0" applyNumberFormat="1" applyFill="1"/>
    <xf numFmtId="164" fontId="0" fillId="3" borderId="0" xfId="0" applyNumberFormat="1" applyFill="1"/>
    <xf numFmtId="0" fontId="0" fillId="4" borderId="0" xfId="0" applyFill="1" applyAlignment="1">
      <alignment horizontal="center"/>
    </xf>
    <xf numFmtId="165" fontId="0" fillId="4" borderId="0" xfId="0" applyNumberFormat="1" applyFill="1"/>
    <xf numFmtId="9" fontId="7" fillId="3" borderId="0" xfId="0" applyNumberFormat="1" applyFont="1" applyFill="1" applyBorder="1" applyAlignment="1">
      <alignment vertical="center"/>
    </xf>
    <xf numFmtId="9" fontId="8" fillId="3" borderId="0" xfId="0" applyNumberFormat="1" applyFont="1" applyFill="1" applyBorder="1" applyAlignment="1">
      <alignment vertical="center"/>
    </xf>
    <xf numFmtId="9" fontId="9" fillId="3" borderId="0" xfId="0" applyNumberFormat="1" applyFont="1" applyFill="1" applyBorder="1" applyAlignment="1">
      <alignment vertical="center"/>
    </xf>
    <xf numFmtId="0" fontId="4" fillId="3" borderId="0" xfId="0" applyFont="1" applyFill="1" applyAlignment="1">
      <alignment horizontal="center"/>
    </xf>
    <xf numFmtId="0" fontId="1" fillId="3" borderId="0" xfId="0" applyFont="1" applyFill="1" applyAlignme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it2.rtd">
      <tp t="s">
        <v>ETF|ASZ</v>
        <stp/>
        <stp>ETF</stp>
        <stp>ASZ</stp>
        <tr r="G15" s="1"/>
      </tp>
      <tp t="s">
        <v>ETF|ASK</v>
        <stp/>
        <stp>ETF</stp>
        <stp>ASK</stp>
        <tr r="F15" s="1"/>
      </tp>
      <tp t="s">
        <v>GEM|BSZ</v>
        <stp/>
        <stp>GEM</stp>
        <stp>BSZ</stp>
        <tr r="D14" s="1"/>
      </tp>
      <tp t="s">
        <v>GEM|BID</v>
        <stp/>
        <stp>GEM</stp>
        <stp>BID</stp>
        <tr r="E14" s="1"/>
      </tp>
      <tp t="s">
        <v>GEM|ASZ</v>
        <stp/>
        <stp>GEM</stp>
        <stp>ASZ</stp>
        <tr r="G14" s="1"/>
      </tp>
      <tp t="s">
        <v>GEM|ASK</v>
        <stp/>
        <stp>GEM</stp>
        <stp>ASK</stp>
        <tr r="F14" s="1"/>
      </tp>
      <tp t="s">
        <v>ETF|BID</v>
        <stp/>
        <stp>ETF</stp>
        <stp>BID</stp>
        <tr r="E15" s="1"/>
      </tp>
      <tp t="s">
        <v>ETF|BSZ</v>
        <stp/>
        <stp>ETF</stp>
        <stp>BSZ</stp>
        <tr r="D15" s="1"/>
      </tp>
      <tp t="s">
        <v>ETF|POSITION</v>
        <stp/>
        <stp>ETF</stp>
        <stp>POSITION</stp>
        <tr r="C15" s="1"/>
      </tp>
      <tp t="s">
        <v>UB|VOLUME</v>
        <stp/>
        <stp>UB</stp>
        <stp>VOLUME</stp>
        <tr r="H13" s="1"/>
      </tp>
      <tp t="s">
        <v>TIMEREMAINING</v>
        <stp/>
        <stp>TIMEREMAINING</stp>
        <tr r="C9" s="1"/>
      </tp>
      <tp t="s">
        <v>PL</v>
        <stp/>
        <stp>PL</stp>
        <tr r="C8" s="1"/>
      </tp>
      <tp t="s">
        <v>GEM|POSITION</v>
        <stp/>
        <stp>GEM</stp>
        <stp>POSITION</stp>
        <tr r="C14" s="1"/>
      </tp>
      <tp t="s">
        <v>GEM|VOLUME</v>
        <stp/>
        <stp>GEM</stp>
        <stp>VOLUME</stp>
        <tr r="H14" s="1"/>
      </tp>
      <tp t="s">
        <v>ETF|VOLUME</v>
        <stp/>
        <stp>ETF</stp>
        <stp>VOLUME</stp>
        <tr r="H15" s="1"/>
      </tp>
      <tp t="s">
        <v>YEARTIME</v>
        <stp/>
        <stp>YEARTIME</stp>
        <tr r="C10" s="1"/>
      </tp>
      <tp t="s">
        <v>UB|POSITION</v>
        <stp/>
        <stp>UB</stp>
        <stp>POSITION</stp>
        <tr r="C13" s="1"/>
      </tp>
      <tp t="s">
        <v>UB|ASZ</v>
        <stp/>
        <stp>UB</stp>
        <stp>ASZ</stp>
        <tr r="G13" s="1"/>
      </tp>
      <tp t="s">
        <v>UB|ASK</v>
        <stp/>
        <stp>UB</stp>
        <stp>ASK</stp>
        <tr r="F13" s="1"/>
      </tp>
      <tp t="s">
        <v>UB|BSZ</v>
        <stp/>
        <stp>UB</stp>
        <stp>BSZ</stp>
        <tr r="D13" s="1"/>
      </tp>
      <tp t="s">
        <v>UB|BID</v>
        <stp/>
        <stp>UB</stp>
        <stp>BID</stp>
        <tr r="E1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381000</xdr:colOff>
      <xdr:row>2</xdr:row>
      <xdr:rowOff>190500</xdr:rowOff>
    </xdr:to>
    <xdr:pic>
      <xdr:nvPicPr>
        <xdr:cNvPr id="1071" name="Picture 1" descr="logo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907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tabSelected="1" workbookViewId="0">
      <selection activeCell="C6" sqref="C6"/>
    </sheetView>
  </sheetViews>
  <sheetFormatPr defaultColWidth="9.140625" defaultRowHeight="12.75" x14ac:dyDescent="0.2"/>
  <cols>
    <col min="1" max="1" width="3.7109375" style="2" customWidth="1"/>
    <col min="2" max="2" width="21.140625" style="2" customWidth="1"/>
    <col min="3" max="3" width="9" style="2" customWidth="1"/>
    <col min="4" max="4" width="9.140625" style="2"/>
    <col min="5" max="5" width="11" style="2" customWidth="1"/>
    <col min="6" max="8" width="9.140625" style="2"/>
    <col min="9" max="9" width="9.42578125" style="2" customWidth="1"/>
    <col min="10" max="10" width="13" style="2" customWidth="1"/>
    <col min="11" max="11" width="18.42578125" style="2" customWidth="1"/>
    <col min="12" max="16384" width="9.140625" style="2"/>
  </cols>
  <sheetData>
    <row r="2" spans="2:14" ht="26.25" customHeight="1" x14ac:dyDescent="0.2">
      <c r="D2" s="19" t="s">
        <v>31</v>
      </c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2:14" ht="15.75" customHeight="1" x14ac:dyDescent="0.2">
      <c r="D3" s="18" t="s">
        <v>30</v>
      </c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2:14" x14ac:dyDescent="0.2">
      <c r="J4" s="20" t="s">
        <v>23</v>
      </c>
      <c r="K4" s="20"/>
      <c r="L4" s="20"/>
      <c r="M4" s="3" t="s">
        <v>25</v>
      </c>
    </row>
    <row r="5" spans="2:14" x14ac:dyDescent="0.2">
      <c r="B5" s="4" t="s">
        <v>0</v>
      </c>
      <c r="C5" s="21" t="s">
        <v>32</v>
      </c>
      <c r="D5" s="5"/>
      <c r="E5" s="5"/>
      <c r="F5" s="5"/>
      <c r="G5" s="5"/>
      <c r="J5" s="6" t="s">
        <v>11</v>
      </c>
      <c r="K5" s="7" t="s">
        <v>17</v>
      </c>
      <c r="L5" s="4" t="s">
        <v>18</v>
      </c>
      <c r="M5" s="3" t="s">
        <v>26</v>
      </c>
      <c r="N5" s="3" t="s">
        <v>27</v>
      </c>
    </row>
    <row r="6" spans="2:14" x14ac:dyDescent="0.2">
      <c r="C6" s="2" t="s">
        <v>19</v>
      </c>
      <c r="J6" s="6" t="s">
        <v>12</v>
      </c>
      <c r="K6" s="15">
        <v>93</v>
      </c>
      <c r="L6" s="16">
        <v>55.98</v>
      </c>
      <c r="M6" s="1">
        <f>IF(L6="","",L6-(300-K6)/50)</f>
        <v>51.839999999999996</v>
      </c>
      <c r="N6" s="1">
        <f>IF(L6="","",L6+(300-K6)/50)</f>
        <v>60.12</v>
      </c>
    </row>
    <row r="7" spans="2:14" x14ac:dyDescent="0.2">
      <c r="B7" s="4" t="s">
        <v>1</v>
      </c>
      <c r="J7" s="6" t="s">
        <v>13</v>
      </c>
      <c r="K7" s="15"/>
      <c r="L7" s="16"/>
      <c r="M7" s="1" t="str">
        <f>IF(L7="","",L7-(300-K7)/50)</f>
        <v/>
      </c>
      <c r="N7" s="1" t="str">
        <f>IF(L7="","",L7+(300-K7)/50)</f>
        <v/>
      </c>
    </row>
    <row r="8" spans="2:14" x14ac:dyDescent="0.2">
      <c r="B8" s="4" t="s">
        <v>29</v>
      </c>
      <c r="C8" s="2" t="str">
        <f>RTD("rit2.rtd",,"PL")</f>
        <v>PL</v>
      </c>
      <c r="E8" s="4"/>
      <c r="J8" s="6" t="s">
        <v>14</v>
      </c>
      <c r="K8" s="15"/>
      <c r="L8" s="16"/>
      <c r="M8" s="1" t="str">
        <f>IF(L8="","",L8-(300-K8)/50)</f>
        <v/>
      </c>
      <c r="N8" s="1" t="str">
        <f>IF(L8="","",L8+(300-K8)/50)</f>
        <v/>
      </c>
    </row>
    <row r="9" spans="2:14" x14ac:dyDescent="0.2">
      <c r="B9" s="4" t="s">
        <v>9</v>
      </c>
      <c r="C9" s="2" t="str">
        <f>RTD("rit2.rtd",,"TIMEREMAINING")</f>
        <v>TIMEREMAINING</v>
      </c>
      <c r="E9" s="4"/>
      <c r="F9" s="9"/>
      <c r="J9" s="6" t="s">
        <v>15</v>
      </c>
      <c r="K9" s="15"/>
      <c r="L9" s="16"/>
      <c r="M9" s="1" t="str">
        <f>IF(L9="","",L9-(300-K9)/50)</f>
        <v/>
      </c>
      <c r="N9" s="1" t="str">
        <f>IF(L9="","",L9+(300-K9)/50)</f>
        <v/>
      </c>
    </row>
    <row r="10" spans="2:14" x14ac:dyDescent="0.2">
      <c r="B10" s="4" t="s">
        <v>10</v>
      </c>
      <c r="C10" s="2" t="str">
        <f>RTD("rit2.rtd",,"YEARTIME")</f>
        <v>YEARTIME</v>
      </c>
      <c r="J10" s="6" t="s">
        <v>16</v>
      </c>
      <c r="K10" s="15"/>
      <c r="L10" s="16"/>
      <c r="M10" s="1" t="str">
        <f>IF(L10="","",L10-(300-K10)/50)</f>
        <v/>
      </c>
      <c r="N10" s="1" t="str">
        <f>IF(L10="","",L10+(300-K10)/50)</f>
        <v/>
      </c>
    </row>
    <row r="11" spans="2:14" x14ac:dyDescent="0.2">
      <c r="J11" s="10"/>
      <c r="K11" s="8"/>
      <c r="M11" s="11">
        <f>MAX(M6:M10,40)</f>
        <v>51.839999999999996</v>
      </c>
      <c r="N11" s="11">
        <f>MIN(N6:N10,60)</f>
        <v>60</v>
      </c>
    </row>
    <row r="12" spans="2:14" x14ac:dyDescent="0.2">
      <c r="B12" s="4" t="s">
        <v>2</v>
      </c>
      <c r="C12" s="4" t="s">
        <v>3</v>
      </c>
      <c r="D12" s="4" t="s">
        <v>4</v>
      </c>
      <c r="E12" s="4" t="s">
        <v>6</v>
      </c>
      <c r="F12" s="4" t="s">
        <v>7</v>
      </c>
      <c r="G12" s="4" t="s">
        <v>5</v>
      </c>
      <c r="H12" s="4" t="s">
        <v>8</v>
      </c>
      <c r="J12" s="12"/>
      <c r="K12" s="8"/>
    </row>
    <row r="13" spans="2:14" x14ac:dyDescent="0.2">
      <c r="B13" s="4" t="s">
        <v>20</v>
      </c>
      <c r="C13" s="2" t="str">
        <f>RTD("rit2.rtd",,B13,"POSITION")</f>
        <v>UB|POSITION</v>
      </c>
      <c r="D13" s="2" t="str">
        <f>RTD("rit2.rtd",,B13,"BSZ")</f>
        <v>UB|BSZ</v>
      </c>
      <c r="E13" s="2" t="str">
        <f>RTD("rit2.rtd",,B13,"BID")</f>
        <v>UB|BID</v>
      </c>
      <c r="F13" s="2" t="str">
        <f>RTD("rit2.rtd",,B13,"ASK")</f>
        <v>UB|ASK</v>
      </c>
      <c r="G13" s="2" t="str">
        <f>RTD("rit2.rtd",,B13,"ASZ")</f>
        <v>UB|ASZ</v>
      </c>
      <c r="H13" s="2" t="str">
        <f>RTD("rit2.rtd",,B13,"VOLUME")</f>
        <v>UB|VOLUME</v>
      </c>
      <c r="J13" s="20" t="s">
        <v>24</v>
      </c>
      <c r="K13" s="20"/>
      <c r="L13" s="20"/>
    </row>
    <row r="14" spans="2:14" x14ac:dyDescent="0.2">
      <c r="B14" s="4" t="s">
        <v>21</v>
      </c>
      <c r="C14" s="2" t="str">
        <f>RTD("rit2.rtd",,B14,"POSITION")</f>
        <v>GEM|POSITION</v>
      </c>
      <c r="D14" s="2" t="str">
        <f>RTD("rit2.rtd",,B14,"BSZ")</f>
        <v>GEM|BSZ</v>
      </c>
      <c r="E14" s="2" t="str">
        <f>RTD("rit2.rtd",,B14,"BID")</f>
        <v>GEM|BID</v>
      </c>
      <c r="F14" s="2" t="str">
        <f>RTD("rit2.rtd",,B14,"ASK")</f>
        <v>GEM|ASK</v>
      </c>
      <c r="G14" s="2" t="str">
        <f>RTD("rit2.rtd",,B14,"ASZ")</f>
        <v>GEM|ASZ</v>
      </c>
      <c r="H14" s="2" t="str">
        <f>RTD("rit2.rtd",,B14,"VOLUME")</f>
        <v>GEM|VOLUME</v>
      </c>
      <c r="J14" s="6" t="s">
        <v>11</v>
      </c>
      <c r="K14" s="7" t="s">
        <v>17</v>
      </c>
      <c r="L14" s="4" t="s">
        <v>18</v>
      </c>
    </row>
    <row r="15" spans="2:14" x14ac:dyDescent="0.2">
      <c r="B15" s="4" t="s">
        <v>22</v>
      </c>
      <c r="C15" s="2" t="str">
        <f>RTD("rit2.rtd",,B15,"POSITION")</f>
        <v>ETF|POSITION</v>
      </c>
      <c r="D15" s="2" t="str">
        <f>RTD("rit2.rtd",,B15,"BSZ")</f>
        <v>ETF|BSZ</v>
      </c>
      <c r="E15" s="2" t="str">
        <f>RTD("rit2.rtd",,B15,"BID")</f>
        <v>ETF|BID</v>
      </c>
      <c r="F15" s="2" t="str">
        <f>RTD("rit2.rtd",,B15,"ASK")</f>
        <v>ETF|ASK</v>
      </c>
      <c r="G15" s="2" t="str">
        <f>RTD("rit2.rtd",,B15,"ASZ")</f>
        <v>ETF|ASZ</v>
      </c>
      <c r="H15" s="2" t="str">
        <f>RTD("rit2.rtd",,B15,"VOLUME")</f>
        <v>ETF|VOLUME</v>
      </c>
      <c r="J15" s="6" t="s">
        <v>12</v>
      </c>
      <c r="K15" s="15">
        <v>73</v>
      </c>
      <c r="L15" s="16">
        <v>24.18</v>
      </c>
      <c r="M15" s="1">
        <f>IF(L15="","",L15-(300-K15)/50)</f>
        <v>19.64</v>
      </c>
      <c r="N15" s="1">
        <f>IF(L15="","",L15+(300-K15)/50)</f>
        <v>28.72</v>
      </c>
    </row>
    <row r="16" spans="2:14" x14ac:dyDescent="0.2">
      <c r="J16" s="6" t="s">
        <v>13</v>
      </c>
      <c r="K16" s="15"/>
      <c r="L16" s="16"/>
      <c r="M16" s="1" t="str">
        <f>IF(L16="","",L16-(300-K16)/50)</f>
        <v/>
      </c>
      <c r="N16" s="1" t="str">
        <f>IF(L16="","",L16+(300-K16)/50)</f>
        <v/>
      </c>
    </row>
    <row r="17" spans="2:14" x14ac:dyDescent="0.2">
      <c r="J17" s="6" t="s">
        <v>14</v>
      </c>
      <c r="K17" s="15"/>
      <c r="L17" s="16"/>
      <c r="M17" s="1" t="str">
        <f>IF(L17="","",L17-(300-K17)/50)</f>
        <v/>
      </c>
      <c r="N17" s="1" t="str">
        <f>IF(L17="","",L17+(300-K17)/50)</f>
        <v/>
      </c>
    </row>
    <row r="18" spans="2:14" x14ac:dyDescent="0.2">
      <c r="D18" s="13"/>
      <c r="F18" s="13"/>
      <c r="J18" s="6" t="s">
        <v>15</v>
      </c>
      <c r="K18" s="15"/>
      <c r="L18" s="16"/>
      <c r="M18" s="1" t="str">
        <f>IF(L18="","",L18-(300-K18)/50)</f>
        <v/>
      </c>
      <c r="N18" s="1" t="str">
        <f>IF(L18="","",L18+(300-K18)/50)</f>
        <v/>
      </c>
    </row>
    <row r="19" spans="2:14" x14ac:dyDescent="0.2">
      <c r="J19" s="6" t="s">
        <v>16</v>
      </c>
      <c r="K19" s="15"/>
      <c r="L19" s="16"/>
      <c r="M19" s="1" t="str">
        <f>IF(L19="","",L19-(300-K19)/50)</f>
        <v/>
      </c>
      <c r="N19" s="1" t="str">
        <f>IF(L19="","",L19+(300-K19)/50)</f>
        <v/>
      </c>
    </row>
    <row r="20" spans="2:14" x14ac:dyDescent="0.2">
      <c r="J20" s="10"/>
      <c r="K20" s="8"/>
      <c r="M20" s="11">
        <f>MAX(M15:M19,20)</f>
        <v>20</v>
      </c>
      <c r="N20" s="11">
        <f>MIN(N15:N19,30)</f>
        <v>28.72</v>
      </c>
    </row>
    <row r="21" spans="2:14" x14ac:dyDescent="0.2">
      <c r="B21" s="4"/>
      <c r="J21" s="10"/>
      <c r="K21" s="8"/>
    </row>
    <row r="22" spans="2:14" x14ac:dyDescent="0.2">
      <c r="B22" s="4"/>
      <c r="K22" s="12" t="s">
        <v>28</v>
      </c>
      <c r="M22" s="14">
        <f>M20+M11</f>
        <v>71.84</v>
      </c>
      <c r="N22" s="14">
        <f>N20+N11</f>
        <v>88.72</v>
      </c>
    </row>
    <row r="23" spans="2:14" x14ac:dyDescent="0.2">
      <c r="J23" s="10"/>
      <c r="K23" s="8"/>
    </row>
    <row r="24" spans="2:14" x14ac:dyDescent="0.2">
      <c r="J24" s="10"/>
      <c r="K24" s="8"/>
    </row>
    <row r="25" spans="2:14" x14ac:dyDescent="0.2">
      <c r="J25" s="10"/>
      <c r="K25" s="8"/>
    </row>
    <row r="26" spans="2:14" x14ac:dyDescent="0.2">
      <c r="J26" s="10"/>
      <c r="K26" s="8"/>
    </row>
    <row r="27" spans="2:14" x14ac:dyDescent="0.2">
      <c r="J27" s="10"/>
      <c r="K27" s="8"/>
    </row>
    <row r="28" spans="2:14" x14ac:dyDescent="0.2">
      <c r="J28" s="10"/>
      <c r="K28" s="8"/>
    </row>
    <row r="29" spans="2:14" x14ac:dyDescent="0.2">
      <c r="J29" s="10"/>
      <c r="K29" s="8"/>
    </row>
    <row r="30" spans="2:14" x14ac:dyDescent="0.2">
      <c r="J30" s="10"/>
      <c r="K30" s="8"/>
    </row>
  </sheetData>
  <mergeCells count="2">
    <mergeCell ref="J4:L4"/>
    <mergeCell ref="J13:L13"/>
  </mergeCells>
  <phoneticPr fontId="3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2006-06-07T14:27:10Z</dcterms:created>
  <dcterms:modified xsi:type="dcterms:W3CDTF">2013-10-05T16:50:11Z</dcterms:modified>
</cp:coreProperties>
</file>